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Planning/"/>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B219" i="16" s="1"/>
  <c r="E218" i="16"/>
  <c r="D218" i="16"/>
  <c r="A218" i="16"/>
  <c r="E217" i="16"/>
  <c r="D217" i="16"/>
  <c r="H217" i="16" s="1"/>
  <c r="I217" i="16" s="1"/>
  <c r="A217" i="16"/>
  <c r="E216" i="16"/>
  <c r="D216" i="16"/>
  <c r="A216" i="16"/>
  <c r="E215" i="16"/>
  <c r="D215" i="16"/>
  <c r="H215" i="16" s="1"/>
  <c r="I215" i="16" s="1"/>
  <c r="A215" i="16"/>
  <c r="B215" i="16" s="1"/>
  <c r="E214" i="16"/>
  <c r="D214" i="16"/>
  <c r="A214" i="16"/>
  <c r="E213" i="16"/>
  <c r="D213" i="16"/>
  <c r="A213" i="16"/>
  <c r="E212" i="16"/>
  <c r="D212" i="16"/>
  <c r="H212" i="16" s="1"/>
  <c r="A212" i="16"/>
  <c r="E211" i="16"/>
  <c r="D211" i="16"/>
  <c r="A211" i="16"/>
  <c r="B211" i="16" s="1"/>
  <c r="E210" i="16"/>
  <c r="D210" i="16"/>
  <c r="A210" i="16"/>
  <c r="E209" i="16"/>
  <c r="D209" i="16"/>
  <c r="A209" i="16"/>
  <c r="E208" i="16"/>
  <c r="D208" i="16"/>
  <c r="A208" i="16"/>
  <c r="E207" i="16"/>
  <c r="D207" i="16"/>
  <c r="A207" i="16"/>
  <c r="B207" i="16" s="1"/>
  <c r="E206" i="16"/>
  <c r="D206" i="16"/>
  <c r="A206" i="16"/>
  <c r="E205" i="16"/>
  <c r="D205" i="16"/>
  <c r="A205" i="16"/>
  <c r="E204" i="16"/>
  <c r="D204" i="16"/>
  <c r="A204" i="16"/>
  <c r="E203" i="16"/>
  <c r="D203" i="16"/>
  <c r="A203" i="16"/>
  <c r="B203" i="16" s="1"/>
  <c r="E202" i="16"/>
  <c r="D202" i="16"/>
  <c r="H202" i="16" s="1"/>
  <c r="I202" i="16" s="1"/>
  <c r="A202" i="16"/>
  <c r="E201" i="16"/>
  <c r="D201" i="16"/>
  <c r="H201" i="16" s="1"/>
  <c r="A201" i="16"/>
  <c r="E200" i="16"/>
  <c r="D200" i="16"/>
  <c r="A200" i="16"/>
  <c r="E199" i="16"/>
  <c r="D199" i="16"/>
  <c r="H199" i="16" s="1"/>
  <c r="A199" i="16"/>
  <c r="B199" i="16" s="1"/>
  <c r="E198" i="16"/>
  <c r="D198" i="16"/>
  <c r="A198" i="16"/>
  <c r="E197" i="16"/>
  <c r="D197" i="16"/>
  <c r="A197" i="16"/>
  <c r="E196" i="16"/>
  <c r="D196" i="16"/>
  <c r="A196" i="16"/>
  <c r="E195" i="16"/>
  <c r="D195" i="16"/>
  <c r="A195" i="16"/>
  <c r="B195" i="16" s="1"/>
  <c r="E194" i="16"/>
  <c r="D194" i="16"/>
  <c r="A194" i="16"/>
  <c r="E193" i="16"/>
  <c r="D193" i="16"/>
  <c r="A193" i="16"/>
  <c r="E192" i="16"/>
  <c r="D192" i="16"/>
  <c r="A192" i="16"/>
  <c r="E191" i="16"/>
  <c r="D191" i="16"/>
  <c r="A191" i="16"/>
  <c r="B191" i="16" s="1"/>
  <c r="E190" i="16"/>
  <c r="D190" i="16"/>
  <c r="H190" i="16" s="1"/>
  <c r="A190" i="16"/>
  <c r="E189" i="16"/>
  <c r="D189" i="16"/>
  <c r="A189" i="16"/>
  <c r="E188" i="16"/>
  <c r="D188" i="16"/>
  <c r="A188" i="16"/>
  <c r="E187" i="16"/>
  <c r="D187" i="16"/>
  <c r="A187" i="16"/>
  <c r="B187" i="16" s="1"/>
  <c r="E186" i="16"/>
  <c r="D186" i="16"/>
  <c r="H186" i="16" s="1"/>
  <c r="A186" i="16"/>
  <c r="E185" i="16"/>
  <c r="D185" i="16"/>
  <c r="A185" i="16"/>
  <c r="E184" i="16"/>
  <c r="D184" i="16"/>
  <c r="A184" i="16"/>
  <c r="E183" i="16"/>
  <c r="D183" i="16"/>
  <c r="A183" i="16"/>
  <c r="B183" i="16" s="1"/>
  <c r="E182" i="16"/>
  <c r="D182" i="16"/>
  <c r="A182" i="16"/>
  <c r="E181" i="16"/>
  <c r="D181" i="16"/>
  <c r="H181" i="16" s="1"/>
  <c r="A181" i="16"/>
  <c r="E180" i="16"/>
  <c r="D180" i="16"/>
  <c r="H180" i="16" s="1"/>
  <c r="I180" i="16" s="1"/>
  <c r="A180" i="16"/>
  <c r="E179" i="16"/>
  <c r="D179" i="16"/>
  <c r="A179" i="16"/>
  <c r="B179" i="16" s="1"/>
  <c r="E178" i="16"/>
  <c r="D178" i="16"/>
  <c r="A178" i="16"/>
  <c r="E177" i="16"/>
  <c r="D177" i="16"/>
  <c r="H177" i="16" s="1"/>
  <c r="A177" i="16"/>
  <c r="E176" i="16"/>
  <c r="D176" i="16"/>
  <c r="A176" i="16"/>
  <c r="E175" i="16"/>
  <c r="D175" i="16"/>
  <c r="H175" i="16" s="1"/>
  <c r="I175" i="16" s="1"/>
  <c r="A175" i="16"/>
  <c r="B175" i="16" s="1"/>
  <c r="E174" i="16"/>
  <c r="D174" i="16"/>
  <c r="A174" i="16"/>
  <c r="E173" i="16"/>
  <c r="D173" i="16"/>
  <c r="H173" i="16" s="1"/>
  <c r="A173" i="16"/>
  <c r="E172" i="16"/>
  <c r="D172" i="16"/>
  <c r="A172" i="16"/>
  <c r="E171" i="16"/>
  <c r="D171" i="16"/>
  <c r="H171" i="16" s="1"/>
  <c r="I171" i="16" s="1"/>
  <c r="A171" i="16"/>
  <c r="B171" i="16" s="1"/>
  <c r="E170" i="16"/>
  <c r="D170" i="16"/>
  <c r="H170" i="16" s="1"/>
  <c r="A170" i="16"/>
  <c r="E169" i="16"/>
  <c r="D169" i="16"/>
  <c r="H169" i="16" s="1"/>
  <c r="A169" i="16"/>
  <c r="E168" i="16"/>
  <c r="D168" i="16"/>
  <c r="H168" i="16" s="1"/>
  <c r="A168" i="16"/>
  <c r="E167" i="16"/>
  <c r="D167" i="16"/>
  <c r="H167" i="16" s="1"/>
  <c r="A167" i="16"/>
  <c r="B167" i="16" s="1"/>
  <c r="E166" i="16"/>
  <c r="D166" i="16"/>
  <c r="A166" i="16"/>
  <c r="E165" i="16"/>
  <c r="D165" i="16"/>
  <c r="A165" i="16"/>
  <c r="E164" i="16"/>
  <c r="D164" i="16"/>
  <c r="A164" i="16"/>
  <c r="E163" i="16"/>
  <c r="D163" i="16"/>
  <c r="H163" i="16" s="1"/>
  <c r="I163" i="16" s="1"/>
  <c r="A163" i="16"/>
  <c r="B163" i="16" s="1"/>
  <c r="E162" i="16"/>
  <c r="D162" i="16"/>
  <c r="H162" i="16" s="1"/>
  <c r="A162" i="16"/>
  <c r="E161" i="16"/>
  <c r="D161" i="16"/>
  <c r="H161" i="16" s="1"/>
  <c r="A161" i="16"/>
  <c r="E160" i="16"/>
  <c r="D160" i="16"/>
  <c r="H160" i="16" s="1"/>
  <c r="I160" i="16" s="1"/>
  <c r="A160" i="16"/>
  <c r="E159" i="16"/>
  <c r="D159" i="16"/>
  <c r="A159" i="16"/>
  <c r="B159" i="16" s="1"/>
  <c r="E158" i="16"/>
  <c r="D158" i="16"/>
  <c r="A158" i="16"/>
  <c r="E157" i="16"/>
  <c r="D157" i="16"/>
  <c r="A157" i="16"/>
  <c r="E156" i="16"/>
  <c r="D156" i="16"/>
  <c r="A156" i="16"/>
  <c r="E155" i="16"/>
  <c r="D155" i="16"/>
  <c r="H155" i="16" s="1"/>
  <c r="A155" i="16"/>
  <c r="B155" i="16" s="1"/>
  <c r="E154" i="16"/>
  <c r="D154" i="16"/>
  <c r="A154" i="16"/>
  <c r="E153" i="16"/>
  <c r="D153" i="16"/>
  <c r="A153" i="16"/>
  <c r="E152" i="16"/>
  <c r="D152" i="16"/>
  <c r="H152" i="16" s="1"/>
  <c r="A152" i="16"/>
  <c r="E151" i="16"/>
  <c r="D151" i="16"/>
  <c r="A151" i="16"/>
  <c r="B151" i="16" s="1"/>
  <c r="E150" i="16"/>
  <c r="D150" i="16"/>
  <c r="A150" i="16"/>
  <c r="E149" i="16"/>
  <c r="D149" i="16"/>
  <c r="H149" i="16" s="1"/>
  <c r="I149" i="16" s="1"/>
  <c r="A149" i="16"/>
  <c r="E148" i="16"/>
  <c r="D148" i="16"/>
  <c r="A148" i="16"/>
  <c r="E147" i="16"/>
  <c r="D147" i="16"/>
  <c r="H147" i="16" s="1"/>
  <c r="A147" i="16"/>
  <c r="B147" i="16" s="1"/>
  <c r="E146" i="16"/>
  <c r="D146" i="16"/>
  <c r="A146" i="16"/>
  <c r="E145" i="16"/>
  <c r="D145" i="16"/>
  <c r="A145" i="16"/>
  <c r="E144" i="16"/>
  <c r="D144" i="16"/>
  <c r="A144" i="16"/>
  <c r="E143" i="16"/>
  <c r="D143" i="16"/>
  <c r="A143" i="16"/>
  <c r="B143" i="16" s="1"/>
  <c r="E142" i="16"/>
  <c r="D142" i="16"/>
  <c r="H142" i="16" s="1"/>
  <c r="A142" i="16"/>
  <c r="E141" i="16"/>
  <c r="D141" i="16"/>
  <c r="A141" i="16"/>
  <c r="E140" i="16"/>
  <c r="D140" i="16"/>
  <c r="A140" i="16"/>
  <c r="E139" i="16"/>
  <c r="D139" i="16"/>
  <c r="H139" i="16" s="1"/>
  <c r="A139" i="16"/>
  <c r="B139" i="16" s="1"/>
  <c r="E138" i="16"/>
  <c r="D138" i="16"/>
  <c r="A138" i="16"/>
  <c r="E137" i="16"/>
  <c r="D137" i="16"/>
  <c r="H137" i="16" s="1"/>
  <c r="I137" i="16" s="1"/>
  <c r="A137" i="16"/>
  <c r="E136" i="16"/>
  <c r="D136" i="16"/>
  <c r="H136" i="16" s="1"/>
  <c r="A136" i="16"/>
  <c r="E135" i="16"/>
  <c r="D135" i="16"/>
  <c r="A135" i="16"/>
  <c r="B135" i="16" s="1"/>
  <c r="E134" i="16"/>
  <c r="D134" i="16"/>
  <c r="A134" i="16"/>
  <c r="E133" i="16"/>
  <c r="D133" i="16"/>
  <c r="H133" i="16" s="1"/>
  <c r="A133" i="16"/>
  <c r="E132" i="16"/>
  <c r="D132" i="16"/>
  <c r="A132" i="16"/>
  <c r="E131" i="16"/>
  <c r="D131" i="16"/>
  <c r="H131" i="16" s="1"/>
  <c r="A131" i="16"/>
  <c r="B131" i="16" s="1"/>
  <c r="E130" i="16"/>
  <c r="D130" i="16"/>
  <c r="A130" i="16"/>
  <c r="E129" i="16"/>
  <c r="D129" i="16"/>
  <c r="A129" i="16"/>
  <c r="E128" i="16"/>
  <c r="D128" i="16"/>
  <c r="A128" i="16"/>
  <c r="E127" i="16"/>
  <c r="D127" i="16"/>
  <c r="A127" i="16"/>
  <c r="B127" i="16" s="1"/>
  <c r="E126" i="16"/>
  <c r="D126" i="16"/>
  <c r="A126" i="16"/>
  <c r="E125" i="16"/>
  <c r="D125" i="16"/>
  <c r="A125" i="16"/>
  <c r="E124" i="16"/>
  <c r="D124" i="16"/>
  <c r="A124" i="16"/>
  <c r="E123" i="16"/>
  <c r="D123" i="16"/>
  <c r="A123" i="16"/>
  <c r="B123" i="16" s="1"/>
  <c r="E122" i="16"/>
  <c r="D122" i="16"/>
  <c r="A122" i="16"/>
  <c r="E121" i="16"/>
  <c r="D121" i="16"/>
  <c r="A121" i="16"/>
  <c r="E120" i="16"/>
  <c r="D120" i="16"/>
  <c r="A120" i="16"/>
  <c r="E119" i="16"/>
  <c r="D119" i="16"/>
  <c r="A119" i="16"/>
  <c r="B119" i="16" s="1"/>
  <c r="E118" i="16"/>
  <c r="D118" i="16"/>
  <c r="A118" i="16"/>
  <c r="E117" i="16"/>
  <c r="D117" i="16"/>
  <c r="A117" i="16"/>
  <c r="E116" i="16"/>
  <c r="D116" i="16"/>
  <c r="A116" i="16"/>
  <c r="E115" i="16"/>
  <c r="D115" i="16"/>
  <c r="A115" i="16"/>
  <c r="B115" i="16" s="1"/>
  <c r="E114" i="16"/>
  <c r="D114" i="16"/>
  <c r="A114" i="16"/>
  <c r="E113" i="16"/>
  <c r="D113" i="16"/>
  <c r="A113" i="16"/>
  <c r="E112" i="16"/>
  <c r="D112" i="16"/>
  <c r="A112" i="16"/>
  <c r="E111" i="16"/>
  <c r="D111" i="16"/>
  <c r="A111" i="16"/>
  <c r="B111" i="16" s="1"/>
  <c r="E110" i="16"/>
  <c r="D110" i="16"/>
  <c r="A110" i="16"/>
  <c r="E109" i="16"/>
  <c r="D109" i="16"/>
  <c r="A109" i="16"/>
  <c r="E108" i="16"/>
  <c r="D108" i="16"/>
  <c r="A108" i="16"/>
  <c r="E107" i="16"/>
  <c r="D107" i="16"/>
  <c r="A107" i="16"/>
  <c r="B107" i="16" s="1"/>
  <c r="E106" i="16"/>
  <c r="D106" i="16"/>
  <c r="A106" i="16"/>
  <c r="E105" i="16"/>
  <c r="D105" i="16"/>
  <c r="A105" i="16"/>
  <c r="E104" i="16"/>
  <c r="D104" i="16"/>
  <c r="A104" i="16"/>
  <c r="E103" i="16"/>
  <c r="D103" i="16"/>
  <c r="A103" i="16"/>
  <c r="B103" i="16" s="1"/>
  <c r="E102" i="16"/>
  <c r="D102" i="16"/>
  <c r="A102" i="16"/>
  <c r="E101" i="16"/>
  <c r="D101" i="16"/>
  <c r="A101" i="16"/>
  <c r="E100" i="16"/>
  <c r="D100" i="16"/>
  <c r="A100" i="16"/>
  <c r="E99" i="16"/>
  <c r="D99" i="16"/>
  <c r="A99" i="16"/>
  <c r="B99" i="16" s="1"/>
  <c r="E98" i="16"/>
  <c r="D98" i="16"/>
  <c r="A98" i="16"/>
  <c r="E97" i="16"/>
  <c r="D97" i="16"/>
  <c r="A97" i="16"/>
  <c r="E96" i="16"/>
  <c r="D96" i="16"/>
  <c r="A96" i="16"/>
  <c r="E95" i="16"/>
  <c r="D95" i="16"/>
  <c r="A95" i="16"/>
  <c r="B95" i="16" s="1"/>
  <c r="E94" i="16"/>
  <c r="D94" i="16"/>
  <c r="A94" i="16"/>
  <c r="E93" i="16"/>
  <c r="D93" i="16"/>
  <c r="A93" i="16"/>
  <c r="E92" i="16"/>
  <c r="D92" i="16"/>
  <c r="A92" i="16"/>
  <c r="E91" i="16"/>
  <c r="D91" i="16"/>
  <c r="A91" i="16"/>
  <c r="B91" i="16" s="1"/>
  <c r="E90" i="16"/>
  <c r="D90" i="16"/>
  <c r="A90" i="16"/>
  <c r="E89" i="16"/>
  <c r="D89" i="16"/>
  <c r="A89" i="16"/>
  <c r="E88" i="16"/>
  <c r="D88" i="16"/>
  <c r="A88" i="16"/>
  <c r="E87" i="16"/>
  <c r="D87" i="16"/>
  <c r="A87" i="16"/>
  <c r="B87" i="16" s="1"/>
  <c r="E86" i="16"/>
  <c r="D86" i="16"/>
  <c r="A86" i="16"/>
  <c r="E85" i="16"/>
  <c r="D85" i="16"/>
  <c r="A85" i="16"/>
  <c r="E84" i="16"/>
  <c r="D84" i="16"/>
  <c r="A84" i="16"/>
  <c r="E83" i="16"/>
  <c r="D83" i="16"/>
  <c r="A83" i="16"/>
  <c r="B83" i="16" s="1"/>
  <c r="E82" i="16"/>
  <c r="D82" i="16"/>
  <c r="A82" i="16"/>
  <c r="E81" i="16"/>
  <c r="D81" i="16"/>
  <c r="A81" i="16"/>
  <c r="E80" i="16"/>
  <c r="D80" i="16"/>
  <c r="A80" i="16"/>
  <c r="E79" i="16"/>
  <c r="D79" i="16"/>
  <c r="A79" i="16"/>
  <c r="B79" i="16" s="1"/>
  <c r="E78" i="16"/>
  <c r="D78" i="16"/>
  <c r="A78" i="16"/>
  <c r="E77" i="16"/>
  <c r="D77" i="16"/>
  <c r="A77" i="16"/>
  <c r="E76" i="16"/>
  <c r="D76" i="16"/>
  <c r="A76" i="16"/>
  <c r="E75" i="16"/>
  <c r="D75" i="16"/>
  <c r="A75" i="16"/>
  <c r="B75" i="16" s="1"/>
  <c r="E74" i="16"/>
  <c r="D74" i="16"/>
  <c r="A74" i="16"/>
  <c r="E73" i="16"/>
  <c r="D73" i="16"/>
  <c r="A73" i="16"/>
  <c r="E72" i="16"/>
  <c r="D72" i="16"/>
  <c r="A72" i="16"/>
  <c r="E71" i="16"/>
  <c r="D71" i="16"/>
  <c r="A71" i="16"/>
  <c r="B71" i="16" s="1"/>
  <c r="E70" i="16"/>
  <c r="D70" i="16"/>
  <c r="A70" i="16"/>
  <c r="E69" i="16"/>
  <c r="D69" i="16"/>
  <c r="A69" i="16"/>
  <c r="E68" i="16"/>
  <c r="D68" i="16"/>
  <c r="A68" i="16"/>
  <c r="E67" i="16"/>
  <c r="D67" i="16"/>
  <c r="A67" i="16"/>
  <c r="B67" i="16" s="1"/>
  <c r="E66" i="16"/>
  <c r="D66" i="16"/>
  <c r="A66" i="16"/>
  <c r="E65" i="16"/>
  <c r="D65" i="16"/>
  <c r="A65" i="16"/>
  <c r="E64" i="16"/>
  <c r="D64" i="16"/>
  <c r="A64" i="16"/>
  <c r="E63" i="16"/>
  <c r="D63" i="16"/>
  <c r="A63" i="16"/>
  <c r="B63" i="16" s="1"/>
  <c r="E62" i="16"/>
  <c r="D62" i="16"/>
  <c r="A62" i="16"/>
  <c r="E61" i="16"/>
  <c r="D61" i="16"/>
  <c r="A61" i="16"/>
  <c r="E60" i="16"/>
  <c r="D60" i="16"/>
  <c r="A60" i="16"/>
  <c r="E59" i="16"/>
  <c r="D59" i="16"/>
  <c r="A59" i="16"/>
  <c r="B59" i="16" s="1"/>
  <c r="E58" i="16"/>
  <c r="D58" i="16"/>
  <c r="A58" i="16"/>
  <c r="E57" i="16"/>
  <c r="D57" i="16"/>
  <c r="A57" i="16"/>
  <c r="E56" i="16"/>
  <c r="D56" i="16"/>
  <c r="A56" i="16"/>
  <c r="E55" i="16"/>
  <c r="D55" i="16"/>
  <c r="A55" i="16"/>
  <c r="B55" i="16" s="1"/>
  <c r="E54" i="16"/>
  <c r="D54" i="16"/>
  <c r="A54" i="16"/>
  <c r="E53" i="16"/>
  <c r="D53" i="16"/>
  <c r="A53" i="16"/>
  <c r="E52" i="16"/>
  <c r="D52" i="16"/>
  <c r="A52" i="16"/>
  <c r="E51" i="16"/>
  <c r="D51" i="16"/>
  <c r="A51" i="16"/>
  <c r="B51" i="16" s="1"/>
  <c r="E50" i="16"/>
  <c r="D50" i="16"/>
  <c r="A50" i="16"/>
  <c r="E49" i="16"/>
  <c r="D49" i="16"/>
  <c r="A49" i="16"/>
  <c r="E48" i="16"/>
  <c r="D48" i="16"/>
  <c r="A48" i="16"/>
  <c r="E47" i="16"/>
  <c r="D47" i="16"/>
  <c r="A47" i="16"/>
  <c r="B47" i="16" s="1"/>
  <c r="E46" i="16"/>
  <c r="D46" i="16"/>
  <c r="A46" i="16"/>
  <c r="E45" i="16"/>
  <c r="D45" i="16"/>
  <c r="A45" i="16"/>
  <c r="E44" i="16"/>
  <c r="D44" i="16"/>
  <c r="A44" i="16"/>
  <c r="E43" i="16"/>
  <c r="D43" i="16"/>
  <c r="A43" i="16"/>
  <c r="B43" i="16" s="1"/>
  <c r="E42" i="16"/>
  <c r="D42" i="16"/>
  <c r="A42" i="16"/>
  <c r="E41" i="16"/>
  <c r="D41" i="16"/>
  <c r="A41" i="16"/>
  <c r="E40" i="16"/>
  <c r="D40" i="16"/>
  <c r="A40" i="16"/>
  <c r="E39" i="16"/>
  <c r="D39" i="16"/>
  <c r="A39" i="16"/>
  <c r="B39" i="16" s="1"/>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B34" i="16" s="1"/>
  <c r="E33" i="16"/>
  <c r="D33" i="16"/>
  <c r="A33" i="16"/>
  <c r="E32" i="16"/>
  <c r="D32" i="16"/>
  <c r="A32" i="16"/>
  <c r="E31" i="16"/>
  <c r="D31" i="16"/>
  <c r="A31" i="16"/>
  <c r="E30" i="16"/>
  <c r="D30" i="16"/>
  <c r="A30" i="16"/>
  <c r="B30" i="16" s="1"/>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B12" i="16" s="1"/>
  <c r="E11" i="16"/>
  <c r="D11" i="16"/>
  <c r="A11" i="16"/>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11" i="16" l="1"/>
  <c r="B29" i="16"/>
  <c r="B42" i="16"/>
  <c r="B50" i="16"/>
  <c r="B58" i="16"/>
  <c r="B66" i="16"/>
  <c r="B74" i="16"/>
  <c r="B86" i="16"/>
  <c r="B33" i="16"/>
  <c r="B38" i="16"/>
  <c r="B46" i="16"/>
  <c r="B54" i="16"/>
  <c r="B62" i="16"/>
  <c r="B70" i="16"/>
  <c r="B78" i="16"/>
  <c r="B82" i="16"/>
  <c r="B94" i="16"/>
  <c r="B106" i="16"/>
  <c r="B110" i="16"/>
  <c r="B118" i="16"/>
  <c r="B126" i="16"/>
  <c r="B134" i="16"/>
  <c r="B142" i="16"/>
  <c r="B166" i="16"/>
  <c r="B170" i="16"/>
  <c r="B182" i="16"/>
  <c r="B194" i="16"/>
  <c r="B20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90" i="16"/>
  <c r="B98" i="16"/>
  <c r="B102" i="16"/>
  <c r="B114" i="16"/>
  <c r="B122" i="16"/>
  <c r="B130" i="16"/>
  <c r="B138" i="16"/>
  <c r="B146" i="16"/>
  <c r="B150" i="16"/>
  <c r="B154" i="16"/>
  <c r="B158" i="16"/>
  <c r="B162" i="16"/>
  <c r="B174" i="16"/>
  <c r="B178" i="16"/>
  <c r="B186" i="16"/>
  <c r="B190" i="16"/>
  <c r="B198" i="16"/>
  <c r="B202" i="16"/>
  <c r="B210" i="16"/>
  <c r="B214" i="16"/>
  <c r="B213" i="16"/>
  <c r="B217" i="16"/>
  <c r="B221" i="16"/>
  <c r="B13" i="16"/>
  <c r="B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AX18" i="16"/>
  <c r="AX20" i="16"/>
  <c r="H20" i="16" s="1"/>
  <c r="AX22" i="16"/>
  <c r="H22" i="16" s="1"/>
  <c r="AX24" i="16"/>
  <c r="AX26" i="16"/>
  <c r="AX28" i="16"/>
  <c r="H28" i="16" s="1"/>
  <c r="AX30" i="16"/>
  <c r="F30" i="16" s="1"/>
  <c r="AX32" i="16"/>
  <c r="AX34" i="16"/>
  <c r="H34" i="16" s="1"/>
  <c r="AX36" i="16"/>
  <c r="AX38" i="16"/>
  <c r="H38" i="16" s="1"/>
  <c r="AX40" i="16"/>
  <c r="AX42" i="16"/>
  <c r="F42" i="16" s="1"/>
  <c r="AX44" i="16"/>
  <c r="AX46" i="16"/>
  <c r="H46" i="16" s="1"/>
  <c r="AX48" i="16"/>
  <c r="AX50" i="16"/>
  <c r="H50" i="16" s="1"/>
  <c r="AX52" i="16"/>
  <c r="H52" i="16" s="1"/>
  <c r="AX54" i="16"/>
  <c r="F54" i="16" s="1"/>
  <c r="AX56" i="16"/>
  <c r="H56" i="16" s="1"/>
  <c r="AX58" i="16"/>
  <c r="H58" i="16" s="1"/>
  <c r="AX60" i="16"/>
  <c r="F60" i="16" s="1"/>
  <c r="AX62" i="16"/>
  <c r="H62" i="16" s="1"/>
  <c r="AX64" i="16"/>
  <c r="AX66" i="16"/>
  <c r="AX68" i="16"/>
  <c r="F68" i="16" s="1"/>
  <c r="AX70" i="16"/>
  <c r="F70" i="16" s="1"/>
  <c r="AX72" i="16"/>
  <c r="AX74" i="16"/>
  <c r="AX76" i="16"/>
  <c r="AX78" i="16"/>
  <c r="AX80" i="16"/>
  <c r="AX82" i="16"/>
  <c r="H82" i="16" s="1"/>
  <c r="AX84" i="16"/>
  <c r="H84" i="16" s="1"/>
  <c r="AX86" i="16"/>
  <c r="F86" i="16" s="1"/>
  <c r="AX88" i="16"/>
  <c r="AX90" i="16"/>
  <c r="AX92" i="16"/>
  <c r="F92" i="16" s="1"/>
  <c r="AX94" i="16"/>
  <c r="H94" i="16" s="1"/>
  <c r="AX96" i="16"/>
  <c r="AX98" i="16"/>
  <c r="H98" i="16" s="1"/>
  <c r="AX100" i="16"/>
  <c r="F100" i="16" s="1"/>
  <c r="AX102" i="16"/>
  <c r="H102" i="16" s="1"/>
  <c r="AX104" i="16"/>
  <c r="AX106" i="16"/>
  <c r="AX108" i="16"/>
  <c r="H108" i="16" s="1"/>
  <c r="AX110" i="16"/>
  <c r="F110" i="16" s="1"/>
  <c r="AX112" i="16"/>
  <c r="AX114" i="16"/>
  <c r="F114" i="16" s="1"/>
  <c r="AX116" i="16"/>
  <c r="F116" i="16" s="1"/>
  <c r="AX118" i="16"/>
  <c r="H118" i="16" s="1"/>
  <c r="AX120" i="16"/>
  <c r="AX122" i="16"/>
  <c r="H122" i="16" s="1"/>
  <c r="AX124" i="16"/>
  <c r="H124" i="16" s="1"/>
  <c r="AX126" i="16"/>
  <c r="F126" i="16" s="1"/>
  <c r="AX128" i="16"/>
  <c r="AX130" i="16"/>
  <c r="F130" i="16" s="1"/>
  <c r="AX132" i="16"/>
  <c r="F132" i="16" s="1"/>
  <c r="AX134" i="16"/>
  <c r="AX136" i="16"/>
  <c r="AX138" i="16"/>
  <c r="AX140" i="16"/>
  <c r="F140" i="16" s="1"/>
  <c r="AX142" i="16"/>
  <c r="F142" i="16" s="1"/>
  <c r="AX144" i="16"/>
  <c r="AX146" i="16"/>
  <c r="AX148" i="16"/>
  <c r="AX150" i="16"/>
  <c r="F150" i="16" s="1"/>
  <c r="AX152" i="16"/>
  <c r="AX154" i="16"/>
  <c r="F154" i="16" s="1"/>
  <c r="AX156" i="16"/>
  <c r="F156" i="16" s="1"/>
  <c r="AX158" i="16"/>
  <c r="F158" i="16" s="1"/>
  <c r="AX160" i="16"/>
  <c r="AX162" i="16"/>
  <c r="F162" i="16" s="1"/>
  <c r="AX164" i="16"/>
  <c r="F164" i="16" s="1"/>
  <c r="AX166" i="16"/>
  <c r="AX168" i="16"/>
  <c r="AX170" i="16"/>
  <c r="AX172" i="16"/>
  <c r="F172" i="16" s="1"/>
  <c r="AX174" i="16"/>
  <c r="AX176" i="16"/>
  <c r="AX178" i="16"/>
  <c r="F178" i="16" s="1"/>
  <c r="AX180" i="16"/>
  <c r="F180" i="16" s="1"/>
  <c r="AX13" i="16"/>
  <c r="H13" i="16" s="1"/>
  <c r="AX15" i="16"/>
  <c r="AX17" i="16"/>
  <c r="H17" i="16" s="1"/>
  <c r="AX19" i="16"/>
  <c r="H19" i="16" s="1"/>
  <c r="AX21" i="16"/>
  <c r="H21" i="16" s="1"/>
  <c r="AX23" i="16"/>
  <c r="AX25" i="16"/>
  <c r="H25" i="16" s="1"/>
  <c r="AX27" i="16"/>
  <c r="AX29" i="16"/>
  <c r="H29" i="16" s="1"/>
  <c r="AX31" i="16"/>
  <c r="AX33" i="16"/>
  <c r="F33" i="16" s="1"/>
  <c r="AX35" i="16"/>
  <c r="F35" i="16" s="1"/>
  <c r="AX37" i="16"/>
  <c r="AX39" i="16"/>
  <c r="AX41" i="16"/>
  <c r="H41" i="16" s="1"/>
  <c r="AX43" i="16"/>
  <c r="AX45" i="16"/>
  <c r="F45" i="16" s="1"/>
  <c r="AX47" i="16"/>
  <c r="AX49" i="16"/>
  <c r="F49" i="16" s="1"/>
  <c r="AX51" i="16"/>
  <c r="F51" i="16" s="1"/>
  <c r="AX53" i="16"/>
  <c r="H53" i="16" s="1"/>
  <c r="AX55" i="16"/>
  <c r="H55" i="16" s="1"/>
  <c r="AX57" i="16"/>
  <c r="AX59" i="16"/>
  <c r="F59" i="16" s="1"/>
  <c r="AX61" i="16"/>
  <c r="AX63" i="16"/>
  <c r="AX65" i="16"/>
  <c r="H65" i="16" s="1"/>
  <c r="AX67" i="16"/>
  <c r="AX69" i="16"/>
  <c r="F69" i="16" s="1"/>
  <c r="AX71" i="16"/>
  <c r="AX73" i="16"/>
  <c r="H73" i="16" s="1"/>
  <c r="AX75" i="16"/>
  <c r="F75" i="16" s="1"/>
  <c r="AX77" i="16"/>
  <c r="H77" i="16" s="1"/>
  <c r="AX79" i="16"/>
  <c r="AX81" i="16"/>
  <c r="H81" i="16" s="1"/>
  <c r="AX83" i="16"/>
  <c r="F83" i="16" s="1"/>
  <c r="AX85" i="16"/>
  <c r="H85" i="16" s="1"/>
  <c r="AX87" i="16"/>
  <c r="AX89" i="16"/>
  <c r="F89" i="16" s="1"/>
  <c r="AX91" i="16"/>
  <c r="H91" i="16" s="1"/>
  <c r="AX93" i="16"/>
  <c r="H93" i="16" s="1"/>
  <c r="AX95" i="16"/>
  <c r="H95" i="16" s="1"/>
  <c r="AX97" i="16"/>
  <c r="H97" i="16" s="1"/>
  <c r="AX99" i="16"/>
  <c r="F99" i="16" s="1"/>
  <c r="AX101" i="16"/>
  <c r="AX103" i="16"/>
  <c r="AX105" i="16"/>
  <c r="F105" i="16" s="1"/>
  <c r="AX107" i="16"/>
  <c r="F107" i="16" s="1"/>
  <c r="AX109" i="16"/>
  <c r="H109" i="16" s="1"/>
  <c r="AX111" i="16"/>
  <c r="AX113" i="16"/>
  <c r="H113" i="16" s="1"/>
  <c r="AX115" i="16"/>
  <c r="F115" i="16" s="1"/>
  <c r="AX117" i="16"/>
  <c r="H117" i="16" s="1"/>
  <c r="AX119" i="16"/>
  <c r="AX121" i="16"/>
  <c r="H121" i="16" s="1"/>
  <c r="AX123" i="16"/>
  <c r="F123" i="16" s="1"/>
  <c r="AX125" i="16"/>
  <c r="H125" i="16" s="1"/>
  <c r="AX127" i="16"/>
  <c r="H127" i="16" s="1"/>
  <c r="I127" i="16" s="1"/>
  <c r="AX129" i="16"/>
  <c r="AX131" i="16"/>
  <c r="F131" i="16" s="1"/>
  <c r="AX133" i="16"/>
  <c r="F133" i="16" s="1"/>
  <c r="AX135" i="16"/>
  <c r="AX137" i="16"/>
  <c r="AX139" i="16"/>
  <c r="F139" i="16" s="1"/>
  <c r="AX141" i="16"/>
  <c r="F141" i="16" s="1"/>
  <c r="AX143" i="16"/>
  <c r="AX145" i="16"/>
  <c r="F145" i="16" s="1"/>
  <c r="AX147" i="16"/>
  <c r="AX149" i="16"/>
  <c r="F149" i="16" s="1"/>
  <c r="AX151" i="16"/>
  <c r="AX153" i="16"/>
  <c r="AX155" i="16"/>
  <c r="F155" i="16" s="1"/>
  <c r="AX157" i="16"/>
  <c r="F157" i="16" s="1"/>
  <c r="AX159" i="16"/>
  <c r="AX161" i="16"/>
  <c r="F161" i="16" s="1"/>
  <c r="AX163" i="16"/>
  <c r="F163" i="16" s="1"/>
  <c r="AX165" i="16"/>
  <c r="F165" i="16" s="1"/>
  <c r="AX167" i="16"/>
  <c r="AX169" i="16"/>
  <c r="AX171" i="16"/>
  <c r="F171" i="16" s="1"/>
  <c r="AX173" i="16"/>
  <c r="F173" i="16" s="1"/>
  <c r="AX175" i="16"/>
  <c r="AX177" i="16"/>
  <c r="F177" i="16" s="1"/>
  <c r="AX179" i="16"/>
  <c r="F179" i="16" s="1"/>
  <c r="AX181" i="16"/>
  <c r="F181" i="16" s="1"/>
  <c r="AX182" i="16"/>
  <c r="AX184" i="16"/>
  <c r="AX186" i="16"/>
  <c r="F186" i="16" s="1"/>
  <c r="AX188" i="16"/>
  <c r="F188" i="16" s="1"/>
  <c r="AX190" i="16"/>
  <c r="AX192" i="16"/>
  <c r="F192" i="16" s="1"/>
  <c r="AX194" i="16"/>
  <c r="AX196" i="16"/>
  <c r="F196" i="16" s="1"/>
  <c r="AX198" i="16"/>
  <c r="AX200" i="16"/>
  <c r="AX202" i="16"/>
  <c r="F202" i="16" s="1"/>
  <c r="AX204" i="16"/>
  <c r="F204" i="16" s="1"/>
  <c r="AX206" i="16"/>
  <c r="AX208" i="16"/>
  <c r="AX210" i="16"/>
  <c r="F210" i="16" s="1"/>
  <c r="AX212" i="16"/>
  <c r="F212" i="16" s="1"/>
  <c r="AX214" i="16"/>
  <c r="AX216" i="16"/>
  <c r="AX218" i="16"/>
  <c r="AX220" i="16"/>
  <c r="F220" i="16" s="1"/>
  <c r="AX222" i="16"/>
  <c r="AX224" i="16"/>
  <c r="F224" i="16" s="1"/>
  <c r="AX226" i="16"/>
  <c r="AX228" i="16"/>
  <c r="AX230" i="16"/>
  <c r="AX232" i="16"/>
  <c r="F232" i="16" s="1"/>
  <c r="AX234" i="16"/>
  <c r="F234" i="16" s="1"/>
  <c r="AX236" i="16"/>
  <c r="F236" i="16" s="1"/>
  <c r="AX238" i="16"/>
  <c r="AX240" i="16"/>
  <c r="F240" i="16" s="1"/>
  <c r="AX242" i="16"/>
  <c r="F242" i="16" s="1"/>
  <c r="AX244" i="16"/>
  <c r="F244" i="16" s="1"/>
  <c r="AX246" i="16"/>
  <c r="AX248" i="16"/>
  <c r="F248" i="16" s="1"/>
  <c r="AX250" i="16"/>
  <c r="AX252" i="16"/>
  <c r="F252" i="16" s="1"/>
  <c r="AX254" i="16"/>
  <c r="AX256" i="16"/>
  <c r="F256" i="16" s="1"/>
  <c r="AX258" i="16"/>
  <c r="F258" i="16" s="1"/>
  <c r="AX260" i="16"/>
  <c r="F260" i="16" s="1"/>
  <c r="AX262" i="16"/>
  <c r="AX264" i="16"/>
  <c r="AX266" i="16"/>
  <c r="F266" i="16" s="1"/>
  <c r="AX268" i="16"/>
  <c r="AX270" i="16"/>
  <c r="AX272" i="16"/>
  <c r="AX274" i="16"/>
  <c r="F274" i="16" s="1"/>
  <c r="AX276" i="16"/>
  <c r="F276" i="16" s="1"/>
  <c r="AX278" i="16"/>
  <c r="AX280" i="16"/>
  <c r="AX282" i="16"/>
  <c r="F282" i="16" s="1"/>
  <c r="AX284" i="16"/>
  <c r="F284" i="16" s="1"/>
  <c r="AX286" i="16"/>
  <c r="AX288" i="16"/>
  <c r="AX290" i="16"/>
  <c r="F290" i="16" s="1"/>
  <c r="AX292" i="16"/>
  <c r="AX294" i="16"/>
  <c r="AX296" i="16"/>
  <c r="F296" i="16" s="1"/>
  <c r="AX298" i="16"/>
  <c r="F298" i="16" s="1"/>
  <c r="AX300" i="16"/>
  <c r="F300" i="16" s="1"/>
  <c r="AX302" i="16"/>
  <c r="H302" i="16" s="1"/>
  <c r="AX304" i="16"/>
  <c r="AX306" i="16"/>
  <c r="F306" i="16" s="1"/>
  <c r="AX308" i="16"/>
  <c r="F308" i="16" s="1"/>
  <c r="AX310" i="16"/>
  <c r="AX312" i="16"/>
  <c r="AX314" i="16"/>
  <c r="AX316" i="16"/>
  <c r="AX318" i="16"/>
  <c r="AX320" i="16"/>
  <c r="AX322" i="16"/>
  <c r="F322" i="16" s="1"/>
  <c r="AX324" i="16"/>
  <c r="F324" i="16" s="1"/>
  <c r="AX326" i="16"/>
  <c r="AX328" i="16"/>
  <c r="F328" i="16" s="1"/>
  <c r="AX330" i="16"/>
  <c r="F330" i="16" s="1"/>
  <c r="AX332" i="16"/>
  <c r="F332" i="16" s="1"/>
  <c r="AX334" i="16"/>
  <c r="AX336" i="16"/>
  <c r="AX338" i="16"/>
  <c r="AX340" i="16"/>
  <c r="F340" i="16" s="1"/>
  <c r="AX342" i="16"/>
  <c r="H342" i="16" s="1"/>
  <c r="AX344" i="16"/>
  <c r="F344" i="16" s="1"/>
  <c r="AX346" i="16"/>
  <c r="F346" i="16" s="1"/>
  <c r="AX348" i="16"/>
  <c r="F348" i="16" s="1"/>
  <c r="AX350" i="16"/>
  <c r="H350" i="16" s="1"/>
  <c r="AX352" i="16"/>
  <c r="AX183" i="16"/>
  <c r="F183" i="16" s="1"/>
  <c r="AX185" i="16"/>
  <c r="F185" i="16" s="1"/>
  <c r="AX187" i="16"/>
  <c r="H187" i="16" s="1"/>
  <c r="AX189" i="16"/>
  <c r="F189" i="16" s="1"/>
  <c r="AX191" i="16"/>
  <c r="H191" i="16" s="1"/>
  <c r="AX193" i="16"/>
  <c r="F193" i="16" s="1"/>
  <c r="AX195" i="16"/>
  <c r="AX197" i="16"/>
  <c r="AX199" i="16"/>
  <c r="AX201" i="16"/>
  <c r="F201" i="16" s="1"/>
  <c r="AX203" i="16"/>
  <c r="H203" i="16" s="1"/>
  <c r="AX205" i="16"/>
  <c r="AX207" i="16"/>
  <c r="H207" i="16" s="1"/>
  <c r="AX209" i="16"/>
  <c r="AX211" i="16"/>
  <c r="AX213" i="16"/>
  <c r="F213" i="16" s="1"/>
  <c r="AX215" i="16"/>
  <c r="F215" i="16" s="1"/>
  <c r="AX217" i="16"/>
  <c r="F217" i="16" s="1"/>
  <c r="AX219" i="16"/>
  <c r="F219" i="16" s="1"/>
  <c r="AX221" i="16"/>
  <c r="AX223" i="16"/>
  <c r="F223" i="16" s="1"/>
  <c r="AX225" i="16"/>
  <c r="F225" i="16" s="1"/>
  <c r="AX227" i="16"/>
  <c r="AX229" i="16"/>
  <c r="AX231" i="16"/>
  <c r="H231" i="16" s="1"/>
  <c r="AX233" i="16"/>
  <c r="AX235" i="16"/>
  <c r="AX237" i="16"/>
  <c r="AX239" i="16"/>
  <c r="F239" i="16" s="1"/>
  <c r="AX241" i="16"/>
  <c r="F241" i="16" s="1"/>
  <c r="AX243" i="16"/>
  <c r="H243" i="16" s="1"/>
  <c r="AX245" i="16"/>
  <c r="F245" i="16" s="1"/>
  <c r="AX247" i="16"/>
  <c r="F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AX271" i="16"/>
  <c r="H271" i="16" s="1"/>
  <c r="AX273" i="16"/>
  <c r="F273" i="16" s="1"/>
  <c r="AX275" i="16"/>
  <c r="H275" i="16" s="1"/>
  <c r="AX277" i="16"/>
  <c r="F277" i="16" s="1"/>
  <c r="AX279" i="16"/>
  <c r="F279" i="16" s="1"/>
  <c r="AX281" i="16"/>
  <c r="AX283" i="16"/>
  <c r="H283" i="16" s="1"/>
  <c r="AX285" i="16"/>
  <c r="F285" i="16" s="1"/>
  <c r="AX287" i="16"/>
  <c r="H287" i="16" s="1"/>
  <c r="AX289" i="16"/>
  <c r="F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F313" i="16" s="1"/>
  <c r="AX315" i="16"/>
  <c r="H315" i="16" s="1"/>
  <c r="AX317" i="16"/>
  <c r="H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5" i="16"/>
  <c r="H188" i="16"/>
  <c r="H192" i="16"/>
  <c r="H197" i="16"/>
  <c r="H204" i="16"/>
  <c r="H208" i="16"/>
  <c r="H210" i="16"/>
  <c r="H213" i="16"/>
  <c r="H221" i="16"/>
  <c r="H224" i="16"/>
  <c r="H226" i="16"/>
  <c r="H232" i="16"/>
  <c r="H236" i="16"/>
  <c r="H238" i="16"/>
  <c r="H240" i="16"/>
  <c r="H242" i="16"/>
  <c r="H244" i="16"/>
  <c r="H246" i="16"/>
  <c r="H249" i="16"/>
  <c r="H254" i="16"/>
  <c r="H258" i="16"/>
  <c r="H260" i="16"/>
  <c r="H266" i="16"/>
  <c r="H270" i="16"/>
  <c r="H272" i="16"/>
  <c r="H274" i="16"/>
  <c r="H276" i="16"/>
  <c r="H278" i="16"/>
  <c r="H285" i="16"/>
  <c r="H289" i="16"/>
  <c r="H297" i="16"/>
  <c r="H305" i="16"/>
  <c r="H313" i="16"/>
  <c r="H330" i="16"/>
  <c r="H332" i="16"/>
  <c r="H334" i="16"/>
  <c r="H336" i="16"/>
  <c r="H340"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89" i="16"/>
  <c r="H193" i="16"/>
  <c r="H196" i="16"/>
  <c r="H198" i="16"/>
  <c r="H200" i="16"/>
  <c r="H205" i="16"/>
  <c r="H214" i="16"/>
  <c r="H216" i="16"/>
  <c r="H222" i="16"/>
  <c r="H237" i="16"/>
  <c r="H247" i="16"/>
  <c r="H248" i="16"/>
  <c r="H255" i="16"/>
  <c r="H257" i="16"/>
  <c r="H265" i="16"/>
  <c r="H269" i="16"/>
  <c r="H273" i="16"/>
  <c r="H277" i="16"/>
  <c r="H284" i="16"/>
  <c r="H290" i="16"/>
  <c r="H294" i="16"/>
  <c r="H300" i="16"/>
  <c r="H306" i="16"/>
  <c r="H308" i="16"/>
  <c r="H310" i="16"/>
  <c r="H312" i="16"/>
  <c r="H322" i="16"/>
  <c r="H324" i="16"/>
  <c r="H335"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88" i="16"/>
  <c r="F96" i="16"/>
  <c r="F200" i="16"/>
  <c r="F208" i="16"/>
  <c r="F238" i="16"/>
  <c r="F254" i="16"/>
  <c r="F278" i="16"/>
  <c r="F310" i="16"/>
  <c r="F15" i="16"/>
  <c r="F47" i="16"/>
  <c r="F65" i="16"/>
  <c r="F71" i="16"/>
  <c r="F103" i="16"/>
  <c r="F111" i="16"/>
  <c r="F151" i="16"/>
  <c r="F203" i="16"/>
  <c r="F269" i="16"/>
  <c r="F334" i="16"/>
  <c r="F64" i="16"/>
  <c r="F76" i="16"/>
  <c r="F104" i="16"/>
  <c r="F120" i="16"/>
  <c r="F138" i="16"/>
  <c r="F146" i="16"/>
  <c r="F216" i="16"/>
  <c r="F272" i="16"/>
  <c r="F294" i="16"/>
  <c r="F302" i="16"/>
  <c r="F17" i="16"/>
  <c r="F57" i="16"/>
  <c r="F63" i="16"/>
  <c r="F79" i="16"/>
  <c r="F101" i="16"/>
  <c r="F129" i="16"/>
  <c r="F187" i="16"/>
  <c r="F197" i="16"/>
  <c r="F205" i="16"/>
  <c r="F312" i="16"/>
  <c r="F336" i="16"/>
  <c r="F350" i="16"/>
  <c r="F339" i="16"/>
  <c r="D50" i="8"/>
  <c r="G3" i="16"/>
  <c r="J9" i="8" s="1"/>
  <c r="I3" i="16"/>
  <c r="P8" i="16"/>
  <c r="AF11" i="16"/>
  <c r="F3" i="16"/>
  <c r="H3" i="16"/>
  <c r="J11" i="8" s="1"/>
  <c r="F352" i="16"/>
  <c r="F326" i="16"/>
  <c r="F355" i="16"/>
  <c r="F320" i="16"/>
  <c r="F304" i="16"/>
  <c r="F288" i="16"/>
  <c r="F286" i="16"/>
  <c r="F270" i="16"/>
  <c r="F264" i="16"/>
  <c r="F246" i="16"/>
  <c r="F226" i="16"/>
  <c r="F222" i="16"/>
  <c r="F214" i="16"/>
  <c r="F237" i="16"/>
  <c r="F221" i="16"/>
  <c r="F198" i="16"/>
  <c r="F190" i="16"/>
  <c r="F184" i="16"/>
  <c r="F176" i="16"/>
  <c r="F170" i="16"/>
  <c r="F168" i="16"/>
  <c r="F160" i="16"/>
  <c r="F152" i="16"/>
  <c r="F136" i="16"/>
  <c r="F128" i="16"/>
  <c r="F199" i="16"/>
  <c r="F175" i="16"/>
  <c r="F169" i="16"/>
  <c r="F167" i="16"/>
  <c r="F153" i="16"/>
  <c r="F147" i="16"/>
  <c r="F143" i="16"/>
  <c r="F137" i="16"/>
  <c r="F135" i="16"/>
  <c r="F127" i="16"/>
  <c r="F16" i="16"/>
  <c r="F23" i="16"/>
  <c r="F24" i="16"/>
  <c r="F34" i="16"/>
  <c r="F18" i="16"/>
  <c r="F39" i="16"/>
  <c r="F40" i="16"/>
  <c r="F48" i="16"/>
  <c r="F50" i="16"/>
  <c r="F55" i="16"/>
  <c r="F56" i="16"/>
  <c r="F72" i="16"/>
  <c r="F95" i="16"/>
  <c r="F112" i="16"/>
  <c r="F119" i="16"/>
  <c r="F19" i="16" l="1"/>
  <c r="F125" i="16"/>
  <c r="F283" i="16"/>
  <c r="F91" i="16"/>
  <c r="F113" i="16"/>
  <c r="F98" i="16"/>
  <c r="F73" i="16"/>
  <c r="F41" i="16"/>
  <c r="F20" i="16"/>
  <c r="F295" i="16"/>
  <c r="F108" i="16"/>
  <c r="F81" i="16"/>
  <c r="F28" i="16"/>
  <c r="F271" i="16"/>
  <c r="F53" i="16"/>
  <c r="F93" i="16"/>
  <c r="F46" i="16"/>
  <c r="F102" i="16"/>
  <c r="F85" i="16"/>
  <c r="F52" i="16"/>
  <c r="F38" i="16"/>
  <c r="F22" i="16"/>
  <c r="F124" i="16"/>
  <c r="F207" i="16"/>
  <c r="F117" i="16"/>
  <c r="F84" i="16"/>
  <c r="F29" i="16"/>
  <c r="F21" i="16"/>
  <c r="F109" i="16"/>
  <c r="F62" i="16"/>
  <c r="H353" i="16"/>
  <c r="H361" i="16"/>
  <c r="H11" i="16"/>
  <c r="F317" i="16"/>
  <c r="F341" i="16"/>
  <c r="F33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AG21" i="16" s="1"/>
  <c r="H233" i="16"/>
  <c r="F233" i="16"/>
  <c r="H261" i="16"/>
  <c r="F261" i="16"/>
  <c r="AG23" i="16" s="1"/>
  <c r="H281" i="16"/>
  <c r="F281" i="16"/>
  <c r="F293" i="16"/>
  <c r="H293" i="16"/>
  <c r="F309" i="16"/>
  <c r="H309" i="16"/>
  <c r="H292" i="16"/>
  <c r="F292" i="16"/>
  <c r="H316" i="16"/>
  <c r="F316" i="16"/>
  <c r="H351" i="16"/>
  <c r="F351" i="16"/>
  <c r="H363" i="16"/>
  <c r="F363" i="16"/>
  <c r="AG14" i="16" l="1"/>
  <c r="AG19" i="16"/>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AR13" i="16" s="1"/>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V25" i="16" s="1"/>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AR45" i="16" s="1"/>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R59" i="16" s="1"/>
  <c r="AJ59" i="16"/>
  <c r="S60" i="16"/>
  <c r="AP60" i="16"/>
  <c r="AA60" i="16"/>
  <c r="X60" i="16"/>
  <c r="M60" i="16"/>
  <c r="N60" i="16" s="1"/>
  <c r="AI60" i="16"/>
  <c r="T60" i="16"/>
  <c r="L61" i="16"/>
  <c r="Y60" i="16" l="1"/>
  <c r="U60" i="16"/>
  <c r="AQ60" i="16"/>
  <c r="AJ60" i="16"/>
  <c r="AB60" i="16"/>
  <c r="AA61" i="16"/>
  <c r="AI61" i="16"/>
  <c r="T61" i="16"/>
  <c r="S61" i="16"/>
  <c r="AP61" i="16"/>
  <c r="X61" i="16"/>
  <c r="Y61" i="16" s="1"/>
  <c r="Z61" i="16" s="1"/>
  <c r="M61" i="16"/>
  <c r="N61" i="16" s="1"/>
  <c r="L62" i="16"/>
  <c r="AQ61" i="16" l="1"/>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AR62" i="16" l="1"/>
  <c r="Y63" i="16"/>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Z72" i="16" s="1"/>
  <c r="M72" i="16"/>
  <c r="N72" i="16" s="1"/>
  <c r="AI72" i="16"/>
  <c r="T72" i="16"/>
  <c r="S72" i="16"/>
  <c r="AP72" i="16"/>
  <c r="AA72" i="16"/>
  <c r="AJ72" i="16" l="1"/>
  <c r="AB72" i="16"/>
  <c r="U72" i="16"/>
  <c r="AQ72" i="16"/>
  <c r="L74" i="16"/>
  <c r="AP73" i="16"/>
  <c r="AA73" i="16"/>
  <c r="S73" i="16"/>
  <c r="AI73" i="16"/>
  <c r="T73" i="16"/>
  <c r="X73" i="16"/>
  <c r="Y73" i="16" s="1"/>
  <c r="Z73" i="16" s="1"/>
  <c r="M73" i="16"/>
  <c r="N73" i="16" s="1"/>
  <c r="AJ73" i="16" l="1"/>
  <c r="AQ73" i="16"/>
  <c r="AB73" i="16"/>
  <c r="U73" i="16"/>
  <c r="X74" i="16"/>
  <c r="M74" i="16"/>
  <c r="N74" i="16" s="1"/>
  <c r="AI74" i="16"/>
  <c r="T74" i="16"/>
  <c r="AP74" i="16"/>
  <c r="AA74" i="16"/>
  <c r="S74" i="16"/>
  <c r="L75" i="16"/>
  <c r="Y74" i="16" l="1"/>
  <c r="AJ74" i="16"/>
  <c r="AB74" i="16"/>
  <c r="U74" i="16"/>
  <c r="AQ74" i="16"/>
  <c r="AR74" i="16" s="1"/>
  <c r="L76" i="16"/>
  <c r="AP75" i="16"/>
  <c r="AA75" i="16"/>
  <c r="S75" i="16"/>
  <c r="AI75" i="16"/>
  <c r="T75" i="16"/>
  <c r="X75" i="16"/>
  <c r="M75" i="16"/>
  <c r="N75" i="16" s="1"/>
  <c r="Y75" i="16" l="1"/>
  <c r="AJ75" i="16"/>
  <c r="AB75" i="16"/>
  <c r="U75" i="16"/>
  <c r="AQ75" i="16"/>
  <c r="X76" i="16"/>
  <c r="Y76" i="16" s="1"/>
  <c r="Z76" i="16" s="1"/>
  <c r="M76" i="16"/>
  <c r="N76" i="16" s="1"/>
  <c r="AI76" i="16"/>
  <c r="T76" i="16"/>
  <c r="S76" i="16"/>
  <c r="AP76" i="16"/>
  <c r="AA76" i="16"/>
  <c r="L77" i="16"/>
  <c r="AQ76" i="16" l="1"/>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Y80" i="16" s="1"/>
  <c r="Z80" i="16" s="1"/>
  <c r="M80" i="16"/>
  <c r="N80" i="16" s="1"/>
  <c r="AI80" i="16"/>
  <c r="AJ80" i="16" s="1"/>
  <c r="T80" i="16"/>
  <c r="S80" i="16"/>
  <c r="AP80" i="16"/>
  <c r="AA80" i="16"/>
  <c r="L81" i="16"/>
  <c r="U80" i="16" l="1"/>
  <c r="AK80" i="16"/>
  <c r="AQ80" i="16"/>
  <c r="AB80" i="16"/>
  <c r="AP81" i="16"/>
  <c r="AA81" i="16"/>
  <c r="S81" i="16"/>
  <c r="T81" i="16"/>
  <c r="X81" i="16"/>
  <c r="M81" i="16"/>
  <c r="N81" i="16" s="1"/>
  <c r="AI81" i="16"/>
  <c r="L82" i="16"/>
  <c r="AC80" i="16" l="1"/>
  <c r="Y81" i="16"/>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R85" i="16"/>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AR87" i="16" l="1"/>
  <c r="Y88" i="16"/>
  <c r="AJ88" i="16"/>
  <c r="AQ88" i="16"/>
  <c r="U88" i="16"/>
  <c r="AB88" i="16"/>
  <c r="AP89" i="16"/>
  <c r="AA89" i="16"/>
  <c r="S89" i="16"/>
  <c r="AI89" i="16"/>
  <c r="T89" i="16"/>
  <c r="M89" i="16"/>
  <c r="N89" i="16" s="1"/>
  <c r="X89" i="16"/>
  <c r="Y89" i="16" s="1"/>
  <c r="Z89" i="16" s="1"/>
  <c r="L90" i="16"/>
  <c r="AJ89" i="16" l="1"/>
  <c r="AB89" i="16"/>
  <c r="AQ89" i="16"/>
  <c r="U89" i="16"/>
  <c r="X90" i="16"/>
  <c r="M90" i="16"/>
  <c r="N90" i="16" s="1"/>
  <c r="AI90" i="16"/>
  <c r="T90" i="16"/>
  <c r="S90" i="16"/>
  <c r="AP90" i="16"/>
  <c r="AA90" i="16"/>
  <c r="L91" i="16"/>
  <c r="U90" i="16" l="1"/>
  <c r="Y90" i="16"/>
  <c r="AQ90" i="16"/>
  <c r="AR90" i="16" s="1"/>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Y94" i="16" s="1"/>
  <c r="Z94" i="16" s="1"/>
  <c r="M94" i="16"/>
  <c r="N94" i="16" s="1"/>
  <c r="AI94" i="16"/>
  <c r="AJ94" i="16" s="1"/>
  <c r="AK94" i="16" s="1"/>
  <c r="T94" i="16"/>
  <c r="U94" i="16" s="1"/>
  <c r="V94" i="16" s="1"/>
  <c r="S94" i="16"/>
  <c r="AP94" i="16"/>
  <c r="AA94" i="16"/>
  <c r="L95" i="16"/>
  <c r="AB94" i="16" l="1"/>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R97" i="16" s="1"/>
  <c r="AB97" i="16"/>
  <c r="U97" i="16"/>
  <c r="X98" i="16"/>
  <c r="M98" i="16"/>
  <c r="N98" i="16" s="1"/>
  <c r="AI98" i="16"/>
  <c r="AJ98" i="16" s="1"/>
  <c r="AK98" i="16" s="1"/>
  <c r="T98" i="16"/>
  <c r="S98" i="16"/>
  <c r="AP98" i="16"/>
  <c r="AA98" i="16"/>
  <c r="L99" i="16"/>
  <c r="Y98" i="16" l="1"/>
  <c r="U98" i="16"/>
  <c r="AB98" i="16"/>
  <c r="AQ98" i="16"/>
  <c r="AR98" i="16" s="1"/>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AR101" i="16" s="1"/>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R103" i="16" s="1"/>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AR105" i="16" l="1"/>
  <c r="Y106" i="16"/>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AC108" i="16" s="1"/>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R113"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AR118" i="16" s="1"/>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R123" i="16" s="1"/>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V128" i="16" s="1"/>
  <c r="X129" i="16"/>
  <c r="M129" i="16"/>
  <c r="N129" i="16" s="1"/>
  <c r="AI129" i="16"/>
  <c r="T129" i="16"/>
  <c r="S129" i="16"/>
  <c r="AP129" i="16"/>
  <c r="AA129" i="16"/>
  <c r="L130" i="16"/>
  <c r="Y129" i="16" l="1"/>
  <c r="AJ129" i="16"/>
  <c r="AQ129" i="16"/>
  <c r="AR129" i="16" s="1"/>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AR134" i="16" l="1"/>
  <c r="Y135" i="16"/>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R137" i="16" s="1"/>
  <c r="AB137" i="16"/>
  <c r="U137" i="16"/>
  <c r="AP138" i="16"/>
  <c r="AA138" i="16"/>
  <c r="S138" i="16"/>
  <c r="AI138" i="16"/>
  <c r="T138" i="16"/>
  <c r="X138" i="16"/>
  <c r="M138" i="16"/>
  <c r="N138" i="16" s="1"/>
  <c r="L139" i="16"/>
  <c r="Y138" i="16" l="1"/>
  <c r="AJ138" i="16"/>
  <c r="AQ138" i="16"/>
  <c r="AR138" i="16" s="1"/>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R141" i="16"/>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Y146" i="16" s="1"/>
  <c r="Z146" i="16" s="1"/>
  <c r="M146" i="16"/>
  <c r="N146" i="16" s="1"/>
  <c r="L147" i="16"/>
  <c r="AJ146" i="16" l="1"/>
  <c r="AB146" i="16"/>
  <c r="AQ146" i="16"/>
  <c r="U146" i="16"/>
  <c r="X147" i="16"/>
  <c r="M147" i="16"/>
  <c r="N147" i="16" s="1"/>
  <c r="AI147" i="16"/>
  <c r="T147" i="16"/>
  <c r="S147" i="16"/>
  <c r="AP147" i="16"/>
  <c r="AA147" i="16"/>
  <c r="L148" i="16"/>
  <c r="Y147" i="16" l="1"/>
  <c r="V146" i="16"/>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U149" i="16" l="1"/>
  <c r="Y149" i="16"/>
  <c r="AJ149" i="16"/>
  <c r="AQ149" i="16"/>
  <c r="AB149" i="16"/>
  <c r="AP150" i="16"/>
  <c r="AA150" i="16"/>
  <c r="S150" i="16"/>
  <c r="AI150" i="16"/>
  <c r="T150" i="16"/>
  <c r="X150" i="16"/>
  <c r="Y150" i="16" s="1"/>
  <c r="M150" i="16"/>
  <c r="N150" i="16" s="1"/>
  <c r="L151" i="16"/>
  <c r="Z150" i="16" l="1"/>
  <c r="AJ150" i="16"/>
  <c r="AQ150" i="16"/>
  <c r="AB150" i="16"/>
  <c r="U150" i="16"/>
  <c r="X151" i="16"/>
  <c r="M151" i="16"/>
  <c r="N151" i="16" s="1"/>
  <c r="AI151" i="16"/>
  <c r="T151" i="16"/>
  <c r="S151" i="16"/>
  <c r="AP151" i="16"/>
  <c r="AA151" i="16"/>
  <c r="L152" i="16"/>
  <c r="AR150" i="16" l="1"/>
  <c r="Y151" i="16"/>
  <c r="AJ151" i="16"/>
  <c r="AQ151" i="16"/>
  <c r="U151" i="16"/>
  <c r="AB151" i="16"/>
  <c r="AP152" i="16"/>
  <c r="AA152" i="16"/>
  <c r="S152" i="16"/>
  <c r="AI152" i="16"/>
  <c r="AJ152" i="16" s="1"/>
  <c r="AK152" i="16" s="1"/>
  <c r="T152" i="16"/>
  <c r="X152" i="16"/>
  <c r="Y152" i="16" s="1"/>
  <c r="Z152" i="16" s="1"/>
  <c r="M152" i="16"/>
  <c r="N152" i="16" s="1"/>
  <c r="L153" i="16"/>
  <c r="U152" i="16" l="1"/>
  <c r="AB152" i="16"/>
  <c r="AC152" i="16" s="1"/>
  <c r="AQ152" i="16"/>
  <c r="X153" i="16"/>
  <c r="M153" i="16"/>
  <c r="N153" i="16" s="1"/>
  <c r="AI153" i="16"/>
  <c r="T153" i="16"/>
  <c r="S153" i="16"/>
  <c r="AP153" i="16"/>
  <c r="AA153" i="16"/>
  <c r="L154" i="16"/>
  <c r="U153" i="16" l="1"/>
  <c r="Y153" i="16"/>
  <c r="V152" i="16"/>
  <c r="AJ153" i="16"/>
  <c r="AQ153" i="16"/>
  <c r="AB153" i="16"/>
  <c r="AP154" i="16"/>
  <c r="AA154" i="16"/>
  <c r="S154" i="16"/>
  <c r="AI154" i="16"/>
  <c r="T154" i="16"/>
  <c r="X154" i="16"/>
  <c r="Y154" i="16" s="1"/>
  <c r="Z154" i="16" s="1"/>
  <c r="M154" i="16"/>
  <c r="N154" i="16" s="1"/>
  <c r="L155" i="16"/>
  <c r="AJ154" i="16" l="1"/>
  <c r="AB154" i="16"/>
  <c r="AQ154" i="16"/>
  <c r="U154" i="16"/>
  <c r="X155" i="16"/>
  <c r="M155" i="16"/>
  <c r="N155" i="16" s="1"/>
  <c r="AI155" i="16"/>
  <c r="T155" i="16"/>
  <c r="S155" i="16"/>
  <c r="AP155" i="16"/>
  <c r="AA155" i="16"/>
  <c r="L156" i="16"/>
  <c r="Y155" i="16" l="1"/>
  <c r="V154" i="16"/>
  <c r="AQ155" i="16"/>
  <c r="AR155" i="16" s="1"/>
  <c r="AB155" i="16"/>
  <c r="AJ155" i="16"/>
  <c r="U155" i="16"/>
  <c r="AP156" i="16"/>
  <c r="AA156" i="16"/>
  <c r="S156" i="16"/>
  <c r="AI156" i="16"/>
  <c r="T156" i="16"/>
  <c r="X156" i="16"/>
  <c r="M156" i="16"/>
  <c r="N156" i="16" s="1"/>
  <c r="L157" i="16"/>
  <c r="Y156" i="16" l="1"/>
  <c r="AC155" i="16"/>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U165" i="16" l="1"/>
  <c r="AJ165" i="16"/>
  <c r="AR164" i="16"/>
  <c r="Y165" i="16"/>
  <c r="AQ165" i="16"/>
  <c r="AB165" i="16"/>
  <c r="L167" i="16"/>
  <c r="AP166" i="16"/>
  <c r="AA166" i="16"/>
  <c r="S166" i="16"/>
  <c r="AI166" i="16"/>
  <c r="T166" i="16"/>
  <c r="X166" i="16"/>
  <c r="M166" i="16"/>
  <c r="N166" i="16" s="1"/>
  <c r="Y166" i="16" l="1"/>
  <c r="AJ166" i="16"/>
  <c r="U166" i="16"/>
  <c r="AB166" i="16"/>
  <c r="AQ166" i="16"/>
  <c r="AR166" i="16" s="1"/>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AR168" i="16" s="1"/>
  <c r="L170" i="16"/>
  <c r="S169" i="16"/>
  <c r="AP169" i="16"/>
  <c r="AA169" i="16"/>
  <c r="X169" i="16"/>
  <c r="M169" i="16"/>
  <c r="N169" i="16" s="1"/>
  <c r="AI169" i="16"/>
  <c r="T169" i="16"/>
  <c r="Y169" i="16" l="1"/>
  <c r="AJ169" i="16"/>
  <c r="U169" i="16"/>
  <c r="AQ169" i="16"/>
  <c r="AB169" i="16"/>
  <c r="L171" i="16"/>
  <c r="AP170" i="16"/>
  <c r="AA170" i="16"/>
  <c r="S170" i="16"/>
  <c r="AI170" i="16"/>
  <c r="T170" i="16"/>
  <c r="X170" i="16"/>
  <c r="Y170" i="16" s="1"/>
  <c r="Z170" i="16" s="1"/>
  <c r="M170" i="16"/>
  <c r="N170" i="16" s="1"/>
  <c r="AJ170" i="16" l="1"/>
  <c r="AQ170" i="16"/>
  <c r="AR170" i="16" s="1"/>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Z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AR174" i="16" l="1"/>
  <c r="Y175" i="16"/>
  <c r="AJ175" i="16"/>
  <c r="AQ175" i="16"/>
  <c r="AR175" i="16" s="1"/>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Z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Y181" i="16" s="1"/>
  <c r="Z181" i="16" s="1"/>
  <c r="M181" i="16"/>
  <c r="N181" i="16" s="1"/>
  <c r="AI181" i="16"/>
  <c r="T181" i="16"/>
  <c r="S181" i="16"/>
  <c r="AP181" i="16"/>
  <c r="AA181" i="16"/>
  <c r="L182" i="16"/>
  <c r="U181" i="16" l="1"/>
  <c r="AJ181" i="16"/>
  <c r="AB181" i="16"/>
  <c r="AQ181" i="16"/>
  <c r="AP182" i="16"/>
  <c r="AA182" i="16"/>
  <c r="S182" i="16"/>
  <c r="AI182" i="16"/>
  <c r="T182" i="16"/>
  <c r="X182" i="16"/>
  <c r="M182" i="16"/>
  <c r="N182" i="16" s="1"/>
  <c r="L183" i="16"/>
  <c r="Y182" i="16" l="1"/>
  <c r="AJ182" i="16"/>
  <c r="U182" i="16"/>
  <c r="AQ182" i="16"/>
  <c r="AB182" i="16"/>
  <c r="X183" i="16"/>
  <c r="M183" i="16"/>
  <c r="N183" i="16" s="1"/>
  <c r="AI183" i="16"/>
  <c r="AJ183" i="16" s="1"/>
  <c r="T183" i="16"/>
  <c r="S183" i="16"/>
  <c r="AP183" i="16"/>
  <c r="AA183" i="16"/>
  <c r="L184" i="16"/>
  <c r="Y183" i="16" l="1"/>
  <c r="AK183" i="16"/>
  <c r="AQ183" i="16"/>
  <c r="U183" i="16"/>
  <c r="AB183" i="16"/>
  <c r="AP184" i="16"/>
  <c r="AA184" i="16"/>
  <c r="S184" i="16"/>
  <c r="AI184" i="16"/>
  <c r="T184" i="16"/>
  <c r="X184" i="16"/>
  <c r="M184" i="16"/>
  <c r="N184" i="16" s="1"/>
  <c r="L185" i="16"/>
  <c r="Y184" i="16" l="1"/>
  <c r="AR183" i="16"/>
  <c r="AJ184" i="16"/>
  <c r="AB184" i="16"/>
  <c r="AQ184" i="16"/>
  <c r="AR184" i="16" s="1"/>
  <c r="U184" i="16"/>
  <c r="X185" i="16"/>
  <c r="Y185" i="16" s="1"/>
  <c r="Z185" i="16" s="1"/>
  <c r="M185" i="16"/>
  <c r="N185" i="16" s="1"/>
  <c r="AI185" i="16"/>
  <c r="T185" i="16"/>
  <c r="S185" i="16"/>
  <c r="AP185" i="16"/>
  <c r="AA185" i="16"/>
  <c r="L186" i="16"/>
  <c r="AJ185" i="16" l="1"/>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R186" i="16"/>
  <c r="AQ187" i="16"/>
  <c r="AJ187" i="16"/>
  <c r="AB187" i="16"/>
  <c r="AP188" i="16"/>
  <c r="AA188" i="16"/>
  <c r="S188" i="16"/>
  <c r="AI188" i="16"/>
  <c r="T188" i="16"/>
  <c r="X188" i="16"/>
  <c r="M188" i="16"/>
  <c r="N188" i="16" s="1"/>
  <c r="L189" i="16"/>
  <c r="Y188" i="16" l="1"/>
  <c r="AR187" i="16"/>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Y193" i="16" s="1"/>
  <c r="Z193" i="16" s="1"/>
  <c r="M193" i="16"/>
  <c r="N193" i="16" s="1"/>
  <c r="AI193" i="16"/>
  <c r="T193" i="16"/>
  <c r="S193" i="16"/>
  <c r="AP193" i="16"/>
  <c r="AA193" i="16"/>
  <c r="L194" i="16"/>
  <c r="AJ193" i="16" l="1"/>
  <c r="AQ193" i="16"/>
  <c r="U193" i="16"/>
  <c r="V193" i="16" s="1"/>
  <c r="AB193" i="16"/>
  <c r="AP194" i="16"/>
  <c r="AA194" i="16"/>
  <c r="S194" i="16"/>
  <c r="AI194" i="16"/>
  <c r="T194" i="16"/>
  <c r="X194" i="16"/>
  <c r="M194" i="16"/>
  <c r="N194" i="16" s="1"/>
  <c r="L195" i="16"/>
  <c r="Y194" i="16" l="1"/>
  <c r="AJ194" i="16"/>
  <c r="AQ194" i="16"/>
  <c r="AR194" i="16" s="1"/>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Y196" i="16" s="1"/>
  <c r="Z196" i="16" s="1"/>
  <c r="M196" i="16"/>
  <c r="N196" i="16" s="1"/>
  <c r="L197" i="16"/>
  <c r="AJ196" i="16" l="1"/>
  <c r="AQ196" i="16"/>
  <c r="AB196" i="16"/>
  <c r="U196" i="16"/>
  <c r="X197" i="16"/>
  <c r="M197" i="16"/>
  <c r="N197" i="16" s="1"/>
  <c r="AI197" i="16"/>
  <c r="AJ197" i="16" s="1"/>
  <c r="AK197" i="16" s="1"/>
  <c r="T197" i="16"/>
  <c r="S197" i="16"/>
  <c r="AP197" i="16"/>
  <c r="AA197" i="16"/>
  <c r="L198" i="16"/>
  <c r="AR196" i="16" l="1"/>
  <c r="Y197" i="16"/>
  <c r="AC196" i="16"/>
  <c r="V196" i="16"/>
  <c r="AQ197" i="16"/>
  <c r="U197" i="16"/>
  <c r="AB197" i="16"/>
  <c r="AP198" i="16"/>
  <c r="AA198" i="16"/>
  <c r="S198" i="16"/>
  <c r="AI198" i="16"/>
  <c r="T198" i="16"/>
  <c r="X198" i="16"/>
  <c r="Y198" i="16" s="1"/>
  <c r="Z198" i="16" s="1"/>
  <c r="M198" i="16"/>
  <c r="N198" i="16" s="1"/>
  <c r="L199" i="16"/>
  <c r="AC197" i="16" l="1"/>
  <c r="AJ198" i="16"/>
  <c r="U198" i="16"/>
  <c r="V198" i="16" s="1"/>
  <c r="AB198" i="16"/>
  <c r="AQ198" i="16"/>
  <c r="X199" i="16"/>
  <c r="M199" i="16"/>
  <c r="N199" i="16" s="1"/>
  <c r="AI199" i="16"/>
  <c r="T199" i="16"/>
  <c r="U199" i="16" s="1"/>
  <c r="S199" i="16"/>
  <c r="AP199" i="16"/>
  <c r="AA199" i="16"/>
  <c r="L200" i="16"/>
  <c r="Y199" i="16" l="1"/>
  <c r="AB199" i="16"/>
  <c r="AJ199" i="16"/>
  <c r="AQ199" i="16"/>
  <c r="AP200" i="16"/>
  <c r="AA200" i="16"/>
  <c r="S200" i="16"/>
  <c r="AI200" i="16"/>
  <c r="T200" i="16"/>
  <c r="X200" i="16"/>
  <c r="M200" i="16"/>
  <c r="N200" i="16" s="1"/>
  <c r="L201" i="16"/>
  <c r="Y200" i="16" l="1"/>
  <c r="AJ200" i="16"/>
  <c r="AB200" i="16"/>
  <c r="U200" i="16"/>
  <c r="AQ200" i="16"/>
  <c r="AR200" i="16" s="1"/>
  <c r="X201" i="16"/>
  <c r="Y201" i="16" s="1"/>
  <c r="M201" i="16"/>
  <c r="N201" i="16" s="1"/>
  <c r="AI201" i="16"/>
  <c r="T201" i="16"/>
  <c r="U201" i="16" s="1"/>
  <c r="V201" i="16" s="1"/>
  <c r="S201" i="16"/>
  <c r="AP201" i="16"/>
  <c r="AA201" i="16"/>
  <c r="L202" i="16"/>
  <c r="Z201" i="16" l="1"/>
  <c r="AQ201" i="16"/>
  <c r="AR201" i="16" s="1"/>
  <c r="AJ201" i="16"/>
  <c r="AB201" i="16"/>
  <c r="AP202" i="16"/>
  <c r="AQ202" i="16" s="1"/>
  <c r="AR202" i="16" s="1"/>
  <c r="AA202" i="16"/>
  <c r="AB202" i="16" s="1"/>
  <c r="AC202" i="16" s="1"/>
  <c r="S202" i="16"/>
  <c r="AI202" i="16"/>
  <c r="AJ202" i="16" s="1"/>
  <c r="T202" i="16"/>
  <c r="X202" i="16"/>
  <c r="Y202" i="16" s="1"/>
  <c r="Z202" i="16" s="1"/>
  <c r="M202" i="16"/>
  <c r="N202" i="16" s="1"/>
  <c r="L203" i="16"/>
  <c r="AK202" i="16" l="1"/>
  <c r="U202" i="16"/>
  <c r="X203" i="16"/>
  <c r="AP203" i="16"/>
  <c r="M203" i="16"/>
  <c r="N203" i="16" s="1"/>
  <c r="AA203" i="16"/>
  <c r="S203" i="16"/>
  <c r="T203" i="16"/>
  <c r="AI203" i="16"/>
  <c r="AJ203" i="16" s="1"/>
  <c r="AK203" i="16" s="1"/>
  <c r="L204" i="16"/>
  <c r="AB203" i="16" l="1"/>
  <c r="Y203" i="16"/>
  <c r="U203" i="16"/>
  <c r="AQ203" i="16"/>
  <c r="AR203" i="16" s="1"/>
  <c r="AP204" i="16"/>
  <c r="AA204" i="16"/>
  <c r="S204" i="16"/>
  <c r="AI204" i="16"/>
  <c r="AJ204" i="16" s="1"/>
  <c r="T204" i="16"/>
  <c r="X204" i="16"/>
  <c r="Y204" i="16" s="1"/>
  <c r="M204" i="16"/>
  <c r="N204" i="16" s="1"/>
  <c r="L205" i="16"/>
  <c r="U204" i="16" l="1"/>
  <c r="AK204" i="16"/>
  <c r="AB204" i="16"/>
  <c r="AQ204" i="16"/>
  <c r="X205" i="16"/>
  <c r="Y205" i="16" s="1"/>
  <c r="Z205" i="16" s="1"/>
  <c r="M205" i="16"/>
  <c r="N205" i="16" s="1"/>
  <c r="AI205" i="16"/>
  <c r="AJ205" i="16" s="1"/>
  <c r="AK205" i="16" s="1"/>
  <c r="T205" i="16"/>
  <c r="S205" i="16"/>
  <c r="AP205" i="16"/>
  <c r="AQ205" i="16" s="1"/>
  <c r="AR205" i="16" s="1"/>
  <c r="AA205" i="16"/>
  <c r="L206" i="16"/>
  <c r="U205" i="16" l="1"/>
  <c r="AB205" i="16"/>
  <c r="AR204" i="16"/>
  <c r="AP206" i="16"/>
  <c r="AQ206" i="16" s="1"/>
  <c r="AR206" i="16" s="1"/>
  <c r="AA206" i="16"/>
  <c r="S206" i="16"/>
  <c r="AI206" i="16"/>
  <c r="AJ206" i="16" s="1"/>
  <c r="AK206" i="16" s="1"/>
  <c r="T206" i="16"/>
  <c r="U206" i="16" s="1"/>
  <c r="V206" i="16" s="1"/>
  <c r="X206" i="16"/>
  <c r="Y206" i="16" s="1"/>
  <c r="Z206" i="16" s="1"/>
  <c r="M206" i="16"/>
  <c r="N206" i="16" s="1"/>
  <c r="L207" i="16"/>
  <c r="AB206" i="16" l="1"/>
  <c r="X207" i="16"/>
  <c r="M207" i="16"/>
  <c r="N207" i="16" s="1"/>
  <c r="AI207" i="16"/>
  <c r="AJ207" i="16" s="1"/>
  <c r="AK207" i="16" s="1"/>
  <c r="T207" i="16"/>
  <c r="S207" i="16"/>
  <c r="AP207" i="16"/>
  <c r="AQ207" i="16" s="1"/>
  <c r="AR207" i="16" s="1"/>
  <c r="AA207" i="16"/>
  <c r="L208" i="16"/>
  <c r="AB207" i="16" l="1"/>
  <c r="U207" i="16"/>
  <c r="Y207" i="16"/>
  <c r="AP208" i="16"/>
  <c r="AQ208" i="16" s="1"/>
  <c r="AR208" i="16" s="1"/>
  <c r="AA208" i="16"/>
  <c r="S208" i="16"/>
  <c r="AI208" i="16"/>
  <c r="AJ208" i="16" s="1"/>
  <c r="T208" i="16"/>
  <c r="U208" i="16" s="1"/>
  <c r="X208" i="16"/>
  <c r="Y208" i="16" s="1"/>
  <c r="Z208" i="16" s="1"/>
  <c r="M208" i="16"/>
  <c r="N208" i="16" s="1"/>
  <c r="L209" i="16"/>
  <c r="V208" i="16" l="1"/>
  <c r="AK208" i="16"/>
  <c r="AB208" i="16"/>
  <c r="X209" i="16"/>
  <c r="Y209" i="16" s="1"/>
  <c r="Z209" i="16" s="1"/>
  <c r="M209" i="16"/>
  <c r="N209" i="16" s="1"/>
  <c r="AI209" i="16"/>
  <c r="AJ209" i="16" s="1"/>
  <c r="AK209" i="16" s="1"/>
  <c r="T209" i="16"/>
  <c r="U209" i="16" s="1"/>
  <c r="V209" i="16" s="1"/>
  <c r="S209" i="16"/>
  <c r="AP209" i="16"/>
  <c r="AQ209" i="16" s="1"/>
  <c r="AR209" i="16" s="1"/>
  <c r="AA209" i="16"/>
  <c r="AB209" i="16" s="1"/>
  <c r="AC209" i="16" s="1"/>
  <c r="L210" i="16"/>
  <c r="AC208" i="16" l="1"/>
  <c r="AP210" i="16"/>
  <c r="AQ210" i="16" s="1"/>
  <c r="AR210" i="16" s="1"/>
  <c r="AA210" i="16"/>
  <c r="S210" i="16"/>
  <c r="AI210" i="16"/>
  <c r="AJ210" i="16" s="1"/>
  <c r="AK210" i="16" s="1"/>
  <c r="T210" i="16"/>
  <c r="U210" i="16" s="1"/>
  <c r="V210" i="16" s="1"/>
  <c r="X210" i="16"/>
  <c r="Y210" i="16" s="1"/>
  <c r="Z210" i="16" s="1"/>
  <c r="M210" i="16"/>
  <c r="N210" i="16" s="1"/>
  <c r="L211" i="16"/>
  <c r="AB210" i="16" l="1"/>
  <c r="X211" i="16"/>
  <c r="Y211" i="16" s="1"/>
  <c r="Z211" i="16" s="1"/>
  <c r="M211" i="16"/>
  <c r="N211" i="16" s="1"/>
  <c r="AI211" i="16"/>
  <c r="AJ211" i="16" s="1"/>
  <c r="AK211" i="16" s="1"/>
  <c r="T211" i="16"/>
  <c r="S211" i="16"/>
  <c r="AP211" i="16"/>
  <c r="AQ211" i="16" s="1"/>
  <c r="AR211" i="16" s="1"/>
  <c r="AA211" i="16"/>
  <c r="L212" i="16"/>
  <c r="AB211" i="16" l="1"/>
  <c r="U211" i="16"/>
  <c r="AC210" i="16"/>
  <c r="AP212" i="16"/>
  <c r="AQ212" i="16" s="1"/>
  <c r="AR212" i="16" s="1"/>
  <c r="AA212" i="16"/>
  <c r="S212" i="16"/>
  <c r="AI212" i="16"/>
  <c r="AJ212" i="16" s="1"/>
  <c r="AK212" i="16" s="1"/>
  <c r="T212" i="16"/>
  <c r="U212" i="16" s="1"/>
  <c r="V212" i="16" s="1"/>
  <c r="X212" i="16"/>
  <c r="Y212" i="16" s="1"/>
  <c r="Z212" i="16" s="1"/>
  <c r="M212" i="16"/>
  <c r="N212" i="16" s="1"/>
  <c r="L213" i="16"/>
  <c r="AB212" i="16" l="1"/>
  <c r="X213" i="16"/>
  <c r="Y213" i="16" s="1"/>
  <c r="Z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V214" i="16" s="1"/>
  <c r="X214" i="16"/>
  <c r="Y214" i="16" s="1"/>
  <c r="M214" i="16"/>
  <c r="N214" i="16" s="1"/>
  <c r="L215" i="16"/>
  <c r="Z214" i="16" l="1"/>
  <c r="AJ214" i="16"/>
  <c r="AQ214" i="16"/>
  <c r="AR214" i="16" s="1"/>
  <c r="AB214" i="16"/>
  <c r="X215" i="16"/>
  <c r="Y215" i="16" s="1"/>
  <c r="Z215" i="16" s="1"/>
  <c r="M215" i="16"/>
  <c r="AI215" i="16"/>
  <c r="AJ215" i="16" s="1"/>
  <c r="AK215" i="16" s="1"/>
  <c r="T215" i="16"/>
  <c r="U215" i="16" s="1"/>
  <c r="S215" i="16"/>
  <c r="AP215" i="16"/>
  <c r="AQ215" i="16" s="1"/>
  <c r="AR215" i="16" s="1"/>
  <c r="AA215" i="16"/>
  <c r="AB215" i="16" s="1"/>
  <c r="AC215" i="16" s="1"/>
  <c r="N215" i="16"/>
  <c r="L216" i="16"/>
  <c r="V215" i="16" l="1"/>
  <c r="AC214" i="16"/>
  <c r="AP216" i="16"/>
  <c r="AQ216" i="16" s="1"/>
  <c r="AR216" i="16" s="1"/>
  <c r="AA216" i="16"/>
  <c r="S216" i="16"/>
  <c r="AI216" i="16"/>
  <c r="AJ216" i="16" s="1"/>
  <c r="AK216" i="16" s="1"/>
  <c r="T216" i="16"/>
  <c r="U216" i="16" s="1"/>
  <c r="V216" i="16" s="1"/>
  <c r="X216" i="16"/>
  <c r="Y216" i="16" s="1"/>
  <c r="Z216" i="16" s="1"/>
  <c r="M216" i="16"/>
  <c r="N216" i="16" s="1"/>
  <c r="L217" i="16"/>
  <c r="AB216" i="16" l="1"/>
  <c r="X217" i="16"/>
  <c r="Y217" i="16" s="1"/>
  <c r="Z217" i="16" s="1"/>
  <c r="M217" i="16"/>
  <c r="AI217" i="16"/>
  <c r="AJ217" i="16" s="1"/>
  <c r="AK217" i="16" s="1"/>
  <c r="T217" i="16"/>
  <c r="U217" i="16" s="1"/>
  <c r="V217" i="16" s="1"/>
  <c r="S217" i="16"/>
  <c r="AP217" i="16"/>
  <c r="AQ217" i="16" s="1"/>
  <c r="AR217" i="16" s="1"/>
  <c r="AA217" i="16"/>
  <c r="AB217" i="16" s="1"/>
  <c r="AC217" i="16" s="1"/>
  <c r="N217" i="16"/>
  <c r="L218" i="16"/>
  <c r="AC216" i="16" l="1"/>
  <c r="AP218" i="16"/>
  <c r="AQ218" i="16" s="1"/>
  <c r="AR218" i="16" s="1"/>
  <c r="AA218" i="16"/>
  <c r="S218" i="16"/>
  <c r="AI218" i="16"/>
  <c r="AJ218" i="16" s="1"/>
  <c r="AK218" i="16" s="1"/>
  <c r="T218" i="16"/>
  <c r="U218" i="16" s="1"/>
  <c r="X218" i="16"/>
  <c r="Y218" i="16" s="1"/>
  <c r="Z218" i="16" s="1"/>
  <c r="M218" i="16"/>
  <c r="N218" i="16" s="1"/>
  <c r="L219" i="16"/>
  <c r="V218" i="16" l="1"/>
  <c r="AB218" i="16"/>
  <c r="X219" i="16"/>
  <c r="Y219" i="16" s="1"/>
  <c r="Z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X220" i="16"/>
  <c r="Y220" i="16" s="1"/>
  <c r="Z220" i="16" s="1"/>
  <c r="M220" i="16"/>
  <c r="N220" i="16" s="1"/>
  <c r="L221" i="16"/>
  <c r="V220" i="16" l="1"/>
  <c r="AB220" i="16"/>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25" i="16" l="1"/>
  <c r="Z142" i="16"/>
  <c r="Z149" i="16"/>
  <c r="Z167" i="16"/>
  <c r="Z182" i="16"/>
  <c r="Z200" i="16"/>
  <c r="Z203" i="16"/>
  <c r="Z204" i="16"/>
  <c r="Z207"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AR47" i="16" s="1"/>
  <c r="N363" i="16"/>
  <c r="O10" i="16" s="1"/>
  <c r="T363" i="16"/>
  <c r="U363" i="16" s="1"/>
  <c r="AA363" i="16"/>
  <c r="G119" i="8" s="1"/>
  <c r="S363" i="16"/>
  <c r="M363" i="16"/>
  <c r="M9" i="16" s="1"/>
  <c r="L37" i="8" s="1"/>
  <c r="K37" i="8" s="1"/>
  <c r="AI363" i="16"/>
  <c r="AJ363" i="16" s="1"/>
  <c r="AK44" i="16" s="1"/>
  <c r="Y9" i="16"/>
  <c r="L38" i="8" s="1"/>
  <c r="AK51" i="16"/>
  <c r="AK60" i="16"/>
  <c r="AK49" i="16"/>
  <c r="AK21" i="16"/>
  <c r="AK52" i="16"/>
  <c r="AK34" i="16"/>
  <c r="U69" i="8"/>
  <c r="U67" i="8"/>
  <c r="U70" i="8"/>
  <c r="U68" i="8"/>
  <c r="U71" i="8"/>
  <c r="U73" i="8"/>
  <c r="U72" i="8"/>
  <c r="AR63" i="16" l="1"/>
  <c r="AR41" i="16"/>
  <c r="AK17" i="16"/>
  <c r="AK27" i="16"/>
  <c r="AK41" i="16"/>
  <c r="AK36" i="16"/>
  <c r="AK28" i="16"/>
  <c r="AK13" i="16"/>
  <c r="AK132" i="16"/>
  <c r="AK165" i="16"/>
  <c r="V80" i="16"/>
  <c r="V117" i="16"/>
  <c r="V144" i="16"/>
  <c r="V150" i="16"/>
  <c r="V165" i="16"/>
  <c r="V182" i="16"/>
  <c r="V205" i="16"/>
  <c r="V207" i="16"/>
  <c r="V211" i="16"/>
  <c r="AR16" i="16"/>
  <c r="AR79" i="16"/>
  <c r="AR115" i="16"/>
  <c r="AR185"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363"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9" i="16"/>
  <c r="AC21" i="16"/>
  <c r="AC22" i="16"/>
  <c r="AC24" i="16"/>
  <c r="AC27" i="16"/>
  <c r="AC42" i="16"/>
  <c r="AC40" i="16"/>
  <c r="AC53" i="16"/>
  <c r="AC55" i="16"/>
  <c r="AC58" i="16"/>
  <c r="AC61" i="16"/>
  <c r="AC62" i="16"/>
  <c r="AC64" i="16"/>
  <c r="AC65"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5" i="16"/>
  <c r="AC44" i="16"/>
  <c r="AC45" i="16"/>
  <c r="AC48" i="16"/>
  <c r="AC52" i="16"/>
  <c r="AC14" i="16"/>
  <c r="AC13" i="16"/>
  <c r="AC15" i="16"/>
  <c r="AC20" i="16"/>
  <c r="AC28" i="16"/>
  <c r="AC29" i="16"/>
  <c r="AC31" i="16"/>
  <c r="AC33" i="16"/>
  <c r="AC36" i="16"/>
  <c r="AC37" i="16"/>
  <c r="AC39" i="16"/>
  <c r="AC43" i="16"/>
  <c r="AC50" i="16"/>
  <c r="AC51" i="16"/>
  <c r="AC54" i="16"/>
  <c r="AC56" i="16"/>
  <c r="AC59"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R171" i="16"/>
  <c r="R314" i="16"/>
  <c r="P64" i="16"/>
  <c r="P60" i="16"/>
  <c r="P56" i="16"/>
  <c r="P52" i="16"/>
  <c r="P48" i="16"/>
  <c r="P44" i="16"/>
  <c r="P40" i="16"/>
  <c r="P36" i="16"/>
  <c r="P32" i="16"/>
  <c r="P28" i="16"/>
  <c r="P63" i="16"/>
  <c r="P59" i="16"/>
  <c r="P55" i="16"/>
  <c r="P51" i="16"/>
  <c r="P47" i="16"/>
  <c r="P43" i="16"/>
  <c r="P39" i="16"/>
  <c r="P35" i="16"/>
  <c r="P31" i="16"/>
  <c r="T32" i="8"/>
  <c r="Q12" i="16"/>
  <c r="Q14" i="16"/>
  <c r="Q16" i="16"/>
  <c r="Q19" i="16"/>
  <c r="Q20" i="16"/>
  <c r="Q22" i="16"/>
  <c r="Q24" i="16"/>
  <c r="Q26" i="16"/>
  <c r="Q28" i="16"/>
  <c r="Q30" i="16"/>
  <c r="Q32" i="16"/>
  <c r="Q34" i="16"/>
  <c r="Q36" i="16"/>
  <c r="Q38" i="16"/>
  <c r="Q40" i="16"/>
  <c r="Q42" i="16"/>
  <c r="Q56" i="16"/>
  <c r="Q58" i="16"/>
  <c r="Q66" i="16"/>
  <c r="Q68" i="16"/>
  <c r="Q70" i="16"/>
  <c r="Q72" i="16"/>
  <c r="Q74" i="16"/>
  <c r="Q76" i="16"/>
  <c r="Q78" i="16"/>
  <c r="Q80" i="16"/>
  <c r="Q82" i="16"/>
  <c r="Q84" i="16"/>
  <c r="Q86" i="16"/>
  <c r="Q88" i="16"/>
  <c r="Q90" i="16"/>
  <c r="Q92" i="16"/>
  <c r="Q94" i="16"/>
  <c r="Q96" i="16"/>
  <c r="Q98" i="16"/>
  <c r="Q100" i="16"/>
  <c r="Q102" i="16"/>
  <c r="Q104" i="16"/>
  <c r="Q106" i="16"/>
  <c r="Q114" i="16"/>
  <c r="Q122" i="16"/>
  <c r="Q11" i="16"/>
  <c r="Q13" i="16"/>
  <c r="Q15" i="16"/>
  <c r="Q17" i="16"/>
  <c r="Q18" i="16"/>
  <c r="Q21" i="16"/>
  <c r="Q23" i="16"/>
  <c r="Q25" i="16"/>
  <c r="Q27" i="16"/>
  <c r="Q29" i="16"/>
  <c r="Q31" i="16"/>
  <c r="Q33" i="16"/>
  <c r="Q35" i="16"/>
  <c r="Q37" i="16"/>
  <c r="Q39" i="16"/>
  <c r="Q43" i="16"/>
  <c r="Q53" i="16"/>
  <c r="Q59" i="16"/>
  <c r="Q67" i="16"/>
  <c r="Q69" i="16"/>
  <c r="Q71" i="16"/>
  <c r="Q73" i="16"/>
  <c r="Q75" i="16"/>
  <c r="Q77" i="16"/>
  <c r="Q79" i="16"/>
  <c r="Q81" i="16"/>
  <c r="Q83" i="16"/>
  <c r="Q85" i="16"/>
  <c r="Q87" i="16"/>
  <c r="Q89" i="16"/>
  <c r="Q91" i="16"/>
  <c r="Q93" i="16"/>
  <c r="Q95" i="16"/>
  <c r="Q97" i="16"/>
  <c r="Q99" i="16"/>
  <c r="Q101" i="16"/>
  <c r="Q103" i="16"/>
  <c r="Q105" i="16"/>
  <c r="Q107" i="16"/>
  <c r="Q115" i="16"/>
  <c r="Q139" i="16"/>
  <c r="Q203" i="16"/>
  <c r="Q215" i="16"/>
  <c r="Q223" i="16"/>
  <c r="Q231" i="16"/>
  <c r="Q239" i="16"/>
  <c r="Q247" i="16"/>
  <c r="Q255" i="16"/>
  <c r="Q263" i="16"/>
  <c r="Q271" i="16"/>
  <c r="Q279" i="16"/>
  <c r="Q287" i="16"/>
  <c r="Q295" i="16"/>
  <c r="Q303" i="16"/>
  <c r="Q311" i="16"/>
  <c r="Q319" i="16"/>
  <c r="Q327" i="16"/>
  <c r="Q335" i="16"/>
  <c r="Q343" i="16"/>
  <c r="Q351" i="16"/>
  <c r="Q359" i="16"/>
  <c r="Q212" i="16"/>
  <c r="Q220" i="16"/>
  <c r="Q228" i="16"/>
  <c r="Q236" i="16"/>
  <c r="Q240" i="16"/>
  <c r="Q244" i="16"/>
  <c r="Q248" i="16"/>
  <c r="Q252" i="16"/>
  <c r="Q256" i="16"/>
  <c r="Q260" i="16"/>
  <c r="Q264" i="16"/>
  <c r="Q268" i="16"/>
  <c r="Q272" i="16"/>
  <c r="Q276" i="16"/>
  <c r="Q280" i="16"/>
  <c r="Q284" i="16"/>
  <c r="Q288" i="16"/>
  <c r="Q292" i="16"/>
  <c r="Q296" i="16"/>
  <c r="Q300" i="16"/>
  <c r="Q304" i="16"/>
  <c r="Q308" i="16"/>
  <c r="Q312" i="16"/>
  <c r="Q316" i="16"/>
  <c r="Q320" i="16"/>
  <c r="Q324" i="16"/>
  <c r="Q328" i="16"/>
  <c r="Q332" i="16"/>
  <c r="Q336" i="16"/>
  <c r="Q340" i="16"/>
  <c r="Q344" i="16"/>
  <c r="Q348" i="16"/>
  <c r="Q352" i="16"/>
  <c r="Q356" i="16"/>
  <c r="Q360" i="16"/>
  <c r="P62" i="16"/>
  <c r="P58" i="16"/>
  <c r="P54" i="16"/>
  <c r="P50" i="16"/>
  <c r="P46" i="16"/>
  <c r="P42" i="16"/>
  <c r="P38" i="16"/>
  <c r="P34" i="16"/>
  <c r="P30" i="16"/>
  <c r="P26" i="16"/>
  <c r="P65" i="16"/>
  <c r="P61" i="16"/>
  <c r="P57" i="16"/>
  <c r="P53" i="16"/>
  <c r="P49" i="16"/>
  <c r="P45" i="16"/>
  <c r="P41" i="16"/>
  <c r="P37" i="16"/>
  <c r="P33" i="16"/>
  <c r="P29" i="16"/>
  <c r="P25" i="16"/>
  <c r="AC38" i="16" l="1"/>
  <c r="AC60" i="16"/>
  <c r="Q51" i="16"/>
  <c r="Q50" i="16"/>
  <c r="Q61" i="16"/>
  <c r="Q45" i="16"/>
  <c r="Q64" i="16"/>
  <c r="Q48" i="16"/>
  <c r="Q57" i="16"/>
  <c r="Q41" i="16"/>
  <c r="Q54" i="16"/>
  <c r="AC49" i="16"/>
  <c r="AC34" i="16"/>
  <c r="Q65" i="16"/>
  <c r="Q49" i="16"/>
  <c r="Q62" i="16"/>
  <c r="Q46" i="16"/>
  <c r="Q63" i="16"/>
  <c r="Q55" i="16"/>
  <c r="Q47" i="16"/>
  <c r="Q60" i="16"/>
  <c r="Q52" i="16"/>
  <c r="Q44" i="16"/>
  <c r="AC57" i="16"/>
  <c r="AC18" i="16"/>
  <c r="AB9" i="16"/>
  <c r="AC47" i="16"/>
  <c r="AC32" i="16"/>
  <c r="Q171" i="16"/>
  <c r="Q154" i="16"/>
  <c r="R357" i="16"/>
  <c r="Q179" i="16"/>
  <c r="Q162" i="16"/>
  <c r="R242" i="16"/>
  <c r="Q206" i="16"/>
  <c r="Q155" i="16"/>
  <c r="Q138" i="16"/>
  <c r="R274" i="16"/>
  <c r="R119" i="16"/>
  <c r="AC94" i="16"/>
  <c r="AC203" i="16"/>
  <c r="AC205" i="16"/>
  <c r="AC207" i="16"/>
  <c r="AC204" i="16"/>
  <c r="AC206" i="16"/>
  <c r="AC211" i="16"/>
  <c r="Q190" i="16"/>
  <c r="Q147" i="16"/>
  <c r="Q130" i="16"/>
  <c r="R322" i="16"/>
  <c r="R197" i="16"/>
  <c r="Q200" i="16"/>
  <c r="Q187" i="16"/>
  <c r="Q123" i="16"/>
  <c r="Q170" i="16"/>
  <c r="R354" i="16"/>
  <c r="R277" i="16"/>
  <c r="Q195" i="16"/>
  <c r="Q163" i="16"/>
  <c r="Q131" i="16"/>
  <c r="Q178" i="16"/>
  <c r="Q146" i="16"/>
  <c r="R282" i="16"/>
  <c r="R293" i="16"/>
  <c r="R198" i="16"/>
  <c r="R346" i="16"/>
  <c r="R306" i="16"/>
  <c r="R258" i="16"/>
  <c r="R341" i="16"/>
  <c r="R261" i="16"/>
  <c r="R65" i="16"/>
  <c r="R55" i="16"/>
  <c r="R338" i="16"/>
  <c r="R290" i="16"/>
  <c r="R250" i="16"/>
  <c r="R325" i="16"/>
  <c r="R223" i="16"/>
  <c r="R230" i="16"/>
  <c r="R78"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52" i="8"/>
  <c r="M48" i="8"/>
  <c r="M51" i="8"/>
  <c r="M49" i="8"/>
  <c r="M50" i="8"/>
  <c r="AT13" i="16"/>
  <c r="AU13" i="16" s="1"/>
  <c r="U94" i="8"/>
  <c r="AS14" i="16"/>
  <c r="AM13" i="16"/>
  <c r="AN13" i="16" s="1"/>
  <c r="O50" i="8" l="1"/>
  <c r="O51" i="8"/>
  <c r="E51" i="8"/>
  <c r="AH93" i="8"/>
  <c r="K40" i="8"/>
  <c r="O49" i="8"/>
  <c r="O48" i="8"/>
  <c r="Q121" i="8" s="1"/>
  <c r="X92" i="8"/>
  <c r="AL92" i="8" s="1"/>
  <c r="AU11" i="16"/>
  <c r="AH92" i="8" s="1"/>
  <c r="AH94" i="8"/>
  <c r="E52" i="8"/>
  <c r="K38" i="8"/>
  <c r="M121" i="8"/>
  <c r="X93" i="8"/>
  <c r="AL93" i="8" s="1"/>
  <c r="M118" i="8"/>
  <c r="M119" i="8"/>
  <c r="O121" i="8"/>
  <c r="O119" i="8"/>
  <c r="O120" i="8"/>
  <c r="O118" i="8"/>
  <c r="AM14" i="16"/>
  <c r="AN14" i="16" s="1"/>
  <c r="X94" i="8"/>
  <c r="AL94" i="8" s="1"/>
  <c r="AT14" i="16"/>
  <c r="AU14" i="16" s="1"/>
  <c r="U95" i="8"/>
  <c r="AS15" i="16"/>
  <c r="Q119" i="8" l="1"/>
  <c r="Q120" i="8"/>
  <c r="Q118"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AH98" i="8" s="1"/>
  <c r="X97" i="8"/>
  <c r="AL97" i="8" s="1"/>
  <c r="X98" i="8" l="1"/>
  <c r="AL98" i="8" s="1"/>
  <c r="U99" i="8"/>
  <c r="AH99" i="8" s="1"/>
  <c r="AS19" i="16"/>
  <c r="AT18" i="16"/>
  <c r="AU18" i="16" s="1"/>
  <c r="AM18" i="16"/>
  <c r="AN18" i="16" s="1"/>
  <c r="AS20" i="16" l="1"/>
  <c r="AT19" i="16"/>
  <c r="AU19" i="16" s="1"/>
  <c r="U100" i="8"/>
  <c r="AH100" i="8" s="1"/>
  <c r="AM19" i="16"/>
  <c r="AN19" i="16" s="1"/>
  <c r="X99" i="8"/>
  <c r="AL99" i="8" s="1"/>
  <c r="AM20" i="16" l="1"/>
  <c r="AN20" i="16" s="1"/>
  <c r="X100" i="8"/>
  <c r="AL100" i="8" s="1"/>
  <c r="U101" i="8"/>
  <c r="AH101" i="8" s="1"/>
  <c r="AT20" i="16"/>
  <c r="AU20" i="16" s="1"/>
  <c r="AS21" i="16"/>
  <c r="AS22" i="16" l="1"/>
  <c r="AT21" i="16"/>
  <c r="AU21" i="16" s="1"/>
  <c r="U102" i="8"/>
  <c r="AH102" i="8" s="1"/>
  <c r="X101" i="8"/>
  <c r="AL101" i="8" s="1"/>
  <c r="AM21" i="16"/>
  <c r="AN21" i="16" s="1"/>
  <c r="AM22" i="16" l="1"/>
  <c r="AN22" i="16" s="1"/>
  <c r="X102" i="8"/>
  <c r="AL102" i="8" s="1"/>
  <c r="U103" i="8"/>
  <c r="AH103" i="8" s="1"/>
  <c r="AT22" i="16"/>
  <c r="AU22" i="16" s="1"/>
  <c r="AS23" i="16"/>
  <c r="AM23" i="16" l="1"/>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<sst xmlns="http://schemas.openxmlformats.org/spreadsheetml/2006/main" count="9798" uniqueCount="903">
  <si>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</si>
  <si>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</si>
  <si>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</si>
  <si>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</si>
  <si>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</si>
  <si>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</si>
  <si>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</si>
  <si>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</si>
  <si>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</si>
  <si>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</si>
  <si>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</si>
  <si>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</si>
  <si>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</si>
  <si>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</si>
  <si>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</si>
  <si>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</si>
  <si>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</si>
  <si>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</si>
  <si>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</si>
  <si>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</si>
  <si>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</si>
  <si>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</si>
  <si>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</si>
  <si>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</si>
  <si>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</si>
  <si>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</si>
  <si>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</si>
  <si>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</si>
  <si>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</si>
  <si>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</si>
  <si>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</si>
  <si>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</si>
  <si>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</si>
  <si>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</si>
  <si>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</si>
  <si>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</si>
  <si>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</si>
  <si>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</si>
  <si>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</si>
  <si>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</si>
  <si>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</si>
  <si>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</si>
  <si>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</si>
  <si>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</si>
  <si>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</si>
  <si>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</si>
  <si>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</si>
  <si>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</si>
  <si>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</si>
  <si>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</si>
  <si>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</si>
  <si>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</si>
  <si>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</si>
  <si>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</si>
  <si>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</si>
  <si>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</si>
  <si>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</si>
  <si>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</si>
  <si>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</si>
  <si>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</si>
  <si>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</si>
  <si>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</si>
  <si>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</si>
  <si>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</si>
  <si>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</si>
  <si>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</si>
  <si>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</si>
  <si>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</si>
  <si>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</si>
  <si>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</si>
  <si>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</si>
  <si>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</si>
  <si>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</si>
  <si>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</si>
  <si>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</si>
  <si>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</si>
  <si>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</si>
  <si>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</si>
  <si>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</si>
  <si>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</si>
  <si>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</si>
  <si>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</si>
  <si>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</si>
  <si>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</si>
  <si>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</si>
  <si>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</si>
  <si>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</si>
  <si>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</si>
  <si>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</si>
  <si>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</si>
  <si>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</si>
  <si>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</si>
  <si>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</si>
  <si>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</si>
  <si>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</si>
  <si>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</si>
  <si>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</si>
  <si>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</si>
  <si>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</si>
  <si>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</si>
  <si>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</si>
  <si>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</si>
  <si>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</si>
  <si>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</si>
  <si>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</si>
  <si>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</si>
  <si>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</si>
  <si>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</si>
  <si>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</si>
  <si>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</si>
  <si>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</si>
  <si>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</si>
  <si>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</si>
  <si>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</si>
  <si>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</si>
  <si>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</si>
  <si>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</si>
  <si>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</si>
  <si>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</si>
  <si>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</si>
  <si>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</si>
  <si>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</si>
  <si>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</si>
  <si>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</si>
  <si>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</si>
  <si>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</si>
  <si>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</si>
  <si>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</si>
  <si>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</si>
  <si>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</si>
  <si>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</si>
  <si>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</si>
  <si>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</si>
  <si>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</si>
  <si>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</si>
  <si>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</si>
  <si>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</si>
  <si>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</si>
  <si>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</si>
  <si>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</si>
  <si>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</si>
  <si>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</si>
  <si>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</si>
  <si>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</si>
  <si>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</si>
  <si>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</si>
  <si>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</si>
  <si>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</si>
  <si>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</si>
  <si>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</si>
  <si>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</si>
  <si>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</si>
  <si>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</si>
  <si>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</si>
  <si>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</si>
  <si>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</si>
  <si>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</si>
  <si>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</si>
  <si>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</si>
  <si>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</si>
  <si>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</si>
  <si>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</si>
  <si>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</si>
  <si>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</si>
  <si>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</si>
  <si>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</si>
  <si>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</si>
  <si>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</si>
  <si>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</si>
  <si>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</si>
  <si>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</si>
  <si>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</si>
  <si>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</si>
  <si>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</si>
  <si>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</si>
  <si>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</si>
  <si>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</si>
  <si>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</si>
  <si>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</si>
  <si>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</si>
  <si>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</si>
  <si>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</si>
  <si>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</si>
  <si>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</si>
  <si>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</si>
  <si>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</si>
  <si>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</si>
  <si>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</si>
  <si>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</si>
  <si>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</si>
  <si>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</si>
  <si>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</si>
  <si>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</si>
  <si>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</si>
  <si>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</si>
  <si>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</si>
  <si>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</si>
  <si>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</si>
  <si>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</si>
  <si>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</si>
  <si>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</si>
  <si>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</si>
  <si>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</si>
  <si>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</si>
  <si>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</si>
  <si>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</si>
  <si>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</si>
  <si>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</si>
  <si>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</si>
  <si>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</si>
  <si>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</si>
  <si>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</si>
  <si>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</si>
  <si>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</si>
  <si>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</si>
  <si>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</si>
  <si>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</si>
  <si>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</si>
  <si>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</si>
  <si>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</si>
  <si>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</si>
  <si>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</si>
  <si>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</si>
  <si>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</si>
  <si>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</si>
  <si>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</si>
  <si>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</si>
  <si>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</si>
  <si>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</si>
  <si>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</si>
  <si>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</si>
  <si>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</si>
  <si>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</si>
  <si>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</si>
  <si>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</si>
  <si>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</si>
  <si>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</si>
  <si>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</si>
  <si>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</si>
  <si>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</si>
  <si>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</si>
  <si>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</si>
  <si>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</si>
  <si>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</si>
  <si>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</si>
  <si>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</si>
  <si>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</si>
  <si>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</si>
  <si>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</si>
  <si>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</si>
  <si>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</si>
  <si>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</si>
  <si>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</si>
  <si>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</si>
  <si>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</si>
  <si>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</si>
  <si>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</si>
  <si>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</si>
  <si>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</si>
  <si>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</si>
  <si>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</si>
  <si>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</si>
  <si>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</si>
  <si>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</si>
  <si>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</si>
  <si>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</si>
  <si>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</si>
  <si>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</si>
  <si>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</si>
  <si>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</si>
  <si>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</si>
  <si>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</si>
  <si>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</si>
  <si>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</si>
  <si>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</si>
  <si>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</si>
  <si>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</si>
  <si>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</si>
  <si>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</si>
  <si>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</si>
  <si>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</si>
  <si>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</si>
  <si>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</si>
  <si>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</si>
  <si>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</si>
  <si>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</si>
  <si>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</si>
  <si>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</si>
  <si>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</si>
  <si>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</si>
  <si>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</si>
  <si>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</si>
  <si>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</si>
  <si>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</si>
  <si>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</si>
  <si>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</si>
  <si>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</si>
  <si>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</si>
  <si>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</si>
  <si>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</si>
  <si>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</si>
  <si>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</si>
  <si>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</si>
  <si>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</si>
  <si>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</si>
  <si>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</si>
  <si>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</si>
  <si>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</si>
  <si>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</si>
  <si>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</si>
  <si>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</si>
  <si>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</si>
  <si>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</si>
  <si>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</si>
  <si>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</si>
  <si>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</si>
  <si>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</si>
  <si>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</si>
  <si>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</si>
  <si>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</si>
  <si>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</si>
  <si>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</si>
  <si>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</si>
  <si>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</si>
  <si>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</si>
  <si>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</si>
  <si>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</si>
  <si>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</si>
  <si>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</si>
  <si>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</si>
  <si>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</si>
  <si>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</si>
  <si>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</si>
  <si>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</si>
  <si>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</si>
  <si>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</si>
  <si>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</si>
  <si>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</si>
  <si>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</si>
  <si>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</si>
  <si>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</si>
  <si>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</si>
  <si>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</si>
  <si>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</si>
  <si>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</si>
  <si>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</si>
  <si>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</si>
  <si>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</si>
  <si>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</si>
  <si>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</si>
  <si>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</si>
  <si>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</si>
  <si>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</si>
  <si>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</si>
  <si>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</si>
  <si>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</si>
  <si>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</si>
  <si>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</si>
  <si>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</si>
  <si>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</si>
  <si>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</si>
  <si>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</si>
  <si>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</si>
  <si>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</si>
  <si>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</si>
  <si>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</si>
  <si>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</si>
  <si>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</si>
  <si>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</si>
  <si>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</si>
  <si>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</si>
  <si>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</si>
  <si>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</si>
  <si>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</si>
  <si>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</si>
  <si>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</si>
  <si>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</si>
  <si>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</si>
  <si>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</si>
  <si>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</si>
  <si>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</si>
  <si>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</si>
  <si>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</si>
  <si>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</si>
  <si>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</si>
  <si>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</si>
  <si>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</si>
  <si>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</si>
  <si>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</si>
  <si>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</si>
  <si>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</si>
  <si>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</si>
  <si>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</si>
  <si>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</si>
  <si>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</si>
  <si>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</si>
  <si>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</si>
  <si>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</si>
  <si>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</si>
  <si>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</si>
  <si>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</si>
  <si>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</si>
  <si>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</si>
  <si>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</si>
  <si>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</si>
  <si>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</si>
  <si>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</si>
  <si>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</si>
  <si>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</si>
  <si>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</si>
  <si>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</si>
  <si>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</si>
  <si>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</si>
  <si>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</si>
  <si>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</si>
  <si>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</si>
  <si>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</si>
  <si>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</si>
  <si>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</si>
  <si>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</si>
  <si>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</si>
  <si>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</si>
  <si>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</si>
  <si>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</si>
  <si>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</si>
  <si>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</si>
  <si>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</si>
  <si>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</si>
  <si>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</si>
  <si>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</si>
  <si>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</si>
  <si>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</si>
  <si>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</si>
  <si>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</si>
  <si>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</si>
  <si>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</si>
  <si>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</si>
  <si>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</si>
  <si>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</si>
  <si>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</si>
  <si>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</si>
  <si>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</si>
  <si>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</si>
  <si>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</si>
  <si>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</si>
  <si>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</si>
  <si>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</si>
  <si>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</si>
  <si>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</si>
  <si>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</si>
  <si>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</si>
  <si>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</si>
  <si>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</si>
  <si>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</si>
  <si>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</si>
  <si>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</si>
  <si>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</si>
  <si>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</si>
  <si>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</si>
  <si>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</si>
  <si>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</si>
  <si>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</si>
  <si>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</si>
  <si>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</si>
  <si>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</si>
  <si>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</si>
  <si>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</si>
  <si>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</si>
  <si>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</si>
  <si>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</si>
  <si>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</si>
  <si>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</si>
  <si>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</si>
  <si>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</si>
  <si>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</si>
  <si>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</si>
  <si>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</si>
  <si>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</si>
  <si>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</si>
  <si>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</si>
  <si>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</si>
  <si>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</si>
  <si>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</si>
  <si>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</si>
  <si>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</si>
  <si>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</si>
  <si>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</si>
  <si>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</si>
  <si>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</si>
  <si>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</si>
  <si>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</si>
  <si>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</si>
  <si>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</si>
  <si>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</si>
  <si>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</si>
  <si>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</si>
  <si>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</si>
  <si>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</si>
  <si>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</si>
  <si>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</si>
  <si>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</si>
  <si>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</si>
  <si>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</si>
  <si>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</si>
  <si>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</si>
  <si>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</si>
  <si>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</si>
  <si>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</si>
  <si>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</si>
  <si>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</si>
  <si>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</si>
  <si>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</si>
  <si>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</si>
  <si>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</si>
  <si>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</si>
  <si>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</si>
  <si>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</si>
  <si>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</si>
  <si>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</si>
  <si>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</si>
  <si>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</si>
  <si>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</si>
  <si>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</si>
  <si>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</si>
  <si>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</si>
  <si>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</si>
  <si>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</si>
  <si>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</si>
  <si>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</si>
  <si>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</si>
  <si>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</si>
  <si>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</si>
  <si>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</si>
  <si>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</si>
  <si>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</si>
  <si>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</si>
  <si>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</si>
  <si>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</si>
  <si>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</si>
  <si>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</si>
  <si>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</si>
  <si>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</si>
  <si>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</si>
  <si>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</si>
  <si>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</si>
  <si>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</si>
  <si>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</si>
  <si>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</si>
  <si>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</si>
  <si>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</si>
  <si>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</si>
  <si>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</si>
  <si>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</si>
  <si>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</si>
  <si>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</si>
  <si>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</si>
  <si>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</si>
  <si>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</si>
  <si>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</si>
  <si>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</si>
  <si>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</si>
  <si>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</si>
  <si>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</si>
  <si>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</si>
  <si>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</si>
  <si>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</si>
  <si>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</si>
  <si>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</si>
  <si>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</si>
  <si>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</si>
  <si>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</si>
  <si>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</si>
  <si>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</si>
  <si>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</si>
  <si>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</si>
  <si>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</si>
  <si>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</si>
  <si>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</si>
  <si>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</si>
  <si>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</si>
  <si>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</si>
  <si>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</si>
  <si>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</si>
  <si>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</si>
  <si>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</si>
  <si>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</si>
  <si>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</si>
  <si>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</si>
  <si>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</si>
  <si>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</si>
  <si>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</si>
  <si>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</si>
  <si>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</si>
  <si>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</si>
  <si>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</si>
  <si>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</si>
  <si>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</si>
  <si>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</si>
  <si>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</si>
  <si>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</si>
  <si>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</si>
  <si>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</si>
  <si>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</si>
  <si>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</si>
  <si>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</si>
  <si>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</si>
  <si>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</si>
  <si>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</si>
  <si>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</si>
  <si>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</si>
  <si>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</si>
  <si>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</si>
  <si>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</si>
  <si>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</si>
  <si>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</si>
  <si>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</si>
  <si>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</si>
  <si>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</si>
  <si>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</si>
  <si>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</si>
  <si>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</si>
  <si>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</si>
  <si>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</si>
  <si>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</si>
  <si>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</si>
  <si>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</si>
  <si>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</si>
  <si>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</si>
  <si>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</si>
  <si>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</si>
  <si>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</si>
  <si>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</si>
  <si>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</si>
  <si>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</si>
  <si>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</si>
  <si>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</si>
  <si>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</si>
  <si>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</si>
  <si>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</si>
  <si>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</si>
  <si>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</si>
  <si>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</si>
  <si>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</si>
  <si>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</si>
  <si>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</si>
  <si>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</si>
  <si>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</si>
  <si>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</si>
  <si>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</si>
  <si>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</si>
  <si>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</si>
  <si>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</si>
  <si>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</si>
  <si>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</si>
  <si>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</si>
  <si>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</si>
  <si>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</si>
  <si>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</si>
  <si>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</si>
  <si>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</si>
  <si>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</si>
  <si>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</si>
  <si>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</si>
  <si>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</si>
  <si>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</si>
  <si>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</si>
  <si>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</si>
  <si>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</si>
  <si>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</si>
  <si>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</si>
  <si>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</si>
  <si>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</si>
  <si>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</si>
  <si>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</si>
  <si>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</si>
  <si>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</si>
  <si>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</si>
  <si>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</si>
  <si>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</si>
  <si>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</si>
  <si>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</si>
  <si>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</si>
  <si>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</si>
  <si>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</si>
  <si>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</si>
  <si>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</si>
  <si>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</si>
  <si>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</si>
  <si>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</si>
  <si>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</si>
  <si>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</si>
  <si>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</si>
  <si>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</si>
  <si>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</si>
  <si>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</si>
  <si>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</si>
  <si>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</si>
  <si>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</si>
  <si>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</si>
  <si>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</si>
  <si>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</si>
  <si>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</si>
  <si>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</si>
  <si>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</si>
  <si>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</si>
  <si>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</si>
  <si>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</si>
  <si>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</si>
  <si>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</si>
  <si>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</si>
  <si>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</si>
  <si>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</si>
  <si>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</si>
  <si>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</si>
  <si>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</si>
  <si>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</si>
  <si>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</si>
  <si>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</si>
  <si>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</si>
  <si>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</si>
  <si>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</si>
  <si>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</si>
  <si>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</si>
  <si>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</si>
  <si>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</si>
  <si>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</si>
  <si>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</si>
  <si>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</si>
  <si>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</si>
  <si>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</si>
  <si>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</si>
  <si>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</si>
  <si>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</si>
  <si>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</si>
  <si>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</si>
  <si>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</si>
  <si>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</si>
  <si>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</si>
  <si>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</si>
  <si>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</si>
  <si>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</si>
  <si>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</si>
  <si>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</si>
  <si>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</si>
  <si>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</si>
  <si>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</si>
  <si>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</si>
  <si>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</si>
  <si>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</si>
  <si>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</si>
  <si>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</si>
  <si>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</si>
  <si>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</si>
  <si>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</si>
  <si>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</si>
  <si>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</si>
  <si>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</si>
  <si>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</si>
  <si>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</si>
  <si>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</si>
  <si>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</si>
  <si>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</si>
  <si>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</si>
  <si>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</si>
  <si>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</si>
  <si>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</si>
  <si>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</si>
  <si>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</si>
  <si>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</si>
  <si>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</si>
  <si>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</si>
  <si>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</si>
  <si>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</si>
  <si>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</si>
  <si>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</si>
  <si>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</si>
  <si>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</si>
  <si>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</si>
  <si>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</si>
  <si>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</si>
  <si>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</si>
  <si>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</si>
  <si>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</si>
  <si>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</si>
  <si>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</si>
  <si>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</si>
  <si>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</si>
  <si>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</si>
  <si>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</si>
  <si>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</si>
  <si>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</si>
  <si>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</si>
  <si>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</si>
  <si>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</si>
  <si>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</si>
  <si>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</si>
  <si>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</si>
  <si>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</si>
  <si>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</si>
  <si>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</si>
  <si>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</si>
  <si>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</si>
  <si>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</si>
  <si>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</si>
  <si>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</si>
  <si>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</si>
  <si>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</si>
  <si>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</si>
  <si>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</si>
  <si>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</si>
  <si>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</si>
  <si>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</si>
  <si>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</si>
  <si>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</si>
  <si>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</si>
  <si>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</si>
  <si>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</si>
  <si>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</si>
  <si>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</si>
  <si>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</si>
  <si>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</si>
  <si>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</si>
  <si>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</si>
  <si>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</si>
  <si>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</si>
  <si>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</si>
  <si>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</si>
  <si>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</si>
  <si>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</si>
  <si>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</si>
  <si>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</si>
  <si>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</si>
  <si>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</si>
  <si>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</si>
  <si>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</si>
  <si>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</si>
  <si>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</si>
  <si>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</si>
  <si>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</si>
  <si>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</si>
  <si>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</si>
  <si>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</si>
  <si>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</si>
  <si>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</si>
  <si>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</si>
  <si>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</si>
  <si>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</si>
  <si>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</si>
  <si>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</si>
  <si>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</si>
  <si>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</si>
  <si>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</si>
  <si>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</si>
  <si>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</si>
  <si>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</si>
  <si>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</si>
  <si>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</si>
  <si>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</si>
  <si>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</si>
  <si>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</si>
  <si>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</si>
  <si>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</si>
  <si>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</si>
  <si>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</si>
  <si>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</si>
  <si>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</si>
  <si>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</si>
  <si>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</si>
  <si>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</si>
  <si>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</si>
  <si>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</si>
  <si>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</si>
  <si>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</si>
  <si>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</si>
  <si>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</si>
  <si>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</si>
  <si>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</si>
  <si>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</si>
  <si>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</si>
  <si>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</si>
  <si>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</si>
  <si>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</si>
  <si>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</si>
  <si>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</si>
  <si>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</si>
  <si>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</si>
  <si>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</si>
  <si>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</si>
  <si>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</si>
  <si>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</si>
  <si>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</si>
  <si>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</si>
  <si>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</si>
  <si>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</si>
  <si>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</si>
  <si>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Major Developments - % within 13 weeks</t>
  </si>
  <si>
    <t>Minor Developments - % within 8 weeks</t>
  </si>
  <si>
    <t>Other Developments - % within 8 weeks</t>
  </si>
  <si>
    <t>Year Ending March 2014</t>
  </si>
  <si>
    <t>Year Ending December 2013</t>
  </si>
  <si>
    <t>www.gov.uk</t>
  </si>
  <si>
    <t>Planning Application Turnaround</t>
  </si>
  <si>
    <t>D</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</si>
</sst>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0" fillId="0" borderId="0" applyFont="0" applyFill="0" applyBorder="0" applyAlignment="0" applyProtection="0"/>
    <xf numFmtId="0" fontId="23" fillId="0" borderId="0"/>
    <xf numFmtId="0" fontId="23" fillId="0" borderId="0"/>
    <xf numFmtId="9" fontId="13" fillId="0" borderId="0" applyFont="0" applyFill="0" applyBorder="0" applyAlignment="0" applyProtection="0"/>
    <xf numFmtId="0" fontId="28" fillId="0" borderId="0"/>
    <xf numFmtId="0" fontId="6" fillId="0" borderId="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7" borderId="10" applyNumberFormat="0" applyFont="0" applyAlignment="0" applyProtection="0"/>
    <xf numFmtId="0" fontId="5" fillId="7" borderId="10" applyNumberFormat="0" applyFont="0" applyAlignment="0" applyProtection="0"/>
    <xf numFmtId="9" fontId="5" fillId="0" borderId="0" applyFont="0" applyFill="0" applyBorder="0" applyAlignment="0" applyProtection="0"/>
    <xf numFmtId="37" fontId="6" fillId="0" borderId="0"/>
    <xf numFmtId="9"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40" fillId="0" borderId="0"/>
    <xf numFmtId="44" fontId="40" fillId="0" borderId="0" applyFont="0" applyFill="0" applyBorder="0" applyAlignment="0" applyProtection="0"/>
    <xf numFmtId="169" fontId="6" fillId="0" borderId="0" applyFont="0" applyFill="0" applyBorder="0" applyAlignment="0" applyProtection="0"/>
    <xf numFmtId="0" fontId="49" fillId="24"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4">
    <xf numFmtId="0" fontId="0" fillId="0" borderId="0" xfId="0"/>
    <xf numFmtId="0" fontId="7" fillId="0" borderId="0" xfId="0" applyFont="1"/>
    <xf numFmtId="0" fontId="0" fillId="0" borderId="0" xfId="0" applyAlignment="1">
      <alignment horizontal="center"/>
    </xf>
    <xf numFmtId="0" fontId="0" fillId="0" borderId="0" xfId="0" applyAlignment="1">
      <alignment horizontal="left"/>
    </xf>
    <xf numFmtId="0" fontId="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1" fillId="0" borderId="0" xfId="0" applyFont="1"/>
    <xf numFmtId="0" fontId="15" fillId="0" borderId="6" xfId="0" applyFont="1" applyBorder="1" applyAlignment="1">
      <alignment horizontal="center"/>
    </xf>
    <xf numFmtId="2" fontId="0" fillId="0" borderId="0" xfId="0" applyNumberFormat="1" applyAlignment="1">
      <alignment horizontal="center"/>
    </xf>
    <xf numFmtId="0" fontId="6" fillId="0" borderId="0" xfId="0" applyFont="1" applyBorder="1" applyAlignment="1">
      <alignment horizontal="center" vertical="center" textRotation="90"/>
    </xf>
    <xf numFmtId="0" fontId="1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6" fillId="0" borderId="0" xfId="0" applyFont="1" applyBorder="1" applyAlignment="1">
      <alignment horizontal="center"/>
    </xf>
    <xf numFmtId="0" fontId="16" fillId="0" borderId="6" xfId="0" applyFont="1" applyBorder="1" applyAlignment="1">
      <alignment horizontal="center"/>
    </xf>
    <xf numFmtId="0" fontId="17" fillId="0" borderId="0" xfId="0" applyFont="1"/>
    <xf numFmtId="0" fontId="6" fillId="0" borderId="0" xfId="0" applyFont="1" applyAlignment="1"/>
    <xf numFmtId="0" fontId="7" fillId="0" borderId="0" xfId="0" applyFont="1" applyAlignment="1"/>
    <xf numFmtId="0" fontId="10" fillId="0" borderId="0" xfId="0" applyFont="1" applyAlignment="1">
      <alignment horizontal="left"/>
    </xf>
    <xf numFmtId="0" fontId="0" fillId="0" borderId="7" xfId="0" applyBorder="1"/>
    <xf numFmtId="2" fontId="24" fillId="0" borderId="0" xfId="0" applyNumberFormat="1" applyFont="1" applyAlignment="1"/>
    <xf numFmtId="0" fontId="0" fillId="20"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6" fillId="0" borderId="0" xfId="0" applyFont="1" applyFill="1" applyAlignment="1">
      <alignment horizontal="left"/>
    </xf>
    <xf numFmtId="0" fontId="6" fillId="0" borderId="0" xfId="5" applyNumberFormat="1" applyFont="1" applyFill="1" applyAlignment="1">
      <alignment horizontal="center"/>
    </xf>
    <xf numFmtId="0" fontId="29" fillId="0" borderId="0" xfId="0" applyFont="1" applyFill="1"/>
    <xf numFmtId="0" fontId="6"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7" fillId="0" borderId="0" xfId="0" applyFont="1" applyFill="1" applyBorder="1"/>
    <xf numFmtId="0" fontId="0" fillId="0" borderId="0" xfId="0" applyFont="1" applyFill="1"/>
    <xf numFmtId="0" fontId="7" fillId="0" borderId="4" xfId="0" applyFont="1" applyFill="1" applyBorder="1"/>
    <xf numFmtId="0" fontId="0" fillId="0" borderId="0" xfId="0" applyFont="1"/>
    <xf numFmtId="0" fontId="0" fillId="0" borderId="0" xfId="0" applyFont="1" applyFill="1" applyAlignment="1">
      <alignment horizontal="left"/>
    </xf>
    <xf numFmtId="0" fontId="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7"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7" fillId="0" borderId="0" xfId="0" applyNumberFormat="1" applyFont="1" applyFill="1" applyBorder="1"/>
    <xf numFmtId="0" fontId="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5" fillId="0" borderId="0" xfId="0" applyFont="1" applyFill="1" applyBorder="1" applyAlignment="1">
      <alignment horizontal="left"/>
    </xf>
    <xf numFmtId="0" fontId="0" fillId="22" borderId="0" xfId="0" applyFont="1" applyFill="1"/>
    <xf numFmtId="0" fontId="14"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4" fillId="0" borderId="0" xfId="0" applyNumberFormat="1" applyFont="1" applyFill="1" applyBorder="1" applyAlignment="1">
      <alignment horizontal="left"/>
    </xf>
    <xf numFmtId="0" fontId="7" fillId="0" borderId="3" xfId="0" applyNumberFormat="1" applyFont="1" applyFill="1" applyBorder="1" applyAlignment="1">
      <alignment horizontal="left"/>
    </xf>
    <xf numFmtId="0" fontId="7" fillId="0" borderId="4" xfId="0" applyNumberFormat="1" applyFont="1" applyFill="1" applyBorder="1"/>
    <xf numFmtId="0" fontId="7" fillId="0" borderId="4" xfId="0" applyNumberFormat="1" applyFont="1" applyFill="1" applyBorder="1" applyAlignment="1">
      <alignment horizontal="right"/>
    </xf>
    <xf numFmtId="0" fontId="7" fillId="0" borderId="3" xfId="0" applyFont="1" applyFill="1" applyBorder="1"/>
    <xf numFmtId="0" fontId="7" fillId="0" borderId="4" xfId="0" applyNumberFormat="1" applyFont="1" applyFill="1" applyBorder="1" applyAlignment="1">
      <alignment horizontal="left"/>
    </xf>
    <xf numFmtId="0" fontId="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5" fillId="22"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35" fillId="0" borderId="9" xfId="0" applyFont="1" applyFill="1" applyBorder="1"/>
    <xf numFmtId="0" fontId="0" fillId="22" borderId="1" xfId="0" applyFill="1" applyBorder="1"/>
    <xf numFmtId="0" fontId="7" fillId="22" borderId="0" xfId="0" applyNumberFormat="1" applyFont="1" applyFill="1" applyBorder="1" applyAlignment="1">
      <alignment horizontal="right"/>
    </xf>
    <xf numFmtId="0" fontId="0" fillId="22" borderId="8" xfId="0" applyFill="1" applyBorder="1"/>
    <xf numFmtId="0" fontId="7" fillId="22" borderId="0" xfId="0" applyFont="1" applyFill="1" applyBorder="1" applyAlignment="1">
      <alignment horizontal="left"/>
    </xf>
    <xf numFmtId="0" fontId="25" fillId="22" borderId="1" xfId="0" applyFont="1" applyFill="1" applyBorder="1"/>
    <xf numFmtId="0" fontId="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7" fillId="0" borderId="0" xfId="51" applyFont="1"/>
    <xf numFmtId="37" fontId="6" fillId="0" borderId="0" xfId="51"/>
    <xf numFmtId="37" fontId="6" fillId="0" borderId="0" xfId="51" applyFont="1"/>
    <xf numFmtId="37" fontId="0" fillId="0" borderId="0" xfId="51" applyFont="1"/>
    <xf numFmtId="2" fontId="0" fillId="22" borderId="0" xfId="0" applyNumberFormat="1" applyFill="1" applyBorder="1"/>
    <xf numFmtId="2" fontId="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4" fillId="22" borderId="0" xfId="0" applyNumberFormat="1" applyFont="1" applyFill="1" applyBorder="1"/>
    <xf numFmtId="0" fontId="14" fillId="22"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9" fillId="0" borderId="0" xfId="54" applyNumberFormat="1" applyFont="1" applyFill="1" applyBorder="1" applyAlignment="1">
      <alignment horizontal="right"/>
    </xf>
    <xf numFmtId="0" fontId="0" fillId="22" borderId="0" xfId="4" applyNumberFormat="1" applyFont="1" applyFill="1"/>
    <xf numFmtId="0" fontId="7" fillId="22" borderId="0" xfId="4" applyNumberFormat="1" applyFont="1" applyFill="1" applyBorder="1" applyAlignment="1">
      <alignment horizontal="right"/>
    </xf>
    <xf numFmtId="0" fontId="7" fillId="0" borderId="0" xfId="4" applyNumberFormat="1" applyFont="1" applyFill="1"/>
    <xf numFmtId="0" fontId="0" fillId="0" borderId="0" xfId="4" applyNumberFormat="1" applyFont="1" applyFill="1" applyBorder="1" applyAlignment="1">
      <alignment horizontal="right"/>
    </xf>
    <xf numFmtId="0" fontId="7" fillId="0" borderId="0" xfId="4" applyNumberFormat="1" applyFont="1" applyFill="1" applyBorder="1" applyAlignment="1">
      <alignment horizontal="right"/>
    </xf>
    <xf numFmtId="0" fontId="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8" fillId="23" borderId="6" xfId="54" applyNumberFormat="1" applyFont="1" applyFill="1" applyBorder="1"/>
    <xf numFmtId="43" fontId="36" fillId="23" borderId="6" xfId="54" applyNumberFormat="1" applyFont="1" applyFill="1" applyBorder="1" applyAlignment="1">
      <alignment horizontal="center"/>
    </xf>
    <xf numFmtId="43" fontId="18" fillId="23" borderId="6" xfId="54" applyNumberFormat="1" applyFont="1" applyFill="1" applyBorder="1" applyAlignment="1"/>
    <xf numFmtId="43" fontId="0" fillId="0" borderId="6" xfId="54" applyNumberFormat="1" applyFont="1" applyBorder="1"/>
    <xf numFmtId="43" fontId="1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2" fontId="14" fillId="0" borderId="0" xfId="0" applyNumberFormat="1" applyFont="1" applyFill="1"/>
    <xf numFmtId="2" fontId="0" fillId="0" borderId="0" xfId="0" applyNumberFormat="1" applyFont="1" applyFill="1"/>
    <xf numFmtId="0" fontId="7" fillId="22" borderId="0" xfId="4" applyNumberFormat="1" applyFont="1" applyFill="1"/>
    <xf numFmtId="0" fontId="7" fillId="22" borderId="0" xfId="4" applyNumberFormat="1" applyFont="1" applyFill="1" applyBorder="1"/>
    <xf numFmtId="0" fontId="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6" fillId="0" borderId="0" xfId="54" applyNumberFormat="1" applyFont="1" applyBorder="1" applyAlignment="1">
      <alignment vertical="center" textRotation="90"/>
    </xf>
    <xf numFmtId="43" fontId="0" fillId="0" borderId="15" xfId="54" applyNumberFormat="1" applyFont="1" applyBorder="1"/>
    <xf numFmtId="43" fontId="1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6" fillId="0" borderId="0" xfId="0" applyFont="1" applyAlignment="1">
      <alignment vertical="top" wrapText="1"/>
    </xf>
    <xf numFmtId="0" fontId="6" fillId="0" borderId="4" xfId="0" applyFont="1" applyBorder="1" applyAlignment="1">
      <alignment vertical="top" wrapText="1"/>
    </xf>
    <xf numFmtId="0" fontId="25" fillId="0" borderId="0" xfId="0" applyFont="1"/>
    <xf numFmtId="0" fontId="6" fillId="0" borderId="0" xfId="0" applyFont="1" applyFill="1" applyBorder="1"/>
    <xf numFmtId="168" fontId="48" fillId="0" borderId="0" xfId="37" applyNumberFormat="1" applyFont="1" applyFill="1" applyBorder="1" applyAlignment="1" applyProtection="1">
      <alignment horizontal="left"/>
    </xf>
    <xf numFmtId="0" fontId="26" fillId="0" borderId="0" xfId="0" applyFont="1" applyFill="1" applyBorder="1"/>
    <xf numFmtId="0" fontId="41" fillId="0" borderId="0" xfId="37" applyFont="1" applyFill="1" applyBorder="1" applyAlignment="1" applyProtection="1">
      <alignment horizontal="left" vertical="top" wrapText="1" readingOrder="1"/>
      <protection locked="0"/>
    </xf>
    <xf numFmtId="0" fontId="42" fillId="0" borderId="0" xfId="0"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0" fontId="44" fillId="0" borderId="0" xfId="0" applyFont="1" applyFill="1" applyBorder="1" applyAlignment="1" applyProtection="1">
      <alignment vertical="top" wrapText="1" readingOrder="1"/>
      <protection locked="0"/>
    </xf>
    <xf numFmtId="0" fontId="0" fillId="0" borderId="0" xfId="0" applyFont="1" applyFill="1" applyBorder="1"/>
    <xf numFmtId="167" fontId="45"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6" fillId="0" borderId="0" xfId="37" applyFill="1" applyBorder="1" applyAlignment="1">
      <alignment readingOrder="1"/>
    </xf>
    <xf numFmtId="49" fontId="8" fillId="0" borderId="0" xfId="57" applyNumberFormat="1" applyFont="1" applyFill="1" applyBorder="1" applyAlignment="1">
      <alignment horizontal="right"/>
    </xf>
    <xf numFmtId="49" fontId="50" fillId="0" borderId="0" xfId="58" applyNumberFormat="1" applyFont="1" applyFill="1" applyBorder="1" applyAlignment="1">
      <alignment horizontal="right"/>
    </xf>
    <xf numFmtId="0" fontId="46" fillId="0" borderId="0" xfId="0" applyFont="1" applyFill="1" applyBorder="1"/>
    <xf numFmtId="0" fontId="25" fillId="22" borderId="0" xfId="0" applyFont="1" applyFill="1"/>
    <xf numFmtId="0" fontId="25" fillId="0" borderId="0" xfId="0" applyFont="1" applyFill="1"/>
    <xf numFmtId="0" fontId="0" fillId="22" borderId="0" xfId="0" quotePrefix="1" applyFill="1"/>
    <xf numFmtId="0" fontId="7" fillId="22" borderId="13" xfId="0" applyFont="1" applyFill="1" applyBorder="1"/>
    <xf numFmtId="0" fontId="7" fillId="22" borderId="4" xfId="0" applyFont="1" applyFill="1" applyBorder="1"/>
    <xf numFmtId="0" fontId="0" fillId="22" borderId="4" xfId="0" applyFont="1" applyFill="1" applyBorder="1"/>
    <xf numFmtId="0" fontId="4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6" fillId="0" borderId="0" xfId="37" applyFill="1" applyBorder="1"/>
    <xf numFmtId="0" fontId="9" fillId="22" borderId="0" xfId="0" applyFont="1" applyFill="1" applyBorder="1"/>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0" fontId="19" fillId="0" borderId="0" xfId="0" applyFont="1" applyAlignment="1"/>
    <xf numFmtId="0" fontId="51" fillId="0" borderId="0" xfId="0" applyFont="1"/>
    <xf numFmtId="0" fontId="7" fillId="25" borderId="16" xfId="60" applyFont="1" applyFill="1" applyBorder="1" applyProtection="1"/>
    <xf numFmtId="170" fontId="7" fillId="25" borderId="16" xfId="60" applyNumberFormat="1" applyFont="1" applyFill="1" applyBorder="1" applyAlignment="1" applyProtection="1">
      <alignment horizontal="left"/>
    </xf>
    <xf numFmtId="0" fontId="6" fillId="25" borderId="0" xfId="0" applyFont="1" applyFill="1" applyBorder="1"/>
    <xf numFmtId="0" fontId="7" fillId="25" borderId="22" xfId="60" applyFont="1" applyFill="1" applyBorder="1" applyAlignment="1" applyProtection="1">
      <protection locked="0"/>
    </xf>
    <xf numFmtId="0" fontId="7" fillId="25" borderId="17" xfId="60" applyFont="1" applyFill="1" applyBorder="1" applyAlignment="1" applyProtection="1">
      <alignment wrapText="1"/>
    </xf>
    <xf numFmtId="0" fontId="7" fillId="25" borderId="17" xfId="60" applyFont="1" applyFill="1" applyBorder="1" applyAlignment="1" applyProtection="1"/>
    <xf numFmtId="0" fontId="2" fillId="0" borderId="18" xfId="60" applyFill="1" applyBorder="1" applyAlignment="1" applyProtection="1">
      <protection locked="0"/>
    </xf>
    <xf numFmtId="0" fontId="7" fillId="25" borderId="16" xfId="60" applyFont="1" applyFill="1" applyBorder="1" applyAlignment="1" applyProtection="1">
      <alignment horizontal="left"/>
    </xf>
    <xf numFmtId="0" fontId="39" fillId="25" borderId="21" xfId="60" applyFont="1" applyFill="1" applyBorder="1" applyAlignment="1" applyProtection="1">
      <protection locked="0"/>
    </xf>
    <xf numFmtId="167" fontId="42" fillId="0" borderId="0" xfId="37" applyNumberFormat="1" applyFont="1" applyFill="1" applyBorder="1" applyAlignment="1" applyProtection="1">
      <alignment horizontal="right" vertical="top" wrapText="1" readingOrder="1"/>
      <protection locked="0"/>
    </xf>
    <xf numFmtId="0" fontId="8" fillId="22" borderId="0" xfId="0" applyFont="1" applyFill="1" applyBorder="1"/>
    <xf numFmtId="0" fontId="39" fillId="0" borderId="0" xfId="0" applyFont="1" applyFill="1" applyBorder="1" applyAlignment="1" applyProtection="1">
      <alignment vertical="top" wrapText="1" readingOrder="1"/>
      <protection locked="0"/>
    </xf>
    <xf numFmtId="0" fontId="0" fillId="25" borderId="0" xfId="0" applyFont="1" applyFill="1" applyBorder="1"/>
    <xf numFmtId="0" fontId="45" fillId="0" borderId="0" xfId="37"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vertical="top" wrapText="1" readingOrder="1"/>
      <protection locked="0"/>
    </xf>
    <xf numFmtId="167" fontId="42" fillId="0" borderId="0" xfId="37" applyNumberFormat="1" applyFont="1" applyFill="1" applyBorder="1" applyAlignment="1" applyProtection="1">
      <alignment vertical="top" wrapText="1" readingOrder="1"/>
      <protection locked="0"/>
    </xf>
    <xf numFmtId="0" fontId="47"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wrapText="1" readingOrder="1"/>
      <protection locked="0"/>
    </xf>
    <xf numFmtId="167" fontId="43"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right" vertical="top" wrapText="1" readingOrder="1"/>
      <protection locked="0"/>
    </xf>
    <xf numFmtId="167" fontId="45" fillId="0" borderId="0" xfId="37" applyNumberFormat="1" applyFont="1" applyAlignment="1" applyProtection="1">
      <alignment horizontal="right" vertical="top" wrapText="1" readingOrder="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41" fillId="0" borderId="0" xfId="37" applyFont="1" applyBorder="1" applyAlignment="1" applyProtection="1">
      <alignment wrapText="1" readingOrder="1"/>
      <protection locked="0"/>
    </xf>
    <xf numFmtId="0" fontId="41" fillId="0" borderId="0" xfId="37" applyFont="1" applyBorder="1" applyAlignment="1" applyProtection="1">
      <alignment horizontal="left" vertical="top" wrapText="1" readingOrder="1"/>
      <protection locked="0"/>
    </xf>
    <xf numFmtId="0" fontId="6" fillId="0" borderId="0" xfId="37"/>
    <xf numFmtId="0" fontId="6" fillId="0" borderId="0" xfId="37" applyAlignment="1">
      <alignment readingOrder="1"/>
    </xf>
    <xf numFmtId="0" fontId="0" fillId="0" borderId="16" xfId="60" applyFont="1" applyFill="1" applyBorder="1" applyProtection="1">
      <protection locked="0"/>
    </xf>
    <xf numFmtId="0" fontId="44" fillId="0" borderId="4" xfId="37" applyFont="1" applyBorder="1" applyAlignment="1" applyProtection="1">
      <alignment horizontal="right" vertical="top" wrapText="1" readingOrder="1"/>
      <protection locked="0"/>
    </xf>
    <xf numFmtId="0" fontId="44" fillId="0" borderId="0" xfId="37" applyFont="1" applyBorder="1" applyAlignment="1" applyProtection="1">
      <alignment horizontal="right" vertical="top" wrapText="1" readingOrder="1"/>
      <protection locked="0"/>
    </xf>
    <xf numFmtId="0" fontId="52" fillId="22" borderId="0" xfId="0" applyNumberFormat="1" applyFont="1" applyFill="1"/>
    <xf numFmtId="0" fontId="53" fillId="22" borderId="0" xfId="0" applyFont="1" applyFill="1"/>
    <xf numFmtId="0" fontId="53" fillId="22" borderId="0" xfId="0" applyFont="1" applyFill="1" applyAlignment="1">
      <alignment horizontal="right"/>
    </xf>
    <xf numFmtId="10" fontId="6" fillId="22" borderId="0" xfId="4" applyNumberFormat="1" applyFont="1" applyFill="1" applyAlignment="1">
      <alignment horizontal="right"/>
    </xf>
    <xf numFmtId="0" fontId="6" fillId="25" borderId="0" xfId="0" applyFont="1" applyFill="1" applyBorder="1" applyAlignment="1">
      <alignment wrapText="1"/>
    </xf>
    <xf numFmtId="0" fontId="8" fillId="22" borderId="4" xfId="0" applyFont="1" applyFill="1" applyBorder="1"/>
    <xf numFmtId="0" fontId="7" fillId="25" borderId="23" xfId="60" applyFont="1" applyFill="1" applyBorder="1" applyProtection="1"/>
    <xf numFmtId="0" fontId="7" fillId="0" borderId="0" xfId="0" applyFont="1" applyFill="1" applyBorder="1" applyProtection="1"/>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0" fillId="0" borderId="0" xfId="0" applyFill="1" applyBorder="1" applyProtection="1">
      <protection locked="0"/>
    </xf>
    <xf numFmtId="0" fontId="54" fillId="22" borderId="1" xfId="0" applyFont="1" applyFill="1" applyBorder="1"/>
    <xf numFmtId="0" fontId="54" fillId="22" borderId="0" xfId="0" applyFont="1" applyFill="1"/>
    <xf numFmtId="0" fontId="54" fillId="22" borderId="1" xfId="0" applyNumberFormat="1" applyFont="1" applyFill="1" applyBorder="1" applyAlignment="1">
      <alignment horizontal="left"/>
    </xf>
    <xf numFmtId="165" fontId="55" fillId="22" borderId="0" xfId="54" applyNumberFormat="1" applyFont="1" applyFill="1" applyBorder="1" applyAlignment="1">
      <alignment horizontal="right"/>
    </xf>
    <xf numFmtId="0" fontId="55" fillId="22" borderId="0" xfId="0" applyFont="1" applyFill="1" applyBorder="1"/>
    <xf numFmtId="0" fontId="55" fillId="22" borderId="3" xfId="0" applyFont="1" applyFill="1" applyBorder="1"/>
    <xf numFmtId="0" fontId="55" fillId="22" borderId="4" xfId="0" applyFont="1" applyFill="1" applyBorder="1"/>
    <xf numFmtId="0" fontId="54" fillId="22" borderId="0" xfId="0" applyFont="1" applyFill="1" applyBorder="1"/>
    <xf numFmtId="1" fontId="54" fillId="22" borderId="0" xfId="0" applyNumberFormat="1" applyFont="1" applyFill="1" applyBorder="1" applyAlignment="1">
      <alignment horizontal="left"/>
    </xf>
    <xf numFmtId="0" fontId="54" fillId="22" borderId="0" xfId="0" applyNumberFormat="1" applyFont="1" applyFill="1" applyBorder="1" applyAlignment="1">
      <alignment horizontal="left"/>
    </xf>
    <xf numFmtId="0" fontId="54" fillId="22" borderId="8" xfId="0" applyFont="1" applyFill="1" applyBorder="1"/>
    <xf numFmtId="0" fontId="54" fillId="22" borderId="9" xfId="0" applyFont="1" applyFill="1" applyBorder="1"/>
    <xf numFmtId="0" fontId="54" fillId="22" borderId="1" xfId="0" applyNumberFormat="1" applyFont="1" applyFill="1" applyBorder="1" applyAlignment="1">
      <alignment wrapText="1"/>
    </xf>
    <xf numFmtId="0" fontId="54" fillId="22" borderId="0" xfId="0" applyNumberFormat="1" applyFont="1" applyFill="1" applyBorder="1" applyAlignment="1">
      <alignment wrapText="1"/>
    </xf>
    <xf numFmtId="1" fontId="54" fillId="22" borderId="1" xfId="0" applyNumberFormat="1" applyFont="1" applyFill="1" applyBorder="1" applyAlignment="1">
      <alignment horizontal="left"/>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7" fillId="22" borderId="8" xfId="0" applyFont="1" applyFill="1" applyBorder="1"/>
    <xf numFmtId="0" fontId="7" fillId="22" borderId="7" xfId="0" applyFont="1" applyFill="1" applyBorder="1"/>
    <xf numFmtId="0" fontId="57" fillId="0" borderId="26" xfId="60" applyFont="1" applyFill="1" applyBorder="1" applyAlignment="1" applyProtection="1">
      <alignment wrapText="1"/>
      <protection locked="0"/>
    </xf>
    <xf numFmtId="0" fontId="57" fillId="0" borderId="27" xfId="60" applyFont="1" applyFill="1" applyBorder="1" applyAlignment="1" applyProtection="1">
      <alignment wrapText="1"/>
      <protection locked="0"/>
    </xf>
    <xf numFmtId="0" fontId="57" fillId="0" borderId="28" xfId="60" applyFont="1" applyFill="1" applyBorder="1" applyAlignment="1" applyProtection="1">
      <alignment wrapText="1"/>
      <protection locked="0"/>
    </xf>
    <xf numFmtId="0" fontId="57" fillId="0" borderId="24" xfId="60" applyFont="1" applyFill="1" applyBorder="1" applyAlignment="1" applyProtection="1">
      <alignment wrapText="1"/>
      <protection locked="0"/>
    </xf>
    <xf numFmtId="0" fontId="57" fillId="0" borderId="29" xfId="60" applyFont="1" applyFill="1" applyBorder="1" applyAlignment="1" applyProtection="1">
      <alignment wrapText="1"/>
      <protection locked="0"/>
    </xf>
    <xf numFmtId="0" fontId="57" fillId="0" borderId="25" xfId="60" applyFont="1" applyFill="1" applyBorder="1" applyAlignment="1" applyProtection="1">
      <alignment wrapText="1"/>
      <protection locked="0"/>
    </xf>
    <xf numFmtId="0" fontId="57" fillId="0" borderId="30" xfId="60" applyFont="1" applyFill="1" applyBorder="1" applyAlignment="1" applyProtection="1">
      <alignment wrapText="1"/>
      <protection locked="0"/>
    </xf>
    <xf numFmtId="0" fontId="57" fillId="0" borderId="31" xfId="60" applyFont="1" applyFill="1" applyBorder="1" applyAlignment="1" applyProtection="1">
      <alignment vertical="top" wrapText="1"/>
      <protection locked="0"/>
    </xf>
    <xf numFmtId="0" fontId="7" fillId="22" borderId="32" xfId="0" applyFont="1" applyFill="1" applyBorder="1"/>
    <xf numFmtId="0" fontId="57" fillId="0" borderId="33" xfId="60" applyFont="1" applyFill="1" applyBorder="1" applyAlignment="1" applyProtection="1">
      <alignment wrapText="1"/>
      <protection locked="0"/>
    </xf>
    <xf numFmtId="0" fontId="57" fillId="0" borderId="34" xfId="60" applyFont="1" applyFill="1" applyBorder="1" applyAlignment="1" applyProtection="1">
      <alignment vertical="top" wrapText="1"/>
      <protection locked="0"/>
    </xf>
    <xf numFmtId="0" fontId="0" fillId="25" borderId="0" xfId="0" applyFill="1"/>
    <xf numFmtId="0" fontId="57" fillId="0" borderId="32" xfId="60" applyFont="1" applyFill="1" applyBorder="1" applyAlignment="1" applyProtection="1">
      <alignment wrapText="1"/>
      <protection locked="0"/>
    </xf>
    <xf numFmtId="0" fontId="57" fillId="0" borderId="36" xfId="60" applyFont="1" applyFill="1" applyBorder="1" applyAlignment="1" applyProtection="1">
      <alignment wrapText="1"/>
      <protection locked="0"/>
    </xf>
    <xf numFmtId="0" fontId="0" fillId="0" borderId="35" xfId="0" applyBorder="1" applyAlignment="1">
      <alignment horizontal="center"/>
    </xf>
    <xf numFmtId="0" fontId="56" fillId="25" borderId="0" xfId="0" applyFont="1" applyFill="1"/>
    <xf numFmtId="0" fontId="0" fillId="0" borderId="0" xfId="0" quotePrefix="1" applyAlignment="1">
      <alignment horizontal="left" indent="2"/>
    </xf>
    <xf numFmtId="0" fontId="1" fillId="0" borderId="16" xfId="60" applyFont="1" applyFill="1" applyBorder="1" applyAlignment="1" applyProtection="1">
      <alignment wrapText="1"/>
      <protection locked="0"/>
    </xf>
    <xf numFmtId="0" fontId="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24" fillId="23" borderId="0" xfId="0" quotePrefix="1" applyNumberFormat="1" applyFont="1" applyFill="1" applyAlignment="1">
      <alignment horizontal="center"/>
    </xf>
    <xf numFmtId="0" fontId="7"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7" fillId="0" borderId="0" xfId="0" applyFont="1" applyAlignment="1">
      <alignment horizontal="left"/>
    </xf>
    <xf numFmtId="2" fontId="0" fillId="0" borderId="0" xfId="4" applyNumberFormat="1" applyFont="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1" xfId="0" applyFont="1" applyBorder="1" applyAlignment="1">
      <alignment horizontal="left" vertical="top"/>
    </xf>
    <xf numFmtId="0" fontId="7" fillId="0" borderId="0" xfId="0" applyFont="1" applyBorder="1" applyAlignment="1">
      <alignment horizontal="left" vertical="top"/>
    </xf>
    <xf numFmtId="2" fontId="7" fillId="0" borderId="0" xfId="4" applyNumberFormat="1" applyFont="1" applyAlignment="1">
      <alignment horizontal="right"/>
    </xf>
    <xf numFmtId="1" fontId="0" fillId="0" borderId="0" xfId="0" applyNumberFormat="1" applyAlignment="1">
      <alignment horizontal="center"/>
    </xf>
    <xf numFmtId="0" fontId="22" fillId="23" borderId="0" xfId="0" applyFont="1" applyFill="1" applyAlignment="1">
      <alignment horizontal="center" vertical="center"/>
    </xf>
    <xf numFmtId="0" fontId="38" fillId="23" borderId="0" xfId="0" applyFont="1" applyFill="1" applyAlignment="1">
      <alignment horizontal="center" vertical="center"/>
    </xf>
    <xf numFmtId="0" fontId="19" fillId="0" borderId="0" xfId="0" applyFont="1" applyAlignment="1">
      <alignment horizont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15" xfId="54" applyNumberFormat="1" applyFont="1" applyBorder="1" applyAlignment="1">
      <alignment horizontal="center"/>
    </xf>
    <xf numFmtId="0" fontId="7"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43" fontId="0" fillId="0" borderId="15" xfId="54" applyNumberFormat="1" applyFont="1" applyBorder="1" applyAlignment="1">
      <alignment horizontal="center" vertical="center" textRotation="90"/>
    </xf>
    <xf numFmtId="43" fontId="6" fillId="0" borderId="0" xfId="54" applyNumberFormat="1" applyFont="1" applyBorder="1" applyAlignment="1">
      <alignment horizontal="center" vertical="center" textRotation="90"/>
    </xf>
    <xf numFmtId="0" fontId="6" fillId="0" borderId="0" xfId="0" applyFont="1" applyAlignment="1">
      <alignment horizontal="left" vertical="top" wrapText="1"/>
    </xf>
    <xf numFmtId="0" fontId="20" fillId="5" borderId="4" xfId="0" applyFont="1" applyFill="1" applyBorder="1" applyAlignment="1">
      <alignment horizontal="center"/>
    </xf>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37" fillId="23" borderId="0" xfId="0" applyFont="1" applyFill="1" applyAlignment="1">
      <alignment horizontal="center" vertical="center"/>
    </xf>
    <xf numFmtId="0" fontId="9" fillId="2" borderId="4" xfId="0" applyFont="1" applyFill="1" applyBorder="1" applyAlignment="1">
      <alignment horizontal="center"/>
    </xf>
    <xf numFmtId="1" fontId="8" fillId="0" borderId="4" xfId="4" applyNumberFormat="1" applyFont="1" applyBorder="1" applyAlignment="1">
      <alignment horizontal="center"/>
    </xf>
    <xf numFmtId="43" fontId="6" fillId="0" borderId="15" xfId="54" applyNumberFormat="1" applyFont="1" applyBorder="1" applyAlignment="1">
      <alignment horizontal="center"/>
    </xf>
    <xf numFmtId="164" fontId="6" fillId="0" borderId="6" xfId="54" applyNumberFormat="1" applyFont="1" applyBorder="1" applyAlignment="1">
      <alignment horizontal="center"/>
    </xf>
    <xf numFmtId="0" fontId="6" fillId="0" borderId="8"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xf>
    <xf numFmtId="0" fontId="12" fillId="3" borderId="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18" fillId="23" borderId="6" xfId="54" applyNumberFormat="1" applyFont="1" applyFill="1" applyBorder="1" applyAlignment="1">
      <alignment horizontal="center"/>
    </xf>
    <xf numFmtId="0" fontId="7" fillId="0" borderId="7" xfId="0" applyFont="1" applyBorder="1" applyAlignment="1">
      <alignment horizontal="left" vertical="top"/>
    </xf>
    <xf numFmtId="0" fontId="7" fillId="0" borderId="2" xfId="0" applyFont="1" applyBorder="1" applyAlignment="1">
      <alignment horizontal="left" vertical="top"/>
    </xf>
    <xf numFmtId="0" fontId="20" fillId="6" borderId="4" xfId="0" applyFont="1" applyFill="1" applyBorder="1" applyAlignment="1">
      <alignment horizontal="center"/>
    </xf>
    <xf numFmtId="0" fontId="10" fillId="0" borderId="0" xfId="0" applyFont="1" applyAlignment="1">
      <alignment horizontal="left"/>
    </xf>
    <xf numFmtId="0" fontId="20" fillId="23" borderId="4" xfId="0" applyFont="1" applyFill="1" applyBorder="1" applyAlignment="1">
      <alignment horizontal="center"/>
    </xf>
    <xf numFmtId="0" fontId="0" fillId="23" borderId="4" xfId="0" applyFill="1" applyBorder="1" applyAlignment="1">
      <alignment horizontal="center"/>
    </xf>
    <xf numFmtId="0" fontId="12" fillId="3" borderId="0" xfId="0" applyFont="1" applyFill="1" applyAlignment="1" applyProtection="1">
      <alignment horizontal="left" vertical="top" wrapText="1"/>
      <protection locked="0"/>
    </xf>
    <xf numFmtId="0" fontId="0" fillId="0" borderId="0" xfId="0" applyFont="1" applyAlignment="1">
      <alignment horizontal="left"/>
    </xf>
    <xf numFmtId="0" fontId="6" fillId="0" borderId="0" xfId="0" applyFont="1" applyAlignment="1">
      <alignment horizontal="left"/>
    </xf>
    <xf numFmtId="0" fontId="6"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2" fontId="7" fillId="21" borderId="0" xfId="4" applyNumberFormat="1" applyFont="1" applyFill="1" applyAlignment="1">
      <alignment horizontal="center"/>
    </xf>
    <xf numFmtId="0" fontId="7" fillId="21" borderId="0" xfId="0" applyFont="1" applyFill="1" applyAlignment="1">
      <alignment horizontal="center"/>
    </xf>
    <xf numFmtId="0" fontId="25" fillId="22" borderId="1" xfId="0" applyNumberFormat="1" applyFont="1" applyFill="1" applyBorder="1" applyAlignment="1">
      <alignment horizontal="left" wrapText="1"/>
    </xf>
    <xf numFmtId="0" fontId="25" fillId="22" borderId="0" xfId="0" applyNumberFormat="1" applyFont="1" applyFill="1" applyBorder="1" applyAlignment="1">
      <alignment horizontal="left" wrapText="1"/>
    </xf>
    <xf numFmtId="0" fontId="54" fillId="22" borderId="1" xfId="0" applyFont="1" applyFill="1" applyBorder="1" applyAlignment="1">
      <alignment horizontal="left" vertical="top" wrapText="1"/>
    </xf>
    <xf numFmtId="0" fontId="54" fillId="22" borderId="0" xfId="0" applyFont="1" applyFill="1" applyBorder="1" applyAlignment="1">
      <alignment horizontal="left" vertical="top" wrapText="1"/>
    </xf>
    <xf numFmtId="0" fontId="54" fillId="22" borderId="2" xfId="0" applyFont="1" applyFill="1" applyBorder="1" applyAlignment="1">
      <alignment horizontal="left" vertical="top" wrapText="1"/>
    </xf>
    <xf numFmtId="0" fontId="7" fillId="25" borderId="19" xfId="60" applyFont="1" applyFill="1" applyBorder="1" applyAlignment="1" applyProtection="1">
      <alignment horizontal="left" vertical="center" wrapText="1"/>
    </xf>
    <xf numFmtId="0" fontId="7" fillId="25" borderId="20" xfId="60" applyFont="1" applyFill="1" applyBorder="1" applyAlignment="1" applyProtection="1">
      <alignment horizontal="left" vertical="center" wrapText="1"/>
    </xf>
    <xf numFmtId="167" fontId="42"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1"/>
          <c:w val="0.94318861790915431"/>
          <c:h val="0.798165234335877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53"/>
                <c:pt idx="52">
                  <c:v>u</c:v>
                </c:pt>
              </c:strCache>
            </c:strRef>
          </c:cat>
          <c:val>
            <c:numRef>
              <c:f>[0]!TopQuart</c:f>
              <c:numCache>
                <c:formatCode>General</c:formatCode>
                <c:ptCount val="55"/>
                <c:pt idx="0">
                  <c:v>96</c:v>
                </c:pt>
                <c:pt idx="1">
                  <c:v>92</c:v>
                </c:pt>
                <c:pt idx="2">
                  <c:v>91</c:v>
                </c:pt>
                <c:pt idx="3">
                  <c:v>89</c:v>
                </c:pt>
                <c:pt idx="4">
                  <c:v>87</c:v>
                </c:pt>
                <c:pt idx="5">
                  <c:v>87</c:v>
                </c:pt>
                <c:pt idx="6">
                  <c:v>87</c:v>
                </c:pt>
                <c:pt idx="7">
                  <c:v>86</c:v>
                </c:pt>
                <c:pt idx="8">
                  <c:v>86</c:v>
                </c:pt>
                <c:pt idx="9">
                  <c:v>85</c:v>
                </c:pt>
                <c:pt idx="10">
                  <c:v>84</c:v>
                </c:pt>
                <c:pt idx="11">
                  <c:v>83</c:v>
                </c:pt>
                <c:pt idx="12">
                  <c:v>82</c:v>
                </c:pt>
                <c:pt idx="13">
                  <c:v>80</c:v>
                </c:pt>
                <c:pt idx="14">
                  <c:v>80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53"/>
                <c:pt idx="52">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77</c:v>
                </c:pt>
                <c:pt idx="16">
                  <c:v>76</c:v>
                </c:pt>
                <c:pt idx="17">
                  <c:v>76</c:v>
                </c:pt>
                <c:pt idx="18">
                  <c:v>76</c:v>
                </c:pt>
                <c:pt idx="19">
                  <c:v>75</c:v>
                </c:pt>
                <c:pt idx="20">
                  <c:v>74</c:v>
                </c:pt>
                <c:pt idx="21">
                  <c:v>74</c:v>
                </c:pt>
                <c:pt idx="22">
                  <c:v>74</c:v>
                </c:pt>
                <c:pt idx="23">
                  <c:v>74</c:v>
                </c:pt>
                <c:pt idx="24">
                  <c:v>73</c:v>
                </c:pt>
                <c:pt idx="25">
                  <c:v>73</c:v>
                </c:pt>
                <c:pt idx="26">
                  <c:v>72</c:v>
                </c:pt>
                <c:pt idx="27">
                  <c:v>72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53"/>
                <c:pt idx="52">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71</c:v>
                </c:pt>
                <c:pt idx="29">
                  <c:v>71</c:v>
                </c:pt>
                <c:pt idx="30">
                  <c:v>71</c:v>
                </c:pt>
                <c:pt idx="31">
                  <c:v>70</c:v>
                </c:pt>
                <c:pt idx="32">
                  <c:v>67</c:v>
                </c:pt>
                <c:pt idx="33">
                  <c:v>67</c:v>
                </c:pt>
                <c:pt idx="34">
                  <c:v>67</c:v>
                </c:pt>
                <c:pt idx="35">
                  <c:v>66</c:v>
                </c:pt>
                <c:pt idx="36">
                  <c:v>66</c:v>
                </c:pt>
                <c:pt idx="37">
                  <c:v>65</c:v>
                </c:pt>
                <c:pt idx="38">
                  <c:v>64</c:v>
                </c:pt>
                <c:pt idx="39">
                  <c:v>63</c:v>
                </c:pt>
                <c:pt idx="40">
                  <c:v>63</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53"/>
                <c:pt idx="52">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62</c:v>
                </c:pt>
                <c:pt idx="42">
                  <c:v>62</c:v>
                </c:pt>
                <c:pt idx="43">
                  <c:v>60</c:v>
                </c:pt>
                <c:pt idx="44">
                  <c:v>59</c:v>
                </c:pt>
                <c:pt idx="45">
                  <c:v>57</c:v>
                </c:pt>
                <c:pt idx="46">
                  <c:v>56</c:v>
                </c:pt>
                <c:pt idx="47">
                  <c:v>56</c:v>
                </c:pt>
                <c:pt idx="48">
                  <c:v>52</c:v>
                </c:pt>
                <c:pt idx="49">
                  <c:v>51</c:v>
                </c:pt>
                <c:pt idx="50">
                  <c:v>51</c:v>
                </c:pt>
                <c:pt idx="51">
                  <c:v>50</c:v>
                </c:pt>
                <c:pt idx="52">
                  <c:v>49</c:v>
                </c:pt>
                <c:pt idx="53">
                  <c:v>43</c:v>
                </c:pt>
                <c:pt idx="54">
                  <c:v>42</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53"/>
                <c:pt idx="52">
                  <c:v>u</c:v>
                </c:pt>
              </c:strCache>
            </c:strRef>
          </c:cat>
          <c:val>
            <c:numRef>
              <c:f>[0]!MarkData</c:f>
              <c:numCache>
                <c:formatCode>0.00</c:formatCode>
                <c:ptCount val="55"/>
                <c:pt idx="0">
                  <c:v>96</c:v>
                </c:pt>
                <c:pt idx="1">
                  <c:v>92</c:v>
                </c:pt>
                <c:pt idx="2">
                  <c:v>91</c:v>
                </c:pt>
                <c:pt idx="3">
                  <c:v>89</c:v>
                </c:pt>
                <c:pt idx="4">
                  <c:v>87</c:v>
                </c:pt>
                <c:pt idx="5">
                  <c:v>87</c:v>
                </c:pt>
                <c:pt idx="6">
                  <c:v>87</c:v>
                </c:pt>
                <c:pt idx="7">
                  <c:v>86</c:v>
                </c:pt>
                <c:pt idx="8">
                  <c:v>86</c:v>
                </c:pt>
                <c:pt idx="9">
                  <c:v>85</c:v>
                </c:pt>
                <c:pt idx="10">
                  <c:v>84</c:v>
                </c:pt>
                <c:pt idx="11">
                  <c:v>83</c:v>
                </c:pt>
                <c:pt idx="12">
                  <c:v>82</c:v>
                </c:pt>
                <c:pt idx="13">
                  <c:v>80</c:v>
                </c:pt>
                <c:pt idx="14">
                  <c:v>80</c:v>
                </c:pt>
                <c:pt idx="15">
                  <c:v>77</c:v>
                </c:pt>
                <c:pt idx="16">
                  <c:v>76</c:v>
                </c:pt>
                <c:pt idx="17">
                  <c:v>76</c:v>
                </c:pt>
                <c:pt idx="18">
                  <c:v>76</c:v>
                </c:pt>
                <c:pt idx="19">
                  <c:v>75</c:v>
                </c:pt>
                <c:pt idx="20">
                  <c:v>74</c:v>
                </c:pt>
                <c:pt idx="21">
                  <c:v>74</c:v>
                </c:pt>
                <c:pt idx="22">
                  <c:v>74</c:v>
                </c:pt>
                <c:pt idx="23">
                  <c:v>74</c:v>
                </c:pt>
                <c:pt idx="24">
                  <c:v>73</c:v>
                </c:pt>
                <c:pt idx="25">
                  <c:v>73</c:v>
                </c:pt>
                <c:pt idx="26">
                  <c:v>72</c:v>
                </c:pt>
                <c:pt idx="27">
                  <c:v>72</c:v>
                </c:pt>
                <c:pt idx="28">
                  <c:v>71</c:v>
                </c:pt>
                <c:pt idx="29">
                  <c:v>71</c:v>
                </c:pt>
                <c:pt idx="30">
                  <c:v>71</c:v>
                </c:pt>
                <c:pt idx="31">
                  <c:v>70</c:v>
                </c:pt>
                <c:pt idx="32">
                  <c:v>67</c:v>
                </c:pt>
                <c:pt idx="33">
                  <c:v>67</c:v>
                </c:pt>
                <c:pt idx="34">
                  <c:v>67</c:v>
                </c:pt>
                <c:pt idx="35">
                  <c:v>66</c:v>
                </c:pt>
                <c:pt idx="36">
                  <c:v>66</c:v>
                </c:pt>
                <c:pt idx="37">
                  <c:v>65</c:v>
                </c:pt>
                <c:pt idx="38">
                  <c:v>64</c:v>
                </c:pt>
                <c:pt idx="39">
                  <c:v>63</c:v>
                </c:pt>
                <c:pt idx="40">
                  <c:v>63</c:v>
                </c:pt>
                <c:pt idx="41">
                  <c:v>62</c:v>
                </c:pt>
                <c:pt idx="42">
                  <c:v>62</c:v>
                </c:pt>
                <c:pt idx="43">
                  <c:v>60</c:v>
                </c:pt>
                <c:pt idx="44">
                  <c:v>59</c:v>
                </c:pt>
                <c:pt idx="45">
                  <c:v>57</c:v>
                </c:pt>
                <c:pt idx="46">
                  <c:v>56</c:v>
                </c:pt>
                <c:pt idx="47">
                  <c:v>56</c:v>
                </c:pt>
                <c:pt idx="48">
                  <c:v>52</c:v>
                </c:pt>
                <c:pt idx="49">
                  <c:v>51</c:v>
                </c:pt>
                <c:pt idx="50">
                  <c:v>51</c:v>
                </c:pt>
                <c:pt idx="51">
                  <c:v>50</c:v>
                </c:pt>
                <c:pt idx="52">
                  <c:v>49</c:v>
                </c:pt>
                <c:pt idx="53">
                  <c:v>43</c:v>
                </c:pt>
                <c:pt idx="54">
                  <c:v>42</c:v>
                </c:pt>
              </c:numCache>
            </c:numRef>
          </c:val>
        </c:ser>
        <c:dLbls>
          <c:showLegendKey val="0"/>
          <c:showVal val="0"/>
          <c:showCatName val="0"/>
          <c:showSerName val="0"/>
          <c:showPercent val="0"/>
          <c:showBubbleSize val="0"/>
        </c:dLbls>
        <c:gapWidth val="0"/>
        <c:overlap val="100"/>
        <c:axId val="541060400"/>
        <c:axId val="541061184"/>
      </c:barChart>
      <c:catAx>
        <c:axId val="541060400"/>
        <c:scaling>
          <c:orientation val="minMax"/>
        </c:scaling>
        <c:delete val="0"/>
        <c:axPos val="b"/>
        <c:numFmt formatCode="General" sourceLinked="1"/>
        <c:majorTickMark val="none"/>
        <c:minorTickMark val="none"/>
        <c:tickLblPos val="none"/>
        <c:crossAx val="541061184"/>
        <c:crosses val="autoZero"/>
        <c:auto val="1"/>
        <c:lblAlgn val="ctr"/>
        <c:lblOffset val="100"/>
        <c:noMultiLvlLbl val="0"/>
      </c:catAx>
      <c:valAx>
        <c:axId val="541061184"/>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541060400"/>
        <c:crosses val="autoZero"/>
        <c:crossBetween val="between"/>
      </c:valAx>
      <c:spPr>
        <a:ln>
          <a:noFill/>
        </a:ln>
      </c:spPr>
    </c:plotArea>
    <c:plotVisOnly val="1"/>
    <c:dispBlanksAs val="gap"/>
    <c:showDLblsOverMax val="0"/>
  </c:chart>
  <c:spPr>
    <a:ln>
      <a:noFill/>
    </a:ln>
  </c:spPr>
  <c:printSettings>
    <c:headerFooter alignWithMargins="0"/>
    <c:pageMargins b="0.75000000000000167" l="0.70000000000000062" r="0.70000000000000062" t="0.7500000000000016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Cheshire East</c:v>
                </c:pt>
                <c:pt idx="1">
                  <c:v>Unitaries</c:v>
                </c:pt>
                <c:pt idx="2">
                  <c:v>Family</c:v>
                </c:pt>
                <c:pt idx="3">
                  <c:v>Regional</c:v>
                </c:pt>
                <c:pt idx="4">
                  <c:v>Rural</c:v>
                </c:pt>
              </c:strCache>
            </c:strRef>
          </c:cat>
          <c:val>
            <c:numRef>
              <c:f>Profile!$E$48:$E$52</c:f>
              <c:numCache>
                <c:formatCode>0.00</c:formatCode>
                <c:ptCount val="5"/>
                <c:pt idx="0">
                  <c:v>49</c:v>
                </c:pt>
                <c:pt idx="1">
                  <c:v>70.581818181818178</c:v>
                </c:pt>
                <c:pt idx="2">
                  <c:v>66.6875</c:v>
                </c:pt>
                <c:pt idx="3">
                  <c:v>58.166666666666664</c:v>
                </c:pt>
                <c:pt idx="4">
                  <c:v>65.166666666666671</c:v>
                </c:pt>
              </c:numCache>
            </c:numRef>
          </c:val>
        </c:ser>
        <c:dLbls>
          <c:showLegendKey val="0"/>
          <c:showVal val="0"/>
          <c:showCatName val="0"/>
          <c:showSerName val="0"/>
          <c:showPercent val="0"/>
          <c:showBubbleSize val="0"/>
        </c:dLbls>
        <c:gapWidth val="39"/>
        <c:overlap val="100"/>
        <c:axId val="541061968"/>
        <c:axId val="54106236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80</c:v>
                </c:pt>
                <c:pt idx="1">
                  <c:v>80</c:v>
                </c:pt>
                <c:pt idx="2">
                  <c:v>80</c:v>
                </c:pt>
                <c:pt idx="3">
                  <c:v>80</c:v>
                </c:pt>
                <c:pt idx="4">
                  <c:v>80</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72</c:v>
                </c:pt>
                <c:pt idx="1">
                  <c:v>72</c:v>
                </c:pt>
                <c:pt idx="2">
                  <c:v>72</c:v>
                </c:pt>
                <c:pt idx="3">
                  <c:v>72</c:v>
                </c:pt>
                <c:pt idx="4">
                  <c:v>72</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62.5</c:v>
                </c:pt>
                <c:pt idx="1">
                  <c:v>62.5</c:v>
                </c:pt>
                <c:pt idx="2">
                  <c:v>62.5</c:v>
                </c:pt>
                <c:pt idx="3">
                  <c:v>62.5</c:v>
                </c:pt>
                <c:pt idx="4">
                  <c:v>62.5</c:v>
                </c:pt>
              </c:numCache>
            </c:numRef>
          </c:val>
          <c:smooth val="0"/>
        </c:ser>
        <c:dLbls>
          <c:showLegendKey val="0"/>
          <c:showVal val="0"/>
          <c:showCatName val="0"/>
          <c:showSerName val="0"/>
          <c:showPercent val="0"/>
          <c:showBubbleSize val="0"/>
        </c:dLbls>
        <c:marker val="1"/>
        <c:smooth val="0"/>
        <c:axId val="541061968"/>
        <c:axId val="541062360"/>
      </c:lineChart>
      <c:catAx>
        <c:axId val="54106196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1062360"/>
        <c:crosses val="autoZero"/>
        <c:auto val="1"/>
        <c:lblAlgn val="ctr"/>
        <c:lblOffset val="100"/>
        <c:noMultiLvlLbl val="0"/>
      </c:catAx>
      <c:valAx>
        <c:axId val="54106236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1061968"/>
        <c:crosses val="autoZero"/>
        <c:crossBetween val="between"/>
      </c:valAx>
    </c:plotArea>
    <c:legend>
      <c:legendPos val="b"/>
      <c:legendEntry>
        <c:idx val="0"/>
        <c:delete val="1"/>
      </c:legendEntry>
      <c:layout>
        <c:manualLayout>
          <c:xMode val="edge"/>
          <c:yMode val="edge"/>
          <c:x val="0.10120783739241893"/>
          <c:y val="0.90916944591436433"/>
          <c:w val="0.85546529939571503"/>
          <c:h val="8.4690001676023002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48E-2"/>
          <c:y val="6.0725521892544918E-2"/>
          <c:w val="0.93589299789538694"/>
          <c:h val="0.6666037440684158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49</c:v>
                </c:pt>
                <c:pt idx="1">
                  <c:v>69.5625</c:v>
                </c:pt>
                <c:pt idx="2">
                  <c:v>72.205882352941174</c:v>
                </c:pt>
                <c:pt idx="3">
                  <c:v>62.8</c:v>
                </c:pt>
              </c:numCache>
            </c:numRef>
          </c:val>
        </c:ser>
        <c:dLbls>
          <c:showLegendKey val="0"/>
          <c:showVal val="0"/>
          <c:showCatName val="0"/>
          <c:showSerName val="0"/>
          <c:showPercent val="0"/>
          <c:showBubbleSize val="0"/>
        </c:dLbls>
        <c:gapWidth val="39"/>
        <c:overlap val="100"/>
        <c:axId val="541881240"/>
        <c:axId val="541881632"/>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80</c:v>
                </c:pt>
                <c:pt idx="1">
                  <c:v>80</c:v>
                </c:pt>
                <c:pt idx="2">
                  <c:v>80</c:v>
                </c:pt>
                <c:pt idx="3">
                  <c:v>80</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72</c:v>
                </c:pt>
                <c:pt idx="1">
                  <c:v>72</c:v>
                </c:pt>
                <c:pt idx="2">
                  <c:v>72</c:v>
                </c:pt>
                <c:pt idx="3">
                  <c:v>72</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62.5</c:v>
                </c:pt>
                <c:pt idx="1">
                  <c:v>62.5</c:v>
                </c:pt>
                <c:pt idx="2">
                  <c:v>62.5</c:v>
                </c:pt>
                <c:pt idx="3">
                  <c:v>62.5</c:v>
                </c:pt>
              </c:numCache>
            </c:numRef>
          </c:val>
          <c:smooth val="0"/>
        </c:ser>
        <c:dLbls>
          <c:showLegendKey val="0"/>
          <c:showVal val="0"/>
          <c:showCatName val="0"/>
          <c:showSerName val="0"/>
          <c:showPercent val="0"/>
          <c:showBubbleSize val="0"/>
        </c:dLbls>
        <c:marker val="1"/>
        <c:smooth val="0"/>
        <c:axId val="541881240"/>
        <c:axId val="541881632"/>
      </c:lineChart>
      <c:catAx>
        <c:axId val="54188124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1881632"/>
        <c:crosses val="autoZero"/>
        <c:auto val="1"/>
        <c:lblAlgn val="ctr"/>
        <c:lblOffset val="100"/>
        <c:noMultiLvlLbl val="0"/>
      </c:catAx>
      <c:valAx>
        <c:axId val="541881632"/>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188124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J5" sqref="J5:S6"/>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297" t="str">
        <f>VLOOKUP('Filtered Data'!D1,'Filtered Data'!L1:O6,3,FALSE)</f>
        <v>Unitary</v>
      </c>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row>
    <row r="2" spans="2:40"/>
    <row r="3" spans="2:40" ht="19.5" customHeight="1">
      <c r="B3" s="320" t="str">
        <f>Data!B3</f>
        <v>Planning Application Turnaround</v>
      </c>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row>
    <row r="4" spans="2:40">
      <c r="D4" s="3"/>
      <c r="E4" s="3"/>
    </row>
    <row r="5" spans="2:40" ht="15.75" customHeight="1">
      <c r="B5" s="342" t="s">
        <v>335</v>
      </c>
      <c r="C5" s="342"/>
      <c r="D5" s="342"/>
      <c r="E5" s="342"/>
      <c r="J5" s="345" t="s">
        <v>305</v>
      </c>
      <c r="K5" s="345"/>
      <c r="L5" s="345"/>
      <c r="M5" s="345"/>
      <c r="N5" s="345"/>
      <c r="O5" s="345"/>
      <c r="P5" s="345"/>
      <c r="Q5" s="345"/>
      <c r="R5" s="345"/>
      <c r="S5" s="345"/>
      <c r="W5" s="325" t="s">
        <v>365</v>
      </c>
      <c r="X5" s="326"/>
      <c r="Y5" s="326"/>
      <c r="Z5" s="326"/>
      <c r="AA5" s="326"/>
      <c r="AB5" s="326"/>
      <c r="AC5" s="326"/>
      <c r="AD5" s="326"/>
      <c r="AE5" s="326"/>
      <c r="AF5" s="326"/>
      <c r="AG5" s="326"/>
      <c r="AH5" s="326"/>
      <c r="AI5" s="326"/>
      <c r="AJ5" s="326"/>
      <c r="AK5" s="326"/>
      <c r="AL5" s="326"/>
      <c r="AM5" s="327"/>
    </row>
    <row r="6" spans="2:40" ht="17.25" customHeight="1">
      <c r="J6" s="345"/>
      <c r="K6" s="345"/>
      <c r="L6" s="345"/>
      <c r="M6" s="345"/>
      <c r="N6" s="345"/>
      <c r="O6" s="345"/>
      <c r="P6" s="345"/>
      <c r="Q6" s="345"/>
      <c r="R6" s="345"/>
      <c r="S6" s="345"/>
      <c r="W6" s="328" t="s">
        <v>895</v>
      </c>
      <c r="X6" s="329"/>
      <c r="Y6" s="329"/>
      <c r="Z6" s="329"/>
      <c r="AA6" s="329"/>
      <c r="AB6" s="329"/>
      <c r="AC6" s="329"/>
      <c r="AD6" s="329"/>
      <c r="AE6" s="329"/>
      <c r="AF6" s="329"/>
      <c r="AG6" s="329"/>
      <c r="AH6" s="329"/>
      <c r="AI6" s="329"/>
      <c r="AJ6" s="329"/>
      <c r="AK6" s="329"/>
      <c r="AL6" s="329"/>
      <c r="AM6" s="330"/>
    </row>
    <row r="7" spans="2:40" ht="12.75" customHeight="1">
      <c r="W7" s="328"/>
      <c r="X7" s="329"/>
      <c r="Y7" s="329"/>
      <c r="Z7" s="329"/>
      <c r="AA7" s="329"/>
      <c r="AB7" s="329"/>
      <c r="AC7" s="329"/>
      <c r="AD7" s="329"/>
      <c r="AE7" s="329"/>
      <c r="AF7" s="329"/>
      <c r="AG7" s="329"/>
      <c r="AH7" s="329"/>
      <c r="AI7" s="329"/>
      <c r="AJ7" s="329"/>
      <c r="AK7" s="329"/>
      <c r="AL7" s="329"/>
      <c r="AM7" s="330"/>
    </row>
    <row r="8" spans="2:40" ht="12.75" customHeight="1">
      <c r="B8" s="346" t="str">
        <f>IF('Filtered Data'!D1="L","County:","Type of Authority:")</f>
        <v>Type of Authority:</v>
      </c>
      <c r="C8" s="347"/>
      <c r="D8" s="347"/>
      <c r="E8" s="347"/>
      <c r="F8" s="347"/>
      <c r="G8" s="347"/>
      <c r="H8" s="347"/>
      <c r="I8" s="347"/>
      <c r="J8" s="79" t="str">
        <f>IF('Filtered Data'!D1="L",'Filtered Data'!I3,VLOOKUP('Filtered Data'!D1,'Filtered Data'!L1:O5,3,FALSE))</f>
        <v>Unitary</v>
      </c>
      <c r="K8" s="79"/>
      <c r="L8" s="79"/>
      <c r="M8" s="79"/>
      <c r="N8" s="79"/>
      <c r="O8" s="79"/>
      <c r="P8" s="79"/>
      <c r="Q8" s="79"/>
      <c r="R8" s="79"/>
      <c r="W8" s="328"/>
      <c r="X8" s="329"/>
      <c r="Y8" s="329"/>
      <c r="Z8" s="329"/>
      <c r="AA8" s="329"/>
      <c r="AB8" s="329"/>
      <c r="AC8" s="329"/>
      <c r="AD8" s="329"/>
      <c r="AE8" s="329"/>
      <c r="AF8" s="329"/>
      <c r="AG8" s="329"/>
      <c r="AH8" s="329"/>
      <c r="AI8" s="329"/>
      <c r="AJ8" s="329"/>
      <c r="AK8" s="329"/>
      <c r="AL8" s="329"/>
      <c r="AM8" s="330"/>
    </row>
    <row r="9" spans="2:40" ht="12.75" customHeight="1">
      <c r="B9" s="346" t="str">
        <f>IF('Filtered Data'!D1="L","Rural Classification:","Region:")</f>
        <v>Region:</v>
      </c>
      <c r="C9" s="347"/>
      <c r="D9" s="347"/>
      <c r="E9" s="347"/>
      <c r="F9" s="347"/>
      <c r="G9" s="347"/>
      <c r="H9" s="347"/>
      <c r="I9" s="347"/>
      <c r="J9" s="79" t="str">
        <f>IF('Filtered Data'!D1="L",'Filtered Data'!H3,'Filtered Data'!G3)</f>
        <v>North West</v>
      </c>
      <c r="K9" s="79"/>
      <c r="L9" s="79"/>
      <c r="M9" s="79"/>
      <c r="N9" s="79"/>
      <c r="O9" s="79"/>
      <c r="P9" s="79"/>
      <c r="Q9" s="79"/>
      <c r="R9" s="79"/>
      <c r="W9" s="328"/>
      <c r="X9" s="329"/>
      <c r="Y9" s="329"/>
      <c r="Z9" s="329"/>
      <c r="AA9" s="329"/>
      <c r="AB9" s="329"/>
      <c r="AC9" s="329"/>
      <c r="AD9" s="329"/>
      <c r="AE9" s="329"/>
      <c r="AF9" s="329"/>
      <c r="AG9" s="329"/>
      <c r="AH9" s="329"/>
      <c r="AI9" s="329"/>
      <c r="AJ9" s="329"/>
      <c r="AK9" s="329"/>
      <c r="AL9" s="329"/>
      <c r="AM9" s="330"/>
    </row>
    <row r="10" spans="2:40" ht="12.75" customHeight="1">
      <c r="B10" s="347" t="str">
        <f>IF('Filtered Data'!D1="L","",IF('Filtered Data'!D1="SC","Rural Classification:",IF('Filtered Data'!D1="UA","Rural Classification:","County:")))</f>
        <v>Rural Classification:</v>
      </c>
      <c r="C10" s="347"/>
      <c r="D10" s="347"/>
      <c r="E10" s="347"/>
      <c r="F10" s="347"/>
      <c r="G10" s="347"/>
      <c r="H10" s="347"/>
      <c r="I10" s="347"/>
      <c r="J10" s="284" t="str">
        <f>IF('Filtered Data'!D1="L","",IF('Filtered Data'!D1="MD",'Filtered Data'!I3,IF('Filtered Data'!D1="SD",'Filtered Data'!I3,'Filtered Data'!H3)))</f>
        <v>Rural-50</v>
      </c>
      <c r="K10" s="284"/>
      <c r="L10" s="284"/>
      <c r="M10" s="284"/>
      <c r="N10" s="284"/>
      <c r="O10" s="284"/>
      <c r="P10" s="284"/>
      <c r="Q10" s="284"/>
      <c r="R10" s="284"/>
      <c r="W10" s="328"/>
      <c r="X10" s="329"/>
      <c r="Y10" s="329"/>
      <c r="Z10" s="329"/>
      <c r="AA10" s="329"/>
      <c r="AB10" s="329"/>
      <c r="AC10" s="329"/>
      <c r="AD10" s="329"/>
      <c r="AE10" s="329"/>
      <c r="AF10" s="329"/>
      <c r="AG10" s="329"/>
      <c r="AH10" s="329"/>
      <c r="AI10" s="329"/>
      <c r="AJ10" s="329"/>
      <c r="AK10" s="329"/>
      <c r="AL10" s="329"/>
      <c r="AM10" s="330"/>
    </row>
    <row r="11" spans="2:40" ht="12.75" customHeight="1">
      <c r="B11" s="347" t="str">
        <f>IF('Filtered Data'!D1="L","",IF('Filtered Data'!D1="SC","",IF('Filtered Data'!D1="UA","","Rural Classification:")))</f>
        <v/>
      </c>
      <c r="C11" s="347"/>
      <c r="D11" s="347"/>
      <c r="E11" s="347"/>
      <c r="F11" s="347"/>
      <c r="G11" s="347"/>
      <c r="H11" s="347"/>
      <c r="I11" s="347"/>
      <c r="J11" s="79" t="str">
        <f>IF('Filtered Data'!D1="MD",'Filtered Data'!H3,IF('Filtered Data'!D1="SD",'Filtered Data'!H3,""))</f>
        <v/>
      </c>
      <c r="K11" s="79"/>
      <c r="W11" s="334" t="s">
        <v>369</v>
      </c>
      <c r="X11" s="335"/>
      <c r="Y11" s="335"/>
      <c r="Z11" s="335"/>
      <c r="AA11" s="335"/>
      <c r="AB11" s="335"/>
      <c r="AC11" s="335"/>
      <c r="AD11" s="335"/>
      <c r="AE11" s="335"/>
      <c r="AF11" s="335"/>
      <c r="AG11" s="335"/>
      <c r="AH11" s="335"/>
      <c r="AI11" s="335"/>
      <c r="AJ11" s="335"/>
      <c r="AK11" s="335"/>
      <c r="AL11" s="335"/>
      <c r="AM11" s="336"/>
    </row>
    <row r="12" spans="2:40" ht="12.75" customHeight="1">
      <c r="W12" s="310" t="s">
        <v>898</v>
      </c>
      <c r="X12" s="311"/>
      <c r="Y12" s="311"/>
      <c r="Z12" s="311"/>
      <c r="AA12" s="311"/>
      <c r="AB12" s="311"/>
      <c r="AC12" s="311"/>
      <c r="AD12" s="311"/>
      <c r="AE12" s="311"/>
      <c r="AF12" s="311"/>
      <c r="AG12" s="311"/>
      <c r="AH12" s="311"/>
      <c r="AI12" s="311"/>
      <c r="AJ12" s="311"/>
      <c r="AK12" s="311"/>
      <c r="AL12" s="311"/>
      <c r="AM12" s="312"/>
    </row>
    <row r="13" spans="2:40" ht="12.75" customHeight="1">
      <c r="B13" s="25"/>
      <c r="C13" s="25"/>
      <c r="D13" s="25"/>
      <c r="E13" s="25"/>
      <c r="F13" s="25"/>
      <c r="G13" s="25"/>
      <c r="H13" s="25"/>
      <c r="I13" s="25"/>
      <c r="J13" s="3"/>
      <c r="K13" s="3"/>
      <c r="L13" s="3"/>
      <c r="M13" s="3"/>
      <c r="N13" s="3"/>
      <c r="O13" s="3"/>
      <c r="P13" s="3"/>
      <c r="Q13" s="3"/>
      <c r="R13" s="3"/>
      <c r="W13" s="348" t="s">
        <v>370</v>
      </c>
      <c r="X13" s="349"/>
      <c r="Y13" s="349"/>
      <c r="Z13" s="349"/>
      <c r="AA13" s="349"/>
      <c r="AB13" s="349"/>
      <c r="AC13" s="349"/>
      <c r="AD13" s="349"/>
      <c r="AE13" s="349"/>
      <c r="AF13" s="349"/>
      <c r="AG13" s="349"/>
      <c r="AH13" s="349"/>
      <c r="AI13" s="349"/>
      <c r="AJ13" s="349"/>
      <c r="AK13" s="349"/>
      <c r="AL13" s="349"/>
      <c r="AM13" s="350"/>
    </row>
    <row r="14" spans="2:40" ht="25.5" customHeight="1">
      <c r="B14" s="25"/>
      <c r="C14" s="25"/>
      <c r="D14" s="25"/>
      <c r="E14" s="25"/>
      <c r="F14" s="25"/>
      <c r="G14" s="25"/>
      <c r="H14" s="25"/>
      <c r="I14" s="25"/>
      <c r="J14" s="3"/>
      <c r="K14" s="3"/>
      <c r="L14" s="3"/>
      <c r="M14" s="3"/>
      <c r="N14" s="3"/>
      <c r="O14" s="3"/>
      <c r="P14" s="3"/>
      <c r="Q14" s="3"/>
      <c r="R14" s="3"/>
      <c r="W14" s="331" t="str">
        <f>HLOOKUP(W6,Data!4:6,3,FALSE)</f>
        <v>www.gov.uk</v>
      </c>
      <c r="X14" s="332"/>
      <c r="Y14" s="332"/>
      <c r="Z14" s="332"/>
      <c r="AA14" s="332"/>
      <c r="AB14" s="332"/>
      <c r="AC14" s="332"/>
      <c r="AD14" s="332"/>
      <c r="AE14" s="332"/>
      <c r="AF14" s="332"/>
      <c r="AG14" s="332"/>
      <c r="AH14" s="332"/>
      <c r="AI14" s="332"/>
      <c r="AJ14" s="332"/>
      <c r="AK14" s="332"/>
      <c r="AL14" s="332"/>
      <c r="AM14" s="333"/>
    </row>
    <row r="15" spans="2:40"/>
    <row r="16" spans="2:40">
      <c r="B16" s="290" t="str">
        <f>W6&amp;" - "&amp;W12</f>
        <v>Major Developments - % within 13 weeks - Year Ending March 2014</v>
      </c>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339"/>
    </row>
    <row r="17" spans="2:42">
      <c r="B17" s="292"/>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340"/>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3" t="s">
        <v>344</v>
      </c>
      <c r="F32" s="344"/>
      <c r="G32" s="344"/>
      <c r="H32" s="344"/>
      <c r="I32" s="344"/>
      <c r="J32" s="344"/>
      <c r="K32" s="322">
        <f>IF('Filtered Data'!$H$8="..",'Filtered Data'!O10,'Filtered Data'!O10/100)</f>
        <v>0.8</v>
      </c>
      <c r="L32" s="322"/>
      <c r="M32" s="322"/>
      <c r="N32" s="321" t="s">
        <v>355</v>
      </c>
      <c r="O32" s="321"/>
      <c r="P32" s="321"/>
      <c r="Q32" s="321"/>
      <c r="R32" s="321"/>
      <c r="S32" s="321"/>
      <c r="T32" s="322">
        <f>IF('Filtered Data'!$H$8="..",'Filtered Data'!P10,'Filtered Data'!P10/100)</f>
        <v>0.72</v>
      </c>
      <c r="U32" s="322"/>
      <c r="V32" s="322"/>
      <c r="W32" s="322"/>
      <c r="X32" s="341" t="s">
        <v>356</v>
      </c>
      <c r="Y32" s="341"/>
      <c r="Z32" s="341"/>
      <c r="AA32" s="341"/>
      <c r="AB32" s="341"/>
      <c r="AC32" s="322">
        <f>IF('Filtered Data'!$H$8="..",'Filtered Data'!Q10,'Filtered Data'!Q10/100)</f>
        <v>0.625</v>
      </c>
      <c r="AD32" s="322"/>
      <c r="AE32" s="322"/>
      <c r="AF32" s="316" t="s">
        <v>345</v>
      </c>
      <c r="AG32" s="316"/>
      <c r="AH32" s="316"/>
      <c r="AI32" s="316"/>
      <c r="AJ32" s="316"/>
      <c r="AK32" s="316"/>
      <c r="AL32" s="316"/>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359</v>
      </c>
      <c r="L35" s="338">
        <f>IF(ISERROR(IF('Filtered Data'!$H$8="%.",(VLOOKUP(J5,'Filtered Data'!C:H,4,FALSE))/100,(VLOOKUP(J5,'Filtered Data'!C:H,4,FALSE)))),"",(IF('Filtered Data'!$H$8="%.",(VLOOKUP(J5,'Filtered Data'!C:H,4,FALSE))/100,(VLOOKUP(J5,'Filtered Data'!C:H,4,FALSE)))))</f>
        <v>0.49</v>
      </c>
      <c r="M35" s="338"/>
      <c r="N35" s="338"/>
      <c r="O35" s="338"/>
      <c r="P35" s="135"/>
      <c r="Q35" s="338" t="s">
        <v>357</v>
      </c>
      <c r="R35" s="338"/>
      <c r="S35" s="338"/>
      <c r="T35" s="338"/>
      <c r="U35" s="338"/>
      <c r="V35" s="338"/>
      <c r="W35" s="338"/>
      <c r="AP35" s="85"/>
    </row>
    <row r="36" spans="2:16384" ht="12.75" customHeight="1">
      <c r="B36" s="337" t="str">
        <f>'Filtered Data'!R8&amp;" Quartile"</f>
        <v>Bottom Quartile</v>
      </c>
      <c r="C36" s="337"/>
      <c r="D36" s="337"/>
      <c r="E36" s="337"/>
      <c r="F36" s="337"/>
      <c r="G36" s="337"/>
      <c r="H36" s="337"/>
      <c r="I36" s="337"/>
      <c r="J36" s="337"/>
      <c r="K36" s="337"/>
      <c r="L36" s="337"/>
      <c r="M36" s="337"/>
      <c r="N36" s="337"/>
      <c r="O36" s="337"/>
      <c r="P36" s="337"/>
      <c r="Q36" s="337"/>
      <c r="R36" s="337"/>
      <c r="S36" s="337"/>
      <c r="T36" s="337"/>
      <c r="U36" s="337"/>
      <c r="V36" s="337"/>
      <c r="W36" s="337"/>
      <c r="Z36" s="21" t="s">
        <v>361</v>
      </c>
      <c r="AB36" s="315" t="s">
        <v>363</v>
      </c>
      <c r="AC36" s="315"/>
      <c r="AD36" s="315"/>
      <c r="AE36" s="315"/>
      <c r="AF36" s="315"/>
      <c r="AG36" s="315"/>
      <c r="AH36" s="315"/>
      <c r="AI36" s="315"/>
      <c r="AJ36" s="315"/>
      <c r="AK36" s="315"/>
      <c r="AL36" s="315"/>
      <c r="AM36" s="154"/>
      <c r="AP36" s="85"/>
    </row>
    <row r="37" spans="2:16384" ht="12.75" customHeight="1">
      <c r="B37" s="136" t="str">
        <f>VLOOKUP('Filtered Data'!D1,'Filtered Data'!L1:O6,2,FALSE)</f>
        <v>Unitaries</v>
      </c>
      <c r="C37" s="136"/>
      <c r="D37" s="136"/>
      <c r="E37" s="136"/>
      <c r="F37" s="136"/>
      <c r="G37" s="136"/>
      <c r="H37" s="136"/>
      <c r="I37" s="136"/>
      <c r="J37" s="313" t="s">
        <v>807</v>
      </c>
      <c r="K37" s="137" t="str">
        <f>IF(Q37="","",IF('Filtered Data'!I8="D",IF($L$35&gt;=L37,"J","L"),IF('Filtered Data'!I8="A",IF($L$35&lt;=L37,"J","L"))))</f>
        <v>L</v>
      </c>
      <c r="L37" s="318">
        <f>'Filtered Data'!M9</f>
        <v>0.70581818181818179</v>
      </c>
      <c r="M37" s="318"/>
      <c r="N37" s="318"/>
      <c r="O37" s="318"/>
      <c r="P37" s="138"/>
      <c r="Q37" s="308">
        <f>VLOOKUP(J5,'Filtered Data'!C:I,7,FALSE)</f>
        <v>53</v>
      </c>
      <c r="R37" s="308"/>
      <c r="S37" s="139"/>
      <c r="T37" s="140" t="s">
        <v>358</v>
      </c>
      <c r="U37" s="141"/>
      <c r="V37" s="308">
        <f>COUNT('Filtered Data'!I11:I363)</f>
        <v>55</v>
      </c>
      <c r="W37" s="308"/>
      <c r="AB37" s="315"/>
      <c r="AC37" s="315"/>
      <c r="AD37" s="315"/>
      <c r="AE37" s="315"/>
      <c r="AF37" s="315"/>
      <c r="AG37" s="315"/>
      <c r="AH37" s="315"/>
      <c r="AI37" s="315"/>
      <c r="AJ37" s="315"/>
      <c r="AK37" s="315"/>
      <c r="AL37" s="315"/>
      <c r="AM37" s="154"/>
      <c r="AP37" s="85"/>
    </row>
    <row r="38" spans="2:16384">
      <c r="B38" s="136" t="str">
        <f>IF('Filtered Data'!D1="L","Family",IF('Filtered Data'!D1="SD",VLOOKUP(J5,classifications!C:J,6,FALSE),"Rural"))</f>
        <v>Rural</v>
      </c>
      <c r="C38" s="136"/>
      <c r="D38" s="136"/>
      <c r="E38" s="136"/>
      <c r="F38" s="136"/>
      <c r="G38" s="136"/>
      <c r="H38" s="136"/>
      <c r="I38" s="136"/>
      <c r="J38" s="314"/>
      <c r="K38" s="137" t="str">
        <f>IF(Q38="","",IF('Filtered Data'!I8="D",IF($L$35&gt;=L38,"J","L"),IF('Filtered Data'!I8="A",IF($L$35&lt;=L38,"J","L"))))</f>
        <v>L</v>
      </c>
      <c r="L38" s="318">
        <f>IF('Filtered Data'!D1="L",'Filtered Data'!AG9,'Filtered Data'!Y9)</f>
        <v>0.65166666666666673</v>
      </c>
      <c r="M38" s="318"/>
      <c r="N38" s="318"/>
      <c r="O38" s="318"/>
      <c r="P38" s="138"/>
      <c r="Q38" s="324">
        <f>IF(ISERROR(IF('Filtered Data'!D1="L",VLOOKUP(J5,'Filtered Data'!AF11:AH26,3,FALSE),VLOOKUP(J5,'Filtered Data'!$L$11:$Z$363,15,FALSE))),"",(IF('Filtered Data'!D1="L",VLOOKUP(J5,'Filtered Data'!AF11:AH26,3,FALSE),VLOOKUP(J5,'Filtered Data'!$L$11:$Z$363,15,FALSE))))</f>
        <v>17</v>
      </c>
      <c r="R38" s="324"/>
      <c r="S38" s="317" t="s">
        <v>358</v>
      </c>
      <c r="T38" s="318"/>
      <c r="U38" s="318"/>
      <c r="V38" s="308">
        <f>IF('Filtered Data'!D1="L",16,COUNT('Filtered Data'!Z:Z))</f>
        <v>18</v>
      </c>
      <c r="W38" s="30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14"/>
      <c r="K39" s="137" t="str">
        <f>IF(Q39="","",IF('Filtered Data'!I8="D",IF($L$35&gt;=L39,"J","L"),IF('Filtered Data'!I8="A",IF($L$35&lt;=L39,"J","L"))))</f>
        <v>L</v>
      </c>
      <c r="L39" s="318">
        <f>IF('Filtered Data'!D1="L","",'Filtered Data'!AG9)</f>
        <v>0.666875</v>
      </c>
      <c r="M39" s="318"/>
      <c r="N39" s="318"/>
      <c r="O39" s="318"/>
      <c r="P39" s="138"/>
      <c r="Q39" s="308">
        <f>IF(ISERROR(IF('Filtered Data'!D1="L","",'Filtered Data'!AH11)),"",(IF('Filtered Data'!D1="L","",'Filtered Data'!AH11)))</f>
        <v>16</v>
      </c>
      <c r="R39" s="308"/>
      <c r="S39" s="139"/>
      <c r="T39" s="141" t="str">
        <f>IF(B39="","","out of")</f>
        <v>out of</v>
      </c>
      <c r="U39" s="141"/>
      <c r="V39" s="308">
        <f>IF('Filtered Data'!D1="L","",16)</f>
        <v>16</v>
      </c>
      <c r="W39" s="308"/>
      <c r="Z39" s="13" t="s">
        <v>362</v>
      </c>
      <c r="AB39" s="315" t="s">
        <v>364</v>
      </c>
      <c r="AC39" s="315"/>
      <c r="AD39" s="315"/>
      <c r="AE39" s="315"/>
      <c r="AF39" s="315"/>
      <c r="AG39" s="315"/>
      <c r="AH39" s="315"/>
      <c r="AI39" s="315"/>
      <c r="AJ39" s="315"/>
      <c r="AK39" s="315"/>
      <c r="AL39" s="315"/>
      <c r="AM39" s="315"/>
      <c r="AP39" s="85"/>
    </row>
    <row r="40" spans="2:16384" ht="12.75" customHeight="1">
      <c r="B40" s="136" t="str">
        <f>IF('Filtered Data'!D1="L","",IF('Filtered Data'!D1="SD",J10,"Regional"))</f>
        <v>Regional</v>
      </c>
      <c r="C40" s="136"/>
      <c r="D40" s="136"/>
      <c r="E40" s="136"/>
      <c r="F40" s="136"/>
      <c r="G40" s="136"/>
      <c r="H40" s="136"/>
      <c r="I40" s="136"/>
      <c r="J40" s="314"/>
      <c r="K40" s="137" t="str">
        <f>IF(Q40="","",IF('Filtered Data'!I8="D",IF($L$35&gt;=L40,"J","L"),IF('Filtered Data'!I8="A",IF($L$35&lt;=L40,"J","L"))))</f>
        <v>L</v>
      </c>
      <c r="L40" s="318">
        <f>IF('Filtered Data'!D1="L","",IF('Filtered Data'!D1="SD",'Filtered Data'!AJ9,'Filtered Data'!AQ9))</f>
        <v>0.58166666666666667</v>
      </c>
      <c r="M40" s="318"/>
      <c r="N40" s="318"/>
      <c r="O40" s="318"/>
      <c r="P40" s="138"/>
      <c r="Q40" s="308">
        <f>IF(ISERROR(IF('Filtered Data'!D1="L","",IF('Filtered Data'!D1="SD",VLOOKUP(J5,'Filtered Data'!L:AK,26,FALSE),(VLOOKUP(J5,'Filtered Data'!L:AR,33,FALSE))))),"",(IF('Filtered Data'!D1="L","",IF('Filtered Data'!D1="SD",VLOOKUP(J5,'Filtered Data'!L:AK,26,FALSE),(VLOOKUP(J5,'Filtered Data'!L:AR,33,FALSE))))))</f>
        <v>5</v>
      </c>
      <c r="R40" s="308"/>
      <c r="S40" s="318" t="str">
        <f>IF(B40="","","out of")</f>
        <v>out of</v>
      </c>
      <c r="T40" s="317"/>
      <c r="U40" s="317"/>
      <c r="V40" s="308">
        <f>IF('Filtered Data'!D1="L","",IF('Filtered Data'!D1="SD",COUNT('Filtered Data'!AK11:AK363),(COUNT('Filtered Data'!AQ11:AQ363))))</f>
        <v>6</v>
      </c>
      <c r="W40" s="308"/>
      <c r="AB40" s="315"/>
      <c r="AC40" s="315"/>
      <c r="AD40" s="315"/>
      <c r="AE40" s="315"/>
      <c r="AF40" s="315"/>
      <c r="AG40" s="315"/>
      <c r="AH40" s="315"/>
      <c r="AI40" s="315"/>
      <c r="AJ40" s="315"/>
      <c r="AK40" s="315"/>
      <c r="AL40" s="315"/>
      <c r="AM40" s="315"/>
      <c r="AP40" s="85"/>
    </row>
    <row r="41" spans="2:16384">
      <c r="B41" s="150"/>
      <c r="C41" s="150"/>
      <c r="D41" s="150"/>
      <c r="E41" s="150"/>
      <c r="F41" s="150"/>
      <c r="G41" s="150"/>
      <c r="H41" s="150"/>
      <c r="I41" s="150"/>
      <c r="J41" s="149"/>
      <c r="K41" s="151" t="str">
        <f>IF(B41="","",IF('Filtered Data'!D1="UA","",(IF($L$35&gt;=L41,"J","L"))))</f>
        <v/>
      </c>
      <c r="L41" s="309"/>
      <c r="M41" s="309"/>
      <c r="N41" s="309"/>
      <c r="O41" s="309"/>
      <c r="P41" s="152"/>
      <c r="Q41" s="319"/>
      <c r="R41" s="319"/>
      <c r="S41" s="323"/>
      <c r="T41" s="323"/>
      <c r="U41" s="323"/>
      <c r="V41" s="319"/>
      <c r="W41" s="319"/>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3" t="s">
        <v>360</v>
      </c>
      <c r="C43" s="304"/>
      <c r="D43" s="304"/>
      <c r="E43" s="304"/>
      <c r="F43" s="304"/>
      <c r="G43" s="304"/>
      <c r="H43" s="304"/>
      <c r="I43" s="304"/>
      <c r="J43" s="304"/>
      <c r="K43" s="304"/>
      <c r="L43" s="304"/>
      <c r="M43" s="304"/>
      <c r="N43" s="304"/>
      <c r="O43" s="299" t="str">
        <f>W6&amp;" - "&amp;W12</f>
        <v>Major Developments - % within 13 weeks - Year Ending March 2014</v>
      </c>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299"/>
      <c r="AM43" s="300"/>
      <c r="AP43" s="85"/>
    </row>
    <row r="44" spans="2:16384">
      <c r="B44" s="305"/>
      <c r="C44" s="306"/>
      <c r="D44" s="306"/>
      <c r="E44" s="306"/>
      <c r="F44" s="306"/>
      <c r="G44" s="306"/>
      <c r="H44" s="306"/>
      <c r="I44" s="306"/>
      <c r="J44" s="306"/>
      <c r="K44" s="306"/>
      <c r="L44" s="306"/>
      <c r="M44" s="306"/>
      <c r="N44" s="306"/>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2"/>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286">
        <f>IF('Filtered Data'!$H$8="..",L35,L35*100)</f>
        <v>49</v>
      </c>
      <c r="F48" s="286"/>
      <c r="G48" s="286"/>
      <c r="H48" s="286"/>
      <c r="I48" s="6"/>
      <c r="J48" s="6"/>
      <c r="K48" s="285">
        <f>IF('Filtered Data'!$H$8="..",K$32,K$32*100)</f>
        <v>80</v>
      </c>
      <c r="L48" s="285"/>
      <c r="M48" s="285">
        <f>IF('Filtered Data'!$H$8="..",T$32,T$32*100)</f>
        <v>72</v>
      </c>
      <c r="N48" s="285"/>
      <c r="O48" s="285">
        <f>IF('Filtered Data'!$H$8="..",AC$32,AC$32*100)</f>
        <v>62.5</v>
      </c>
      <c r="P48" s="285"/>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286">
        <f>IF('Filtered Data'!$H$8="..",L37,L37*100)</f>
        <v>70.581818181818178</v>
      </c>
      <c r="F49" s="286"/>
      <c r="G49" s="286"/>
      <c r="H49" s="286"/>
      <c r="I49" s="6"/>
      <c r="J49" s="6"/>
      <c r="K49" s="285">
        <f>IF('Filtered Data'!$H$8="..",K$32,K$32*100)</f>
        <v>80</v>
      </c>
      <c r="L49" s="285"/>
      <c r="M49" s="285">
        <f>IF('Filtered Data'!$H$8="..",T$32,T$32*100)</f>
        <v>72</v>
      </c>
      <c r="N49" s="285"/>
      <c r="O49" s="285">
        <f>IF('Filtered Data'!$H$8="..",AC$32,AC$32*100)</f>
        <v>62.5</v>
      </c>
      <c r="P49" s="285"/>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286">
        <f>IF('Filtered Data'!$H$8="..",L39,L39*100)</f>
        <v>66.6875</v>
      </c>
      <c r="F50" s="286"/>
      <c r="G50" s="286"/>
      <c r="H50" s="286"/>
      <c r="I50" s="6"/>
      <c r="J50" s="6"/>
      <c r="K50" s="285">
        <f>IF('Filtered Data'!$H$8="..",K$32,K$32*100)</f>
        <v>80</v>
      </c>
      <c r="L50" s="285"/>
      <c r="M50" s="285">
        <f>IF('Filtered Data'!$H$8="..",T$32,T$32*100)</f>
        <v>72</v>
      </c>
      <c r="N50" s="285"/>
      <c r="O50" s="285">
        <f>IF('Filtered Data'!$H$8="..",AC$32,AC$32*100)</f>
        <v>62.5</v>
      </c>
      <c r="P50" s="285"/>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286">
        <f>IF('Filtered Data'!$H$8="..",L40,L40*100)</f>
        <v>58.166666666666664</v>
      </c>
      <c r="F51" s="286"/>
      <c r="G51" s="286"/>
      <c r="H51" s="286"/>
      <c r="I51" s="6"/>
      <c r="J51" s="6"/>
      <c r="K51" s="285">
        <f>IF('Filtered Data'!$H$8="..",K$32,K$32*100)</f>
        <v>80</v>
      </c>
      <c r="L51" s="285"/>
      <c r="M51" s="285">
        <f>IF('Filtered Data'!$H$8="..",T$32,T$32*100)</f>
        <v>72</v>
      </c>
      <c r="N51" s="285"/>
      <c r="O51" s="285">
        <f>IF('Filtered Data'!$H$8="..",AC$32,AC$32*100)</f>
        <v>62.5</v>
      </c>
      <c r="P51" s="285"/>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286">
        <f>IF('Filtered Data'!$H$8="..",L38,L38*100)</f>
        <v>65.166666666666671</v>
      </c>
      <c r="F52" s="286"/>
      <c r="G52" s="286"/>
      <c r="H52" s="286"/>
      <c r="I52" s="6"/>
      <c r="J52" s="6"/>
      <c r="K52" s="285">
        <f>IF('Filtered Data'!$H$8="..",K$32,K$32*100)</f>
        <v>80</v>
      </c>
      <c r="L52" s="285"/>
      <c r="M52" s="285">
        <f>IF('Filtered Data'!$H$8="..",T$32,T$32*100)</f>
        <v>72</v>
      </c>
      <c r="N52" s="285"/>
      <c r="O52" s="285">
        <f>IF('Filtered Data'!$H$8="..",AC$32,AC$32*100)</f>
        <v>62.5</v>
      </c>
      <c r="P52" s="285"/>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87"/>
      <c r="F53" s="287"/>
      <c r="G53" s="287"/>
      <c r="H53" s="287"/>
      <c r="I53" s="6"/>
      <c r="J53" s="6"/>
      <c r="K53" s="285"/>
      <c r="L53" s="285"/>
      <c r="M53" s="285"/>
      <c r="N53" s="285"/>
      <c r="O53" s="285"/>
      <c r="P53" s="285"/>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6" t="str">
        <f>B3</f>
        <v>Planning Application Turnaround</v>
      </c>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P59" s="85"/>
    </row>
    <row r="60" spans="2:42">
      <c r="AP60" s="85"/>
    </row>
    <row r="61" spans="2:42" ht="12" customHeight="1">
      <c r="B61" s="1" t="str">
        <f>W6&amp;" - "&amp;W12</f>
        <v>Major Developments - % within 13 weeks - Year Ending March 2014</v>
      </c>
      <c r="AP61" s="85"/>
    </row>
    <row r="62" spans="2:42" ht="12" customHeight="1">
      <c r="AP62" s="85"/>
    </row>
    <row r="63" spans="2:42" ht="12" customHeight="1">
      <c r="B63" s="1" t="s">
        <v>366</v>
      </c>
      <c r="AP63" s="85"/>
    </row>
    <row r="64" spans="2:42" ht="12" customHeight="1">
      <c r="AP64" s="85"/>
    </row>
    <row r="65" spans="2:42" ht="12" customHeight="1">
      <c r="B65" s="283" t="s">
        <v>357</v>
      </c>
      <c r="C65" s="283"/>
      <c r="D65" s="283"/>
      <c r="E65" s="288" t="s">
        <v>334</v>
      </c>
      <c r="F65" s="288"/>
      <c r="G65" s="288"/>
      <c r="H65" s="288"/>
      <c r="I65" s="288"/>
      <c r="J65" s="288"/>
      <c r="K65" s="288"/>
      <c r="L65" s="288"/>
      <c r="M65" s="288"/>
      <c r="N65" s="288"/>
      <c r="O65" s="288"/>
      <c r="P65" s="288"/>
      <c r="Q65" s="288"/>
      <c r="R65" s="288"/>
      <c r="S65" s="288"/>
      <c r="T65" s="288"/>
      <c r="U65" s="283" t="s">
        <v>368</v>
      </c>
      <c r="V65" s="283"/>
      <c r="W65" s="283"/>
      <c r="X65" s="283"/>
      <c r="Y65" s="24"/>
      <c r="Z65" s="24"/>
      <c r="AA65" s="24"/>
      <c r="AB65" s="24"/>
      <c r="AC65" s="23"/>
      <c r="AD65" s="24"/>
      <c r="AE65" s="24"/>
      <c r="AF65" s="24"/>
      <c r="AG65" s="24"/>
      <c r="AH65" s="11"/>
      <c r="AI65" s="24"/>
      <c r="AJ65" s="24"/>
      <c r="AK65" s="24"/>
      <c r="AL65" s="24"/>
      <c r="AP65" s="85"/>
    </row>
    <row r="66" spans="2:42" ht="12" customHeight="1">
      <c r="B66" s="280">
        <v>1</v>
      </c>
      <c r="C66" s="281"/>
      <c r="D66" s="281"/>
      <c r="E66" s="284" t="str">
        <f>VLOOKUP(B66,'Filtered Data'!K:L,2,FALSE)</f>
        <v>Southend-on-Sea</v>
      </c>
      <c r="F66" s="284"/>
      <c r="G66" s="284"/>
      <c r="H66" s="284"/>
      <c r="I66" s="284"/>
      <c r="J66" s="284"/>
      <c r="K66" s="284"/>
      <c r="L66" s="284"/>
      <c r="M66" s="284"/>
      <c r="N66" s="284"/>
      <c r="O66" s="284"/>
      <c r="P66" s="284"/>
      <c r="Q66" s="284"/>
      <c r="R66" s="284"/>
      <c r="S66" s="284"/>
      <c r="T66" s="284"/>
      <c r="U66" s="307">
        <f>IF('Filtered Data'!$H$8="%.",(VLOOKUP(B66,'Filtered Data'!K:M,3,FALSE))/100,VLOOKUP(B66,'Filtered Data'!K:M,3,FALSE))</f>
        <v>0.96</v>
      </c>
      <c r="V66" s="307"/>
      <c r="W66" s="307"/>
      <c r="X66" s="307"/>
      <c r="Y66" s="184" t="str">
        <f>IF((VLOOKUP(E66,classifications!C:K,9,FALSE))="Sparse","S","")</f>
        <v/>
      </c>
      <c r="Z66" s="184"/>
      <c r="AA66" s="184"/>
      <c r="AB66" s="184"/>
      <c r="AC66" s="184"/>
      <c r="AD66" s="298"/>
      <c r="AE66" s="298"/>
      <c r="AF66" s="298"/>
      <c r="AG66" s="298"/>
      <c r="AH66" s="298"/>
      <c r="AI66" s="298"/>
      <c r="AJ66" s="298"/>
      <c r="AK66" s="298"/>
      <c r="AL66" s="298"/>
      <c r="AP66" s="85"/>
    </row>
    <row r="67" spans="2:42" ht="12" customHeight="1">
      <c r="B67" s="280">
        <v>2</v>
      </c>
      <c r="C67" s="281"/>
      <c r="D67" s="281"/>
      <c r="E67" s="284" t="str">
        <f>VLOOKUP(B67,'Filtered Data'!K:L,2,FALSE)</f>
        <v>Slough</v>
      </c>
      <c r="F67" s="284"/>
      <c r="G67" s="284"/>
      <c r="H67" s="284"/>
      <c r="I67" s="284"/>
      <c r="J67" s="284"/>
      <c r="K67" s="284"/>
      <c r="L67" s="284"/>
      <c r="M67" s="284"/>
      <c r="N67" s="284"/>
      <c r="O67" s="284"/>
      <c r="P67" s="284"/>
      <c r="Q67" s="284"/>
      <c r="R67" s="284"/>
      <c r="S67" s="284"/>
      <c r="T67" s="284"/>
      <c r="U67" s="307">
        <f>IF('Filtered Data'!$H$8="%.",(VLOOKUP(B67,'Filtered Data'!K:M,3,FALSE))/100,VLOOKUP(B67,'Filtered Data'!K:M,3,FALSE))</f>
        <v>0.92</v>
      </c>
      <c r="V67" s="307"/>
      <c r="W67" s="307"/>
      <c r="X67" s="307"/>
      <c r="Y67" s="184" t="str">
        <f>IF((VLOOKUP(E67,classifications!C:K,9,FALSE))="Sparse","S","")</f>
        <v/>
      </c>
      <c r="Z67" s="184"/>
      <c r="AA67" s="184"/>
      <c r="AB67" s="184"/>
      <c r="AC67" s="184"/>
      <c r="AD67" s="298"/>
      <c r="AE67" s="298"/>
      <c r="AF67" s="298"/>
      <c r="AG67" s="298"/>
      <c r="AH67" s="298"/>
      <c r="AI67" s="298"/>
      <c r="AJ67" s="298"/>
      <c r="AK67" s="298"/>
      <c r="AL67" s="298"/>
      <c r="AP67" s="85"/>
    </row>
    <row r="68" spans="2:42" ht="12" customHeight="1">
      <c r="B68" s="280">
        <v>3</v>
      </c>
      <c r="C68" s="281"/>
      <c r="D68" s="281"/>
      <c r="E68" s="284" t="str">
        <f>VLOOKUP(B68,'Filtered Data'!K:L,2,FALSE)</f>
        <v>Nottingham</v>
      </c>
      <c r="F68" s="284"/>
      <c r="G68" s="284"/>
      <c r="H68" s="284"/>
      <c r="I68" s="284"/>
      <c r="J68" s="284"/>
      <c r="K68" s="284"/>
      <c r="L68" s="284"/>
      <c r="M68" s="284"/>
      <c r="N68" s="284"/>
      <c r="O68" s="284"/>
      <c r="P68" s="284"/>
      <c r="Q68" s="284"/>
      <c r="R68" s="284"/>
      <c r="S68" s="284"/>
      <c r="T68" s="284"/>
      <c r="U68" s="307">
        <f>IF('Filtered Data'!$H$8="%.",(VLOOKUP(B68,'Filtered Data'!K:M,3,FALSE))/100,VLOOKUP(B68,'Filtered Data'!K:M,3,FALSE))</f>
        <v>0.91</v>
      </c>
      <c r="V68" s="307"/>
      <c r="W68" s="307"/>
      <c r="X68" s="307"/>
      <c r="Y68" s="184" t="str">
        <f>IF((VLOOKUP(E68,classifications!C:K,9,FALSE))="Sparse","S","")</f>
        <v/>
      </c>
      <c r="Z68" s="184"/>
      <c r="AA68" s="184"/>
      <c r="AB68" s="184"/>
      <c r="AC68" s="184"/>
      <c r="AD68" s="298"/>
      <c r="AE68" s="298"/>
      <c r="AF68" s="298"/>
      <c r="AG68" s="298"/>
      <c r="AH68" s="298"/>
      <c r="AI68" s="298"/>
      <c r="AJ68" s="298"/>
      <c r="AK68" s="298"/>
      <c r="AL68" s="298"/>
      <c r="AP68" s="85"/>
    </row>
    <row r="69" spans="2:42" ht="12" customHeight="1">
      <c r="B69" s="280">
        <v>4</v>
      </c>
      <c r="C69" s="281"/>
      <c r="D69" s="281"/>
      <c r="E69" s="284" t="str">
        <f>VLOOKUP(B69,'Filtered Data'!K:L,2,FALSE)</f>
        <v>Hartlepool</v>
      </c>
      <c r="F69" s="284"/>
      <c r="G69" s="284"/>
      <c r="H69" s="284"/>
      <c r="I69" s="284"/>
      <c r="J69" s="284"/>
      <c r="K69" s="284"/>
      <c r="L69" s="284"/>
      <c r="M69" s="284"/>
      <c r="N69" s="284"/>
      <c r="O69" s="284"/>
      <c r="P69" s="284"/>
      <c r="Q69" s="284"/>
      <c r="R69" s="284"/>
      <c r="S69" s="284"/>
      <c r="T69" s="284"/>
      <c r="U69" s="307">
        <f>IF('Filtered Data'!$H$8="%.",(VLOOKUP(B69,'Filtered Data'!K:M,3,FALSE))/100,VLOOKUP(B69,'Filtered Data'!K:M,3,FALSE))</f>
        <v>0.89</v>
      </c>
      <c r="V69" s="307"/>
      <c r="W69" s="307"/>
      <c r="X69" s="307"/>
      <c r="Y69" s="184" t="str">
        <f>IF((VLOOKUP(E69,classifications!C:K,9,FALSE))="Sparse","S","")</f>
        <v/>
      </c>
      <c r="Z69" s="184"/>
      <c r="AA69" s="184"/>
      <c r="AB69" s="184"/>
      <c r="AC69" s="184"/>
      <c r="AD69" s="298"/>
      <c r="AE69" s="298"/>
      <c r="AF69" s="298"/>
      <c r="AG69" s="298"/>
      <c r="AH69" s="298"/>
      <c r="AI69" s="298"/>
      <c r="AJ69" s="298"/>
      <c r="AK69" s="298"/>
      <c r="AL69" s="298"/>
      <c r="AP69" s="85"/>
    </row>
    <row r="70" spans="2:42" ht="12" customHeight="1">
      <c r="B70" s="280">
        <v>5</v>
      </c>
      <c r="C70" s="281"/>
      <c r="D70" s="281"/>
      <c r="E70" s="284" t="str">
        <f>VLOOKUP(B70,'Filtered Data'!K:L,2,FALSE)</f>
        <v>Plymouth</v>
      </c>
      <c r="F70" s="284"/>
      <c r="G70" s="284"/>
      <c r="H70" s="284"/>
      <c r="I70" s="284"/>
      <c r="J70" s="284"/>
      <c r="K70" s="284"/>
      <c r="L70" s="284"/>
      <c r="M70" s="284"/>
      <c r="N70" s="284"/>
      <c r="O70" s="284"/>
      <c r="P70" s="284"/>
      <c r="Q70" s="284"/>
      <c r="R70" s="284"/>
      <c r="S70" s="284"/>
      <c r="T70" s="284"/>
      <c r="U70" s="307">
        <f>IF('Filtered Data'!$H$8="%.",(VLOOKUP(B70,'Filtered Data'!K:M,3,FALSE))/100,VLOOKUP(B70,'Filtered Data'!K:M,3,FALSE))</f>
        <v>0.87</v>
      </c>
      <c r="V70" s="307"/>
      <c r="W70" s="307"/>
      <c r="X70" s="307"/>
      <c r="Y70" s="184" t="str">
        <f>IF((VLOOKUP(E70,classifications!C:K,9,FALSE))="Sparse","S","")</f>
        <v/>
      </c>
      <c r="Z70" s="184"/>
      <c r="AA70" s="184"/>
      <c r="AB70" s="184"/>
      <c r="AC70" s="184"/>
      <c r="AD70" s="298"/>
      <c r="AE70" s="298"/>
      <c r="AF70" s="298"/>
      <c r="AG70" s="298"/>
      <c r="AH70" s="298"/>
      <c r="AI70" s="298"/>
      <c r="AJ70" s="298"/>
      <c r="AK70" s="298"/>
      <c r="AL70" s="298"/>
      <c r="AP70" s="85"/>
    </row>
    <row r="71" spans="2:42" ht="12" customHeight="1">
      <c r="B71" s="280">
        <v>6</v>
      </c>
      <c r="C71" s="281"/>
      <c r="D71" s="281"/>
      <c r="E71" s="284" t="str">
        <f>VLOOKUP(B71,'Filtered Data'!K:L,2,FALSE)</f>
        <v>Shropshire</v>
      </c>
      <c r="F71" s="284"/>
      <c r="G71" s="284"/>
      <c r="H71" s="284"/>
      <c r="I71" s="284"/>
      <c r="J71" s="284"/>
      <c r="K71" s="284"/>
      <c r="L71" s="284"/>
      <c r="M71" s="284"/>
      <c r="N71" s="284"/>
      <c r="O71" s="284"/>
      <c r="P71" s="284"/>
      <c r="Q71" s="284"/>
      <c r="R71" s="284"/>
      <c r="S71" s="284"/>
      <c r="T71" s="284"/>
      <c r="U71" s="307">
        <f>IF('Filtered Data'!$H$8="%.",(VLOOKUP(B71,'Filtered Data'!K:M,3,FALSE))/100,VLOOKUP(B71,'Filtered Data'!K:M,3,FALSE))</f>
        <v>0.87</v>
      </c>
      <c r="V71" s="307"/>
      <c r="W71" s="307"/>
      <c r="X71" s="307"/>
      <c r="Y71" s="184" t="str">
        <f>IF((VLOOKUP(E71,classifications!C:K,9,FALSE))="Sparse","S","")</f>
        <v>S</v>
      </c>
      <c r="Z71" s="184"/>
      <c r="AA71" s="184"/>
      <c r="AB71" s="184"/>
      <c r="AC71" s="184"/>
      <c r="AD71" s="298"/>
      <c r="AE71" s="298"/>
      <c r="AF71" s="298"/>
      <c r="AG71" s="298"/>
      <c r="AH71" s="298"/>
      <c r="AI71" s="298"/>
      <c r="AJ71" s="298"/>
      <c r="AK71" s="298"/>
      <c r="AL71" s="298"/>
      <c r="AP71" s="85"/>
    </row>
    <row r="72" spans="2:42" ht="12" customHeight="1">
      <c r="B72" s="280">
        <v>7</v>
      </c>
      <c r="C72" s="281"/>
      <c r="D72" s="281"/>
      <c r="E72" s="284" t="str">
        <f>VLOOKUP(B72,'Filtered Data'!K:L,2,FALSE)</f>
        <v>Stockton-on-Tees</v>
      </c>
      <c r="F72" s="284"/>
      <c r="G72" s="284"/>
      <c r="H72" s="284"/>
      <c r="I72" s="284"/>
      <c r="J72" s="284"/>
      <c r="K72" s="284"/>
      <c r="L72" s="284"/>
      <c r="M72" s="284"/>
      <c r="N72" s="284"/>
      <c r="O72" s="284"/>
      <c r="P72" s="284"/>
      <c r="Q72" s="284"/>
      <c r="R72" s="284"/>
      <c r="S72" s="284"/>
      <c r="T72" s="284"/>
      <c r="U72" s="307">
        <f>IF('Filtered Data'!$H$8="%.",(VLOOKUP(B72,'Filtered Data'!K:M,3,FALSE))/100,VLOOKUP(B72,'Filtered Data'!K:M,3,FALSE))</f>
        <v>0.87</v>
      </c>
      <c r="V72" s="307"/>
      <c r="W72" s="307"/>
      <c r="X72" s="307"/>
      <c r="Y72" s="184" t="str">
        <f>IF((VLOOKUP(E72,classifications!C:K,9,FALSE))="Sparse","S","")</f>
        <v/>
      </c>
      <c r="Z72" s="184"/>
      <c r="AA72" s="184"/>
      <c r="AB72" s="184"/>
      <c r="AC72" s="184"/>
      <c r="AD72" s="298"/>
      <c r="AE72" s="298"/>
      <c r="AF72" s="298"/>
      <c r="AG72" s="298"/>
      <c r="AH72" s="298"/>
      <c r="AI72" s="298"/>
      <c r="AJ72" s="298"/>
      <c r="AK72" s="298"/>
      <c r="AL72" s="298"/>
      <c r="AP72" s="85"/>
    </row>
    <row r="73" spans="2:42" ht="12" customHeight="1">
      <c r="B73" s="280">
        <v>8</v>
      </c>
      <c r="C73" s="281"/>
      <c r="D73" s="281"/>
      <c r="E73" s="284" t="str">
        <f>VLOOKUP(B73,'Filtered Data'!K:L,2,FALSE)</f>
        <v>Darlington</v>
      </c>
      <c r="F73" s="284"/>
      <c r="G73" s="284"/>
      <c r="H73" s="284"/>
      <c r="I73" s="284"/>
      <c r="J73" s="284"/>
      <c r="K73" s="284"/>
      <c r="L73" s="284"/>
      <c r="M73" s="284"/>
      <c r="N73" s="284"/>
      <c r="O73" s="284"/>
      <c r="P73" s="284"/>
      <c r="Q73" s="284"/>
      <c r="R73" s="284"/>
      <c r="S73" s="284"/>
      <c r="T73" s="284"/>
      <c r="U73" s="307">
        <f>IF('Filtered Data'!$H$8="%.",(VLOOKUP(B73,'Filtered Data'!K:M,3,FALSE))/100,VLOOKUP(B73,'Filtered Data'!K:M,3,FALSE))</f>
        <v>0.86</v>
      </c>
      <c r="V73" s="307"/>
      <c r="W73" s="307"/>
      <c r="X73" s="307"/>
      <c r="Y73" s="184" t="str">
        <f>IF((VLOOKUP(E73,classifications!C:K,9,FALSE))="Sparse","S","")</f>
        <v/>
      </c>
      <c r="Z73" s="184"/>
      <c r="AA73" s="184"/>
      <c r="AB73" s="184"/>
      <c r="AC73" s="184"/>
      <c r="AD73" s="298"/>
      <c r="AE73" s="298"/>
      <c r="AF73" s="298"/>
      <c r="AG73" s="298"/>
      <c r="AH73" s="298"/>
      <c r="AI73" s="298"/>
      <c r="AJ73" s="298"/>
      <c r="AK73" s="298"/>
      <c r="AL73" s="298"/>
      <c r="AP73" s="85"/>
    </row>
    <row r="74" spans="2:42" ht="12" customHeight="1">
      <c r="B74" s="280">
        <v>9</v>
      </c>
      <c r="C74" s="281"/>
      <c r="D74" s="281"/>
      <c r="E74" s="284" t="str">
        <f>VLOOKUP(B74,'Filtered Data'!K:L,2,FALSE)</f>
        <v>North Lincolnshire</v>
      </c>
      <c r="F74" s="284"/>
      <c r="G74" s="284"/>
      <c r="H74" s="284"/>
      <c r="I74" s="284"/>
      <c r="J74" s="284"/>
      <c r="K74" s="284"/>
      <c r="L74" s="284"/>
      <c r="M74" s="284"/>
      <c r="N74" s="284"/>
      <c r="O74" s="284"/>
      <c r="P74" s="284"/>
      <c r="Q74" s="284"/>
      <c r="R74" s="284"/>
      <c r="S74" s="284"/>
      <c r="T74" s="284"/>
      <c r="U74" s="307">
        <f>IF('Filtered Data'!$H$8="%.",(VLOOKUP(B74,'Filtered Data'!K:M,3,FALSE))/100,VLOOKUP(B74,'Filtered Data'!K:M,3,FALSE))</f>
        <v>0.86</v>
      </c>
      <c r="V74" s="307"/>
      <c r="W74" s="307"/>
      <c r="X74" s="307"/>
      <c r="Y74" s="184" t="str">
        <f>IF((VLOOKUP(E74,classifications!C:K,9,FALSE))="Sparse","S","")</f>
        <v>S</v>
      </c>
      <c r="Z74" s="184"/>
      <c r="AA74" s="184"/>
      <c r="AB74" s="184"/>
      <c r="AC74" s="184"/>
      <c r="AD74" s="298"/>
      <c r="AE74" s="298"/>
      <c r="AF74" s="298"/>
      <c r="AG74" s="298"/>
      <c r="AH74" s="298"/>
      <c r="AI74" s="298"/>
      <c r="AJ74" s="298"/>
      <c r="AK74" s="298"/>
      <c r="AL74" s="298"/>
      <c r="AP74" s="85"/>
    </row>
    <row r="75" spans="2:42" ht="12" customHeight="1">
      <c r="B75" s="280">
        <v>10</v>
      </c>
      <c r="C75" s="281"/>
      <c r="D75" s="281"/>
      <c r="E75" s="284" t="str">
        <f>VLOOKUP(B75,'Filtered Data'!K:L,2,FALSE)</f>
        <v>Swindon</v>
      </c>
      <c r="F75" s="284"/>
      <c r="G75" s="284"/>
      <c r="H75" s="284"/>
      <c r="I75" s="284"/>
      <c r="J75" s="284"/>
      <c r="K75" s="284"/>
      <c r="L75" s="284"/>
      <c r="M75" s="284"/>
      <c r="N75" s="284"/>
      <c r="O75" s="284"/>
      <c r="P75" s="284"/>
      <c r="Q75" s="284"/>
      <c r="R75" s="284"/>
      <c r="S75" s="284"/>
      <c r="T75" s="284"/>
      <c r="U75" s="307">
        <f>IF('Filtered Data'!$H$8="%.",(VLOOKUP(B75,'Filtered Data'!K:M,3,FALSE))/100,VLOOKUP(B75,'Filtered Data'!K:M,3,FALSE))</f>
        <v>0.85</v>
      </c>
      <c r="V75" s="307"/>
      <c r="W75" s="307"/>
      <c r="X75" s="307"/>
      <c r="Y75" s="184" t="str">
        <f>IF((VLOOKUP(E75,classifications!C:K,9,FALSE))="Sparse","S","")</f>
        <v/>
      </c>
      <c r="Z75" s="184"/>
      <c r="AA75" s="184"/>
      <c r="AB75" s="184"/>
      <c r="AC75" s="184"/>
      <c r="AD75" s="298"/>
      <c r="AE75" s="298"/>
      <c r="AF75" s="298"/>
      <c r="AG75" s="298"/>
      <c r="AH75" s="298"/>
      <c r="AI75" s="298"/>
      <c r="AJ75" s="298"/>
      <c r="AK75" s="298"/>
      <c r="AL75" s="298"/>
      <c r="AP75" s="85"/>
    </row>
    <row r="76" spans="2:42" ht="12" customHeight="1">
      <c r="B76" s="280">
        <v>11</v>
      </c>
      <c r="C76" s="281"/>
      <c r="D76" s="281"/>
      <c r="E76" s="284" t="str">
        <f>VLOOKUP(B76,'Filtered Data'!K:L,2,FALSE)</f>
        <v>Stoke-on-Trent</v>
      </c>
      <c r="F76" s="284"/>
      <c r="G76" s="284"/>
      <c r="H76" s="284"/>
      <c r="I76" s="284"/>
      <c r="J76" s="284"/>
      <c r="K76" s="284"/>
      <c r="L76" s="284"/>
      <c r="M76" s="284"/>
      <c r="N76" s="284"/>
      <c r="O76" s="284"/>
      <c r="P76" s="284"/>
      <c r="Q76" s="284"/>
      <c r="R76" s="284"/>
      <c r="S76" s="284"/>
      <c r="T76" s="284"/>
      <c r="U76" s="307">
        <f>IF('Filtered Data'!$H$8="%.",(VLOOKUP(B76,'Filtered Data'!K:M,3,FALSE))/100,VLOOKUP(B76,'Filtered Data'!K:M,3,FALSE))</f>
        <v>0.84</v>
      </c>
      <c r="V76" s="307"/>
      <c r="W76" s="307"/>
      <c r="X76" s="307"/>
      <c r="Y76" s="184" t="str">
        <f>IF((VLOOKUP(E76,classifications!C:K,9,FALSE))="Sparse","S","")</f>
        <v/>
      </c>
      <c r="Z76" s="184"/>
      <c r="AA76" s="184"/>
      <c r="AB76" s="184"/>
      <c r="AC76" s="184"/>
      <c r="AD76" s="298"/>
      <c r="AE76" s="298"/>
      <c r="AF76" s="298"/>
      <c r="AG76" s="298"/>
      <c r="AH76" s="298"/>
      <c r="AI76" s="298"/>
      <c r="AJ76" s="298"/>
      <c r="AK76" s="298"/>
      <c r="AL76" s="298"/>
      <c r="AP76" s="85"/>
    </row>
    <row r="77" spans="2:42" ht="12" customHeight="1">
      <c r="B77" s="280">
        <v>12</v>
      </c>
      <c r="C77" s="281"/>
      <c r="D77" s="281"/>
      <c r="E77" s="284" t="str">
        <f>VLOOKUP(B77,'Filtered Data'!K:L,2,FALSE)</f>
        <v>Torbay</v>
      </c>
      <c r="F77" s="284"/>
      <c r="G77" s="284"/>
      <c r="H77" s="284"/>
      <c r="I77" s="284"/>
      <c r="J77" s="284"/>
      <c r="K77" s="284"/>
      <c r="L77" s="284"/>
      <c r="M77" s="284"/>
      <c r="N77" s="284"/>
      <c r="O77" s="284"/>
      <c r="P77" s="284"/>
      <c r="Q77" s="284"/>
      <c r="R77" s="284"/>
      <c r="S77" s="284"/>
      <c r="T77" s="284"/>
      <c r="U77" s="307">
        <f>IF('Filtered Data'!$H$8="%.",(VLOOKUP(B77,'Filtered Data'!K:M,3,FALSE))/100,VLOOKUP(B77,'Filtered Data'!K:M,3,FALSE))</f>
        <v>0.83</v>
      </c>
      <c r="V77" s="307"/>
      <c r="W77" s="307"/>
      <c r="X77" s="307"/>
      <c r="Y77" s="184" t="str">
        <f>IF((VLOOKUP(E77,classifications!C:K,9,FALSE))="Sparse","S","")</f>
        <v/>
      </c>
      <c r="Z77" s="184"/>
      <c r="AA77" s="184"/>
      <c r="AB77" s="184"/>
      <c r="AC77" s="184"/>
      <c r="AD77" s="298"/>
      <c r="AE77" s="298"/>
      <c r="AF77" s="298"/>
      <c r="AG77" s="298"/>
      <c r="AH77" s="298"/>
      <c r="AI77" s="298"/>
      <c r="AJ77" s="298"/>
      <c r="AK77" s="298"/>
      <c r="AL77" s="298"/>
      <c r="AP77" s="85"/>
    </row>
    <row r="78" spans="2:42" ht="12" customHeight="1">
      <c r="B78" s="280">
        <v>13</v>
      </c>
      <c r="C78" s="281"/>
      <c r="D78" s="281"/>
      <c r="E78" s="284" t="str">
        <f>VLOOKUP(B78,'Filtered Data'!K:L,2,FALSE)</f>
        <v>Bracknell Forest</v>
      </c>
      <c r="F78" s="284"/>
      <c r="G78" s="284"/>
      <c r="H78" s="284"/>
      <c r="I78" s="284"/>
      <c r="J78" s="284"/>
      <c r="K78" s="284"/>
      <c r="L78" s="284"/>
      <c r="M78" s="284"/>
      <c r="N78" s="284"/>
      <c r="O78" s="284"/>
      <c r="P78" s="284"/>
      <c r="Q78" s="284"/>
      <c r="R78" s="284"/>
      <c r="S78" s="284"/>
      <c r="T78" s="284"/>
      <c r="U78" s="307">
        <f>IF('Filtered Data'!$H$8="%.",(VLOOKUP(B78,'Filtered Data'!K:M,3,FALSE))/100,VLOOKUP(B78,'Filtered Data'!K:M,3,FALSE))</f>
        <v>0.82</v>
      </c>
      <c r="V78" s="307"/>
      <c r="W78" s="307"/>
      <c r="X78" s="307"/>
      <c r="Y78" s="184" t="str">
        <f>IF((VLOOKUP(E78,classifications!C:K,9,FALSE))="Sparse","S","")</f>
        <v/>
      </c>
      <c r="Z78" s="184"/>
      <c r="AA78" s="184"/>
      <c r="AB78" s="184"/>
      <c r="AC78" s="184"/>
      <c r="AD78" s="298"/>
      <c r="AE78" s="298"/>
      <c r="AF78" s="298"/>
      <c r="AG78" s="298"/>
      <c r="AH78" s="298"/>
      <c r="AI78" s="298"/>
      <c r="AJ78" s="298"/>
      <c r="AK78" s="298"/>
      <c r="AL78" s="298"/>
      <c r="AP78" s="85"/>
    </row>
    <row r="79" spans="2:42" ht="12" customHeight="1">
      <c r="B79" s="280">
        <v>14</v>
      </c>
      <c r="C79" s="281"/>
      <c r="D79" s="281"/>
      <c r="E79" s="284" t="str">
        <f>VLOOKUP(B79,'Filtered Data'!K:L,2,FALSE)</f>
        <v>Telford &amp; Wrekin</v>
      </c>
      <c r="F79" s="284"/>
      <c r="G79" s="284"/>
      <c r="H79" s="284"/>
      <c r="I79" s="284"/>
      <c r="J79" s="284"/>
      <c r="K79" s="284"/>
      <c r="L79" s="284"/>
      <c r="M79" s="284"/>
      <c r="N79" s="284"/>
      <c r="O79" s="284"/>
      <c r="P79" s="284"/>
      <c r="Q79" s="284"/>
      <c r="R79" s="284"/>
      <c r="S79" s="284"/>
      <c r="T79" s="284"/>
      <c r="U79" s="307">
        <f>IF('Filtered Data'!$H$8="%.",(VLOOKUP(B79,'Filtered Data'!K:M,3,FALSE))/100,VLOOKUP(B79,'Filtered Data'!K:M,3,FALSE))</f>
        <v>0.8</v>
      </c>
      <c r="V79" s="307"/>
      <c r="W79" s="307"/>
      <c r="X79" s="307"/>
      <c r="Y79" s="184" t="str">
        <f>IF((VLOOKUP(E79,classifications!C:K,9,FALSE))="Sparse","S","")</f>
        <v/>
      </c>
      <c r="Z79" s="184"/>
      <c r="AA79" s="184"/>
      <c r="AB79" s="184"/>
      <c r="AC79" s="184"/>
      <c r="AD79" s="298"/>
      <c r="AE79" s="298"/>
      <c r="AF79" s="298"/>
      <c r="AG79" s="298"/>
      <c r="AH79" s="298"/>
      <c r="AI79" s="298"/>
      <c r="AJ79" s="298"/>
      <c r="AK79" s="298"/>
      <c r="AL79" s="298"/>
      <c r="AP79" s="85"/>
    </row>
    <row r="80" spans="2:42" ht="12" customHeight="1">
      <c r="B80" s="280">
        <v>15</v>
      </c>
      <c r="C80" s="281"/>
      <c r="D80" s="281"/>
      <c r="E80" s="284" t="str">
        <f>VLOOKUP(B80,'Filtered Data'!K:L,2,FALSE)</f>
        <v>Warrington</v>
      </c>
      <c r="F80" s="284"/>
      <c r="G80" s="284"/>
      <c r="H80" s="284"/>
      <c r="I80" s="284"/>
      <c r="J80" s="284"/>
      <c r="K80" s="284"/>
      <c r="L80" s="284"/>
      <c r="M80" s="284"/>
      <c r="N80" s="284"/>
      <c r="O80" s="284"/>
      <c r="P80" s="284"/>
      <c r="Q80" s="284"/>
      <c r="R80" s="284"/>
      <c r="S80" s="284"/>
      <c r="T80" s="284"/>
      <c r="U80" s="307">
        <f>IF('Filtered Data'!$H$8="%.",(VLOOKUP(B80,'Filtered Data'!K:M,3,FALSE))/100,VLOOKUP(B80,'Filtered Data'!K:M,3,FALSE))</f>
        <v>0.8</v>
      </c>
      <c r="V80" s="307"/>
      <c r="W80" s="307"/>
      <c r="X80" s="307"/>
      <c r="Y80" s="184" t="str">
        <f>IF((VLOOKUP(E80,classifications!C:K,9,FALSE))="Sparse","S","")</f>
        <v/>
      </c>
      <c r="Z80" s="184"/>
      <c r="AA80" s="184"/>
      <c r="AB80" s="184"/>
      <c r="AC80" s="184"/>
      <c r="AD80" s="298"/>
      <c r="AE80" s="298"/>
      <c r="AF80" s="298"/>
      <c r="AG80" s="298"/>
      <c r="AH80" s="298"/>
      <c r="AI80" s="298"/>
      <c r="AJ80" s="298"/>
      <c r="AK80" s="298"/>
      <c r="AL80" s="298"/>
      <c r="AP80" s="85"/>
    </row>
    <row r="81" spans="1:42" ht="12" customHeight="1">
      <c r="B81" s="280">
        <v>16</v>
      </c>
      <c r="C81" s="281"/>
      <c r="D81" s="281"/>
      <c r="E81" s="284" t="str">
        <f>VLOOKUP(B81,'Filtered Data'!K:L,2,FALSE)</f>
        <v>Medway</v>
      </c>
      <c r="F81" s="284"/>
      <c r="G81" s="284"/>
      <c r="H81" s="284"/>
      <c r="I81" s="284"/>
      <c r="J81" s="284"/>
      <c r="K81" s="284"/>
      <c r="L81" s="284"/>
      <c r="M81" s="284"/>
      <c r="N81" s="284"/>
      <c r="O81" s="284"/>
      <c r="P81" s="284"/>
      <c r="Q81" s="284"/>
      <c r="R81" s="284"/>
      <c r="S81" s="284"/>
      <c r="T81" s="284"/>
      <c r="U81" s="307">
        <f>IF('Filtered Data'!$H$8="%.",(VLOOKUP(B81,'Filtered Data'!K:M,3,FALSE))/100,VLOOKUP(B81,'Filtered Data'!K:M,3,FALSE))</f>
        <v>0.77</v>
      </c>
      <c r="V81" s="307"/>
      <c r="W81" s="307"/>
      <c r="X81" s="307"/>
      <c r="Y81" s="184" t="str">
        <f>IF((VLOOKUP(E81,classifications!C:K,9,FALSE))="Sparse","S","")</f>
        <v/>
      </c>
      <c r="Z81" s="184"/>
      <c r="AA81" s="184"/>
      <c r="AB81" s="184"/>
      <c r="AC81" s="184"/>
      <c r="AD81" s="298"/>
      <c r="AE81" s="298"/>
      <c r="AF81" s="298"/>
      <c r="AG81" s="298"/>
      <c r="AH81" s="298"/>
      <c r="AI81" s="298"/>
      <c r="AJ81" s="298"/>
      <c r="AK81" s="298"/>
      <c r="AL81" s="298"/>
      <c r="AP81" s="85"/>
    </row>
    <row r="82" spans="1:42" ht="12" customHeight="1">
      <c r="B82" s="280">
        <v>17</v>
      </c>
      <c r="C82" s="281"/>
      <c r="D82" s="281"/>
      <c r="E82" s="284" t="str">
        <f>VLOOKUP(B82,'Filtered Data'!K:L,2,FALSE)</f>
        <v>Bournemouth</v>
      </c>
      <c r="F82" s="284"/>
      <c r="G82" s="284"/>
      <c r="H82" s="284"/>
      <c r="I82" s="284"/>
      <c r="J82" s="284"/>
      <c r="K82" s="284"/>
      <c r="L82" s="284"/>
      <c r="M82" s="284"/>
      <c r="N82" s="284"/>
      <c r="O82" s="284"/>
      <c r="P82" s="284"/>
      <c r="Q82" s="284"/>
      <c r="R82" s="284"/>
      <c r="S82" s="284"/>
      <c r="T82" s="284"/>
      <c r="U82" s="307">
        <f>IF('Filtered Data'!$H$8="%.",(VLOOKUP(B82,'Filtered Data'!K:M,3,FALSE))/100,VLOOKUP(B82,'Filtered Data'!K:M,3,FALSE))</f>
        <v>0.76</v>
      </c>
      <c r="V82" s="307"/>
      <c r="W82" s="307"/>
      <c r="X82" s="307"/>
      <c r="Y82" s="184" t="str">
        <f>IF((VLOOKUP(E82,classifications!C:K,9,FALSE))="Sparse","S","")</f>
        <v/>
      </c>
      <c r="Z82" s="184"/>
      <c r="AA82" s="184"/>
      <c r="AB82" s="184"/>
      <c r="AC82" s="184"/>
      <c r="AD82" s="298"/>
      <c r="AE82" s="298"/>
      <c r="AF82" s="298"/>
      <c r="AG82" s="298"/>
      <c r="AH82" s="298"/>
      <c r="AI82" s="298"/>
      <c r="AJ82" s="298"/>
      <c r="AK82" s="298"/>
      <c r="AL82" s="298"/>
      <c r="AP82" s="85"/>
    </row>
    <row r="83" spans="1:42" ht="12" customHeight="1">
      <c r="B83" s="280">
        <v>18</v>
      </c>
      <c r="C83" s="281"/>
      <c r="D83" s="281"/>
      <c r="E83" s="284" t="str">
        <f>VLOOKUP(B83,'Filtered Data'!K:L,2,FALSE)</f>
        <v>Derby</v>
      </c>
      <c r="F83" s="284"/>
      <c r="G83" s="284"/>
      <c r="H83" s="284"/>
      <c r="I83" s="284"/>
      <c r="J83" s="284"/>
      <c r="K83" s="284"/>
      <c r="L83" s="284"/>
      <c r="M83" s="284"/>
      <c r="N83" s="284"/>
      <c r="O83" s="284"/>
      <c r="P83" s="284"/>
      <c r="Q83" s="284"/>
      <c r="R83" s="284"/>
      <c r="S83" s="284"/>
      <c r="T83" s="284"/>
      <c r="U83" s="307">
        <f>IF('Filtered Data'!$H$8="%.",(VLOOKUP(B83,'Filtered Data'!K:M,3,FALSE))/100,VLOOKUP(B83,'Filtered Data'!K:M,3,FALSE))</f>
        <v>0.76</v>
      </c>
      <c r="V83" s="307"/>
      <c r="W83" s="307"/>
      <c r="X83" s="307"/>
      <c r="Y83" s="184" t="str">
        <f>IF((VLOOKUP(E83,classifications!C:K,9,FALSE))="Sparse","S","")</f>
        <v/>
      </c>
      <c r="Z83" s="184"/>
      <c r="AA83" s="184"/>
      <c r="AB83" s="184"/>
      <c r="AC83" s="184"/>
      <c r="AD83" s="298"/>
      <c r="AE83" s="298"/>
      <c r="AF83" s="298"/>
      <c r="AG83" s="298"/>
      <c r="AH83" s="298"/>
      <c r="AI83" s="298"/>
      <c r="AJ83" s="298"/>
      <c r="AK83" s="298"/>
      <c r="AL83" s="298"/>
      <c r="AP83" s="85"/>
    </row>
    <row r="84" spans="1:42" ht="12" customHeight="1">
      <c r="B84" s="280">
        <v>19</v>
      </c>
      <c r="C84" s="281"/>
      <c r="D84" s="281"/>
      <c r="E84" s="284" t="str">
        <f>VLOOKUP(B84,'Filtered Data'!K:L,2,FALSE)</f>
        <v>Peterborough</v>
      </c>
      <c r="F84" s="284"/>
      <c r="G84" s="284"/>
      <c r="H84" s="284"/>
      <c r="I84" s="284"/>
      <c r="J84" s="284"/>
      <c r="K84" s="284"/>
      <c r="L84" s="284"/>
      <c r="M84" s="284"/>
      <c r="N84" s="284"/>
      <c r="O84" s="284"/>
      <c r="P84" s="284"/>
      <c r="Q84" s="284"/>
      <c r="R84" s="284"/>
      <c r="S84" s="284"/>
      <c r="T84" s="284"/>
      <c r="U84" s="307">
        <f>IF('Filtered Data'!$H$8="%.",(VLOOKUP(B84,'Filtered Data'!K:M,3,FALSE))/100,VLOOKUP(B84,'Filtered Data'!K:M,3,FALSE))</f>
        <v>0.76</v>
      </c>
      <c r="V84" s="307"/>
      <c r="W84" s="307"/>
      <c r="X84" s="307"/>
      <c r="Y84" s="184" t="str">
        <f>IF((VLOOKUP(E84,classifications!C:K,9,FALSE))="Sparse","S","")</f>
        <v/>
      </c>
      <c r="Z84" s="184"/>
      <c r="AA84" s="184"/>
      <c r="AB84" s="184"/>
      <c r="AC84" s="184"/>
      <c r="AD84" s="298"/>
      <c r="AE84" s="298"/>
      <c r="AF84" s="298"/>
      <c r="AG84" s="298"/>
      <c r="AH84" s="298"/>
      <c r="AI84" s="298"/>
      <c r="AJ84" s="298"/>
      <c r="AK84" s="298"/>
      <c r="AL84" s="298"/>
      <c r="AP84" s="85"/>
    </row>
    <row r="85" spans="1:42" ht="12" customHeight="1">
      <c r="B85" s="280">
        <v>20</v>
      </c>
      <c r="C85" s="280"/>
      <c r="D85" s="280"/>
      <c r="E85" s="284" t="str">
        <f>VLOOKUP(B85,'Filtered Data'!K:L,2,FALSE)</f>
        <v>Cornwall</v>
      </c>
      <c r="F85" s="284"/>
      <c r="G85" s="284"/>
      <c r="H85" s="284"/>
      <c r="I85" s="284"/>
      <c r="J85" s="284"/>
      <c r="K85" s="284"/>
      <c r="L85" s="284"/>
      <c r="M85" s="284"/>
      <c r="N85" s="284"/>
      <c r="O85" s="284"/>
      <c r="P85" s="284"/>
      <c r="Q85" s="284"/>
      <c r="R85" s="284"/>
      <c r="S85" s="284"/>
      <c r="T85" s="284"/>
      <c r="U85" s="307">
        <f>IF('Filtered Data'!$H$8="%.",(VLOOKUP(B85,'Filtered Data'!K:M,3,FALSE))/100,VLOOKUP(B85,'Filtered Data'!K:M,3,FALSE))</f>
        <v>0.75</v>
      </c>
      <c r="V85" s="307"/>
      <c r="W85" s="307"/>
      <c r="X85" s="307"/>
      <c r="Y85" s="184" t="str">
        <f>IF((VLOOKUP(E85,classifications!C:K,9,FALSE))="Sparse","S","")</f>
        <v>S</v>
      </c>
      <c r="Z85" s="184"/>
      <c r="AA85" s="184"/>
      <c r="AB85" s="184"/>
      <c r="AC85" s="184"/>
      <c r="AD85" s="298"/>
      <c r="AE85" s="298"/>
      <c r="AF85" s="298"/>
      <c r="AG85" s="298"/>
      <c r="AH85" s="298"/>
      <c r="AI85" s="298"/>
      <c r="AJ85" s="298"/>
      <c r="AK85" s="298"/>
      <c r="AL85" s="298"/>
      <c r="AP85" s="85"/>
    </row>
    <row r="86" spans="1:42" ht="12" customHeight="1">
      <c r="A86" s="80"/>
      <c r="B86" s="282">
        <f>IF(Q37&lt;=MAX(B66:D85),"",Q37)</f>
        <v>53</v>
      </c>
      <c r="C86" s="282"/>
      <c r="D86" s="282"/>
      <c r="E86" s="279" t="str">
        <f>IF(B86="","",VLOOKUP(B86,'Filtered Data'!K:L,2,FALSE))</f>
        <v>Cheshire East</v>
      </c>
      <c r="F86" s="279"/>
      <c r="G86" s="279"/>
      <c r="H86" s="279"/>
      <c r="I86" s="279"/>
      <c r="J86" s="279"/>
      <c r="K86" s="279"/>
      <c r="L86" s="279"/>
      <c r="M86" s="279"/>
      <c r="N86" s="279"/>
      <c r="O86" s="279"/>
      <c r="P86" s="279"/>
      <c r="Q86" s="279"/>
      <c r="R86" s="279"/>
      <c r="S86" s="279"/>
      <c r="T86" s="279"/>
      <c r="U86" s="351">
        <f>IF(B86="","",L35)</f>
        <v>0.49</v>
      </c>
      <c r="V86" s="351"/>
      <c r="W86" s="351"/>
      <c r="X86" s="351"/>
      <c r="Y86" s="184" t="str">
        <f>IF(B86="","",IF((VLOOKUP(E86,classifications!C:K,9,FALSE))="Sparse","S",""))</f>
        <v>S</v>
      </c>
      <c r="Z86" s="184"/>
      <c r="AA86" s="184"/>
      <c r="AB86" s="184"/>
      <c r="AC86" s="184"/>
      <c r="AD86" s="352"/>
      <c r="AE86" s="352"/>
      <c r="AF86" s="352"/>
      <c r="AG86" s="352"/>
      <c r="AH86" s="352"/>
      <c r="AI86" s="352"/>
      <c r="AJ86" s="352"/>
      <c r="AK86" s="352"/>
      <c r="AL86" s="352"/>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Regional Authorites:</v>
      </c>
      <c r="AD89" s="1" t="str">
        <f>IF('Filtered Data'!D1="UA",J9,J10)</f>
        <v>North West</v>
      </c>
      <c r="AP89" s="85"/>
    </row>
    <row r="90" spans="1:42" ht="12" customHeight="1">
      <c r="B90" s="1"/>
      <c r="AP90" s="85"/>
    </row>
    <row r="91" spans="1:42" ht="12" customHeight="1">
      <c r="B91" s="283" t="s">
        <v>357</v>
      </c>
      <c r="C91" s="283"/>
      <c r="D91" s="283"/>
      <c r="E91" s="288" t="s">
        <v>334</v>
      </c>
      <c r="F91" s="288"/>
      <c r="G91" s="288"/>
      <c r="H91" s="288"/>
      <c r="I91" s="288"/>
      <c r="J91" s="288"/>
      <c r="K91" s="288"/>
      <c r="L91" s="288"/>
      <c r="M91" s="288"/>
      <c r="N91" s="288"/>
      <c r="O91" s="283" t="s">
        <v>368</v>
      </c>
      <c r="P91" s="283"/>
      <c r="Q91" s="283"/>
      <c r="U91" s="283" t="str">
        <f>IF('Filtered Data'!D1="MD","",IF('Filtered Data'!D1="SC","","Rank"))</f>
        <v>Rank</v>
      </c>
      <c r="V91" s="283"/>
      <c r="W91" s="283"/>
      <c r="X91" s="288" t="str">
        <f>IF('Filtered Data'!D1="MD","",IF('Filtered Data'!D1="SC","","Authority"))</f>
        <v>Authority</v>
      </c>
      <c r="Y91" s="288"/>
      <c r="Z91" s="288"/>
      <c r="AA91" s="288"/>
      <c r="AB91" s="288"/>
      <c r="AC91" s="288"/>
      <c r="AD91" s="288"/>
      <c r="AE91" s="288"/>
      <c r="AF91" s="288"/>
      <c r="AG91" s="288"/>
      <c r="AH91" s="283" t="str">
        <f>IF('Filtered Data'!D1="MD","",IF('Filtered Data'!D1="SC","","Value"))</f>
        <v>Value</v>
      </c>
      <c r="AI91" s="283"/>
      <c r="AJ91" s="283"/>
      <c r="AP91" s="85"/>
    </row>
    <row r="92" spans="1:42" ht="12" customHeight="1">
      <c r="B92" s="276">
        <v>1</v>
      </c>
      <c r="C92" s="277"/>
      <c r="D92" s="277"/>
      <c r="E92" s="279" t="str">
        <f>IF(ISNA(VLOOKUP(B92,'Filtered Data'!AE:AF,2,FALSE)),"",(VLOOKUP(B92,'Filtered Data'!AE:AF,2,FALSE)))</f>
        <v>Solihull</v>
      </c>
      <c r="F92" s="279"/>
      <c r="G92" s="279"/>
      <c r="H92" s="279"/>
      <c r="I92" s="279"/>
      <c r="J92" s="279"/>
      <c r="K92" s="279"/>
      <c r="L92" s="279"/>
      <c r="M92" s="279"/>
      <c r="N92" s="279"/>
      <c r="O92" s="278">
        <f>IF(E92="","",IF('Filtered Data'!$H$8="%.",(VLOOKUP(B92,'Filtered Data'!AE:AG,3,FALSE))/100,VLOOKUP(B92,'Filtered Data'!AE:AG,3,FALSE)))</f>
        <v>0.91</v>
      </c>
      <c r="P92" s="278"/>
      <c r="Q92" s="278"/>
      <c r="R92" s="278"/>
      <c r="S92" s="185" t="str">
        <f>IF(E92="","",IF((VLOOKUP(E92,classifications!C:K,9,FALSE))="Sparse","S",""))</f>
        <v/>
      </c>
      <c r="U92" s="295">
        <f>IF('Filtered Data'!$D$1="MD","",IF('Filtered Data'!$D$1="SC","",IF('Filtered Data'!$D$1="UA",'Filtered Data'!AS11,'Filtered Data'!AL11)))</f>
        <v>1</v>
      </c>
      <c r="V92" s="281"/>
      <c r="W92" s="281"/>
      <c r="X92" s="284" t="str">
        <f>IF(U92="","",IF('Filtered Data'!$D$1="UA",VLOOKUP(U92,'Filtered Data'!AS:AU,2,FALSE),VLOOKUP(U92,'Filtered Data'!AL:AN,2,FALSE)))</f>
        <v>Warrington</v>
      </c>
      <c r="Y92" s="284"/>
      <c r="Z92" s="284"/>
      <c r="AA92" s="284"/>
      <c r="AB92" s="284"/>
      <c r="AC92" s="284"/>
      <c r="AD92" s="284"/>
      <c r="AE92" s="284"/>
      <c r="AF92" s="284"/>
      <c r="AG92" s="284"/>
      <c r="AH92" s="278">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0.8</v>
      </c>
      <c r="AI92" s="278"/>
      <c r="AJ92" s="278"/>
      <c r="AK92" s="278"/>
      <c r="AL92" s="185" t="str">
        <f>IF(X92="","",IF((VLOOKUP(X92,classifications!C:K,9,FALSE))="Sparse","S",""))</f>
        <v/>
      </c>
      <c r="AP92" s="85"/>
    </row>
    <row r="93" spans="1:42" ht="12" customHeight="1">
      <c r="B93" s="276">
        <v>2</v>
      </c>
      <c r="C93" s="277"/>
      <c r="D93" s="277"/>
      <c r="E93" s="279" t="str">
        <f>IF(ISNA(VLOOKUP(B93,'Filtered Data'!AE:AF,2,FALSE)),"",(VLOOKUP(B93,'Filtered Data'!AE:AF,2,FALSE)))</f>
        <v>Shropshire</v>
      </c>
      <c r="F93" s="279"/>
      <c r="G93" s="279"/>
      <c r="H93" s="279"/>
      <c r="I93" s="279"/>
      <c r="J93" s="279"/>
      <c r="K93" s="279"/>
      <c r="L93" s="279"/>
      <c r="M93" s="279"/>
      <c r="N93" s="279"/>
      <c r="O93" s="278">
        <f>IF(E93="","",IF('Filtered Data'!$H$8="%.",(VLOOKUP(B93,'Filtered Data'!AE:AG,3,FALSE))/100,VLOOKUP(B93,'Filtered Data'!AE:AG,3,FALSE)))</f>
        <v>0.87</v>
      </c>
      <c r="P93" s="278"/>
      <c r="Q93" s="278"/>
      <c r="R93" s="278"/>
      <c r="S93" s="185" t="str">
        <f>IF(E93="","",IF((VLOOKUP(E93,classifications!C:K,9,FALSE))="Sparse","S",""))</f>
        <v>S</v>
      </c>
      <c r="U93" s="295">
        <f>IF('Filtered Data'!$D$1="MD","",IF('Filtered Data'!$D$1="SC","",IF('Filtered Data'!$D$1="UA",'Filtered Data'!AS12,'Filtered Data'!AL12)))</f>
        <v>2</v>
      </c>
      <c r="V93" s="281"/>
      <c r="W93" s="281"/>
      <c r="X93" s="284" t="str">
        <f>IF(U93="","",IF('Filtered Data'!$D$1="UA",VLOOKUP(U93,'Filtered Data'!AS:AU,2,FALSE),VLOOKUP(U93,'Filtered Data'!AL:AN,2,FALSE)))</f>
        <v>Blackpool</v>
      </c>
      <c r="Y93" s="284"/>
      <c r="Z93" s="284"/>
      <c r="AA93" s="284"/>
      <c r="AB93" s="284"/>
      <c r="AC93" s="284"/>
      <c r="AD93" s="284"/>
      <c r="AE93" s="284"/>
      <c r="AF93" s="284"/>
      <c r="AG93" s="284"/>
      <c r="AH93" s="278">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0.67</v>
      </c>
      <c r="AI93" s="278"/>
      <c r="AJ93" s="278"/>
      <c r="AK93" s="278"/>
      <c r="AL93" s="185" t="str">
        <f>IF(X93="","",IF((VLOOKUP(X93,classifications!C:K,9,FALSE))="Sparse","S",""))</f>
        <v/>
      </c>
      <c r="AP93" s="85"/>
    </row>
    <row r="94" spans="1:42" ht="12" customHeight="1">
      <c r="B94" s="276">
        <v>3</v>
      </c>
      <c r="C94" s="277"/>
      <c r="D94" s="277"/>
      <c r="E94" s="279" t="str">
        <f>IF(ISNA(VLOOKUP(B94,'Filtered Data'!AE:AF,2,FALSE)),"",(VLOOKUP(B94,'Filtered Data'!AE:AF,2,FALSE)))</f>
        <v>Stockport</v>
      </c>
      <c r="F94" s="279"/>
      <c r="G94" s="279"/>
      <c r="H94" s="279"/>
      <c r="I94" s="279"/>
      <c r="J94" s="279"/>
      <c r="K94" s="279"/>
      <c r="L94" s="279"/>
      <c r="M94" s="279"/>
      <c r="N94" s="279"/>
      <c r="O94" s="278">
        <f>IF(E94="","",IF('Filtered Data'!$H$8="%.",(VLOOKUP(B94,'Filtered Data'!AE:AG,3,FALSE))/100,VLOOKUP(B94,'Filtered Data'!AE:AG,3,FALSE)))</f>
        <v>0.82</v>
      </c>
      <c r="P94" s="278"/>
      <c r="Q94" s="278"/>
      <c r="R94" s="278"/>
      <c r="S94" s="185" t="str">
        <f>IF(E94="","",IF((VLOOKUP(E94,classifications!C:K,9,FALSE))="Sparse","S",""))</f>
        <v/>
      </c>
      <c r="U94" s="295">
        <f>IF('Filtered Data'!$D$1="MD","",IF('Filtered Data'!$D$1="SC","",IF('Filtered Data'!$D$1="UA",'Filtered Data'!AS13,'Filtered Data'!AL13)))</f>
        <v>3</v>
      </c>
      <c r="V94" s="281"/>
      <c r="W94" s="281"/>
      <c r="X94" s="284" t="str">
        <f>IF(U94="","",IF('Filtered Data'!$D$1="UA",VLOOKUP(U94,'Filtered Data'!AS:AU,2,FALSE),VLOOKUP(U94,'Filtered Data'!AL:AN,2,FALSE)))</f>
        <v>Halton</v>
      </c>
      <c r="Y94" s="284"/>
      <c r="Z94" s="284"/>
      <c r="AA94" s="284"/>
      <c r="AB94" s="284"/>
      <c r="AC94" s="284"/>
      <c r="AD94" s="284"/>
      <c r="AE94" s="284"/>
      <c r="AF94" s="284"/>
      <c r="AG94" s="284"/>
      <c r="AH94" s="278">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0.6</v>
      </c>
      <c r="AI94" s="278"/>
      <c r="AJ94" s="278"/>
      <c r="AK94" s="278"/>
      <c r="AL94" s="185" t="str">
        <f>IF(X94="","",IF((VLOOKUP(X94,classifications!C:K,9,FALSE))="Sparse","S",""))</f>
        <v/>
      </c>
      <c r="AP94" s="85"/>
    </row>
    <row r="95" spans="1:42" ht="12" customHeight="1">
      <c r="B95" s="276">
        <v>4</v>
      </c>
      <c r="C95" s="277"/>
      <c r="D95" s="277"/>
      <c r="E95" s="279" t="str">
        <f>IF(ISNA(VLOOKUP(B95,'Filtered Data'!AE:AF,2,FALSE)),"",(VLOOKUP(B95,'Filtered Data'!AE:AF,2,FALSE)))</f>
        <v>Warrington</v>
      </c>
      <c r="F95" s="279"/>
      <c r="G95" s="279"/>
      <c r="H95" s="279"/>
      <c r="I95" s="279"/>
      <c r="J95" s="279"/>
      <c r="K95" s="279"/>
      <c r="L95" s="279"/>
      <c r="M95" s="279"/>
      <c r="N95" s="279"/>
      <c r="O95" s="278">
        <f>IF(E95="","",IF('Filtered Data'!$H$8="%.",(VLOOKUP(B95,'Filtered Data'!AE:AG,3,FALSE))/100,VLOOKUP(B95,'Filtered Data'!AE:AG,3,FALSE)))</f>
        <v>0.8</v>
      </c>
      <c r="P95" s="278"/>
      <c r="Q95" s="278"/>
      <c r="R95" s="278"/>
      <c r="S95" s="185" t="str">
        <f>IF(E95="","",IF((VLOOKUP(E95,classifications!C:K,9,FALSE))="Sparse","S",""))</f>
        <v/>
      </c>
      <c r="U95" s="295">
        <f>IF('Filtered Data'!$D$1="MD","",IF('Filtered Data'!$D$1="SC","",IF('Filtered Data'!$D$1="UA",'Filtered Data'!AS14,'Filtered Data'!AL14)))</f>
        <v>4</v>
      </c>
      <c r="V95" s="281"/>
      <c r="W95" s="281"/>
      <c r="X95" s="284" t="str">
        <f>IF(U95="","",IF('Filtered Data'!$D$1="UA",VLOOKUP(U95,'Filtered Data'!AS:AU,2,FALSE),VLOOKUP(U95,'Filtered Data'!AL:AN,2,FALSE)))</f>
        <v>Cheshire West &amp; Chester</v>
      </c>
      <c r="Y95" s="284"/>
      <c r="Z95" s="284"/>
      <c r="AA95" s="284"/>
      <c r="AB95" s="284"/>
      <c r="AC95" s="284"/>
      <c r="AD95" s="284"/>
      <c r="AE95" s="284"/>
      <c r="AF95" s="284"/>
      <c r="AG95" s="284"/>
      <c r="AH95" s="278">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0.51</v>
      </c>
      <c r="AI95" s="278"/>
      <c r="AJ95" s="278"/>
      <c r="AK95" s="278"/>
      <c r="AL95" s="185" t="str">
        <f>IF(X95="","",IF((VLOOKUP(X95,classifications!C:K,9,FALSE))="Sparse","S",""))</f>
        <v>S</v>
      </c>
      <c r="AP95" s="85"/>
    </row>
    <row r="96" spans="1:42" ht="12" customHeight="1">
      <c r="B96" s="276">
        <v>5</v>
      </c>
      <c r="C96" s="277"/>
      <c r="D96" s="277"/>
      <c r="E96" s="279" t="str">
        <f>IF(ISNA(VLOOKUP(B96,'Filtered Data'!AE:AF,2,FALSE)),"",(VLOOKUP(B96,'Filtered Data'!AE:AF,2,FALSE)))</f>
        <v>York</v>
      </c>
      <c r="F96" s="279"/>
      <c r="G96" s="279"/>
      <c r="H96" s="279"/>
      <c r="I96" s="279"/>
      <c r="J96" s="279"/>
      <c r="K96" s="279"/>
      <c r="L96" s="279"/>
      <c r="M96" s="279"/>
      <c r="N96" s="279"/>
      <c r="O96" s="278">
        <f>IF(E96="","",IF('Filtered Data'!$H$8="%.",(VLOOKUP(B96,'Filtered Data'!AE:AG,3,FALSE))/100,VLOOKUP(B96,'Filtered Data'!AE:AG,3,FALSE)))</f>
        <v>0.73</v>
      </c>
      <c r="P96" s="278"/>
      <c r="Q96" s="278"/>
      <c r="R96" s="278"/>
      <c r="S96" s="185" t="str">
        <f>IF(E96="","",IF((VLOOKUP(E96,classifications!C:K,9,FALSE))="Sparse","S",""))</f>
        <v/>
      </c>
      <c r="U96" s="295">
        <f>IF('Filtered Data'!$D$1="MD","",IF('Filtered Data'!$D$1="SC","",IF('Filtered Data'!$D$1="UA",'Filtered Data'!AS15,'Filtered Data'!AL15)))</f>
        <v>5</v>
      </c>
      <c r="V96" s="281"/>
      <c r="W96" s="281"/>
      <c r="X96" s="284" t="str">
        <f>IF(U96="","",IF('Filtered Data'!$D$1="UA",VLOOKUP(U96,'Filtered Data'!AS:AU,2,FALSE),VLOOKUP(U96,'Filtered Data'!AL:AN,2,FALSE)))</f>
        <v>Cheshire East</v>
      </c>
      <c r="Y96" s="284"/>
      <c r="Z96" s="284"/>
      <c r="AA96" s="284"/>
      <c r="AB96" s="284"/>
      <c r="AC96" s="284"/>
      <c r="AD96" s="284"/>
      <c r="AE96" s="284"/>
      <c r="AF96" s="284"/>
      <c r="AG96" s="284"/>
      <c r="AH96" s="278">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0.49</v>
      </c>
      <c r="AI96" s="278"/>
      <c r="AJ96" s="278"/>
      <c r="AK96" s="278"/>
      <c r="AL96" s="185" t="str">
        <f>IF(X96="","",IF((VLOOKUP(X96,classifications!C:K,9,FALSE))="Sparse","S",""))</f>
        <v>S</v>
      </c>
      <c r="AP96" s="85"/>
    </row>
    <row r="97" spans="2:42" ht="12" customHeight="1">
      <c r="B97" s="276">
        <v>6</v>
      </c>
      <c r="C97" s="277"/>
      <c r="D97" s="277"/>
      <c r="E97" s="279" t="str">
        <f>IF(ISNA(VLOOKUP(B97,'Filtered Data'!AE:AF,2,FALSE)),"",(VLOOKUP(B97,'Filtered Data'!AE:AF,2,FALSE)))</f>
        <v>Central Bedfordshire</v>
      </c>
      <c r="F97" s="279"/>
      <c r="G97" s="279"/>
      <c r="H97" s="279"/>
      <c r="I97" s="279"/>
      <c r="J97" s="279"/>
      <c r="K97" s="279"/>
      <c r="L97" s="279"/>
      <c r="M97" s="279"/>
      <c r="N97" s="279"/>
      <c r="O97" s="278">
        <f>IF(E97="","",IF('Filtered Data'!$H$8="%.",(VLOOKUP(B97,'Filtered Data'!AE:AG,3,FALSE))/100,VLOOKUP(B97,'Filtered Data'!AE:AG,3,FALSE)))</f>
        <v>0.72</v>
      </c>
      <c r="P97" s="278"/>
      <c r="Q97" s="278"/>
      <c r="R97" s="278"/>
      <c r="S97" s="185" t="str">
        <f>IF(E97="","",IF((VLOOKUP(E97,classifications!C:K,9,FALSE))="Sparse","S",""))</f>
        <v/>
      </c>
      <c r="U97" s="295">
        <f>IF('Filtered Data'!$D$1="MD","",IF('Filtered Data'!$D$1="SC","",IF('Filtered Data'!$D$1="UA",'Filtered Data'!AS16,'Filtered Data'!AL16)))</f>
        <v>6</v>
      </c>
      <c r="V97" s="281"/>
      <c r="W97" s="281"/>
      <c r="X97" s="284" t="str">
        <f>IF(U97="","",IF('Filtered Data'!$D$1="UA",VLOOKUP(U97,'Filtered Data'!AS:AU,2,FALSE),VLOOKUP(U97,'Filtered Data'!AL:AN,2,FALSE)))</f>
        <v>Blackburn with Darwen</v>
      </c>
      <c r="Y97" s="284"/>
      <c r="Z97" s="284"/>
      <c r="AA97" s="284"/>
      <c r="AB97" s="284"/>
      <c r="AC97" s="284"/>
      <c r="AD97" s="284"/>
      <c r="AE97" s="284"/>
      <c r="AF97" s="284"/>
      <c r="AG97" s="284"/>
      <c r="AH97" s="278">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0.42</v>
      </c>
      <c r="AI97" s="278"/>
      <c r="AJ97" s="278"/>
      <c r="AK97" s="278"/>
      <c r="AL97" s="185" t="str">
        <f>IF(X97="","",IF((VLOOKUP(X97,classifications!C:K,9,FALSE))="Sparse","S",""))</f>
        <v/>
      </c>
      <c r="AP97" s="85"/>
    </row>
    <row r="98" spans="2:42" ht="12" customHeight="1">
      <c r="B98" s="276">
        <v>7</v>
      </c>
      <c r="C98" s="277"/>
      <c r="D98" s="277"/>
      <c r="E98" s="279" t="str">
        <f>IF(ISNA(VLOOKUP(B98,'Filtered Data'!AE:AF,2,FALSE)),"",(VLOOKUP(B98,'Filtered Data'!AE:AF,2,FALSE)))</f>
        <v>Trafford</v>
      </c>
      <c r="F98" s="279"/>
      <c r="G98" s="279"/>
      <c r="H98" s="279"/>
      <c r="I98" s="279"/>
      <c r="J98" s="279"/>
      <c r="K98" s="279"/>
      <c r="L98" s="279"/>
      <c r="M98" s="279"/>
      <c r="N98" s="279"/>
      <c r="O98" s="278">
        <f>IF(E98="","",IF('Filtered Data'!$H$8="%.",(VLOOKUP(B98,'Filtered Data'!AE:AG,3,FALSE))/100,VLOOKUP(B98,'Filtered Data'!AE:AG,3,FALSE)))</f>
        <v>0.7</v>
      </c>
      <c r="P98" s="278"/>
      <c r="Q98" s="278"/>
      <c r="R98" s="278"/>
      <c r="S98" s="185" t="str">
        <f>IF(E98="","",IF((VLOOKUP(E98,classifications!C:K,9,FALSE))="Sparse","S",""))</f>
        <v/>
      </c>
      <c r="U98" s="295" t="str">
        <f>IF('Filtered Data'!$D$1="MD","",IF('Filtered Data'!$D$1="SC","",IF('Filtered Data'!$D$1="UA",'Filtered Data'!AS17,'Filtered Data'!AL17)))</f>
        <v/>
      </c>
      <c r="V98" s="281"/>
      <c r="W98" s="281"/>
      <c r="X98" s="284" t="str">
        <f>IF(U98="","",IF('Filtered Data'!$D$1="UA",VLOOKUP(U98,'Filtered Data'!AS:AU,2,FALSE),VLOOKUP(U98,'Filtered Data'!AL:AN,2,FALSE)))</f>
        <v/>
      </c>
      <c r="Y98" s="284"/>
      <c r="Z98" s="284"/>
      <c r="AA98" s="284"/>
      <c r="AB98" s="284"/>
      <c r="AC98" s="284"/>
      <c r="AD98" s="284"/>
      <c r="AE98" s="284"/>
      <c r="AF98" s="284"/>
      <c r="AG98" s="284"/>
      <c r="AH98" s="278"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8"/>
      <c r="AJ98" s="278"/>
      <c r="AK98" s="278"/>
      <c r="AL98" s="185" t="str">
        <f>IF(X98="","",IF((VLOOKUP(X98,classifications!C:K,9,FALSE))="Sparse","S",""))</f>
        <v/>
      </c>
      <c r="AP98" s="85"/>
    </row>
    <row r="99" spans="2:42" ht="12" customHeight="1">
      <c r="B99" s="276">
        <v>8</v>
      </c>
      <c r="C99" s="277"/>
      <c r="D99" s="277"/>
      <c r="E99" s="279" t="str">
        <f>IF(ISNA(VLOOKUP(B99,'Filtered Data'!AE:AF,2,FALSE)),"",(VLOOKUP(B99,'Filtered Data'!AE:AF,2,FALSE)))</f>
        <v>North Somerset</v>
      </c>
      <c r="F99" s="279"/>
      <c r="G99" s="279"/>
      <c r="H99" s="279"/>
      <c r="I99" s="279"/>
      <c r="J99" s="279"/>
      <c r="K99" s="279"/>
      <c r="L99" s="279"/>
      <c r="M99" s="279"/>
      <c r="N99" s="279"/>
      <c r="O99" s="278">
        <f>IF(E99="","",IF('Filtered Data'!$H$8="%.",(VLOOKUP(B99,'Filtered Data'!AE:AG,3,FALSE))/100,VLOOKUP(B99,'Filtered Data'!AE:AG,3,FALSE)))</f>
        <v>0.66</v>
      </c>
      <c r="P99" s="278"/>
      <c r="Q99" s="278"/>
      <c r="R99" s="278"/>
      <c r="S99" s="185" t="str">
        <f>IF(E99="","",IF((VLOOKUP(E99,classifications!C:K,9,FALSE))="Sparse","S",""))</f>
        <v>S</v>
      </c>
      <c r="U99" s="295" t="str">
        <f>IF('Filtered Data'!$D$1="MD","",IF('Filtered Data'!$D$1="SC","",IF('Filtered Data'!$D$1="UA",'Filtered Data'!AS18,'Filtered Data'!AL18)))</f>
        <v/>
      </c>
      <c r="V99" s="281"/>
      <c r="W99" s="281"/>
      <c r="X99" s="284" t="str">
        <f>IF(U99="","",IF('Filtered Data'!$D$1="UA",VLOOKUP(U99,'Filtered Data'!AS:AU,2,FALSE),VLOOKUP(U99,'Filtered Data'!AL:AN,2,FALSE)))</f>
        <v/>
      </c>
      <c r="Y99" s="284"/>
      <c r="Z99" s="284"/>
      <c r="AA99" s="284"/>
      <c r="AB99" s="284"/>
      <c r="AC99" s="284"/>
      <c r="AD99" s="284"/>
      <c r="AE99" s="284"/>
      <c r="AF99" s="284"/>
      <c r="AG99" s="284"/>
      <c r="AH99" s="278"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8"/>
      <c r="AJ99" s="278"/>
      <c r="AK99" s="278"/>
      <c r="AL99" s="185" t="str">
        <f>IF(X99="","",IF((VLOOKUP(X99,classifications!C:K,9,FALSE))="Sparse","S",""))</f>
        <v/>
      </c>
      <c r="AP99" s="85"/>
    </row>
    <row r="100" spans="2:42" ht="12" customHeight="1">
      <c r="B100" s="276">
        <v>9</v>
      </c>
      <c r="C100" s="277"/>
      <c r="D100" s="277"/>
      <c r="E100" s="279" t="str">
        <f>IF(ISNA(VLOOKUP(B100,'Filtered Data'!AE:AF,2,FALSE)),"",(VLOOKUP(B100,'Filtered Data'!AE:AF,2,FALSE)))</f>
        <v>East Riding of Yorkshire</v>
      </c>
      <c r="F100" s="279"/>
      <c r="G100" s="279"/>
      <c r="H100" s="279"/>
      <c r="I100" s="279"/>
      <c r="J100" s="279"/>
      <c r="K100" s="279"/>
      <c r="L100" s="279"/>
      <c r="M100" s="279"/>
      <c r="N100" s="279"/>
      <c r="O100" s="278">
        <f>IF(E100="","",IF('Filtered Data'!$H$8="%.",(VLOOKUP(B100,'Filtered Data'!AE:AG,3,FALSE))/100,VLOOKUP(B100,'Filtered Data'!AE:AG,3,FALSE)))</f>
        <v>0.64</v>
      </c>
      <c r="P100" s="278"/>
      <c r="Q100" s="278"/>
      <c r="R100" s="278"/>
      <c r="S100" s="185" t="str">
        <f>IF(E100="","",IF((VLOOKUP(E100,classifications!C:K,9,FALSE))="Sparse","S",""))</f>
        <v>S</v>
      </c>
      <c r="U100" s="295" t="str">
        <f>IF('Filtered Data'!$D$1="MD","",IF('Filtered Data'!$D$1="SC","",IF('Filtered Data'!$D$1="UA",'Filtered Data'!AS19,'Filtered Data'!AL19)))</f>
        <v/>
      </c>
      <c r="V100" s="281"/>
      <c r="W100" s="281"/>
      <c r="X100" s="284" t="str">
        <f>IF(U100="","",IF('Filtered Data'!$D$1="UA",VLOOKUP(U100,'Filtered Data'!AS:AU,2,FALSE),VLOOKUP(U100,'Filtered Data'!AL:AN,2,FALSE)))</f>
        <v/>
      </c>
      <c r="Y100" s="284"/>
      <c r="Z100" s="284"/>
      <c r="AA100" s="284"/>
      <c r="AB100" s="284"/>
      <c r="AC100" s="284"/>
      <c r="AD100" s="284"/>
      <c r="AE100" s="284"/>
      <c r="AF100" s="284"/>
      <c r="AG100" s="284"/>
      <c r="AH100" s="278"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8"/>
      <c r="AJ100" s="278"/>
      <c r="AK100" s="278"/>
      <c r="AL100" s="185" t="str">
        <f>IF(X100="","",IF((VLOOKUP(X100,classifications!C:K,9,FALSE))="Sparse","S",""))</f>
        <v/>
      </c>
      <c r="AP100" s="85"/>
    </row>
    <row r="101" spans="2:42" ht="12" customHeight="1">
      <c r="B101" s="276">
        <v>10</v>
      </c>
      <c r="C101" s="277"/>
      <c r="D101" s="277"/>
      <c r="E101" s="279" t="str">
        <f>IF(ISNA(VLOOKUP(B101,'Filtered Data'!AE:AF,2,FALSE)),"",(VLOOKUP(B101,'Filtered Data'!AE:AF,2,FALSE)))</f>
        <v>Bedford</v>
      </c>
      <c r="F101" s="279"/>
      <c r="G101" s="279"/>
      <c r="H101" s="279"/>
      <c r="I101" s="279"/>
      <c r="J101" s="279"/>
      <c r="K101" s="279"/>
      <c r="L101" s="279"/>
      <c r="M101" s="279"/>
      <c r="N101" s="279"/>
      <c r="O101" s="278">
        <f>IF(E101="","",IF('Filtered Data'!$H$8="%.",(VLOOKUP(B101,'Filtered Data'!AE:AG,3,FALSE))/100,VLOOKUP(B101,'Filtered Data'!AE:AG,3,FALSE)))</f>
        <v>0.62</v>
      </c>
      <c r="P101" s="278"/>
      <c r="Q101" s="278"/>
      <c r="R101" s="278"/>
      <c r="S101" s="185" t="str">
        <f>IF(E101="","",IF((VLOOKUP(E101,classifications!C:K,9,FALSE))="Sparse","S",""))</f>
        <v/>
      </c>
      <c r="U101" s="295" t="str">
        <f>IF('Filtered Data'!$D$1="MD","",IF('Filtered Data'!$D$1="SC","",IF('Filtered Data'!$D$1="UA",'Filtered Data'!AS20,'Filtered Data'!AL20)))</f>
        <v/>
      </c>
      <c r="V101" s="281"/>
      <c r="W101" s="281"/>
      <c r="X101" s="284" t="str">
        <f>IF(U101="","",IF('Filtered Data'!$D$1="UA",VLOOKUP(U101,'Filtered Data'!AS:AU,2,FALSE),VLOOKUP(U101,'Filtered Data'!AL:AN,2,FALSE)))</f>
        <v/>
      </c>
      <c r="Y101" s="284"/>
      <c r="Z101" s="284"/>
      <c r="AA101" s="284"/>
      <c r="AB101" s="284"/>
      <c r="AC101" s="284"/>
      <c r="AD101" s="284"/>
      <c r="AE101" s="284"/>
      <c r="AF101" s="284"/>
      <c r="AG101" s="284"/>
      <c r="AH101" s="278"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8"/>
      <c r="AJ101" s="278"/>
      <c r="AK101" s="278"/>
      <c r="AL101" s="185" t="str">
        <f>IF(X101="","",IF((VLOOKUP(X101,classifications!C:K,9,FALSE))="Sparse","S",""))</f>
        <v/>
      </c>
      <c r="AP101" s="85"/>
    </row>
    <row r="102" spans="2:42" ht="12" customHeight="1">
      <c r="B102" s="276">
        <v>11</v>
      </c>
      <c r="C102" s="277"/>
      <c r="D102" s="277"/>
      <c r="E102" s="279" t="str">
        <f>IF(ISNA(VLOOKUP(B102,'Filtered Data'!AE:AF,2,FALSE)),"",(VLOOKUP(B102,'Filtered Data'!AE:AF,2,FALSE)))</f>
        <v>Herefordshire</v>
      </c>
      <c r="F102" s="279"/>
      <c r="G102" s="279"/>
      <c r="H102" s="279"/>
      <c r="I102" s="279"/>
      <c r="J102" s="279"/>
      <c r="K102" s="279"/>
      <c r="L102" s="279"/>
      <c r="M102" s="279"/>
      <c r="N102" s="279"/>
      <c r="O102" s="278">
        <f>IF(E102="","",IF('Filtered Data'!$H$8="%.",(VLOOKUP(B102,'Filtered Data'!AE:AG,3,FALSE))/100,VLOOKUP(B102,'Filtered Data'!AE:AG,3,FALSE)))</f>
        <v>0.56999999999999995</v>
      </c>
      <c r="P102" s="278"/>
      <c r="Q102" s="278"/>
      <c r="R102" s="278"/>
      <c r="S102" s="185" t="str">
        <f>IF(E102="","",IF((VLOOKUP(E102,classifications!C:K,9,FALSE))="Sparse","S",""))</f>
        <v>S</v>
      </c>
      <c r="U102" s="295" t="str">
        <f>IF('Filtered Data'!$D$1="MD","",IF('Filtered Data'!$D$1="SC","",IF('Filtered Data'!$D$1="UA",'Filtered Data'!AS21,'Filtered Data'!AL21)))</f>
        <v/>
      </c>
      <c r="V102" s="281"/>
      <c r="W102" s="281"/>
      <c r="X102" s="284" t="str">
        <f>IF(U102="","",IF('Filtered Data'!$D$1="UA",VLOOKUP(U102,'Filtered Data'!AS:AU,2,FALSE),VLOOKUP(U102,'Filtered Data'!AL:AN,2,FALSE)))</f>
        <v/>
      </c>
      <c r="Y102" s="284"/>
      <c r="Z102" s="284"/>
      <c r="AA102" s="284"/>
      <c r="AB102" s="284"/>
      <c r="AC102" s="284"/>
      <c r="AD102" s="284"/>
      <c r="AE102" s="284"/>
      <c r="AF102" s="284"/>
      <c r="AG102" s="284"/>
      <c r="AH102" s="278"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8"/>
      <c r="AJ102" s="278"/>
      <c r="AK102" s="278"/>
      <c r="AL102" s="185" t="str">
        <f>IF(X102="","",IF((VLOOKUP(X102,classifications!C:K,9,FALSE))="Sparse","S",""))</f>
        <v/>
      </c>
      <c r="AP102" s="85"/>
    </row>
    <row r="103" spans="2:42" ht="12" customHeight="1">
      <c r="B103" s="276">
        <v>12</v>
      </c>
      <c r="C103" s="276"/>
      <c r="D103" s="276"/>
      <c r="E103" s="279" t="str">
        <f>IF(ISNA(VLOOKUP(B103,'Filtered Data'!AE:AF,2,FALSE)),"",(VLOOKUP(B103,'Filtered Data'!AE:AF,2,FALSE)))</f>
        <v>Wiltshire</v>
      </c>
      <c r="F103" s="279"/>
      <c r="G103" s="279"/>
      <c r="H103" s="279"/>
      <c r="I103" s="279"/>
      <c r="J103" s="279"/>
      <c r="K103" s="279"/>
      <c r="L103" s="279"/>
      <c r="M103" s="279"/>
      <c r="N103" s="279"/>
      <c r="O103" s="278">
        <f>IF(E103="","",IF('Filtered Data'!$H$8="%.",(VLOOKUP(B103,'Filtered Data'!AE:AG,3,FALSE))/100,VLOOKUP(B103,'Filtered Data'!AE:AG,3,FALSE)))</f>
        <v>0.56000000000000005</v>
      </c>
      <c r="P103" s="278"/>
      <c r="Q103" s="278"/>
      <c r="R103" s="278"/>
      <c r="S103" s="185" t="str">
        <f>IF(E103="","",IF((VLOOKUP(E103,classifications!C:K,9,FALSE))="Sparse","S",""))</f>
        <v/>
      </c>
      <c r="U103" s="295" t="str">
        <f>IF('Filtered Data'!$D$1="MD","",IF('Filtered Data'!$D$1="SC","",IF('Filtered Data'!$D$1="UA",'Filtered Data'!AS22,'Filtered Data'!AL22)))</f>
        <v/>
      </c>
      <c r="V103" s="281"/>
      <c r="W103" s="281"/>
      <c r="X103" s="284" t="str">
        <f>IF(U103="","",IF('Filtered Data'!$D$1="UA",VLOOKUP(U103,'Filtered Data'!AS:AU,2,FALSE),VLOOKUP(U103,'Filtered Data'!AL:AN,2,FALSE)))</f>
        <v/>
      </c>
      <c r="Y103" s="284"/>
      <c r="Z103" s="284"/>
      <c r="AA103" s="284"/>
      <c r="AB103" s="284"/>
      <c r="AC103" s="284"/>
      <c r="AD103" s="284"/>
      <c r="AE103" s="284"/>
      <c r="AF103" s="284"/>
      <c r="AG103" s="284"/>
      <c r="AH103" s="278"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8"/>
      <c r="AJ103" s="278"/>
      <c r="AK103" s="278"/>
      <c r="AL103" s="185" t="str">
        <f>IF(X103="","",IF((VLOOKUP(X103,classifications!C:K,9,FALSE))="Sparse","S",""))</f>
        <v/>
      </c>
      <c r="AP103" s="85"/>
    </row>
    <row r="104" spans="2:42" ht="12" customHeight="1">
      <c r="B104" s="276">
        <v>13</v>
      </c>
      <c r="C104" s="277"/>
      <c r="D104" s="277"/>
      <c r="E104" s="279" t="str">
        <f>IF(ISNA(VLOOKUP(B104,'Filtered Data'!AE:AF,2,FALSE)),"",(VLOOKUP(B104,'Filtered Data'!AE:AF,2,FALSE)))</f>
        <v>Bath &amp; North East Somerset</v>
      </c>
      <c r="F104" s="279"/>
      <c r="G104" s="279"/>
      <c r="H104" s="279"/>
      <c r="I104" s="279"/>
      <c r="J104" s="279"/>
      <c r="K104" s="279"/>
      <c r="L104" s="279"/>
      <c r="M104" s="279"/>
      <c r="N104" s="279"/>
      <c r="O104" s="278">
        <f>IF(E104="","",IF('Filtered Data'!$H$8="%.",(VLOOKUP(B104,'Filtered Data'!AE:AG,3,FALSE))/100,VLOOKUP(B104,'Filtered Data'!AE:AG,3,FALSE)))</f>
        <v>0.56000000000000005</v>
      </c>
      <c r="P104" s="278"/>
      <c r="Q104" s="278"/>
      <c r="R104" s="278"/>
      <c r="S104" s="185" t="str">
        <f>IF(E104="","",IF((VLOOKUP(E104,classifications!C:K,9,FALSE))="Sparse","S",""))</f>
        <v/>
      </c>
      <c r="U104" s="295" t="str">
        <f>IF('Filtered Data'!$D$1="MD","",IF('Filtered Data'!$D$1="SC","",IF('Filtered Data'!$D$1="UA",'Filtered Data'!AS23,'Filtered Data'!AL23)))</f>
        <v/>
      </c>
      <c r="V104" s="281"/>
      <c r="W104" s="281"/>
      <c r="X104" s="284" t="str">
        <f>IF(U104="","",IF('Filtered Data'!$D$1="UA",VLOOKUP(U104,'Filtered Data'!AS:AU,2,FALSE),VLOOKUP(U104,'Filtered Data'!AL:AN,2,FALSE)))</f>
        <v/>
      </c>
      <c r="Y104" s="284"/>
      <c r="Z104" s="284"/>
      <c r="AA104" s="284"/>
      <c r="AB104" s="284"/>
      <c r="AC104" s="284"/>
      <c r="AD104" s="284"/>
      <c r="AE104" s="284"/>
      <c r="AF104" s="284"/>
      <c r="AG104" s="284"/>
      <c r="AH104" s="278"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8"/>
      <c r="AJ104" s="278"/>
      <c r="AK104" s="278"/>
      <c r="AL104" s="185" t="str">
        <f>IF(X104="","",IF((VLOOKUP(X104,classifications!C:K,9,FALSE))="Sparse","S",""))</f>
        <v/>
      </c>
      <c r="AP104" s="85"/>
    </row>
    <row r="105" spans="2:42" ht="12" customHeight="1">
      <c r="B105" s="276">
        <v>14</v>
      </c>
      <c r="C105" s="277"/>
      <c r="D105" s="277"/>
      <c r="E105" s="279" t="str">
        <f>IF(ISNA(VLOOKUP(B105,'Filtered Data'!AE:AF,2,FALSE)),"",(VLOOKUP(B105,'Filtered Data'!AE:AF,2,FALSE)))</f>
        <v>Cheshire West &amp; Chester</v>
      </c>
      <c r="F105" s="279"/>
      <c r="G105" s="279"/>
      <c r="H105" s="279"/>
      <c r="I105" s="279"/>
      <c r="J105" s="279"/>
      <c r="K105" s="279"/>
      <c r="L105" s="279"/>
      <c r="M105" s="279"/>
      <c r="N105" s="279"/>
      <c r="O105" s="278">
        <f>IF(E105="","",IF('Filtered Data'!$H$8="%.",(VLOOKUP(B105,'Filtered Data'!AE:AG,3,FALSE))/100,VLOOKUP(B105,'Filtered Data'!AE:AG,3,FALSE)))</f>
        <v>0.51</v>
      </c>
      <c r="P105" s="278"/>
      <c r="Q105" s="278"/>
      <c r="R105" s="278"/>
      <c r="S105" s="185" t="str">
        <f>IF(E105="","",IF((VLOOKUP(E105,classifications!C:K,9,FALSE))="Sparse","S",""))</f>
        <v>S</v>
      </c>
      <c r="U105" s="295" t="str">
        <f>IF('Filtered Data'!$D$1="MD","",IF('Filtered Data'!$D$1="SC","",IF('Filtered Data'!$D$1="UA",'Filtered Data'!AS24,'Filtered Data'!AL24)))</f>
        <v/>
      </c>
      <c r="V105" s="281"/>
      <c r="W105" s="281"/>
      <c r="X105" s="284" t="str">
        <f>IF(U105="","",IF('Filtered Data'!$D$1="UA",VLOOKUP(U105,'Filtered Data'!AS:AU,2,FALSE),VLOOKUP(U105,'Filtered Data'!AL:AN,2,FALSE)))</f>
        <v/>
      </c>
      <c r="Y105" s="284"/>
      <c r="Z105" s="284"/>
      <c r="AA105" s="284"/>
      <c r="AB105" s="284"/>
      <c r="AC105" s="284"/>
      <c r="AD105" s="284"/>
      <c r="AE105" s="284"/>
      <c r="AF105" s="284"/>
      <c r="AG105" s="284"/>
      <c r="AH105" s="278"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8"/>
      <c r="AJ105" s="278"/>
      <c r="AK105" s="278"/>
      <c r="AL105" s="185" t="str">
        <f>IF(X105="","",IF((VLOOKUP(X105,classifications!C:K,9,FALSE))="Sparse","S",""))</f>
        <v/>
      </c>
      <c r="AP105" s="85"/>
    </row>
    <row r="106" spans="2:42" ht="12" customHeight="1">
      <c r="B106" s="276">
        <v>15</v>
      </c>
      <c r="C106" s="277"/>
      <c r="D106" s="277"/>
      <c r="E106" s="279" t="str">
        <f>IF(ISNA(VLOOKUP(B106,'Filtered Data'!AE:AF,2,FALSE)),"",(VLOOKUP(B106,'Filtered Data'!AE:AF,2,FALSE)))</f>
        <v>South Gloucestershire</v>
      </c>
      <c r="F106" s="279"/>
      <c r="G106" s="279"/>
      <c r="H106" s="279"/>
      <c r="I106" s="279"/>
      <c r="J106" s="279"/>
      <c r="K106" s="279"/>
      <c r="L106" s="279"/>
      <c r="M106" s="279"/>
      <c r="N106" s="279"/>
      <c r="O106" s="278">
        <f>IF(E106="","",IF('Filtered Data'!$H$8="%.",(VLOOKUP(B106,'Filtered Data'!AE:AG,3,FALSE))/100,VLOOKUP(B106,'Filtered Data'!AE:AG,3,FALSE)))</f>
        <v>0.51</v>
      </c>
      <c r="P106" s="278"/>
      <c r="Q106" s="278"/>
      <c r="R106" s="278"/>
      <c r="S106" s="185" t="str">
        <f>IF(E106="","",IF((VLOOKUP(E106,classifications!C:K,9,FALSE))="Sparse","S",""))</f>
        <v/>
      </c>
      <c r="U106" s="295" t="str">
        <f>IF('Filtered Data'!$D$1="MD","",IF('Filtered Data'!$D$1="SC","",IF('Filtered Data'!$D$1="UA",'Filtered Data'!AS25,'Filtered Data'!AL25)))</f>
        <v/>
      </c>
      <c r="V106" s="281"/>
      <c r="W106" s="281"/>
      <c r="X106" s="284" t="str">
        <f>IF(U106="","",IF('Filtered Data'!$D$1="UA",VLOOKUP(U106,'Filtered Data'!AS:AU,2,FALSE),VLOOKUP(U106,'Filtered Data'!AL:AN,2,FALSE)))</f>
        <v/>
      </c>
      <c r="Y106" s="284"/>
      <c r="Z106" s="284"/>
      <c r="AA106" s="284"/>
      <c r="AB106" s="284"/>
      <c r="AC106" s="284"/>
      <c r="AD106" s="284"/>
      <c r="AE106" s="284"/>
      <c r="AF106" s="284"/>
      <c r="AG106" s="284"/>
      <c r="AH106" s="278"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8"/>
      <c r="AJ106" s="278"/>
      <c r="AK106" s="278"/>
      <c r="AL106" s="185" t="str">
        <f>IF(X106="","",IF((VLOOKUP(X106,classifications!C:K,9,FALSE))="Sparse","S",""))</f>
        <v/>
      </c>
      <c r="AP106" s="85"/>
    </row>
    <row r="107" spans="2:42" ht="12" customHeight="1">
      <c r="B107" s="276">
        <v>16</v>
      </c>
      <c r="C107" s="277"/>
      <c r="D107" s="277"/>
      <c r="E107" s="279" t="str">
        <f>IF(ISNA(VLOOKUP(B107,'Filtered Data'!AE:AF,2,FALSE)),"",(VLOOKUP(B107,'Filtered Data'!AE:AF,2,FALSE)))</f>
        <v>Cheshire East</v>
      </c>
      <c r="F107" s="279"/>
      <c r="G107" s="279"/>
      <c r="H107" s="279"/>
      <c r="I107" s="279"/>
      <c r="J107" s="279"/>
      <c r="K107" s="279"/>
      <c r="L107" s="279"/>
      <c r="M107" s="279"/>
      <c r="N107" s="279"/>
      <c r="O107" s="278">
        <f>IF(E107="","",IF('Filtered Data'!$H$8="%.",(VLOOKUP(B107,'Filtered Data'!AE:AG,3,FALSE))/100,VLOOKUP(B107,'Filtered Data'!AE:AG,3,FALSE)))</f>
        <v>0.49</v>
      </c>
      <c r="P107" s="278"/>
      <c r="Q107" s="278"/>
      <c r="R107" s="278"/>
      <c r="S107" s="185" t="str">
        <f>IF(E107="","",IF((VLOOKUP(E107,classifications!C:K,9,FALSE))="Sparse","S",""))</f>
        <v>S</v>
      </c>
      <c r="U107" s="295" t="str">
        <f>IF('Filtered Data'!$D$1="MD","",IF('Filtered Data'!$D$1="SC","",IF('Filtered Data'!$D$1="UA",'Filtered Data'!AS26,'Filtered Data'!AL26)))</f>
        <v/>
      </c>
      <c r="V107" s="281"/>
      <c r="W107" s="281"/>
      <c r="X107" s="284" t="str">
        <f>IF(U107="","",IF('Filtered Data'!$D$1="UA",VLOOKUP(U107,'Filtered Data'!AS:AU,2,FALSE),VLOOKUP(U107,'Filtered Data'!AL:AN,2,FALSE)))</f>
        <v/>
      </c>
      <c r="Y107" s="284"/>
      <c r="Z107" s="284"/>
      <c r="AA107" s="284"/>
      <c r="AB107" s="284"/>
      <c r="AC107" s="284"/>
      <c r="AD107" s="284"/>
      <c r="AE107" s="284"/>
      <c r="AF107" s="284"/>
      <c r="AG107" s="284"/>
      <c r="AH107" s="278"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8"/>
      <c r="AJ107" s="278"/>
      <c r="AK107" s="278"/>
      <c r="AL107" s="185" t="str">
        <f>IF(X107="","",IF((VLOOKUP(X107,classifications!C:K,9,FALSE))="Sparse","S",""))</f>
        <v/>
      </c>
      <c r="AP107" s="85"/>
    </row>
    <row r="108" spans="2:42" ht="12" customHeight="1">
      <c r="B108" s="281"/>
      <c r="C108" s="281"/>
      <c r="D108" s="281"/>
      <c r="E108" s="288" t="s">
        <v>343</v>
      </c>
      <c r="F108" s="288"/>
      <c r="G108" s="288"/>
      <c r="H108" s="288"/>
      <c r="I108" s="288"/>
      <c r="J108" s="288"/>
      <c r="K108" s="288"/>
      <c r="L108" s="288"/>
      <c r="M108" s="288"/>
      <c r="N108" s="288"/>
      <c r="O108" s="294">
        <f>IF(ISERROR(AVERAGE(O92:O107)),"",AVERAGE(O92:O107))</f>
        <v>0.66687500000000011</v>
      </c>
      <c r="P108" s="294"/>
      <c r="Q108" s="294"/>
      <c r="R108" s="294"/>
      <c r="S108" s="185"/>
      <c r="U108" s="281"/>
      <c r="V108" s="281"/>
      <c r="W108" s="281"/>
      <c r="X108" s="24" t="str">
        <f>IF('Filtered Data'!D1="MD","",IF('Filtered Data'!D1="SC","","Average"))</f>
        <v>Average</v>
      </c>
      <c r="Y108" s="24"/>
      <c r="Z108" s="24"/>
      <c r="AA108" s="24"/>
      <c r="AB108" s="24"/>
      <c r="AC108" s="24"/>
      <c r="AD108" s="24"/>
      <c r="AE108" s="24"/>
      <c r="AF108" s="24"/>
      <c r="AG108" s="27"/>
      <c r="AH108" s="294">
        <f>L40</f>
        <v>0.58166666666666667</v>
      </c>
      <c r="AI108" s="294"/>
      <c r="AJ108" s="294"/>
      <c r="AK108" s="294"/>
      <c r="AP108" s="85"/>
    </row>
    <row r="109" spans="2:42" ht="12" customHeight="1">
      <c r="W109" s="22">
        <f>COUNT(U92:V107)</f>
        <v>6</v>
      </c>
    </row>
    <row r="110" spans="2:42" ht="19.5" customHeight="1">
      <c r="B110" s="296" t="str">
        <f>B3</f>
        <v>Planning Application Turnaround</v>
      </c>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row>
    <row r="111" spans="2:42" ht="12" customHeight="1"/>
    <row r="112" spans="2:42" ht="12" customHeight="1">
      <c r="B112" s="288" t="s">
        <v>376</v>
      </c>
      <c r="C112" s="288"/>
      <c r="D112" s="28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row>
    <row r="113" spans="2:40" ht="12" customHeight="1"/>
    <row r="114" spans="2:40" ht="12" customHeight="1">
      <c r="B114" s="290" t="str">
        <f>W6&amp;" - "&amp;W12</f>
        <v>Major Developments - % within 13 weeks - Year Ending March 2014</v>
      </c>
      <c r="C114" s="291"/>
      <c r="D114" s="291"/>
      <c r="E114" s="291"/>
      <c r="F114" s="291"/>
      <c r="G114" s="291"/>
      <c r="H114" s="291"/>
      <c r="I114" s="291"/>
      <c r="J114" s="291"/>
      <c r="K114" s="291"/>
      <c r="L114" s="291"/>
      <c r="M114" s="291"/>
      <c r="N114" s="291"/>
      <c r="O114" s="291"/>
      <c r="P114" s="291"/>
      <c r="Q114" s="291"/>
      <c r="R114" s="291"/>
      <c r="S114" s="291"/>
      <c r="T114" s="291"/>
      <c r="U114" s="291"/>
      <c r="V114" s="291"/>
      <c r="W114" s="291"/>
      <c r="X114" s="291"/>
      <c r="Y114" s="291"/>
      <c r="Z114" s="291"/>
      <c r="AA114" s="291"/>
      <c r="AB114" s="291"/>
      <c r="AC114" s="291"/>
      <c r="AD114" s="291"/>
      <c r="AE114" s="291"/>
      <c r="AF114" s="291"/>
      <c r="AG114" s="291"/>
      <c r="AH114" s="291"/>
      <c r="AI114" s="291"/>
      <c r="AJ114" s="291"/>
      <c r="AK114" s="291"/>
      <c r="AL114" s="291"/>
      <c r="AM114" s="291"/>
      <c r="AN114" s="26"/>
    </row>
    <row r="115" spans="2:40" ht="12" customHeight="1">
      <c r="B115" s="292"/>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289">
        <f>IF('Filtered Data'!H8="..",L35,L35*100)</f>
        <v>49</v>
      </c>
      <c r="H118" s="289"/>
      <c r="I118" s="289"/>
      <c r="J118" s="289"/>
      <c r="K118" s="289"/>
      <c r="L118" s="6"/>
      <c r="M118" s="285">
        <f>K$48</f>
        <v>80</v>
      </c>
      <c r="N118" s="285"/>
      <c r="O118" s="285">
        <f>M$48</f>
        <v>72</v>
      </c>
      <c r="P118" s="285"/>
      <c r="Q118" s="285">
        <f>O$48</f>
        <v>62.5</v>
      </c>
      <c r="R118" s="285"/>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89">
        <f>IF('Filtered Data'!H8="%%",(AVERAGEIF('Filtered Data'!AA$10:AA$500,$F119,'Filtered Data'!M$10:M$500))*100,(AVERAGEIF('Filtered Data'!AA$10:AA$500,$F119,'Filtered Data'!M$10:M$500)))</f>
        <v>69.5625</v>
      </c>
      <c r="H119" s="289"/>
      <c r="I119" s="289"/>
      <c r="J119" s="289"/>
      <c r="K119" s="289"/>
      <c r="L119" s="6"/>
      <c r="M119" s="285">
        <f>K$48</f>
        <v>80</v>
      </c>
      <c r="N119" s="285"/>
      <c r="O119" s="285">
        <f>M$48</f>
        <v>72</v>
      </c>
      <c r="P119" s="285"/>
      <c r="Q119" s="285">
        <f>O$48</f>
        <v>62.5</v>
      </c>
      <c r="R119" s="285"/>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89">
        <f>IF('Filtered Data'!H8="%%",(AVERAGEIF('Filtered Data'!AA$10:AA$500,$F120,'Filtered Data'!M$10:M$500))*100,(AVERAGEIF('Filtered Data'!AA$10:AA$500,$F120,'Filtered Data'!M$10:M$500)))</f>
        <v>72.205882352941174</v>
      </c>
      <c r="H120" s="289"/>
      <c r="I120" s="289"/>
      <c r="J120" s="289"/>
      <c r="K120" s="289"/>
      <c r="L120" s="6"/>
      <c r="M120" s="285">
        <f>K$48</f>
        <v>80</v>
      </c>
      <c r="N120" s="285"/>
      <c r="O120" s="285">
        <f>M$48</f>
        <v>72</v>
      </c>
      <c r="P120" s="285"/>
      <c r="Q120" s="285">
        <f>O$48</f>
        <v>62.5</v>
      </c>
      <c r="R120" s="285"/>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89">
        <f>IF('Filtered Data'!H8="%%",(AVERAGEIF('Filtered Data'!AA$10:AA$500,$F121,'Filtered Data'!M$10:M$500))*100,(AVERAGEIF('Filtered Data'!AA$10:AA$500,$F121,'Filtered Data'!M$10:M$500)))</f>
        <v>62.8</v>
      </c>
      <c r="H121" s="289"/>
      <c r="I121" s="289"/>
      <c r="J121" s="289"/>
      <c r="K121" s="289"/>
      <c r="L121" s="6"/>
      <c r="M121" s="285">
        <f>K$48</f>
        <v>80</v>
      </c>
      <c r="N121" s="285"/>
      <c r="O121" s="285">
        <f>M$48</f>
        <v>72</v>
      </c>
      <c r="P121" s="285"/>
      <c r="Q121" s="285">
        <f>O$48</f>
        <v>62.5</v>
      </c>
      <c r="R121" s="285"/>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9"/>
      <c r="H122" s="289"/>
      <c r="I122" s="289"/>
      <c r="J122" s="289"/>
      <c r="K122" s="289"/>
      <c r="L122" s="6"/>
      <c r="M122" s="285"/>
      <c r="N122" s="285"/>
      <c r="O122" s="285"/>
      <c r="P122" s="285"/>
      <c r="Q122" s="285"/>
      <c r="R122" s="285"/>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9"/>
      <c r="H123" s="289"/>
      <c r="I123" s="289"/>
      <c r="J123" s="289"/>
      <c r="K123" s="289"/>
      <c r="L123" s="6"/>
      <c r="M123" s="285"/>
      <c r="N123" s="285"/>
      <c r="O123" s="285"/>
      <c r="P123" s="285"/>
      <c r="Q123" s="285"/>
      <c r="R123" s="285"/>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9"/>
      <c r="H124" s="289"/>
      <c r="I124" s="289"/>
      <c r="J124" s="289"/>
      <c r="K124" s="289"/>
      <c r="L124" s="6"/>
      <c r="M124" s="285"/>
      <c r="N124" s="285"/>
      <c r="O124" s="285"/>
      <c r="P124" s="285"/>
      <c r="Q124" s="285"/>
      <c r="R124" s="285"/>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394</v>
      </c>
      <c r="E1" s="47"/>
      <c r="F1" s="47"/>
      <c r="G1" s="47"/>
      <c r="H1" s="107"/>
      <c r="I1" s="108"/>
      <c r="K1" s="87"/>
      <c r="L1" s="48" t="s">
        <v>362</v>
      </c>
      <c r="M1" s="124" t="s">
        <v>389</v>
      </c>
      <c r="N1" s="124" t="s">
        <v>389</v>
      </c>
      <c r="O1" s="124"/>
      <c r="P1" s="124"/>
      <c r="Q1" s="124"/>
      <c r="R1" s="124"/>
      <c r="T1" s="355" t="s">
        <v>833</v>
      </c>
      <c r="U1" s="356"/>
      <c r="V1" s="356"/>
      <c r="W1" s="357"/>
      <c r="X1" s="87"/>
      <c r="AA1" s="355" t="s">
        <v>832</v>
      </c>
      <c r="AB1" s="356"/>
      <c r="AC1" s="356"/>
      <c r="AD1" s="35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5"/>
      <c r="U2" s="356"/>
      <c r="V2" s="356"/>
      <c r="W2" s="357"/>
      <c r="X2" s="353"/>
      <c r="Y2" s="354"/>
      <c r="Z2" s="354"/>
      <c r="AA2" s="355"/>
      <c r="AB2" s="356"/>
      <c r="AC2" s="356"/>
      <c r="AD2" s="357"/>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Cheshire East</v>
      </c>
      <c r="F3" s="108" t="str">
        <f>VLOOKUP(D3,classifications!C:G,4,FALSE)</f>
        <v>UA</v>
      </c>
      <c r="G3" s="48" t="str">
        <f>VLOOKUP(D3,classifications!C:E,3,FALSE)</f>
        <v>North West</v>
      </c>
      <c r="H3" s="118" t="str">
        <f>VLOOKUP(D3,classifications!C:H,6,FALSE)</f>
        <v>Rural-50</v>
      </c>
      <c r="I3" s="48" t="str">
        <f>VLOOKUP(D3,classifications!C:J,8,FALSE)</f>
        <v>Unitary</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Major Developments - % within 13 weeks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Year Ending March 2014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96</v>
      </c>
      <c r="Q7" s="145">
        <f>IF(I8="A",MAX(N11:N363),MIN(N11:N363))</f>
        <v>42</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Cheshire East</v>
      </c>
      <c r="Q8" s="146">
        <f>VLOOKUP(D3,L11:N363,3,FALSE)</f>
        <v>49</v>
      </c>
      <c r="R8" s="147" t="str">
        <f>IF(I8="A",IF(Q8&gt;Q10,"Bottom",IF(Q8&gt;P10,"Third",IF(Q8&gt;O10,"Second","Top"))),IF(Q8&gt;=O10,"Top",IF(Q8&gt;=P10,"Second",IF(Q8&gt;=Q10,"Third","Bottom"))))</f>
        <v>Bottom</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0.70581818181818179</v>
      </c>
      <c r="N9" s="123"/>
      <c r="O9" s="126" t="s">
        <v>344</v>
      </c>
      <c r="P9" s="126" t="s">
        <v>355</v>
      </c>
      <c r="Q9" s="126" t="s">
        <v>356</v>
      </c>
      <c r="R9" s="128" t="s">
        <v>408</v>
      </c>
      <c r="S9" s="53"/>
      <c r="T9" s="233" t="s">
        <v>828</v>
      </c>
      <c r="U9" s="234">
        <f>IF($H$8="%.",(AVERAGE(U11:U363))/100,(AVERAGE(U11:U363)))</f>
        <v>0.65166666666666673</v>
      </c>
      <c r="V9" s="235"/>
      <c r="W9" s="235"/>
      <c r="X9" s="121" t="str">
        <f>"Lower Level Ranking for Authorites in "&amp;H3&amp;" &amp; are a "&amp;F3</f>
        <v>Lower Level Ranking for Authorites in Rural-50 &amp; are a UA</v>
      </c>
      <c r="Y9" s="123">
        <f>IF($H$8="%.",(AVERAGE(Y11:Y363))/100,(AVERAGE(Y11:Y363)))</f>
        <v>0.65166666666666673</v>
      </c>
      <c r="Z9" s="122"/>
      <c r="AA9" s="243" t="s">
        <v>384</v>
      </c>
      <c r="AB9" s="234">
        <f>IF($H$8="%.",(AVERAGE(AB11:AB363))/100,(AVERAGE(AB11:AB363)))</f>
        <v>0.69562500000000005</v>
      </c>
      <c r="AC9" s="244"/>
      <c r="AD9" s="244"/>
      <c r="AE9" s="54" t="s">
        <v>417</v>
      </c>
      <c r="AG9" s="123">
        <f>IF($H$8="%.",(AVERAGE(AG11:AG363))/100,(AVERAGE(AG11:AG363)))</f>
        <v>0.666875</v>
      </c>
      <c r="AI9" s="121" t="str">
        <f>"County Ranking &amp; Top Authorites in "&amp;I3&amp;" &amp; are a "&amp;F3</f>
        <v>County Ranking &amp; Top Authorites in Unitary &amp; are a UA</v>
      </c>
      <c r="AJ9" s="123">
        <f>IF($H$8="%.",(AVERAGE(AJ11:AJ363))/100,(AVERAGE(AJ11:AJ363)))</f>
        <v>0.70581818181818179</v>
      </c>
      <c r="AK9" s="122"/>
      <c r="AL9" s="70"/>
      <c r="AM9" s="31"/>
      <c r="AN9" s="31"/>
      <c r="AP9" s="121" t="str">
        <f>"Regional Ranking in for "&amp;F3</f>
        <v>Regional Ranking in for UA</v>
      </c>
      <c r="AQ9" s="123">
        <f>IF($H$8="%.",(AVERAGE(AQ11:AQ363))/100,(AVERAGE(AQ11:AQ363)))</f>
        <v>0.58166666666666667</v>
      </c>
      <c r="AR9" s="122"/>
      <c r="AS9" s="122"/>
      <c r="AT9" s="122"/>
      <c r="AU9" s="122"/>
      <c r="AV9" s="49"/>
      <c r="AW9" s="115"/>
      <c r="AX9" s="178" t="str">
        <f>Profile!$W$6</f>
        <v>Major Developments - % within 13 weeks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80</v>
      </c>
      <c r="P10" s="130">
        <f>QUARTILE(N:N,2)</f>
        <v>72</v>
      </c>
      <c r="Q10" s="130">
        <f>IF(I8="A",QUARTILE(N:N,3),QUARTILE(N:N,1))</f>
        <v>62.5</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Year Ending March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HLOOKUP($D$6,AX$10:ZX$363,ROW()-9,FALSE)</f>
        <v>70</v>
      </c>
      <c r="G11" s="105"/>
      <c r="H11" s="60" t="str">
        <f>IF(D11=$D$1,HLOOKUP($D$6,$AX$10:$ZZ$363,ROW()-9,FALSE),"")</f>
        <v/>
      </c>
      <c r="I11" s="112" t="str">
        <f>IF(H11="","",IF($I$8="A",(RANK(H11,H$11:H$363,1)+COUNTIF(H$11:H11,H11)-1),(RANK(H11,H$11:H$363)+COUNTIF(H$11:H11,H11)-1)))</f>
        <v/>
      </c>
      <c r="J11" s="58"/>
      <c r="K11" s="51">
        <v>1</v>
      </c>
      <c r="L11" s="59" t="str">
        <f>IF(K11="","",INDEX(C$11:C$363,MATCH(K11,I$11:I$363,0)))</f>
        <v>Southend-on-Sea</v>
      </c>
      <c r="M11" s="153">
        <f>IF(L11="","",IF(VLOOKUP(L11,C:D,2,FALSE)=$F$3,VLOOKUP(L11,C:H,6,FALSE),""))</f>
        <v>96</v>
      </c>
      <c r="N11" s="148">
        <f>IF(L11="","",IF($H$8="%%",M11*100,M11))</f>
        <v>96</v>
      </c>
      <c r="O11" s="131">
        <f>IF(I$8="A",IF(N11&gt;=$P$7,IF(N11&lt;=$O$10,N11,""),""),IF(N11&lt;=$P$7,IF(N11&gt;=$O$10,N11,""),""))</f>
        <v>96</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Large Urban</v>
      </c>
      <c r="Y11" s="49" t="str">
        <f>IF($D$1="UA",IF(X11="Rural-50",M11,IF(X11="Rural-80",M11,IF(X11="Significant Rural",M11,""))),IF($D$1="SD",IF(X11=$H$3,M11,"")))</f>
        <v/>
      </c>
      <c r="Z11" s="57" t="str">
        <f>IF(Y11="","",IF(I$8="A",(RANK(Y11,Y$11:Y$363,1)+COUNTIF(Y$11:Y11,Y11)-1),(RANK(Y11,Y$11:Y$363)+COUNTIF(Y$11:Y11,Y11)-1)))</f>
        <v/>
      </c>
      <c r="AA11" s="245" t="str">
        <f>IF(L11="","",VLOOKUP($L11,classifications!C:I,7,FALSE))</f>
        <v>Predominantly Urban</v>
      </c>
      <c r="AB11" s="239" t="str">
        <f>IF(AA11=$J$3,M11,"")</f>
        <v/>
      </c>
      <c r="AC11" s="239" t="str">
        <f>IF(AB11="","",IF($I$8="A",(RANK(AB11,AB$11:AB$363)+COUNTIF(AB$11:AB11,AB11)-1),(RANK(AB11,AB$11:AB$363,1)+COUNTIF(AB$11:AB11,AB11)-1)))</f>
        <v/>
      </c>
      <c r="AD11" s="239"/>
      <c r="AE11" s="71">
        <f>IF(I$8="A",(RANK(AG11,AG$11:AG$363,1)+COUNTIF(AG$11:AG11,AG11)-1),(RANK(AG11,AG$11:AG$363)+COUNTIF(AG$11:AG11,AG11)-1))</f>
        <v>16</v>
      </c>
      <c r="AF11" s="69" t="str">
        <f>'Filtered Data'!D3</f>
        <v>Cheshire East</v>
      </c>
      <c r="AG11" s="142">
        <f>VLOOKUP(Profile!$J$5,$C$11:$H$363,4,FALSE)</f>
        <v>49</v>
      </c>
      <c r="AH11" s="72">
        <f>AE11</f>
        <v>16</v>
      </c>
      <c r="AI11" s="61" t="str">
        <f>IF(L11="","",VLOOKUP($L11,classifications!$C:$J,8,FALSE))</f>
        <v>Unitary</v>
      </c>
      <c r="AJ11" s="62">
        <f t="shared" ref="AJ11:AJ74" si="0">IF(AI11=$I$3,M11,"")</f>
        <v>96</v>
      </c>
      <c r="AK11" s="57">
        <f>IF(AJ11="","",IF(I$8="A",(RANK(AJ11,AJ$11:AJ$363,1)+COUNTIF(AJ$11:AJ11,AJ11)-1),(RANK(AJ11,AJ$11:AJ$363)+COUNTIF(AJ$11:AJ11,AJ11)-1)))</f>
        <v>1</v>
      </c>
      <c r="AL11" s="57">
        <v>1</v>
      </c>
      <c r="AM11" s="31" t="str">
        <f>IF(ISNA(IF(AL11="","",INDEX(L$11:L$363,MATCH(AL11,AK$11:AK$363,0)))),"",(IF(AL11="","",INDEX(L$11:L$363,MATCH(AL11,AK$11:AK$363,0)))))</f>
        <v>Southend-on-Sea</v>
      </c>
      <c r="AN11" s="31">
        <f>(VLOOKUP(AM11,L:M,2,FALSE))</f>
        <v>96</v>
      </c>
      <c r="AP11" s="61" t="str">
        <f>IF(L11="","",VLOOKUP($L11,classifications!$C:$E,3,FALSE))</f>
        <v>East of England</v>
      </c>
      <c r="AQ11" s="62" t="str">
        <f>IF(AP11=$G$3,$M11,"")</f>
        <v/>
      </c>
      <c r="AR11" s="57" t="str">
        <f>IF(AQ11="","",IF(I$8="A",(RANK(AQ11,AQ$11:AQ$363,1)+COUNTIF(AQ$11:AQ11,AQ11)-1),(RANK(AQ11,AQ$11:AQ$363)+COUNTIF(AQ$11:AQ11,AQ11)-1)))</f>
        <v/>
      </c>
      <c r="AS11" s="57">
        <v>1</v>
      </c>
      <c r="AT11" s="57" t="str">
        <f>IF(AS11="","",INDEX(L$11:L$363,MATCH(AS11,AR$11:AR$363,0)))</f>
        <v>Warrington</v>
      </c>
      <c r="AU11" s="62">
        <f>IF(AT11="","",VLOOKUP(AT11,L:M,2,FALSE))</f>
        <v>80</v>
      </c>
      <c r="AX11" s="44">
        <f>HLOOKUP($AX$9&amp;$AX$10,Data!$A$1:$ZZ$2000,(MATCH($C11,Data!$A$1:$A$2000,0)),FALSE)</f>
        <v>70</v>
      </c>
      <c r="AY11" s="156"/>
      <c r="AZ11" s="44"/>
    </row>
    <row r="12" spans="1:735">
      <c r="A12" s="84" t="str">
        <f>$D$1&amp;2</f>
        <v>UA2</v>
      </c>
      <c r="B12" s="85" t="str">
        <f>IF(ISERROR(VLOOKUP(A12,classifications!A:C,3,FALSE)),0,VLOOKUP(A12,classifications!A:C,3,FALSE))</f>
        <v>Cheshire West &amp; Chester</v>
      </c>
      <c r="C12" s="31" t="s">
        <v>6</v>
      </c>
      <c r="D12" s="49" t="str">
        <f>VLOOKUP($C12,classifications!$C:$J,4,FALSE)</f>
        <v>SD</v>
      </c>
      <c r="E12" s="49" t="str">
        <f>VLOOKUP(C12,classifications!C:K,9,FALSE)</f>
        <v>Sparse</v>
      </c>
      <c r="F12" s="59">
        <f t="shared" ref="F12:F74" si="1">HLOOKUP($D$6,AX$10:ZX$363,ROW()-9,FALSE)</f>
        <v>63</v>
      </c>
      <c r="G12" s="105"/>
      <c r="H12" s="60" t="str">
        <f t="shared" ref="H12:H74" si="2">IF(D12=$D$1,HLOOKUP($D$6,$AX$10:$ZZ$363,ROW()-9,FALSE),"")</f>
        <v/>
      </c>
      <c r="I12" s="112" t="str">
        <f>IF(H12="","",IF($I$8="A",(RANK(H12,H$11:H$363,1)+COUNTIF(H$11:H12,H12)-1),(RANK(H12,H$11:H$363)+COUNTIF(H$11:H12,H12)-1)))</f>
        <v/>
      </c>
      <c r="J12" s="58"/>
      <c r="K12" s="51">
        <f>IF(K11="","",IF(K11+1&gt;(COUNT(H$11:H$363)),"",K11+1))</f>
        <v>2</v>
      </c>
      <c r="L12" s="59" t="str">
        <f>IF(K12="","",INDEX(C$11:C$363,MATCH(K12,I$11:I$363,0)))</f>
        <v>Slough</v>
      </c>
      <c r="M12" s="153">
        <f>IF(L12="","",IF(VLOOKUP(L12,C:D,2,FALSE)=$F$3,VLOOKUP(L12,C:H,6,FALSE),""))</f>
        <v>92</v>
      </c>
      <c r="N12" s="148">
        <f>IF(L12="","",IF($H$8="%%",M12*100,M12))</f>
        <v>92</v>
      </c>
      <c r="O12" s="131">
        <f t="shared" ref="O12:O74" si="3">IF(I$8="A",IF(N12&gt;=$P$7,IF(N12&lt;=$O$10,N12,""),""),IF(N12&lt;=$P$7,IF(N12&gt;=$O$10,N12,""),""))</f>
        <v>92</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Other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Rural</v>
      </c>
      <c r="AB12" s="239">
        <f t="shared" ref="AB12:AB75" si="7">IF(AA12=$J$3,M12,"")</f>
        <v>92</v>
      </c>
      <c r="AC12" s="239">
        <f>IF(AB12="","",IF($I$8="A",(RANK(AB12,AB$11:AB$363)+COUNTIF(AB$11:AB12,AB12)-1),(RANK(AB12,AB$11:AB$363,1)+COUNTIF(AB$11:AB12,AB12)-1)))</f>
        <v>16</v>
      </c>
      <c r="AD12" s="239"/>
      <c r="AE12" s="71">
        <f>IF(I$8="A",(RANK(AG12,AG$11:AG$363,1)+COUNTIF(AG$11:AG12,AG12)-1),(RANK(AG12,AG$11:AG$363)+COUNTIF(AG$11:AG12,AG12)-1))</f>
        <v>14</v>
      </c>
      <c r="AF12" s="6" t="str">
        <f>VLOOKUP(Profile!$J$5,Families!$C:$R,2,FALSE)</f>
        <v>Cheshire West &amp; Chester</v>
      </c>
      <c r="AG12" s="143">
        <f>VLOOKUP(AF12,$C$11:$H$363,4,FALSE)</f>
        <v>51</v>
      </c>
      <c r="AH12" s="72">
        <f>AE12</f>
        <v>14</v>
      </c>
      <c r="AI12" s="61" t="str">
        <f>IF(L12="","",VLOOKUP($L12,classifications!$C:$J,8,FALSE))</f>
        <v>Unitary</v>
      </c>
      <c r="AJ12" s="62">
        <f t="shared" si="0"/>
        <v>92</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Slough</v>
      </c>
      <c r="AN12" s="31">
        <f t="shared" ref="AN12:AN75" si="9">(VLOOKUP(AM12,L:M,2,FALSE))</f>
        <v>92</v>
      </c>
      <c r="AP12" s="61" t="str">
        <f>IF(L12="","",VLOOKUP($L12,classifications!$C:$E,3,FALSE))</f>
        <v>South East</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Blackpool</v>
      </c>
      <c r="AU12" s="62">
        <f t="shared" ref="AU12:AU75" si="12">IF(AT12="","",VLOOKUP(AT12,L:M,2,FALSE))</f>
        <v>67</v>
      </c>
      <c r="AX12" s="44">
        <f>HLOOKUP($AX$9&amp;$AX$10,Data!$A$1:$ZZ$2000,(MATCH($C12,Data!$A$1:$A$2000,0)),FALSE)</f>
        <v>63</v>
      </c>
      <c r="AY12" s="156"/>
      <c r="AZ12" s="44"/>
    </row>
    <row r="13" spans="1:735">
      <c r="A13" s="84" t="str">
        <f>$D$1&amp;3</f>
        <v>UA3</v>
      </c>
      <c r="B13" s="85" t="str">
        <f>IF(ISERROR(VLOOKUP(A13,classifications!A:C,3,FALSE)),0,VLOOKUP(A13,classifications!A:C,3,FALSE))</f>
        <v>Cornwall</v>
      </c>
      <c r="C13" s="31" t="s">
        <v>7</v>
      </c>
      <c r="D13" s="49" t="str">
        <f>VLOOKUP($C13,classifications!$C:$J,4,FALSE)</f>
        <v>SD</v>
      </c>
      <c r="E13" s="49">
        <f>VLOOKUP(C13,classifications!C:K,9,FALSE)</f>
        <v>0</v>
      </c>
      <c r="F13" s="59">
        <f t="shared" si="1"/>
        <v>25</v>
      </c>
      <c r="G13" s="105"/>
      <c r="H13" s="60" t="str">
        <f t="shared" si="2"/>
        <v/>
      </c>
      <c r="I13" s="112" t="str">
        <f>IF(H13="","",IF($I$8="A",(RANK(H13,H$11:H$363,1)+COUNTIF(H$11:H13,H13)-1),(RANK(H13,H$11:H$363)+COUNTIF(H$11:H13,H13)-1)))</f>
        <v/>
      </c>
      <c r="J13" s="58"/>
      <c r="K13" s="51">
        <f t="shared" ref="K13:K76" si="13">IF(K12="","",IF(K12+1&gt;(COUNT(H$11:H$363)),"",K12+1))</f>
        <v>3</v>
      </c>
      <c r="L13" s="59" t="str">
        <f t="shared" ref="L13:L74" si="14">IF(K13="","",INDEX(C$11:C$363,MATCH(K13,I$11:I$363,0)))</f>
        <v>Nottingham</v>
      </c>
      <c r="M13" s="153">
        <f>IF(L13="","",IF(VLOOKUP(L13,C:D,2,FALSE)=$F$3,VLOOKUP(L13,C:H,6,FALSE),""))</f>
        <v>91</v>
      </c>
      <c r="N13" s="148">
        <f>IF(L13="","",IF($H$8="%%",M13*100,M13))</f>
        <v>91</v>
      </c>
      <c r="O13" s="131">
        <f t="shared" si="3"/>
        <v>91</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f>IF(L13="","",VLOOKUP(L13,classifications!C:K,9,FALSE))</f>
        <v>0</v>
      </c>
      <c r="U13" s="238" t="str">
        <f t="shared" si="5"/>
        <v/>
      </c>
      <c r="V13" s="239" t="str">
        <f>IF(U13="","",IF($I$8="A",(RANK(U13,U$11:U$363)+COUNTIF(U$11:U13,U13)-1),(RANK(U13,U$11:U$363,1)+COUNTIF(U$11:U13,U13)-1)))</f>
        <v/>
      </c>
      <c r="W13" s="240"/>
      <c r="X13" s="61" t="str">
        <f>IF(L13="","",VLOOKUP($L13,classifications!$C:$J,6,FALSE))</f>
        <v>Large Urban</v>
      </c>
      <c r="Y13" s="49" t="str">
        <f t="shared" si="6"/>
        <v/>
      </c>
      <c r="Z13" s="57" t="str">
        <f>IF(Y13="","",IF(I$8="A",(RANK(Y13,Y$11:Y$363,1)+COUNTIF(Y$11:Y13,Y13)-1),(RANK(Y13,Y$11:Y$363)+COUNTIF(Y$11:Y13,Y13)-1)))</f>
        <v/>
      </c>
      <c r="AA13" s="245" t="str">
        <f>IF(L13="","",VLOOKUP($L13,classifications!C:I,7,FALSE))</f>
        <v>Predominantly Urban</v>
      </c>
      <c r="AB13" s="239" t="str">
        <f>IF(AA13=$J$3,M13,"")</f>
        <v/>
      </c>
      <c r="AC13" s="239" t="str">
        <f>IF(AB13="","",IF($I$8="A",(RANK(AB13,AB$11:AB$363)+COUNTIF(AB$11:AB13,AB13)-1),(RANK(AB13,AB$11:AB$363,1)+COUNTIF(AB$11:AB13,AB13)-1)))</f>
        <v/>
      </c>
      <c r="AD13" s="239"/>
      <c r="AE13" s="71">
        <f>IF(I$8="A",(RANK(AG13,AG$11:AG$363,1)+COUNTIF(AG$11:AG13,AG13)-1),(RANK(AG13,AG$11:AG$363)+COUNTIF(AG$11:AG13,AG13)-1))</f>
        <v>12</v>
      </c>
      <c r="AF13" s="6" t="str">
        <f>VLOOKUP(Profile!$J$5,Families!$C:$R,3,FALSE)</f>
        <v>Wiltshire</v>
      </c>
      <c r="AG13" s="143">
        <f>VLOOKUP(AF13,$C$11:$H$363,4,FALSE)</f>
        <v>56</v>
      </c>
      <c r="AH13" s="72">
        <f t="shared" ref="AH13:AH26" si="18">AE13</f>
        <v>12</v>
      </c>
      <c r="AI13" s="61" t="str">
        <f>IF(L13="","",VLOOKUP($L13,classifications!$C:$J,8,FALSE))</f>
        <v>Unitary</v>
      </c>
      <c r="AJ13" s="62">
        <f>IF(AI13=$I$3,M13,"")</f>
        <v>91</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Nottingham</v>
      </c>
      <c r="AN13" s="31">
        <f t="shared" si="9"/>
        <v>91</v>
      </c>
      <c r="AP13" s="61" t="str">
        <f>IF(L13="","",VLOOKUP($L13,classifications!$C:$E,3,FALSE))</f>
        <v>East Midlands</v>
      </c>
      <c r="AQ13" s="62" t="str">
        <f t="shared" si="10"/>
        <v/>
      </c>
      <c r="AR13" s="57" t="str">
        <f>IF(AQ13="","",IF(I$8="A",(RANK(AQ13,AQ$11:AQ$363,1)+COUNTIF(AQ$11:AQ13,AQ13)-1),(RANK(AQ13,AQ$11:AQ$363)+COUNTIF(AQ$11:AQ13,AQ13)-1)))</f>
        <v/>
      </c>
      <c r="AS13" s="52">
        <f>IF(AS12="","",IF(AS12+1&gt;(COUNT(AQ$11:AQ$363)),"",AS12+1))</f>
        <v>3</v>
      </c>
      <c r="AT13" s="57" t="str">
        <f t="shared" si="11"/>
        <v>Halton</v>
      </c>
      <c r="AU13" s="62">
        <f t="shared" si="12"/>
        <v>60</v>
      </c>
      <c r="AX13" s="44">
        <f>HLOOKUP($AX$9&amp;$AX$10,Data!$A$1:$ZZ$2000,(MATCH($C13,Data!$A$1:$A$2000,0)),FALSE)</f>
        <v>25</v>
      </c>
      <c r="AY13" s="156"/>
      <c r="AZ13" s="44"/>
    </row>
    <row r="14" spans="1:735">
      <c r="A14" s="84" t="str">
        <f>$D$1&amp;4</f>
        <v>UA4</v>
      </c>
      <c r="B14" s="85" t="str">
        <f>IF(ISERROR(VLOOKUP(A14,classifications!A:C,3,FALSE)),0,VLOOKUP(A14,classifications!A:C,3,FALSE))</f>
        <v>Durham</v>
      </c>
      <c r="C14" s="31" t="s">
        <v>8</v>
      </c>
      <c r="D14" s="49" t="str">
        <f>VLOOKUP($C14,classifications!$C:$J,4,FALSE)</f>
        <v>SD</v>
      </c>
      <c r="E14" s="49">
        <f>VLOOKUP(C14,classifications!C:K,9,FALSE)</f>
        <v>0</v>
      </c>
      <c r="F14" s="59">
        <f t="shared" si="1"/>
        <v>55</v>
      </c>
      <c r="G14" s="105"/>
      <c r="H14" s="60" t="str">
        <f t="shared" si="2"/>
        <v/>
      </c>
      <c r="I14" s="112" t="str">
        <f>IF(H14="","",IF($I$8="A",(RANK(H14,H$11:H$363,1)+COUNTIF(H$11:H14,H14)-1),(RANK(H14,H$11:H$363)+COUNTIF(H$11:H14,H14)-1)))</f>
        <v/>
      </c>
      <c r="J14" s="58"/>
      <c r="K14" s="51">
        <f t="shared" si="13"/>
        <v>4</v>
      </c>
      <c r="L14" s="59" t="str">
        <f t="shared" si="14"/>
        <v>Hartlepool</v>
      </c>
      <c r="M14" s="153">
        <f t="shared" ref="M14:M75" si="20">IF(L14="","",IF(VLOOKUP(L14,C:D,2,FALSE)=$F$3,VLOOKUP(L14,C:H,6,FALSE),""))</f>
        <v>89</v>
      </c>
      <c r="N14" s="148">
        <f t="shared" ref="N14:N75" si="21">IF(L14="","",IF($H$8="%%",M14*100,M14))</f>
        <v>89</v>
      </c>
      <c r="O14" s="131">
        <f t="shared" si="3"/>
        <v>89</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Other Urban</v>
      </c>
      <c r="Y14" s="49" t="str">
        <f t="shared" si="6"/>
        <v/>
      </c>
      <c r="Z14" s="57" t="str">
        <f>IF(Y14="","",IF(I$8="A",(RANK(Y14,Y$11:Y$363,1)+COUNTIF(Y$11:Y14,Y14)-1),(RANK(Y14,Y$11:Y$363)+COUNTIF(Y$11:Y14,Y14)-1)))</f>
        <v/>
      </c>
      <c r="AA14" s="245" t="str">
        <f>IF(L14="","",VLOOKUP($L14,classifications!C:I,7,FALSE))</f>
        <v>Predominantly Urban</v>
      </c>
      <c r="AB14" s="239" t="str">
        <f t="shared" si="7"/>
        <v/>
      </c>
      <c r="AC14" s="239" t="str">
        <f>IF(AB14="","",IF($I$8="A",(RANK(AB14,AB$11:AB$363)+COUNTIF(AB$11:AB14,AB14)-1),(RANK(AB14,AB$11:AB$363,1)+COUNTIF(AB$11:AB14,AB14)-1)))</f>
        <v/>
      </c>
      <c r="AD14" s="239"/>
      <c r="AE14" s="71">
        <f>IF(I$8="A",(RANK(AG14,AG$11:AG$363,1)+COUNTIF(AG$11:AG14,AG14)-1),(RANK(AG14,AG$11:AG$363)+COUNTIF(AG$11:AG14,AG14)-1))</f>
        <v>1</v>
      </c>
      <c r="AF14" s="6" t="str">
        <f>VLOOKUP(Profile!$J$5,Families!$C:$R,4,FALSE)</f>
        <v>Solihull</v>
      </c>
      <c r="AG14" s="143">
        <f t="shared" ref="AG14:AG26" si="22">VLOOKUP(AF14,$C$11:$H$363,4,FALSE)</f>
        <v>91</v>
      </c>
      <c r="AH14" s="72">
        <f t="shared" si="18"/>
        <v>1</v>
      </c>
      <c r="AI14" s="61" t="str">
        <f>IF(L14="","",VLOOKUP($L14,classifications!$C:$J,8,FALSE))</f>
        <v>Unitary</v>
      </c>
      <c r="AJ14" s="62">
        <f t="shared" si="0"/>
        <v>89</v>
      </c>
      <c r="AK14" s="57">
        <f>IF(AJ14="","",IF(I$8="A",(RANK(AJ14,AJ$11:AJ$363,1)+COUNTIF(AJ$11:AJ14,AJ14)-1),(RANK(AJ14,AJ$11:AJ$363)+COUNTIF(AJ$11:AJ14,AJ14)-1)))</f>
        <v>4</v>
      </c>
      <c r="AL14" s="52">
        <f t="shared" si="19"/>
        <v>4</v>
      </c>
      <c r="AM14" s="31" t="str">
        <f t="shared" si="8"/>
        <v>Hartlepool</v>
      </c>
      <c r="AN14" s="31">
        <f t="shared" si="9"/>
        <v>89</v>
      </c>
      <c r="AP14" s="61" t="str">
        <f>IF(L14="","",VLOOKUP($L14,classifications!$C:$E,3,FALSE))</f>
        <v>NE</v>
      </c>
      <c r="AQ14" s="62" t="str">
        <f t="shared" si="10"/>
        <v/>
      </c>
      <c r="AR14" s="57" t="str">
        <f>IF(AQ14="","",IF(I$8="A",(RANK(AQ14,AQ$11:AQ$363,1)+COUNTIF(AQ$11:AQ14,AQ14)-1),(RANK(AQ14,AQ$11:AQ$363)+COUNTIF(AQ$11:AQ14,AQ14)-1)))</f>
        <v/>
      </c>
      <c r="AS14" s="52">
        <f t="shared" ref="AS14:AS75" si="23">IF(AS13="","",IF(AS13+1&gt;(COUNT(AQ$11:AQ$363)),"",AS13+1))</f>
        <v>4</v>
      </c>
      <c r="AT14" s="57" t="str">
        <f t="shared" si="11"/>
        <v>Cheshire West &amp; Chester</v>
      </c>
      <c r="AU14" s="62">
        <f t="shared" si="12"/>
        <v>51</v>
      </c>
      <c r="AX14" s="44">
        <f>HLOOKUP($AX$9&amp;$AX$10,Data!$A$1:$ZZ$2000,(MATCH($C14,Data!$A$1:$A$2000,0)),FALSE)</f>
        <v>55</v>
      </c>
      <c r="AY14" s="156"/>
      <c r="AZ14" s="44"/>
    </row>
    <row r="15" spans="1:735">
      <c r="A15" s="84" t="str">
        <f>$D$1&amp;5</f>
        <v>UA5</v>
      </c>
      <c r="B15" s="85" t="str">
        <f>IF(ISERROR(VLOOKUP(A15,classifications!A:C,3,FALSE)),0,VLOOKUP(A15,classifications!A:C,3,FALSE))</f>
        <v>East Riding of Yorkshire</v>
      </c>
      <c r="C15" s="31" t="s">
        <v>9</v>
      </c>
      <c r="D15" s="49" t="str">
        <f>VLOOKUP($C15,classifications!$C:$J,4,FALSE)</f>
        <v>SD</v>
      </c>
      <c r="E15" s="49">
        <f>VLOOKUP(C15,classifications!C:K,9,FALSE)</f>
        <v>0</v>
      </c>
      <c r="F15" s="59">
        <f t="shared" si="1"/>
        <v>76</v>
      </c>
      <c r="G15" s="105"/>
      <c r="H15" s="60" t="str">
        <f t="shared" si="2"/>
        <v/>
      </c>
      <c r="I15" s="112" t="str">
        <f>IF(H15="","",IF($I$8="A",(RANK(H15,H$11:H$363,1)+COUNTIF(H$11:H15,H15)-1),(RANK(H15,H$11:H$363)+COUNTIF(H$11:H15,H15)-1)))</f>
        <v/>
      </c>
      <c r="J15" s="58"/>
      <c r="K15" s="51">
        <f t="shared" si="13"/>
        <v>5</v>
      </c>
      <c r="L15" s="59" t="str">
        <f t="shared" si="14"/>
        <v>Plymouth</v>
      </c>
      <c r="M15" s="153">
        <f t="shared" si="20"/>
        <v>87</v>
      </c>
      <c r="N15" s="148">
        <f t="shared" si="21"/>
        <v>87</v>
      </c>
      <c r="O15" s="131">
        <f t="shared" si="3"/>
        <v>87</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Other Urban</v>
      </c>
      <c r="Y15" s="49" t="str">
        <f t="shared" si="6"/>
        <v/>
      </c>
      <c r="Z15" s="57" t="str">
        <f>IF(Y15="","",IF(I$8="A",(RANK(Y15,Y$11:Y$363,1)+COUNTIF(Y$11:Y15,Y15)-1),(RANK(Y15,Y$11:Y$363)+COUNTIF(Y$11:Y15,Y15)-1)))</f>
        <v/>
      </c>
      <c r="AA15" s="245" t="str">
        <f>IF(L15="","",VLOOKUP($L15,classifications!C:I,7,FALSE))</f>
        <v>Predominantly Urban</v>
      </c>
      <c r="AB15" s="239" t="str">
        <f t="shared" si="7"/>
        <v/>
      </c>
      <c r="AC15" s="239" t="str">
        <f>IF(AB15="","",IF($I$8="A",(RANK(AB15,AB$11:AB$363)+COUNTIF(AB$11:AB15,AB15)-1),(RANK(AB15,AB$11:AB$363,1)+COUNTIF(AB$11:AB15,AB15)-1)))</f>
        <v/>
      </c>
      <c r="AD15" s="239"/>
      <c r="AE15" s="71">
        <f>IF(I$8="A",(RANK(AG15,AG$11:AG$363,1)+COUNTIF(AG$11:AG15,AG15)-1),(RANK(AG15,AG$11:AG$363)+COUNTIF(AG$11:AG15,AG15)-1))</f>
        <v>13</v>
      </c>
      <c r="AF15" s="6" t="str">
        <f>VLOOKUP(Profile!$J$5,Families!$C:$R,5,FALSE)</f>
        <v>Bath &amp; North East Somerset</v>
      </c>
      <c r="AG15" s="143">
        <f t="shared" si="22"/>
        <v>56</v>
      </c>
      <c r="AH15" s="72">
        <f t="shared" si="18"/>
        <v>13</v>
      </c>
      <c r="AI15" s="61" t="str">
        <f>IF(L15="","",VLOOKUP($L15,classifications!$C:$J,8,FALSE))</f>
        <v>Unitary</v>
      </c>
      <c r="AJ15" s="62">
        <f t="shared" si="0"/>
        <v>87</v>
      </c>
      <c r="AK15" s="57">
        <f>IF(AJ15="","",IF(I$8="A",(RANK(AJ15,AJ$11:AJ$363,1)+COUNTIF(AJ$11:AJ15,AJ15)-1),(RANK(AJ15,AJ$11:AJ$363)+COUNTIF(AJ$11:AJ15,AJ15)-1)))</f>
        <v>5</v>
      </c>
      <c r="AL15" s="52">
        <f t="shared" si="19"/>
        <v>5</v>
      </c>
      <c r="AM15" s="31" t="str">
        <f>IF(ISNA(IF(AL15="","",INDEX(L$11:L$363,MATCH(AL15,AK$11:AK$363,0)))),"",(IF(AL15="","",INDEX(L$11:L$363,MATCH(AL15,AK$11:AK$363,0)))))</f>
        <v>Plymouth</v>
      </c>
      <c r="AN15" s="31">
        <f t="shared" si="9"/>
        <v>87</v>
      </c>
      <c r="AP15" s="61" t="str">
        <f>IF(L15="","",VLOOKUP($L15,classifications!$C:$E,3,FALSE))</f>
        <v>South West</v>
      </c>
      <c r="AQ15" s="62" t="str">
        <f t="shared" si="10"/>
        <v/>
      </c>
      <c r="AR15" s="57" t="str">
        <f>IF(AQ15="","",IF(I$8="A",(RANK(AQ15,AQ$11:AQ$363,1)+COUNTIF(AQ$11:AQ15,AQ15)-1),(RANK(AQ15,AQ$11:AQ$363)+COUNTIF(AQ$11:AQ15,AQ15)-1)))</f>
        <v/>
      </c>
      <c r="AS15" s="52">
        <f t="shared" si="23"/>
        <v>5</v>
      </c>
      <c r="AT15" s="57" t="str">
        <f t="shared" si="11"/>
        <v>Cheshire East</v>
      </c>
      <c r="AU15" s="62">
        <f t="shared" si="12"/>
        <v>49</v>
      </c>
      <c r="AX15" s="44">
        <f>HLOOKUP($AX$9&amp;$AX$10,Data!$A$1:$ZZ$2000,(MATCH($C15,Data!$A$1:$A$2000,0)),FALSE)</f>
        <v>76</v>
      </c>
      <c r="AY15" s="156"/>
      <c r="AZ15" s="44"/>
    </row>
    <row r="16" spans="1:735">
      <c r="A16" s="84" t="str">
        <f>$D$1&amp;6</f>
        <v>UA6</v>
      </c>
      <c r="B16" s="85" t="str">
        <f>IF(ISERROR(VLOOKUP(A16,classifications!A:C,3,FALSE)),0,VLOOKUP(A16,classifications!A:C,3,FALSE))</f>
        <v>Herefordshire</v>
      </c>
      <c r="C16" s="31" t="s">
        <v>10</v>
      </c>
      <c r="D16" s="49" t="str">
        <f>VLOOKUP($C16,classifications!$C:$J,4,FALSE)</f>
        <v>SD</v>
      </c>
      <c r="E16" s="49" t="str">
        <f>VLOOKUP(C16,classifications!C:K,9,FALSE)</f>
        <v>Sparse</v>
      </c>
      <c r="F16" s="59">
        <f t="shared" si="1"/>
        <v>53</v>
      </c>
      <c r="G16" s="105"/>
      <c r="H16" s="60" t="str">
        <f t="shared" si="2"/>
        <v/>
      </c>
      <c r="I16" s="112" t="str">
        <f>IF(H16="","",IF($I$8="A",(RANK(H16,H$11:H$363,1)+COUNTIF(H$11:H16,H16)-1),(RANK(H16,H$11:H$363)+COUNTIF(H$11:H16,H16)-1)))</f>
        <v/>
      </c>
      <c r="J16" s="58"/>
      <c r="K16" s="51">
        <f t="shared" si="13"/>
        <v>6</v>
      </c>
      <c r="L16" s="59" t="str">
        <f t="shared" si="14"/>
        <v>Shropshire</v>
      </c>
      <c r="M16" s="153">
        <f t="shared" si="20"/>
        <v>87</v>
      </c>
      <c r="N16" s="148">
        <f t="shared" si="21"/>
        <v>87</v>
      </c>
      <c r="O16" s="131">
        <f t="shared" si="3"/>
        <v>87</v>
      </c>
      <c r="P16" s="131" t="str">
        <f t="shared" si="15"/>
        <v/>
      </c>
      <c r="Q16" s="131" t="str">
        <f t="shared" si="16"/>
        <v/>
      </c>
      <c r="R16" s="127" t="str">
        <f t="shared" si="17"/>
        <v/>
      </c>
      <c r="S16" s="60" t="str">
        <f t="shared" si="4"/>
        <v/>
      </c>
      <c r="T16" s="231" t="str">
        <f>IF(L16="","",VLOOKUP(L16,classifications!C:K,9,FALSE))</f>
        <v>Sparse</v>
      </c>
      <c r="U16" s="238">
        <f t="shared" si="5"/>
        <v>87</v>
      </c>
      <c r="V16" s="239">
        <f>IF(U16="","",IF($I$8="A",(RANK(U16,U$11:U$363)+COUNTIF(U$11:U16,U16)-1),(RANK(U16,U$11:U$363,1)+COUNTIF(U$11:U16,U16)-1)))</f>
        <v>12</v>
      </c>
      <c r="W16" s="240"/>
      <c r="X16" s="61" t="str">
        <f>IF(L16="","",VLOOKUP($L16,classifications!$C:$J,6,FALSE))</f>
        <v>Rural-50</v>
      </c>
      <c r="Y16" s="49">
        <f t="shared" si="6"/>
        <v>87</v>
      </c>
      <c r="Z16" s="57">
        <f>IF(Y16="","",IF(I$8="A",(RANK(Y16,Y$11:Y$363,1)+COUNTIF(Y$11:Y16,Y16)-1),(RANK(Y16,Y$11:Y$363)+COUNTIF(Y$11:Y16,Y16)-1)))</f>
        <v>1</v>
      </c>
      <c r="AA16" s="245" t="str">
        <f>IF(L16="","",VLOOKUP($L16,classifications!C:I,7,FALSE))</f>
        <v>Predominantly Rural</v>
      </c>
      <c r="AB16" s="239">
        <f t="shared" si="7"/>
        <v>87</v>
      </c>
      <c r="AC16" s="239">
        <f>IF(AB16="","",IF($I$8="A",(RANK(AB16,AB$11:AB$363)+COUNTIF(AB$11:AB16,AB16)-1),(RANK(AB16,AB$11:AB$363,1)+COUNTIF(AB$11:AB16,AB16)-1)))</f>
        <v>15</v>
      </c>
      <c r="AD16" s="239"/>
      <c r="AE16" s="71">
        <f>IF(I$8="A",(RANK(AG16,AG$11:AG$363,1)+COUNTIF(AG$11:AG16,AG16)-1),(RANK(AG16,AG$11:AG$363)+COUNTIF(AG$11:AG16,AG16)-1))</f>
        <v>3</v>
      </c>
      <c r="AF16" s="6" t="str">
        <f>VLOOKUP(Profile!$J$5,Families!$C:$R,6,FALSE)</f>
        <v>Stockport</v>
      </c>
      <c r="AG16" s="143">
        <f t="shared" si="22"/>
        <v>82</v>
      </c>
      <c r="AH16" s="72">
        <f t="shared" si="18"/>
        <v>3</v>
      </c>
      <c r="AI16" s="61" t="str">
        <f>IF(L16="","",VLOOKUP($L16,classifications!$C:$J,8,FALSE))</f>
        <v>Unitary</v>
      </c>
      <c r="AJ16" s="62">
        <f t="shared" si="0"/>
        <v>87</v>
      </c>
      <c r="AK16" s="57">
        <f>IF(AJ16="","",IF(I$8="A",(RANK(AJ16,AJ$11:AJ$363,1)+COUNTIF(AJ$11:AJ16,AJ16)-1),(RANK(AJ16,AJ$11:AJ$363)+COUNTIF(AJ$11:AJ16,AJ16)-1)))</f>
        <v>6</v>
      </c>
      <c r="AL16" s="52">
        <f t="shared" si="19"/>
        <v>6</v>
      </c>
      <c r="AM16" s="31" t="str">
        <f t="shared" si="8"/>
        <v>Shropshire</v>
      </c>
      <c r="AN16" s="31">
        <f t="shared" si="9"/>
        <v>87</v>
      </c>
      <c r="AP16" s="61" t="str">
        <f>IF(L16="","",VLOOKUP($L16,classifications!$C:$E,3,FALSE))</f>
        <v>West Midlands</v>
      </c>
      <c r="AQ16" s="62" t="str">
        <f t="shared" si="10"/>
        <v/>
      </c>
      <c r="AR16" s="57" t="str">
        <f>IF(AQ16="","",IF(I$8="A",(RANK(AQ16,AQ$11:AQ$363,1)+COUNTIF(AQ$11:AQ16,AQ16)-1),(RANK(AQ16,AQ$11:AQ$363)+COUNTIF(AQ$11:AQ16,AQ16)-1)))</f>
        <v/>
      </c>
      <c r="AS16" s="52">
        <f t="shared" si="23"/>
        <v>6</v>
      </c>
      <c r="AT16" s="57" t="str">
        <f t="shared" si="11"/>
        <v>Blackburn with Darwen</v>
      </c>
      <c r="AU16" s="62">
        <f t="shared" si="12"/>
        <v>42</v>
      </c>
      <c r="AX16" s="44">
        <f>HLOOKUP($AX$9&amp;$AX$10,Data!$A$1:$ZZ$2000,(MATCH($C16,Data!$A$1:$A$2000,0)),FALSE)</f>
        <v>53</v>
      </c>
      <c r="AY16" s="156"/>
      <c r="AZ16" s="44"/>
    </row>
    <row r="17" spans="1:52">
      <c r="A17" s="84" t="str">
        <f>$D$1&amp;7</f>
        <v>UA7</v>
      </c>
      <c r="B17" s="85" t="str">
        <f>IF(ISERROR(VLOOKUP(A17,classifications!A:C,3,FALSE)),0,VLOOKUP(A17,classifications!A:C,3,FALSE))</f>
        <v>Isle of Wight</v>
      </c>
      <c r="C17" s="31" t="s">
        <v>11</v>
      </c>
      <c r="D17" s="49" t="str">
        <f>VLOOKUP($C17,classifications!$C:$J,4,FALSE)</f>
        <v>SD</v>
      </c>
      <c r="E17" s="49" t="str">
        <f>VLOOKUP(C17,classifications!C:K,9,FALSE)</f>
        <v>Sparse</v>
      </c>
      <c r="F17" s="59">
        <f t="shared" si="1"/>
        <v>52</v>
      </c>
      <c r="G17" s="105"/>
      <c r="H17" s="60" t="str">
        <f t="shared" si="2"/>
        <v/>
      </c>
      <c r="I17" s="112" t="str">
        <f>IF(H17="","",IF($I$8="A",(RANK(H17,H$11:H$363,1)+COUNTIF(H$11:H17,H17)-1),(RANK(H17,H$11:H$363)+COUNTIF(H$11:H17,H17)-1)))</f>
        <v/>
      </c>
      <c r="J17" s="58"/>
      <c r="K17" s="51">
        <f t="shared" si="13"/>
        <v>7</v>
      </c>
      <c r="L17" s="59" t="str">
        <f t="shared" si="14"/>
        <v>Stockton-on-Tees</v>
      </c>
      <c r="M17" s="153">
        <f t="shared" si="20"/>
        <v>87</v>
      </c>
      <c r="N17" s="148">
        <f t="shared" si="21"/>
        <v>87</v>
      </c>
      <c r="O17" s="131">
        <f t="shared" si="3"/>
        <v>87</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Large Urban</v>
      </c>
      <c r="Y17" s="49" t="str">
        <f t="shared" si="6"/>
        <v/>
      </c>
      <c r="Z17" s="57" t="str">
        <f>IF(Y17="","",IF(I$8="A",(RANK(Y17,Y$11:Y$363,1)+COUNTIF(Y$11:Y17,Y17)-1),(RANK(Y17,Y$11:Y$363)+COUNTIF(Y$11:Y17,Y17)-1)))</f>
        <v/>
      </c>
      <c r="AA17" s="245" t="str">
        <f>IF(L17="","",VLOOKUP($L17,classifications!C:I,7,FALSE))</f>
        <v>Predominantly Urban</v>
      </c>
      <c r="AB17" s="239" t="str">
        <f t="shared" si="7"/>
        <v/>
      </c>
      <c r="AC17" s="239" t="str">
        <f>IF(AB17="","",IF($I$8="A",(RANK(AB17,AB$11:AB$363)+COUNTIF(AB$11:AB17,AB17)-1),(RANK(AB17,AB$11:AB$363,1)+COUNTIF(AB$11:AB17,AB17)-1)))</f>
        <v/>
      </c>
      <c r="AD17" s="239"/>
      <c r="AE17" s="71">
        <f>IF(I$8="A",(RANK(AG17,AG$11:AG$363,1)+COUNTIF(AG$11:AG17,AG17)-1),(RANK(AG17,AG$11:AG$363)+COUNTIF(AG$11:AG17,AG17)-1))</f>
        <v>6</v>
      </c>
      <c r="AF17" s="6" t="str">
        <f>VLOOKUP(Profile!$J$5,Families!$C:$R,7,FALSE)</f>
        <v>Central Bedfordshire</v>
      </c>
      <c r="AG17" s="143">
        <f t="shared" si="22"/>
        <v>72</v>
      </c>
      <c r="AH17" s="72">
        <f t="shared" si="18"/>
        <v>6</v>
      </c>
      <c r="AI17" s="61" t="str">
        <f>IF(L17="","",VLOOKUP($L17,classifications!$C:$J,8,FALSE))</f>
        <v>Unitary</v>
      </c>
      <c r="AJ17" s="62">
        <f t="shared" si="0"/>
        <v>87</v>
      </c>
      <c r="AK17" s="57">
        <f>IF(AJ17="","",IF(I$8="A",(RANK(AJ17,AJ$11:AJ$363,1)+COUNTIF(AJ$11:AJ17,AJ17)-1),(RANK(AJ17,AJ$11:AJ$363)+COUNTIF(AJ$11:AJ17,AJ17)-1)))</f>
        <v>7</v>
      </c>
      <c r="AL17" s="52">
        <f t="shared" si="19"/>
        <v>7</v>
      </c>
      <c r="AM17" s="31" t="str">
        <f t="shared" si="8"/>
        <v>Stockton-on-Tees</v>
      </c>
      <c r="AN17" s="31">
        <f t="shared" si="9"/>
        <v>87</v>
      </c>
      <c r="AP17" s="61" t="str">
        <f>IF(L17="","",VLOOKUP($L17,classifications!$C:$E,3,FALSE))</f>
        <v>NE</v>
      </c>
      <c r="AQ17" s="62" t="str">
        <f t="shared" si="10"/>
        <v/>
      </c>
      <c r="AR17" s="57" t="str">
        <f>IF(AQ17="","",IF(I$8="A",(RANK(AQ17,AQ$11:AQ$363,1)+COUNTIF(AQ$11:AQ17,AQ17)-1),(RANK(AQ17,AQ$11:AQ$363)+COUNTIF(AQ$11:AQ17,AQ17)-1)))</f>
        <v/>
      </c>
      <c r="AS17" s="52" t="str">
        <f t="shared" si="23"/>
        <v/>
      </c>
      <c r="AT17" s="57" t="str">
        <f t="shared" si="11"/>
        <v/>
      </c>
      <c r="AU17" s="62" t="str">
        <f t="shared" si="12"/>
        <v/>
      </c>
      <c r="AX17" s="44">
        <f>HLOOKUP($AX$9&amp;$AX$10,Data!$A$1:$ZZ$2000,(MATCH($C17,Data!$A$1:$A$2000,0)),FALSE)</f>
        <v>52</v>
      </c>
      <c r="AY17" s="156"/>
      <c r="AZ17" s="44"/>
    </row>
    <row r="18" spans="1:52">
      <c r="A18" s="84" t="str">
        <f>$D$1&amp;8</f>
        <v>UA8</v>
      </c>
      <c r="B18" s="85" t="str">
        <f>IF(ISERROR(VLOOKUP(A18,classifications!A:C,3,FALSE)),0,VLOOKUP(A18,classifications!A:C,3,FALSE))</f>
        <v>North Lincolnshire</v>
      </c>
      <c r="C18" s="31" t="s">
        <v>12</v>
      </c>
      <c r="D18" s="49" t="str">
        <f>VLOOKUP($C18,classifications!$C:$J,4,FALSE)</f>
        <v>SD</v>
      </c>
      <c r="E18" s="49" t="str">
        <f>VLOOKUP(C18,classifications!C:K,9,FALSE)</f>
        <v>Sparse</v>
      </c>
      <c r="F18" s="59">
        <f t="shared" si="1"/>
        <v>70</v>
      </c>
      <c r="G18" s="105"/>
      <c r="H18" s="60" t="str">
        <f t="shared" si="2"/>
        <v/>
      </c>
      <c r="I18" s="112" t="str">
        <f>IF(H18="","",IF($I$8="A",(RANK(H18,H$11:H$363,1)+COUNTIF(H$11:H18,H18)-1),(RANK(H18,H$11:H$363)+COUNTIF(H$11:H18,H18)-1)))</f>
        <v/>
      </c>
      <c r="J18" s="58"/>
      <c r="K18" s="51">
        <f t="shared" si="13"/>
        <v>8</v>
      </c>
      <c r="L18" s="59" t="str">
        <f t="shared" si="14"/>
        <v>Darlington</v>
      </c>
      <c r="M18" s="153">
        <f t="shared" si="20"/>
        <v>86</v>
      </c>
      <c r="N18" s="148">
        <f t="shared" si="21"/>
        <v>86</v>
      </c>
      <c r="O18" s="131">
        <f t="shared" si="3"/>
        <v>86</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Other Urban</v>
      </c>
      <c r="Y18" s="49" t="str">
        <f t="shared" si="6"/>
        <v/>
      </c>
      <c r="Z18" s="57" t="str">
        <f>IF(Y18="","",IF(I$8="A",(RANK(Y18,Y$11:Y$363,1)+COUNTIF(Y$11:Y18,Y18)-1),(RANK(Y18,Y$11:Y$363)+COUNTIF(Y$11:Y18,Y18)-1)))</f>
        <v/>
      </c>
      <c r="AA18" s="245" t="str">
        <f>IF(L18="","",VLOOKUP($L18,classifications!C:I,7,FALSE))</f>
        <v>Predominantly Rural</v>
      </c>
      <c r="AB18" s="239">
        <f t="shared" si="7"/>
        <v>86</v>
      </c>
      <c r="AC18" s="239">
        <f>IF(AB18="","",IF($I$8="A",(RANK(AB18,AB$11:AB$363)+COUNTIF(AB$11:AB18,AB18)-1),(RANK(AB18,AB$11:AB$363,1)+COUNTIF(AB$11:AB18,AB18)-1)))</f>
        <v>13</v>
      </c>
      <c r="AD18" s="239"/>
      <c r="AE18" s="71">
        <f>IF(I$8="A",(RANK(AG18,AG$11:AG$363,1)+COUNTIF(AG$11:AG18,AG18)-1),(RANK(AG18,AG$11:AG$363)+COUNTIF(AG$11:AG18,AG18)-1))</f>
        <v>2</v>
      </c>
      <c r="AF18" s="6" t="str">
        <f>VLOOKUP(Profile!$J$5,Families!$C:$R,8,FALSE)</f>
        <v>Shropshire</v>
      </c>
      <c r="AG18" s="143">
        <f t="shared" si="22"/>
        <v>87</v>
      </c>
      <c r="AH18" s="72">
        <f t="shared" si="18"/>
        <v>2</v>
      </c>
      <c r="AI18" s="61" t="str">
        <f>IF(L18="","",VLOOKUP($L18,classifications!$C:$J,8,FALSE))</f>
        <v>Unitary</v>
      </c>
      <c r="AJ18" s="62">
        <f t="shared" si="0"/>
        <v>86</v>
      </c>
      <c r="AK18" s="57">
        <f>IF(AJ18="","",IF(I$8="A",(RANK(AJ18,AJ$11:AJ$363,1)+COUNTIF(AJ$11:AJ18,AJ18)-1),(RANK(AJ18,AJ$11:AJ$363)+COUNTIF(AJ$11:AJ18,AJ18)-1)))</f>
        <v>8</v>
      </c>
      <c r="AL18" s="52">
        <f t="shared" si="19"/>
        <v>8</v>
      </c>
      <c r="AM18" s="31" t="str">
        <f t="shared" si="8"/>
        <v>Darlington</v>
      </c>
      <c r="AN18" s="31">
        <f t="shared" si="9"/>
        <v>86</v>
      </c>
      <c r="AP18" s="61" t="str">
        <f>IF(L18="","",VLOOKUP($L18,classifications!$C:$E,3,FALSE))</f>
        <v>NE</v>
      </c>
      <c r="AQ18" s="62" t="str">
        <f t="shared" si="10"/>
        <v/>
      </c>
      <c r="AR18" s="57" t="str">
        <f>IF(AQ18="","",IF(I$8="A",(RANK(AQ18,AQ$11:AQ$363,1)+COUNTIF(AQ$11:AQ18,AQ18)-1),(RANK(AQ18,AQ$11:AQ$363)+COUNTIF(AQ$11:AQ18,AQ18)-1)))</f>
        <v/>
      </c>
      <c r="AS18" s="52" t="str">
        <f t="shared" si="23"/>
        <v/>
      </c>
      <c r="AT18" s="57" t="str">
        <f t="shared" si="11"/>
        <v/>
      </c>
      <c r="AU18" s="62" t="str">
        <f t="shared" si="12"/>
        <v/>
      </c>
      <c r="AX18" s="44">
        <f>HLOOKUP($AX$9&amp;$AX$10,Data!$A$1:$ZZ$2000,(MATCH($C18,Data!$A$1:$A$2000,0)),FALSE)</f>
        <v>70</v>
      </c>
      <c r="AY18" s="156"/>
      <c r="AZ18" s="44"/>
    </row>
    <row r="19" spans="1:52">
      <c r="A19" s="84" t="str">
        <f>$D$1&amp;9</f>
        <v>UA9</v>
      </c>
      <c r="B19" s="85" t="str">
        <f>IF(ISERROR(VLOOKUP(A19,classifications!A:C,3,FALSE)),0,VLOOKUP(A19,classifications!A:C,3,FALSE))</f>
        <v>North Somerset</v>
      </c>
      <c r="C19" s="31" t="s">
        <v>341</v>
      </c>
      <c r="D19" s="49" t="str">
        <f>VLOOKUP($C19,classifications!$C:$J,4,FALSE)</f>
        <v>L</v>
      </c>
      <c r="E19" s="49">
        <f>VLOOKUP(C19,classifications!C:K,9,FALSE)</f>
        <v>0</v>
      </c>
      <c r="F19" s="59">
        <f t="shared" si="1"/>
        <v>91</v>
      </c>
      <c r="G19" s="105"/>
      <c r="H19" s="60" t="str">
        <f t="shared" si="2"/>
        <v/>
      </c>
      <c r="I19" s="112" t="str">
        <f>IF(H19="","",IF($I$8="A",(RANK(H19,H$11:H$363,1)+COUNTIF(H$11:H19,H19)-1),(RANK(H19,H$11:H$363)+COUNTIF(H$11:H19,H19)-1)))</f>
        <v/>
      </c>
      <c r="J19" s="58"/>
      <c r="K19" s="51">
        <f t="shared" si="13"/>
        <v>9</v>
      </c>
      <c r="L19" s="59" t="str">
        <f t="shared" si="14"/>
        <v>North Lincolnshire</v>
      </c>
      <c r="M19" s="153">
        <f t="shared" si="20"/>
        <v>86</v>
      </c>
      <c r="N19" s="148">
        <f t="shared" si="21"/>
        <v>86</v>
      </c>
      <c r="O19" s="131">
        <f t="shared" si="3"/>
        <v>86</v>
      </c>
      <c r="P19" s="131" t="str">
        <f t="shared" si="15"/>
        <v/>
      </c>
      <c r="Q19" s="131" t="str">
        <f t="shared" si="16"/>
        <v/>
      </c>
      <c r="R19" s="127" t="str">
        <f t="shared" si="17"/>
        <v/>
      </c>
      <c r="S19" s="60" t="str">
        <f t="shared" si="4"/>
        <v/>
      </c>
      <c r="T19" s="231" t="str">
        <f>IF(L19="","",VLOOKUP(L19,classifications!C:K,9,FALSE))</f>
        <v>Sparse</v>
      </c>
      <c r="U19" s="238">
        <f t="shared" si="5"/>
        <v>86</v>
      </c>
      <c r="V19" s="239">
        <f>IF(U19="","",IF($I$8="A",(RANK(U19,U$11:U$363)+COUNTIF(U$11:U19,U19)-1),(RANK(U19,U$11:U$363,1)+COUNTIF(U$11:U19,U19)-1)))</f>
        <v>11</v>
      </c>
      <c r="W19" s="240"/>
      <c r="X19" s="61" t="str">
        <f>IF(L19="","",VLOOKUP($L19,classifications!$C:$J,6,FALSE))</f>
        <v>Rural-50</v>
      </c>
      <c r="Y19" s="49">
        <f t="shared" si="6"/>
        <v>86</v>
      </c>
      <c r="Z19" s="57">
        <f>IF(Y19="","",IF(I$8="A",(RANK(Y19,Y$11:Y$363,1)+COUNTIF(Y$11:Y19,Y19)-1),(RANK(Y19,Y$11:Y$363)+COUNTIF(Y$11:Y19,Y19)-1)))</f>
        <v>2</v>
      </c>
      <c r="AA19" s="245" t="str">
        <f>IF(L19="","",VLOOKUP($L19,classifications!C:I,7,FALSE))</f>
        <v>Predominantly Rural</v>
      </c>
      <c r="AB19" s="239">
        <f t="shared" si="7"/>
        <v>86</v>
      </c>
      <c r="AC19" s="239">
        <f>IF(AB19="","",IF($I$8="A",(RANK(AB19,AB$11:AB$363)+COUNTIF(AB$11:AB19,AB19)-1),(RANK(AB19,AB$11:AB$363,1)+COUNTIF(AB$11:AB19,AB19)-1)))</f>
        <v>14</v>
      </c>
      <c r="AD19" s="239"/>
      <c r="AE19" s="71">
        <f>IF(I$8="A",(RANK(AG19,AG$11:AG$363,1)+COUNTIF(AG$11:AG19,AG19)-1),(RANK(AG19,AG$11:AG$363)+COUNTIF(AG$11:AG19,AG19)-1))</f>
        <v>8</v>
      </c>
      <c r="AF19" s="6" t="str">
        <f>VLOOKUP(Profile!$J$5,Families!$C:$R,9,FALSE)</f>
        <v>North Somerset</v>
      </c>
      <c r="AG19" s="143">
        <f t="shared" si="22"/>
        <v>66</v>
      </c>
      <c r="AH19" s="72">
        <f t="shared" si="18"/>
        <v>8</v>
      </c>
      <c r="AI19" s="61" t="str">
        <f>IF(L19="","",VLOOKUP($L19,classifications!$C:$J,8,FALSE))</f>
        <v>Unitary</v>
      </c>
      <c r="AJ19" s="62">
        <f t="shared" si="0"/>
        <v>86</v>
      </c>
      <c r="AK19" s="57">
        <f>IF(AJ19="","",IF(I$8="A",(RANK(AJ19,AJ$11:AJ$363,1)+COUNTIF(AJ$11:AJ19,AJ19)-1),(RANK(AJ19,AJ$11:AJ$363)+COUNTIF(AJ$11:AJ19,AJ19)-1)))</f>
        <v>9</v>
      </c>
      <c r="AL19" s="52">
        <f t="shared" si="19"/>
        <v>9</v>
      </c>
      <c r="AM19" s="31" t="str">
        <f t="shared" si="8"/>
        <v>North Lincolnshire</v>
      </c>
      <c r="AN19" s="31">
        <f t="shared" si="9"/>
        <v>86</v>
      </c>
      <c r="AP19" s="61" t="str">
        <f>IF(L19="","",VLOOKUP($L19,classifications!$C:$E,3,FALSE))</f>
        <v>Yorkshire &amp; Humberside</v>
      </c>
      <c r="AQ19" s="62" t="str">
        <f t="shared" si="10"/>
        <v/>
      </c>
      <c r="AR19" s="57" t="str">
        <f>IF(AQ19="","",IF(I$8="A",(RANK(AQ19,AQ$11:AQ$363,1)+COUNTIF(AQ$11:AQ19,AQ19)-1),(RANK(AQ19,AQ$11:AQ$363)+COUNTIF(AQ$11:AQ19,AQ19)-1)))</f>
        <v/>
      </c>
      <c r="AS19" s="52" t="str">
        <f t="shared" si="23"/>
        <v/>
      </c>
      <c r="AT19" s="57" t="str">
        <f t="shared" si="11"/>
        <v/>
      </c>
      <c r="AU19" s="62" t="str">
        <f t="shared" si="12"/>
        <v/>
      </c>
      <c r="AX19" s="44">
        <f>HLOOKUP($AX$9&amp;$AX$10,Data!$A$1:$ZZ$2000,(MATCH($C19,Data!$A$1:$A$2000,0)),FALSE)</f>
        <v>91</v>
      </c>
      <c r="AY19" s="156"/>
      <c r="AZ19" s="44"/>
    </row>
    <row r="20" spans="1:52">
      <c r="A20" s="84" t="str">
        <f>$D$1&amp;10</f>
        <v>UA10</v>
      </c>
      <c r="B20" s="85" t="str">
        <f>IF(ISERROR(VLOOKUP(A20,classifications!A:C,3,FALSE)),0,VLOOKUP(A20,classifications!A:C,3,FALSE))</f>
        <v>Northumberland</v>
      </c>
      <c r="C20" s="31" t="s">
        <v>197</v>
      </c>
      <c r="D20" s="49" t="str">
        <f>VLOOKUP($C20,classifications!$C:$J,4,FALSE)</f>
        <v>L</v>
      </c>
      <c r="E20" s="49">
        <f>VLOOKUP(C20,classifications!C:K,9,FALSE)</f>
        <v>0</v>
      </c>
      <c r="F20" s="59">
        <f t="shared" si="1"/>
        <v>63</v>
      </c>
      <c r="G20" s="105"/>
      <c r="H20" s="60" t="str">
        <f t="shared" si="2"/>
        <v/>
      </c>
      <c r="I20" s="112" t="str">
        <f>IF(H20="","",IF($I$8="A",(RANK(H20,H$11:H$363,1)+COUNTIF(H$11:H20,H20)-1),(RANK(H20,H$11:H$363)+COUNTIF(H$11:H20,H20)-1)))</f>
        <v/>
      </c>
      <c r="J20" s="58"/>
      <c r="K20" s="51">
        <f t="shared" si="13"/>
        <v>10</v>
      </c>
      <c r="L20" s="59" t="str">
        <f t="shared" si="14"/>
        <v>Swindon</v>
      </c>
      <c r="M20" s="153">
        <f t="shared" si="20"/>
        <v>85</v>
      </c>
      <c r="N20" s="148">
        <f t="shared" si="21"/>
        <v>85</v>
      </c>
      <c r="O20" s="131">
        <f t="shared" si="3"/>
        <v>85</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Other Urban</v>
      </c>
      <c r="Y20" s="49" t="str">
        <f t="shared" si="6"/>
        <v/>
      </c>
      <c r="Z20" s="57" t="str">
        <f>IF(Y20="","",IF(I$8="A",(RANK(Y20,Y$11:Y$363,1)+COUNTIF(Y$11:Y20,Y20)-1),(RANK(Y20,Y$11:Y$363)+COUNTIF(Y$11:Y20,Y20)-1)))</f>
        <v/>
      </c>
      <c r="AA20" s="245" t="str">
        <f>IF(L20="","",VLOOKUP($L20,classifications!C:I,7,FALSE))</f>
        <v>Predominantly Urban</v>
      </c>
      <c r="AB20" s="239" t="str">
        <f t="shared" si="7"/>
        <v/>
      </c>
      <c r="AC20" s="239" t="str">
        <f>IF(AB20="","",IF($I$8="A",(RANK(AB20,AB$11:AB$363)+COUNTIF(AB$11:AB20,AB20)-1),(RANK(AB20,AB$11:AB$363,1)+COUNTIF(AB$11:AB20,AB20)-1)))</f>
        <v/>
      </c>
      <c r="AD20" s="239"/>
      <c r="AE20" s="71">
        <f>IF(I$8="A",(RANK(AG20,AG$11:AG$363,1)+COUNTIF(AG$11:AG20,AG20)-1),(RANK(AG20,AG$11:AG$363)+COUNTIF(AG$11:AG20,AG20)-1))</f>
        <v>5</v>
      </c>
      <c r="AF20" s="6" t="str">
        <f>VLOOKUP(Profile!$J$5,Families!$C:$R,10,FALSE)</f>
        <v>York</v>
      </c>
      <c r="AG20" s="143">
        <f t="shared" si="22"/>
        <v>73</v>
      </c>
      <c r="AH20" s="72">
        <f t="shared" si="18"/>
        <v>5</v>
      </c>
      <c r="AI20" s="61" t="str">
        <f>IF(L20="","",VLOOKUP($L20,classifications!$C:$J,8,FALSE))</f>
        <v>Unitary</v>
      </c>
      <c r="AJ20" s="62">
        <f t="shared" si="0"/>
        <v>85</v>
      </c>
      <c r="AK20" s="57">
        <f>IF(AJ20="","",IF(I$8="A",(RANK(AJ20,AJ$11:AJ$363,1)+COUNTIF(AJ$11:AJ20,AJ20)-1),(RANK(AJ20,AJ$11:AJ$363)+COUNTIF(AJ$11:AJ20,AJ20)-1)))</f>
        <v>10</v>
      </c>
      <c r="AL20" s="52">
        <f t="shared" si="19"/>
        <v>10</v>
      </c>
      <c r="AM20" s="31" t="str">
        <f t="shared" si="8"/>
        <v>Swindon</v>
      </c>
      <c r="AN20" s="31">
        <f t="shared" si="9"/>
        <v>85</v>
      </c>
      <c r="AP20" s="61" t="str">
        <f>IF(L20="","",VLOOKUP($L20,classifications!$C:$E,3,FALSE))</f>
        <v>South West</v>
      </c>
      <c r="AQ20" s="62" t="str">
        <f t="shared" si="10"/>
        <v/>
      </c>
      <c r="AR20" s="57" t="str">
        <f>IF(AQ20="","",IF(I$8="A",(RANK(AQ20,AQ$11:AQ$363,1)+COUNTIF(AQ$11:AQ20,AQ20)-1),(RANK(AQ20,AQ$11:AQ$363)+COUNTIF(AQ$11:AQ20,AQ20)-1)))</f>
        <v/>
      </c>
      <c r="AS20" s="52" t="str">
        <f t="shared" si="23"/>
        <v/>
      </c>
      <c r="AT20" s="57" t="str">
        <f t="shared" si="11"/>
        <v/>
      </c>
      <c r="AU20" s="62" t="str">
        <f t="shared" si="12"/>
        <v/>
      </c>
      <c r="AX20" s="44">
        <f>HLOOKUP($AX$9&amp;$AX$10,Data!$A$1:$ZZ$2000,(MATCH($C20,Data!$A$1:$A$2000,0)),FALSE)</f>
        <v>63</v>
      </c>
      <c r="AY20" s="156"/>
      <c r="AZ20" s="44"/>
    </row>
    <row r="21" spans="1:52">
      <c r="A21" s="84" t="str">
        <f>$D$1&amp;11</f>
        <v>UA11</v>
      </c>
      <c r="B21" s="85" t="str">
        <f>IF(ISERROR(VLOOKUP(A21,classifications!A:C,3,FALSE)),0,VLOOKUP(A21,classifications!A:C,3,FALSE))</f>
        <v>Rutland</v>
      </c>
      <c r="C21" s="31" t="s">
        <v>223</v>
      </c>
      <c r="D21" s="49" t="str">
        <f>VLOOKUP($C21,classifications!$C:$J,4,FALSE)</f>
        <v>MD</v>
      </c>
      <c r="E21" s="49">
        <f>VLOOKUP(C21,classifications!C:K,9,FALSE)</f>
        <v>0</v>
      </c>
      <c r="F21" s="59">
        <f t="shared" si="1"/>
        <v>87</v>
      </c>
      <c r="G21" s="105"/>
      <c r="H21" s="60" t="str">
        <f t="shared" si="2"/>
        <v/>
      </c>
      <c r="I21" s="112" t="str">
        <f>IF(H21="","",IF($I$8="A",(RANK(H21,H$11:H$363,1)+COUNTIF(H$11:H21,H21)-1),(RANK(H21,H$11:H$363)+COUNTIF(H$11:H21,H21)-1)))</f>
        <v/>
      </c>
      <c r="J21" s="58"/>
      <c r="K21" s="51">
        <f t="shared" si="13"/>
        <v>11</v>
      </c>
      <c r="L21" s="59" t="str">
        <f t="shared" si="14"/>
        <v>Stoke-on-Trent</v>
      </c>
      <c r="M21" s="153">
        <f t="shared" si="20"/>
        <v>84</v>
      </c>
      <c r="N21" s="148">
        <f t="shared" si="21"/>
        <v>84</v>
      </c>
      <c r="O21" s="131">
        <f t="shared" si="3"/>
        <v>84</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Large Urban</v>
      </c>
      <c r="Y21" s="49" t="str">
        <f t="shared" si="6"/>
        <v/>
      </c>
      <c r="Z21" s="57" t="str">
        <f>IF(Y21="","",IF(I$8="A",(RANK(Y21,Y$11:Y$363,1)+COUNTIF(Y$11:Y21,Y21)-1),(RANK(Y21,Y$11:Y$363)+COUNTIF(Y$11:Y21,Y21)-1)))</f>
        <v/>
      </c>
      <c r="AA21" s="245" t="str">
        <f>IF(L21="","",VLOOKUP($L21,classifications!C:I,7,FALSE))</f>
        <v>Predominantly Urban</v>
      </c>
      <c r="AB21" s="239" t="str">
        <f t="shared" si="7"/>
        <v/>
      </c>
      <c r="AC21" s="239" t="str">
        <f>IF(AB21="","",IF($I$8="A",(RANK(AB21,AB$11:AB$363)+COUNTIF(AB$11:AB21,AB21)-1),(RANK(AB21,AB$11:AB$363,1)+COUNTIF(AB$11:AB21,AB21)-1)))</f>
        <v/>
      </c>
      <c r="AD21" s="239"/>
      <c r="AE21" s="71">
        <f>IF(I$8="A",(RANK(AG21,AG$11:AG$363,1)+COUNTIF(AG$11:AG21,AG21)-1),(RANK(AG21,AG$11:AG$363)+COUNTIF(AG$11:AG21,AG21)-1))</f>
        <v>7</v>
      </c>
      <c r="AF21" s="6" t="str">
        <f>VLOOKUP(Profile!$J$5,Families!$C:$R,11,FALSE)</f>
        <v>Trafford</v>
      </c>
      <c r="AG21" s="143">
        <f t="shared" si="22"/>
        <v>70</v>
      </c>
      <c r="AH21" s="72">
        <f t="shared" si="18"/>
        <v>7</v>
      </c>
      <c r="AI21" s="61" t="str">
        <f>IF(L21="","",VLOOKUP($L21,classifications!$C:$J,8,FALSE))</f>
        <v>Unitary</v>
      </c>
      <c r="AJ21" s="62">
        <f t="shared" si="0"/>
        <v>84</v>
      </c>
      <c r="AK21" s="57">
        <f>IF(AJ21="","",IF(I$8="A",(RANK(AJ21,AJ$11:AJ$363,1)+COUNTIF(AJ$11:AJ21,AJ21)-1),(RANK(AJ21,AJ$11:AJ$363)+COUNTIF(AJ$11:AJ21,AJ21)-1)))</f>
        <v>11</v>
      </c>
      <c r="AL21" s="52">
        <f t="shared" si="19"/>
        <v>11</v>
      </c>
      <c r="AM21" s="31" t="str">
        <f t="shared" si="8"/>
        <v>Stoke-on-Trent</v>
      </c>
      <c r="AN21" s="31">
        <f t="shared" si="9"/>
        <v>84</v>
      </c>
      <c r="AP21" s="61" t="str">
        <f>IF(L21="","",VLOOKUP($L21,classifications!$C:$E,3,FALSE))</f>
        <v>West Midlands</v>
      </c>
      <c r="AQ21" s="62" t="str">
        <f t="shared" si="10"/>
        <v/>
      </c>
      <c r="AR21" s="57" t="str">
        <f>IF(AQ21="","",IF(I$8="A",(RANK(AQ21,AQ$11:AQ$363,1)+COUNTIF(AQ$11:AQ21,AQ21)-1),(RANK(AQ21,AQ$11:AQ$363)+COUNTIF(AQ$11:AQ21,AQ21)-1)))</f>
        <v/>
      </c>
      <c r="AS21" s="52" t="str">
        <f t="shared" si="23"/>
        <v/>
      </c>
      <c r="AT21" s="57" t="str">
        <f t="shared" si="11"/>
        <v/>
      </c>
      <c r="AU21" s="62" t="str">
        <f t="shared" si="12"/>
        <v/>
      </c>
      <c r="AX21" s="44">
        <f>HLOOKUP($AX$9&amp;$AX$10,Data!$A$1:$ZZ$2000,(MATCH($C21,Data!$A$1:$A$2000,0)),FALSE)</f>
        <v>87</v>
      </c>
      <c r="AY21" s="156"/>
      <c r="AZ21" s="44"/>
    </row>
    <row r="22" spans="1:52">
      <c r="A22" s="84" t="str">
        <f>$D$1&amp;12</f>
        <v>UA12</v>
      </c>
      <c r="B22" s="85" t="str">
        <f>IF(ISERROR(VLOOKUP(A22,classifications!A:C,3,FALSE)),0,VLOOKUP(A22,classifications!A:C,3,FALSE))</f>
        <v>Shropshire</v>
      </c>
      <c r="C22" s="31" t="s">
        <v>13</v>
      </c>
      <c r="D22" s="49" t="str">
        <f>VLOOKUP($C22,classifications!$C:$J,4,FALSE)</f>
        <v>SD</v>
      </c>
      <c r="E22" s="49">
        <f>VLOOKUP(C22,classifications!C:K,9,FALSE)</f>
        <v>0</v>
      </c>
      <c r="F22" s="59">
        <f t="shared" si="1"/>
        <v>62</v>
      </c>
      <c r="G22" s="105"/>
      <c r="H22" s="60" t="str">
        <f t="shared" si="2"/>
        <v/>
      </c>
      <c r="I22" s="112" t="str">
        <f>IF(H22="","",IF($I$8="A",(RANK(H22,H$11:H$363,1)+COUNTIF(H$11:H22,H22)-1),(RANK(H22,H$11:H$363)+COUNTIF(H$11:H22,H22)-1)))</f>
        <v/>
      </c>
      <c r="J22" s="58"/>
      <c r="K22" s="51">
        <f t="shared" si="13"/>
        <v>12</v>
      </c>
      <c r="L22" s="59" t="str">
        <f t="shared" si="14"/>
        <v>Torbay</v>
      </c>
      <c r="M22" s="153">
        <f t="shared" si="20"/>
        <v>83</v>
      </c>
      <c r="N22" s="148">
        <f t="shared" si="21"/>
        <v>83</v>
      </c>
      <c r="O22" s="131">
        <f t="shared" si="3"/>
        <v>83</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Other Urban</v>
      </c>
      <c r="Y22" s="49" t="str">
        <f t="shared" si="6"/>
        <v/>
      </c>
      <c r="Z22" s="57" t="str">
        <f>IF(Y22="","",IF(I$8="A",(RANK(Y22,Y$11:Y$363,1)+COUNTIF(Y$11:Y22,Y22)-1),(RANK(Y22,Y$11:Y$363)+COUNTIF(Y$11:Y22,Y22)-1)))</f>
        <v/>
      </c>
      <c r="AA22" s="245" t="str">
        <f>IF(L22="","",VLOOKUP($L22,classifications!C:I,7,FALSE))</f>
        <v>Predominantly Urban</v>
      </c>
      <c r="AB22" s="239" t="str">
        <f t="shared" si="7"/>
        <v/>
      </c>
      <c r="AC22" s="239" t="str">
        <f>IF(AB22="","",IF($I$8="A",(RANK(AB22,AB$11:AB$363)+COUNTIF(AB$11:AB22,AB22)-1),(RANK(AB22,AB$11:AB$363,1)+COUNTIF(AB$11:AB22,AB22)-1)))</f>
        <v/>
      </c>
      <c r="AD22" s="239"/>
      <c r="AE22" s="71">
        <f>IF(I$8="A",(RANK(AG22,AG$11:AG$363,1)+COUNTIF(AG$11:AG22,AG22)-1),(RANK(AG22,AG$11:AG$363)+COUNTIF(AG$11:AG22,AG22)-1))</f>
        <v>4</v>
      </c>
      <c r="AF22" s="6" t="str">
        <f>VLOOKUP(Profile!$J$5,Families!$C:$R,12,FALSE)</f>
        <v>Warrington</v>
      </c>
      <c r="AG22" s="143">
        <f t="shared" si="22"/>
        <v>80</v>
      </c>
      <c r="AH22" s="72">
        <f t="shared" si="18"/>
        <v>4</v>
      </c>
      <c r="AI22" s="61" t="str">
        <f>IF(L22="","",VLOOKUP($L22,classifications!$C:$J,8,FALSE))</f>
        <v>Unitary</v>
      </c>
      <c r="AJ22" s="62">
        <f t="shared" si="0"/>
        <v>83</v>
      </c>
      <c r="AK22" s="57">
        <f>IF(AJ22="","",IF(I$8="A",(RANK(AJ22,AJ$11:AJ$363,1)+COUNTIF(AJ$11:AJ22,AJ22)-1),(RANK(AJ22,AJ$11:AJ$363)+COUNTIF(AJ$11:AJ22,AJ22)-1)))</f>
        <v>12</v>
      </c>
      <c r="AL22" s="52">
        <f t="shared" si="19"/>
        <v>12</v>
      </c>
      <c r="AM22" s="31" t="str">
        <f>IF(ISNA(IF(AL22="","",INDEX(L$11:L$363,MATCH(AL22,AK$11:AK$363,0)))),"",(IF(AL22="","",INDEX(L$11:L$363,MATCH(AL22,AK$11:AK$363,0)))))</f>
        <v>Torbay</v>
      </c>
      <c r="AN22" s="31">
        <f t="shared" si="9"/>
        <v>83</v>
      </c>
      <c r="AP22" s="61" t="str">
        <f>IF(L22="","",VLOOKUP($L22,classifications!$C:$E,3,FALSE))</f>
        <v>South West</v>
      </c>
      <c r="AQ22" s="62" t="str">
        <f t="shared" si="10"/>
        <v/>
      </c>
      <c r="AR22" s="57" t="str">
        <f>IF(AQ22="","",IF(I$8="A",(RANK(AQ22,AQ$11:AQ$363,1)+COUNTIF(AQ$11:AQ22,AQ22)-1),(RANK(AQ22,AQ$11:AQ$363)+COUNTIF(AQ$11:AQ22,AQ22)-1)))</f>
        <v/>
      </c>
      <c r="AS22" s="52" t="str">
        <f t="shared" si="23"/>
        <v/>
      </c>
      <c r="AT22" s="57" t="str">
        <f t="shared" si="11"/>
        <v/>
      </c>
      <c r="AU22" s="62" t="str">
        <f t="shared" si="12"/>
        <v/>
      </c>
      <c r="AX22" s="44">
        <f>HLOOKUP($AX$9&amp;$AX$10,Data!$A$1:$ZZ$2000,(MATCH($C22,Data!$A$1:$A$2000,0)),FALSE)</f>
        <v>62</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1"/>
        <v>55</v>
      </c>
      <c r="G23" s="105"/>
      <c r="H23" s="60" t="str">
        <f t="shared" si="2"/>
        <v/>
      </c>
      <c r="I23" s="112" t="str">
        <f>IF(H23="","",IF($I$8="A",(RANK(H23,H$11:H$363,1)+COUNTIF(H$11:H23,H23)-1),(RANK(H23,H$11:H$363)+COUNTIF(H$11:H23,H23)-1)))</f>
        <v/>
      </c>
      <c r="J23" s="58"/>
      <c r="K23" s="51">
        <f t="shared" si="13"/>
        <v>13</v>
      </c>
      <c r="L23" s="59" t="str">
        <f t="shared" si="14"/>
        <v>Bracknell Forest</v>
      </c>
      <c r="M23" s="153">
        <f t="shared" si="20"/>
        <v>82</v>
      </c>
      <c r="N23" s="148">
        <f t="shared" si="21"/>
        <v>82</v>
      </c>
      <c r="O23" s="131">
        <f t="shared" si="3"/>
        <v>82</v>
      </c>
      <c r="P23" s="131" t="str">
        <f t="shared" si="15"/>
        <v/>
      </c>
      <c r="Q23" s="131" t="str">
        <f t="shared" si="16"/>
        <v/>
      </c>
      <c r="R23" s="127" t="str">
        <f t="shared" si="17"/>
        <v/>
      </c>
      <c r="S23" s="60" t="str">
        <f t="shared" si="4"/>
        <v/>
      </c>
      <c r="T23" s="231">
        <f>IF(L23="","",VLOOKUP(L23,classifications!C:K,9,FALSE))</f>
        <v>0</v>
      </c>
      <c r="U23" s="238" t="str">
        <f t="shared" si="5"/>
        <v/>
      </c>
      <c r="V23" s="239" t="str">
        <f>IF(U23="","",IF($I$8="A",(RANK(U23,U$11:U$363)+COUNTIF(U$11:U23,U23)-1),(RANK(U23,U$11:U$363,1)+COUNTIF(U$11:U23,U23)-1)))</f>
        <v/>
      </c>
      <c r="W23" s="240"/>
      <c r="X23" s="61" t="str">
        <f>IF(L23="","",VLOOKUP($L23,classifications!$C:$J,6,FALSE))</f>
        <v>Large Urban</v>
      </c>
      <c r="Y23" s="49" t="str">
        <f t="shared" si="6"/>
        <v/>
      </c>
      <c r="Z23" s="57" t="str">
        <f>IF(Y23="","",IF(I$8="A",(RANK(Y23,Y$11:Y$363,1)+COUNTIF(Y$11:Y23,Y23)-1),(RANK(Y23,Y$11:Y$363)+COUNTIF(Y$11:Y23,Y23)-1)))</f>
        <v/>
      </c>
      <c r="AA23" s="245" t="str">
        <f>IF(L23="","",VLOOKUP($L23,classifications!C:I,7,FALSE))</f>
        <v>Predominantly Urban</v>
      </c>
      <c r="AB23" s="239" t="str">
        <f t="shared" si="7"/>
        <v/>
      </c>
      <c r="AC23" s="239" t="str">
        <f>IF(AB23="","",IF($I$8="A",(RANK(AB23,AB$11:AB$363)+COUNTIF(AB$11:AB23,AB23)-1),(RANK(AB23,AB$11:AB$363,1)+COUNTIF(AB$11:AB23,AB23)-1)))</f>
        <v/>
      </c>
      <c r="AD23" s="239"/>
      <c r="AE23" s="71">
        <f>IF(I$8="A",(RANK(AG23,AG$11:AG$363,1)+COUNTIF(AG$11:AG23,AG23)-1),(RANK(AG23,AG$11:AG$363)+COUNTIF(AG$11:AG23,AG23)-1))</f>
        <v>9</v>
      </c>
      <c r="AF23" s="6" t="str">
        <f>VLOOKUP(Profile!$J$5,Families!$C:$R,13,FALSE)</f>
        <v>East Riding of Yorkshire</v>
      </c>
      <c r="AG23" s="143">
        <f t="shared" si="22"/>
        <v>64</v>
      </c>
      <c r="AH23" s="72">
        <f t="shared" si="18"/>
        <v>9</v>
      </c>
      <c r="AI23" s="61" t="str">
        <f>IF(L23="","",VLOOKUP($L23,classifications!$C:$J,8,FALSE))</f>
        <v>Unitary</v>
      </c>
      <c r="AJ23" s="62">
        <f t="shared" si="0"/>
        <v>82</v>
      </c>
      <c r="AK23" s="57">
        <f>IF(AJ23="","",IF(I$8="A",(RANK(AJ23,AJ$11:AJ$363,1)+COUNTIF(AJ$11:AJ23,AJ23)-1),(RANK(AJ23,AJ$11:AJ$363)+COUNTIF(AJ$11:AJ23,AJ23)-1)))</f>
        <v>13</v>
      </c>
      <c r="AL23" s="52">
        <f t="shared" si="19"/>
        <v>13</v>
      </c>
      <c r="AM23" s="31" t="str">
        <f t="shared" ref="AM23:AM86" si="24">IF(ISNA(IF(AL23="","",INDEX(L$11:L$363,MATCH(AL23,AK$11:AK$363,0)))),"",(IF(AL23="","",INDEX(L$11:L$363,MATCH(AL23,AK$11:AK$363,0)))))</f>
        <v>Bracknell Forest</v>
      </c>
      <c r="AN23" s="31">
        <f t="shared" si="9"/>
        <v>82</v>
      </c>
      <c r="AP23" s="61" t="str">
        <f>IF(L23="","",VLOOKUP($L23,classifications!$C:$E,3,FALSE))</f>
        <v>South East</v>
      </c>
      <c r="AQ23" s="62" t="str">
        <f t="shared" si="10"/>
        <v/>
      </c>
      <c r="AR23" s="57" t="str">
        <f>IF(AQ23="","",IF(I$8="A",(RANK(AQ23,AQ$11:AQ$363,1)+COUNTIF(AQ$11:AQ23,AQ23)-1),(RANK(AQ23,AQ$11:AQ$363)+COUNTIF(AQ$11:AQ23,AQ23)-1)))</f>
        <v/>
      </c>
      <c r="AS23" s="52" t="str">
        <f t="shared" si="23"/>
        <v/>
      </c>
      <c r="AT23" s="57" t="str">
        <f t="shared" si="11"/>
        <v/>
      </c>
      <c r="AU23" s="62" t="str">
        <f t="shared" si="12"/>
        <v/>
      </c>
      <c r="AX23" s="44">
        <f>HLOOKUP($AX$9&amp;$AX$10,Data!$A$1:$ZZ$2000,(MATCH($C23,Data!$A$1:$A$2000,0)),FALSE)</f>
        <v>55</v>
      </c>
      <c r="AY23" s="156"/>
      <c r="AZ23" s="44"/>
    </row>
    <row r="24" spans="1:52">
      <c r="A24" s="84" t="str">
        <f>$D$1&amp;14</f>
        <v>UA14</v>
      </c>
      <c r="B24" s="85">
        <f>IF(ISERROR(VLOOKUP(A24,classifications!A:C,3,FALSE)),0,VLOOKUP(A24,classifications!A:C,3,FALSE))</f>
        <v>0</v>
      </c>
      <c r="C24" s="31" t="s">
        <v>346</v>
      </c>
      <c r="D24" s="49" t="str">
        <f>VLOOKUP($C24,classifications!$C:$J,4,FALSE)</f>
        <v>SD</v>
      </c>
      <c r="E24" s="49">
        <f>VLOOKUP(C24,classifications!C:K,9,FALSE)</f>
        <v>0</v>
      </c>
      <c r="F24" s="59">
        <f t="shared" si="1"/>
        <v>64</v>
      </c>
      <c r="G24" s="105"/>
      <c r="H24" s="60" t="str">
        <f t="shared" si="2"/>
        <v/>
      </c>
      <c r="I24" s="112" t="str">
        <f>IF(H24="","",IF($I$8="A",(RANK(H24,H$11:H$363,1)+COUNTIF(H$11:H24,H24)-1),(RANK(H24,H$11:H$363)+COUNTIF(H$11:H24,H24)-1)))</f>
        <v/>
      </c>
      <c r="J24" s="58"/>
      <c r="K24" s="51">
        <f t="shared" si="13"/>
        <v>14</v>
      </c>
      <c r="L24" s="59" t="str">
        <f t="shared" si="14"/>
        <v>Telford &amp; Wrekin</v>
      </c>
      <c r="M24" s="153">
        <f t="shared" si="20"/>
        <v>80</v>
      </c>
      <c r="N24" s="148">
        <f t="shared" si="21"/>
        <v>80</v>
      </c>
      <c r="O24" s="131">
        <f t="shared" si="3"/>
        <v>80</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Other Urban</v>
      </c>
      <c r="Y24" s="49" t="str">
        <f t="shared" si="6"/>
        <v/>
      </c>
      <c r="Z24" s="57" t="str">
        <f>IF(Y24="","",IF(I$8="A",(RANK(Y24,Y$11:Y$363,1)+COUNTIF(Y$11:Y24,Y24)-1),(RANK(Y24,Y$11:Y$363)+COUNTIF(Y$11:Y24,Y24)-1)))</f>
        <v/>
      </c>
      <c r="AA24" s="245" t="str">
        <f>IF(L24="","",VLOOKUP($L24,classifications!C:I,7,FALSE))</f>
        <v>Predominantly Urban</v>
      </c>
      <c r="AB24" s="239" t="str">
        <f t="shared" si="7"/>
        <v/>
      </c>
      <c r="AC24" s="239" t="str">
        <f>IF(AB24="","",IF($I$8="A",(RANK(AB24,AB$11:AB$363)+COUNTIF(AB$11:AB24,AB24)-1),(RANK(AB24,AB$11:AB$363,1)+COUNTIF(AB$11:AB24,AB24)-1)))</f>
        <v/>
      </c>
      <c r="AD24" s="239"/>
      <c r="AE24" s="71">
        <f>IF(I$8="A",(RANK(AG24,AG$11:AG$363,1)+COUNTIF(AG$11:AG24,AG24)-1),(RANK(AG24,AG$11:AG$363)+COUNTIF(AG$11:AG24,AG24)-1))</f>
        <v>11</v>
      </c>
      <c r="AF24" s="6" t="str">
        <f>VLOOKUP(Profile!$J$5,Families!$C:$R,14,FALSE)</f>
        <v>Herefordshire</v>
      </c>
      <c r="AG24" s="143">
        <f t="shared" si="22"/>
        <v>57</v>
      </c>
      <c r="AH24" s="72">
        <f t="shared" si="18"/>
        <v>11</v>
      </c>
      <c r="AI24" s="61" t="str">
        <f>IF(L24="","",VLOOKUP($L24,classifications!$C:$J,8,FALSE))</f>
        <v>Unitary</v>
      </c>
      <c r="AJ24" s="62">
        <f t="shared" si="0"/>
        <v>80</v>
      </c>
      <c r="AK24" s="57">
        <f>IF(AJ24="","",IF(I$8="A",(RANK(AJ24,AJ$11:AJ$363,1)+COUNTIF(AJ$11:AJ24,AJ24)-1),(RANK(AJ24,AJ$11:AJ$363)+COUNTIF(AJ$11:AJ24,AJ24)-1)))</f>
        <v>14</v>
      </c>
      <c r="AL24" s="52">
        <f t="shared" si="19"/>
        <v>14</v>
      </c>
      <c r="AM24" s="31" t="str">
        <f t="shared" si="24"/>
        <v>Telford &amp; Wrekin</v>
      </c>
      <c r="AN24" s="31">
        <f t="shared" si="9"/>
        <v>80</v>
      </c>
      <c r="AP24" s="61" t="str">
        <f>IF(L24="","",VLOOKUP($L24,classifications!$C:$E,3,FALSE))</f>
        <v>West Midlands</v>
      </c>
      <c r="AQ24" s="62" t="str">
        <f t="shared" si="10"/>
        <v/>
      </c>
      <c r="AR24" s="57" t="str">
        <f>IF(AQ24="","",IF(I$8="A",(RANK(AQ24,AQ$11:AQ$363,1)+COUNTIF(AQ$11:AQ24,AQ24)-1),(RANK(AQ24,AQ$11:AQ$363)+COUNTIF(AQ$11:AQ24,AQ24)-1)))</f>
        <v/>
      </c>
      <c r="AS24" s="52" t="str">
        <f t="shared" si="23"/>
        <v/>
      </c>
      <c r="AT24" s="57" t="str">
        <f t="shared" si="11"/>
        <v/>
      </c>
      <c r="AU24" s="62" t="str">
        <f t="shared" si="12"/>
        <v/>
      </c>
      <c r="AX24" s="44">
        <f>HLOOKUP($AX$9&amp;$AX$10,Data!$A$1:$ZZ$2000,(MATCH($C24,Data!$A$1:$A$2000,0)),FALSE)</f>
        <v>64</v>
      </c>
      <c r="AY24" s="156"/>
      <c r="AZ24" s="44"/>
    </row>
    <row r="25" spans="1:52">
      <c r="A25" s="84" t="str">
        <f>$D$1&amp;15</f>
        <v>UA15</v>
      </c>
      <c r="B25" s="85">
        <f>IF(ISERROR(VLOOKUP(A25,classifications!A:C,3,FALSE)),0,VLOOKUP(A25,classifications!A:C,3,FALSE))</f>
        <v>0</v>
      </c>
      <c r="C25" s="31" t="s">
        <v>15</v>
      </c>
      <c r="D25" s="49" t="str">
        <f>VLOOKUP($C25,classifications!$C:$J,4,FALSE)</f>
        <v>SD</v>
      </c>
      <c r="E25" s="49" t="str">
        <f>VLOOKUP(C25,classifications!C:K,9,FALSE)</f>
        <v>Sparse</v>
      </c>
      <c r="F25" s="59">
        <f t="shared" si="1"/>
        <v>54</v>
      </c>
      <c r="G25" s="105"/>
      <c r="H25" s="60" t="str">
        <f t="shared" si="2"/>
        <v/>
      </c>
      <c r="I25" s="112" t="str">
        <f>IF(H25="","",IF($I$8="A",(RANK(H25,H$11:H$363,1)+COUNTIF(H$11:H25,H25)-1),(RANK(H25,H$11:H$363)+COUNTIF(H$11:H25,H25)-1)))</f>
        <v/>
      </c>
      <c r="J25" s="58"/>
      <c r="K25" s="51">
        <f t="shared" si="13"/>
        <v>15</v>
      </c>
      <c r="L25" s="59" t="str">
        <f t="shared" si="14"/>
        <v>Warrington</v>
      </c>
      <c r="M25" s="153">
        <f t="shared" si="20"/>
        <v>80</v>
      </c>
      <c r="N25" s="148">
        <f t="shared" si="21"/>
        <v>80</v>
      </c>
      <c r="O25" s="131">
        <f t="shared" si="3"/>
        <v>80</v>
      </c>
      <c r="P25" s="131" t="str">
        <f t="shared" si="15"/>
        <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Other Urban</v>
      </c>
      <c r="Y25" s="49" t="str">
        <f t="shared" si="6"/>
        <v/>
      </c>
      <c r="Z25" s="57" t="str">
        <f>IF(Y25="","",IF(I$8="A",(RANK(Y25,Y$11:Y$363,1)+COUNTIF(Y$11:Y25,Y25)-1),(RANK(Y25,Y$11:Y$363)+COUNTIF(Y$11:Y25,Y25)-1)))</f>
        <v/>
      </c>
      <c r="AA25" s="245" t="str">
        <f>IF(L25="","",VLOOKUP($L25,classifications!C:I,7,FALSE))</f>
        <v>Predominantly Urban</v>
      </c>
      <c r="AB25" s="239" t="str">
        <f t="shared" si="7"/>
        <v/>
      </c>
      <c r="AC25" s="239" t="str">
        <f>IF(AB25="","",IF($I$8="A",(RANK(AB25,AB$11:AB$363)+COUNTIF(AB$11:AB25,AB25)-1),(RANK(AB25,AB$11:AB$363,1)+COUNTIF(AB$11:AB25,AB25)-1)))</f>
        <v/>
      </c>
      <c r="AD25" s="239"/>
      <c r="AE25" s="71">
        <f>IF(I$8="A",(RANK(AG25,AG$11:AG$363,1)+COUNTIF(AG$11:AG25,AG25)-1),(RANK(AG25,AG$11:AG$363)+COUNTIF(AG$11:AG25,AG25)-1))</f>
        <v>15</v>
      </c>
      <c r="AF25" s="6" t="str">
        <f>VLOOKUP(Profile!$J$5,Families!$C:$R,15,FALSE)</f>
        <v>South Gloucestershire</v>
      </c>
      <c r="AG25" s="143">
        <f t="shared" si="22"/>
        <v>51</v>
      </c>
      <c r="AH25" s="72">
        <f t="shared" si="18"/>
        <v>15</v>
      </c>
      <c r="AI25" s="61" t="str">
        <f>IF(L25="","",VLOOKUP($L25,classifications!$C:$J,8,FALSE))</f>
        <v>Unitary</v>
      </c>
      <c r="AJ25" s="62">
        <f t="shared" si="0"/>
        <v>80</v>
      </c>
      <c r="AK25" s="57">
        <f>IF(AJ25="","",IF(I$8="A",(RANK(AJ25,AJ$11:AJ$363,1)+COUNTIF(AJ$11:AJ25,AJ25)-1),(RANK(AJ25,AJ$11:AJ$363)+COUNTIF(AJ$11:AJ25,AJ25)-1)))</f>
        <v>15</v>
      </c>
      <c r="AL25" s="52">
        <f t="shared" si="19"/>
        <v>15</v>
      </c>
      <c r="AM25" s="31" t="str">
        <f t="shared" si="24"/>
        <v>Warrington</v>
      </c>
      <c r="AN25" s="31">
        <f t="shared" si="9"/>
        <v>80</v>
      </c>
      <c r="AP25" s="61" t="str">
        <f>IF(L25="","",VLOOKUP($L25,classifications!$C:$E,3,FALSE))</f>
        <v>North West</v>
      </c>
      <c r="AQ25" s="62">
        <f t="shared" si="10"/>
        <v>80</v>
      </c>
      <c r="AR25" s="57">
        <f>IF(AQ25="","",IF(I$8="A",(RANK(AQ25,AQ$11:AQ$363,1)+COUNTIF(AQ$11:AQ25,AQ25)-1),(RANK(AQ25,AQ$11:AQ$363)+COUNTIF(AQ$11:AQ25,AQ25)-1)))</f>
        <v>1</v>
      </c>
      <c r="AS25" s="52" t="str">
        <f t="shared" si="23"/>
        <v/>
      </c>
      <c r="AT25" s="57" t="str">
        <f t="shared" si="11"/>
        <v/>
      </c>
      <c r="AU25" s="62" t="str">
        <f t="shared" si="12"/>
        <v/>
      </c>
      <c r="AX25" s="44">
        <f>HLOOKUP($AX$9&amp;$AX$10,Data!$A$1:$ZZ$2000,(MATCH($C25,Data!$A$1:$A$2000,0)),FALSE)</f>
        <v>54</v>
      </c>
      <c r="AY25" s="156"/>
      <c r="AZ25" s="44"/>
    </row>
    <row r="26" spans="1:52">
      <c r="A26" s="84" t="str">
        <f>$D$1&amp;16</f>
        <v>UA16</v>
      </c>
      <c r="B26" s="85">
        <f>IF(ISERROR(VLOOKUP(A26,classifications!A:C,3,FALSE)),0,VLOOKUP(A26,classifications!A:C,3,FALSE))</f>
        <v>0</v>
      </c>
      <c r="C26" s="31" t="s">
        <v>259</v>
      </c>
      <c r="D26" s="49" t="str">
        <f>VLOOKUP($C26,classifications!$C:$J,4,FALSE)</f>
        <v>UA</v>
      </c>
      <c r="E26" s="49">
        <f>VLOOKUP(C26,classifications!C:K,9,FALSE)</f>
        <v>0</v>
      </c>
      <c r="F26" s="59">
        <f t="shared" si="1"/>
        <v>56</v>
      </c>
      <c r="G26" s="105"/>
      <c r="H26" s="60">
        <f t="shared" si="2"/>
        <v>56</v>
      </c>
      <c r="I26" s="112">
        <f>IF(H26="","",IF($I$8="A",(RANK(H26,H$11:H$363,1)+COUNTIF(H$11:H26,H26)-1),(RANK(H26,H$11:H$363)+COUNTIF(H$11:H26,H26)-1)))</f>
        <v>47</v>
      </c>
      <c r="J26" s="58"/>
      <c r="K26" s="51">
        <f t="shared" si="13"/>
        <v>16</v>
      </c>
      <c r="L26" s="59" t="str">
        <f t="shared" si="14"/>
        <v>Medway</v>
      </c>
      <c r="M26" s="153">
        <f t="shared" si="20"/>
        <v>77</v>
      </c>
      <c r="N26" s="148">
        <f t="shared" si="21"/>
        <v>77</v>
      </c>
      <c r="O26" s="131" t="str">
        <f t="shared" si="3"/>
        <v/>
      </c>
      <c r="P26" s="131">
        <f t="shared" si="15"/>
        <v>77</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Other Urban</v>
      </c>
      <c r="Y26" s="49" t="str">
        <f t="shared" si="6"/>
        <v/>
      </c>
      <c r="Z26" s="57" t="str">
        <f>IF(Y26="","",IF(I$8="A",(RANK(Y26,Y$11:Y$363,1)+COUNTIF(Y$11:Y26,Y26)-1),(RANK(Y26,Y$11:Y$363)+COUNTIF(Y$11:Y26,Y26)-1)))</f>
        <v/>
      </c>
      <c r="AA26" s="245" t="str">
        <f>IF(L26="","",VLOOKUP($L26,classifications!C:I,7,FALSE))</f>
        <v>Predominantly Urban</v>
      </c>
      <c r="AB26" s="239" t="str">
        <f t="shared" si="7"/>
        <v/>
      </c>
      <c r="AC26" s="239" t="str">
        <f>IF(AB26="","",IF($I$8="A",(RANK(AB26,AB$11:AB$363)+COUNTIF(AB$11:AB26,AB26)-1),(RANK(AB26,AB$11:AB$363,1)+COUNTIF(AB$11:AB26,AB26)-1)))</f>
        <v/>
      </c>
      <c r="AD26" s="239"/>
      <c r="AE26" s="71">
        <f>IF(I$8="A",(RANK(AG26,AG$11:AG$363,1)+COUNTIF(AG$11:AG26,AG26)-1),(RANK(AG26,AG$11:AG$363)+COUNTIF(AG$11:AG26,AG26)-1))</f>
        <v>10</v>
      </c>
      <c r="AF26" s="6" t="str">
        <f>VLOOKUP(Profile!$J$5,Families!$C:$R,16,FALSE)</f>
        <v>Bedford</v>
      </c>
      <c r="AG26" s="143">
        <f t="shared" si="22"/>
        <v>62</v>
      </c>
      <c r="AH26" s="72">
        <f t="shared" si="18"/>
        <v>10</v>
      </c>
      <c r="AI26" s="61" t="str">
        <f>IF(L26="","",VLOOKUP($L26,classifications!$C:$J,8,FALSE))</f>
        <v>Unitary</v>
      </c>
      <c r="AJ26" s="62">
        <f t="shared" si="0"/>
        <v>77</v>
      </c>
      <c r="AK26" s="57">
        <f>IF(AJ26="","",IF(I$8="A",(RANK(AJ26,AJ$11:AJ$363,1)+COUNTIF(AJ$11:AJ26,AJ26)-1),(RANK(AJ26,AJ$11:AJ$363)+COUNTIF(AJ$11:AJ26,AJ26)-1)))</f>
        <v>16</v>
      </c>
      <c r="AL26" s="52">
        <f t="shared" si="19"/>
        <v>16</v>
      </c>
      <c r="AM26" s="31" t="str">
        <f t="shared" si="24"/>
        <v>Medway</v>
      </c>
      <c r="AN26" s="31">
        <f t="shared" si="9"/>
        <v>77</v>
      </c>
      <c r="AP26" s="61" t="str">
        <f>IF(L26="","",VLOOKUP($L26,classifications!$C:$E,3,FALSE))</f>
        <v>South East</v>
      </c>
      <c r="AQ26" s="62" t="str">
        <f t="shared" si="10"/>
        <v/>
      </c>
      <c r="AR26" s="57" t="str">
        <f>IF(AQ26="","",IF(I$8="A",(RANK(AQ26,AQ$11:AQ$363,1)+COUNTIF(AQ$11:AQ26,AQ26)-1),(RANK(AQ26,AQ$11:AQ$363)+COUNTIF(AQ$11:AQ26,AQ26)-1)))</f>
        <v/>
      </c>
      <c r="AS26" s="52" t="str">
        <f t="shared" si="23"/>
        <v/>
      </c>
      <c r="AT26" s="57" t="str">
        <f t="shared" si="11"/>
        <v/>
      </c>
      <c r="AU26" s="62" t="str">
        <f t="shared" si="12"/>
        <v/>
      </c>
      <c r="AX26" s="44">
        <f>HLOOKUP($AX$9&amp;$AX$10,Data!$A$1:$ZZ$2000,(MATCH($C26,Data!$A$1:$A$2000,0)),FALSE)</f>
        <v>56</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1"/>
        <v>62</v>
      </c>
      <c r="G27" s="105"/>
      <c r="H27" s="60">
        <f t="shared" si="2"/>
        <v>62</v>
      </c>
      <c r="I27" s="112">
        <f>IF(H27="","",IF($I$8="A",(RANK(H27,H$11:H$363,1)+COUNTIF(H$11:H27,H27)-1),(RANK(H27,H$11:H$363)+COUNTIF(H$11:H27,H27)-1)))</f>
        <v>42</v>
      </c>
      <c r="J27" s="58"/>
      <c r="K27" s="51">
        <f t="shared" si="13"/>
        <v>17</v>
      </c>
      <c r="L27" s="59" t="str">
        <f>IF(K27="","",INDEX(C$11:C$363,MATCH(K27,I$11:I$363,0)))</f>
        <v>Bournemouth</v>
      </c>
      <c r="M27" s="153">
        <f t="shared" si="20"/>
        <v>76</v>
      </c>
      <c r="N27" s="148">
        <f t="shared" si="21"/>
        <v>76</v>
      </c>
      <c r="O27" s="131" t="str">
        <f t="shared" si="3"/>
        <v/>
      </c>
      <c r="P27" s="131">
        <f t="shared" si="15"/>
        <v>76</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Large Urban</v>
      </c>
      <c r="Y27" s="49" t="str">
        <f t="shared" si="6"/>
        <v/>
      </c>
      <c r="Z27" s="57" t="str">
        <f>IF(Y27="","",IF(I$8="A",(RANK(Y27,Y$11:Y$363,1)+COUNTIF(Y$11:Y27,Y27)-1),(RANK(Y27,Y$11:Y$363)+COUNTIF(Y$11:Y27,Y27)-1)))</f>
        <v/>
      </c>
      <c r="AA27" s="245" t="str">
        <f>IF(L27="","",VLOOKUP($L27,classifications!C:I,7,FALSE))</f>
        <v>Predominantly Urban</v>
      </c>
      <c r="AB27" s="239" t="str">
        <f t="shared" si="7"/>
        <v/>
      </c>
      <c r="AC27" s="239" t="str">
        <f>IF(AB27="","",IF($I$8="A",(RANK(AB27,AB$11:AB$363)+COUNTIF(AB$11:AB27,AB27)-1),(RANK(AB27,AB$11:AB$363,1)+COUNTIF(AB$11:AB27,AB27)-1)))</f>
        <v/>
      </c>
      <c r="AD27" s="239"/>
      <c r="AE27" s="51"/>
      <c r="AF27" s="6"/>
      <c r="AG27" s="143"/>
      <c r="AH27" s="52"/>
      <c r="AI27" s="61" t="str">
        <f>IF(L27="","",VLOOKUP($L27,classifications!$C:$J,8,FALSE))</f>
        <v>Unitary</v>
      </c>
      <c r="AJ27" s="62">
        <f t="shared" si="0"/>
        <v>76</v>
      </c>
      <c r="AK27" s="57">
        <f>IF(AJ27="","",IF(I$8="A",(RANK(AJ27,AJ$11:AJ$363,1)+COUNTIF(AJ$11:AJ27,AJ27)-1),(RANK(AJ27,AJ$11:AJ$363)+COUNTIF(AJ$11:AJ27,AJ27)-1)))</f>
        <v>17</v>
      </c>
      <c r="AL27" s="52">
        <f t="shared" si="19"/>
        <v>17</v>
      </c>
      <c r="AM27" s="31" t="str">
        <f t="shared" si="24"/>
        <v>Bournemouth</v>
      </c>
      <c r="AN27" s="31">
        <f t="shared" si="9"/>
        <v>76</v>
      </c>
      <c r="AP27" s="61" t="str">
        <f>IF(L27="","",VLOOKUP($L27,classifications!$C:$E,3,FALSE))</f>
        <v>South West</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62</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1"/>
        <v>67</v>
      </c>
      <c r="G28" s="105"/>
      <c r="H28" s="60" t="str">
        <f t="shared" si="2"/>
        <v/>
      </c>
      <c r="I28" s="112" t="str">
        <f>IF(H28="","",IF($I$8="A",(RANK(H28,H$11:H$363,1)+COUNTIF(H$11:H28,H28)-1),(RANK(H28,H$11:H$363)+COUNTIF(H$11:H28,H28)-1)))</f>
        <v/>
      </c>
      <c r="J28" s="58"/>
      <c r="K28" s="51">
        <f t="shared" si="13"/>
        <v>18</v>
      </c>
      <c r="L28" s="59" t="str">
        <f t="shared" si="14"/>
        <v>Derby</v>
      </c>
      <c r="M28" s="153">
        <f t="shared" si="20"/>
        <v>76</v>
      </c>
      <c r="N28" s="148">
        <f t="shared" si="21"/>
        <v>76</v>
      </c>
      <c r="O28" s="131" t="str">
        <f t="shared" si="3"/>
        <v/>
      </c>
      <c r="P28" s="131">
        <f t="shared" si="15"/>
        <v>76</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Other Urban</v>
      </c>
      <c r="Y28" s="49" t="str">
        <f t="shared" si="6"/>
        <v/>
      </c>
      <c r="Z28" s="57" t="str">
        <f>IF(Y28="","",IF(I$8="A",(RANK(Y28,Y$11:Y$363,1)+COUNTIF(Y$11:Y28,Y28)-1),(RANK(Y28,Y$11:Y$363)+COUNTIF(Y$11:Y28,Y28)-1)))</f>
        <v/>
      </c>
      <c r="AA28" s="245" t="str">
        <f>IF(L28="","",VLOOKUP($L28,classifications!C:I,7,FALSE))</f>
        <v>Predominantly Urban</v>
      </c>
      <c r="AB28" s="239" t="str">
        <f t="shared" si="7"/>
        <v/>
      </c>
      <c r="AC28" s="239" t="str">
        <f>IF(AB28="","",IF($I$8="A",(RANK(AB28,AB$11:AB$363)+COUNTIF(AB$11:AB28,AB28)-1),(RANK(AB28,AB$11:AB$363,1)+COUNTIF(AB$11:AB28,AB28)-1)))</f>
        <v/>
      </c>
      <c r="AD28" s="239"/>
      <c r="AE28" s="51"/>
      <c r="AF28" s="6"/>
      <c r="AG28" s="143"/>
      <c r="AH28" s="52"/>
      <c r="AI28" s="61" t="str">
        <f>IF(L28="","",VLOOKUP($L28,classifications!$C:$J,8,FALSE))</f>
        <v>Unitary</v>
      </c>
      <c r="AJ28" s="62">
        <f t="shared" si="0"/>
        <v>76</v>
      </c>
      <c r="AK28" s="57">
        <f>IF(AJ28="","",IF(I$8="A",(RANK(AJ28,AJ$11:AJ$363,1)+COUNTIF(AJ$11:AJ28,AJ28)-1),(RANK(AJ28,AJ$11:AJ$363)+COUNTIF(AJ$11:AJ28,AJ28)-1)))</f>
        <v>18</v>
      </c>
      <c r="AL28" s="52">
        <f t="shared" si="19"/>
        <v>18</v>
      </c>
      <c r="AM28" s="31" t="str">
        <f t="shared" si="24"/>
        <v>Derby</v>
      </c>
      <c r="AN28" s="31">
        <f t="shared" si="9"/>
        <v>76</v>
      </c>
      <c r="AP28" s="61" t="str">
        <f>IF(L28="","",VLOOKUP($L28,classifications!$C:$E,3,FALSE))</f>
        <v>East Midlands</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67</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1"/>
        <v>92</v>
      </c>
      <c r="G29" s="105"/>
      <c r="H29" s="60" t="str">
        <f t="shared" si="2"/>
        <v/>
      </c>
      <c r="I29" s="112" t="str">
        <f>IF(H29="","",IF($I$8="A",(RANK(H29,H$11:H$363,1)+COUNTIF(H$11:H29,H29)-1),(RANK(H29,H$11:H$363)+COUNTIF(H$11:H29,H29)-1)))</f>
        <v/>
      </c>
      <c r="J29" s="58"/>
      <c r="K29" s="51">
        <f t="shared" si="13"/>
        <v>19</v>
      </c>
      <c r="L29" s="59" t="str">
        <f t="shared" si="14"/>
        <v>Peterborough</v>
      </c>
      <c r="M29" s="153">
        <f t="shared" si="20"/>
        <v>76</v>
      </c>
      <c r="N29" s="148">
        <f t="shared" si="21"/>
        <v>76</v>
      </c>
      <c r="O29" s="131" t="str">
        <f t="shared" si="3"/>
        <v/>
      </c>
      <c r="P29" s="131">
        <f t="shared" si="15"/>
        <v>76</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Other Urban</v>
      </c>
      <c r="Y29" s="49" t="str">
        <f t="shared" si="6"/>
        <v/>
      </c>
      <c r="Z29" s="57" t="str">
        <f>IF(Y29="","",IF(I$8="A",(RANK(Y29,Y$11:Y$363,1)+COUNTIF(Y$11:Y29,Y29)-1),(RANK(Y29,Y$11:Y$363)+COUNTIF(Y$11:Y29,Y29)-1)))</f>
        <v/>
      </c>
      <c r="AA29" s="245" t="str">
        <f>IF(L29="","",VLOOKUP($L29,classifications!C:I,7,FALSE))</f>
        <v>Predominantly Rural</v>
      </c>
      <c r="AB29" s="239">
        <f t="shared" si="7"/>
        <v>76</v>
      </c>
      <c r="AC29" s="239">
        <f>IF(AB29="","",IF($I$8="A",(RANK(AB29,AB$11:AB$363)+COUNTIF(AB$11:AB29,AB29)-1),(RANK(AB29,AB$11:AB$363,1)+COUNTIF(AB$11:AB29,AB29)-1)))</f>
        <v>12</v>
      </c>
      <c r="AD29" s="239"/>
      <c r="AE29" s="51"/>
      <c r="AF29" s="6"/>
      <c r="AG29" s="143"/>
      <c r="AH29" s="52"/>
      <c r="AI29" s="61" t="str">
        <f>IF(L29="","",VLOOKUP($L29,classifications!$C:$J,8,FALSE))</f>
        <v>Unitary</v>
      </c>
      <c r="AJ29" s="62">
        <f t="shared" si="0"/>
        <v>76</v>
      </c>
      <c r="AK29" s="57">
        <f>IF(AJ29="","",IF(I$8="A",(RANK(AJ29,AJ$11:AJ$363,1)+COUNTIF(AJ$11:AJ29,AJ29)-1),(RANK(AJ29,AJ$11:AJ$363)+COUNTIF(AJ$11:AJ29,AJ29)-1)))</f>
        <v>19</v>
      </c>
      <c r="AL29" s="52">
        <f t="shared" si="19"/>
        <v>19</v>
      </c>
      <c r="AM29" s="31" t="str">
        <f t="shared" si="24"/>
        <v>Peterborough</v>
      </c>
      <c r="AN29" s="31">
        <f t="shared" si="9"/>
        <v>76</v>
      </c>
      <c r="AP29" s="61" t="str">
        <f>IF(L29="","",VLOOKUP($L29,classifications!$C:$E,3,FALSE))</f>
        <v>East of England</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92</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1"/>
        <v>73</v>
      </c>
      <c r="G30" s="105"/>
      <c r="H30" s="60" t="str">
        <f t="shared" si="2"/>
        <v/>
      </c>
      <c r="I30" s="112" t="str">
        <f>IF(H30="","",IF($I$8="A",(RANK(H30,H$11:H$363,1)+COUNTIF(H$11:H30,H30)-1),(RANK(H30,H$11:H$363)+COUNTIF(H$11:H30,H30)-1)))</f>
        <v/>
      </c>
      <c r="J30" s="58"/>
      <c r="K30" s="51">
        <f t="shared" si="13"/>
        <v>20</v>
      </c>
      <c r="L30" s="59" t="str">
        <f t="shared" si="14"/>
        <v>Cornwall</v>
      </c>
      <c r="M30" s="153">
        <f t="shared" si="20"/>
        <v>75</v>
      </c>
      <c r="N30" s="148">
        <f t="shared" si="21"/>
        <v>75</v>
      </c>
      <c r="O30" s="131" t="str">
        <f t="shared" si="3"/>
        <v/>
      </c>
      <c r="P30" s="131">
        <f t="shared" si="15"/>
        <v>75</v>
      </c>
      <c r="Q30" s="131" t="str">
        <f t="shared" si="16"/>
        <v/>
      </c>
      <c r="R30" s="127" t="str">
        <f t="shared" si="17"/>
        <v/>
      </c>
      <c r="S30" s="60" t="str">
        <f t="shared" si="4"/>
        <v/>
      </c>
      <c r="T30" s="231" t="str">
        <f>IF(L30="","",VLOOKUP(L30,classifications!C:K,9,FALSE))</f>
        <v>Sparse</v>
      </c>
      <c r="U30" s="238">
        <f t="shared" si="5"/>
        <v>75</v>
      </c>
      <c r="V30" s="239">
        <f>IF(U30="","",IF($I$8="A",(RANK(U30,U$11:U$363)+COUNTIF(U$11:U30,U30)-1),(RANK(U30,U$11:U$363,1)+COUNTIF(U$11:U30,U30)-1)))</f>
        <v>10</v>
      </c>
      <c r="W30" s="240"/>
      <c r="X30" s="61" t="str">
        <f>IF(L30="","",VLOOKUP($L30,classifications!$C:$J,6,FALSE))</f>
        <v>Rural-80</v>
      </c>
      <c r="Y30" s="49">
        <f t="shared" si="6"/>
        <v>75</v>
      </c>
      <c r="Z30" s="57">
        <f>IF(Y30="","",IF(I$8="A",(RANK(Y30,Y$11:Y$363,1)+COUNTIF(Y$11:Y30,Y30)-1),(RANK(Y30,Y$11:Y$363)+COUNTIF(Y$11:Y30,Y30)-1)))</f>
        <v>3</v>
      </c>
      <c r="AA30" s="245" t="str">
        <f>IF(L30="","",VLOOKUP($L30,classifications!C:I,7,FALSE))</f>
        <v>Predominantly Rural</v>
      </c>
      <c r="AB30" s="239">
        <f t="shared" si="7"/>
        <v>75</v>
      </c>
      <c r="AC30" s="239">
        <f>IF(AB30="","",IF($I$8="A",(RANK(AB30,AB$11:AB$363)+COUNTIF(AB$11:AB30,AB30)-1),(RANK(AB30,AB$11:AB$363,1)+COUNTIF(AB$11:AB30,AB30)-1)))</f>
        <v>11</v>
      </c>
      <c r="AD30" s="239"/>
      <c r="AE30" s="51"/>
      <c r="AF30" s="6"/>
      <c r="AG30" s="143"/>
      <c r="AH30" s="52"/>
      <c r="AI30" s="61" t="str">
        <f>IF(L30="","",VLOOKUP($L30,classifications!$C:$J,8,FALSE))</f>
        <v>Unitary</v>
      </c>
      <c r="AJ30" s="62">
        <f t="shared" si="0"/>
        <v>75</v>
      </c>
      <c r="AK30" s="57">
        <f>IF(AJ30="","",IF(I$8="A",(RANK(AJ30,AJ$11:AJ$363,1)+COUNTIF(AJ$11:AJ30,AJ30)-1),(RANK(AJ30,AJ$11:AJ$363)+COUNTIF(AJ$11:AJ30,AJ30)-1)))</f>
        <v>20</v>
      </c>
      <c r="AL30" s="52">
        <f t="shared" si="19"/>
        <v>20</v>
      </c>
      <c r="AM30" s="31" t="str">
        <f t="shared" si="24"/>
        <v>Cornwall</v>
      </c>
      <c r="AN30" s="31">
        <f t="shared" si="9"/>
        <v>75</v>
      </c>
      <c r="AP30" s="61" t="str">
        <f>IF(L30="","",VLOOKUP($L30,classifications!$C:$E,3,FALSE))</f>
        <v>South West</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73</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1"/>
        <v>42</v>
      </c>
      <c r="G31" s="105"/>
      <c r="H31" s="60">
        <f t="shared" si="2"/>
        <v>42</v>
      </c>
      <c r="I31" s="112">
        <f>IF(H31="","",IF($I$8="A",(RANK(H31,H$11:H$363,1)+COUNTIF(H$11:H31,H31)-1),(RANK(H31,H$11:H$363)+COUNTIF(H$11:H31,H31)-1)))</f>
        <v>55</v>
      </c>
      <c r="J31" s="58"/>
      <c r="K31" s="51">
        <f t="shared" si="13"/>
        <v>21</v>
      </c>
      <c r="L31" s="59" t="str">
        <f t="shared" si="14"/>
        <v>Kingston upon Hull</v>
      </c>
      <c r="M31" s="153">
        <f t="shared" si="20"/>
        <v>74</v>
      </c>
      <c r="N31" s="148">
        <f t="shared" si="21"/>
        <v>74</v>
      </c>
      <c r="O31" s="131" t="str">
        <f t="shared" si="3"/>
        <v/>
      </c>
      <c r="P31" s="131">
        <f t="shared" si="15"/>
        <v>74</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Large Urban</v>
      </c>
      <c r="Y31" s="49" t="str">
        <f t="shared" si="6"/>
        <v/>
      </c>
      <c r="Z31" s="57" t="str">
        <f>IF(Y31="","",IF(I$8="A",(RANK(Y31,Y$11:Y$363,1)+COUNTIF(Y$11:Y31,Y31)-1),(RANK(Y31,Y$11:Y$363)+COUNTIF(Y$11:Y31,Y31)-1)))</f>
        <v/>
      </c>
      <c r="AA31" s="245" t="str">
        <f>IF(L31="","",VLOOKUP($L31,classifications!C:I,7,FALSE))</f>
        <v>Predominantly Urban</v>
      </c>
      <c r="AB31" s="239" t="str">
        <f t="shared" si="7"/>
        <v/>
      </c>
      <c r="AC31" s="239" t="str">
        <f>IF(AB31="","",IF($I$8="A",(RANK(AB31,AB$11:AB$363)+COUNTIF(AB$11:AB31,AB31)-1),(RANK(AB31,AB$11:AB$363,1)+COUNTIF(AB$11:AB31,AB31)-1)))</f>
        <v/>
      </c>
      <c r="AD31" s="239"/>
      <c r="AE31" s="51"/>
      <c r="AF31" s="6"/>
      <c r="AG31" s="143"/>
      <c r="AH31" s="52"/>
      <c r="AI31" s="61" t="str">
        <f>IF(L31="","",VLOOKUP($L31,classifications!$C:$J,8,FALSE))</f>
        <v>Unitary</v>
      </c>
      <c r="AJ31" s="62">
        <f t="shared" si="0"/>
        <v>74</v>
      </c>
      <c r="AK31" s="57">
        <f>IF(AJ31="","",IF(I$8="A",(RANK(AJ31,AJ$11:AJ$363,1)+COUNTIF(AJ$11:AJ31,AJ31)-1),(RANK(AJ31,AJ$11:AJ$363)+COUNTIF(AJ$11:AJ31,AJ31)-1)))</f>
        <v>21</v>
      </c>
      <c r="AL31" s="52">
        <f t="shared" si="19"/>
        <v>21</v>
      </c>
      <c r="AM31" s="31" t="str">
        <f t="shared" si="24"/>
        <v>Kingston upon Hull</v>
      </c>
      <c r="AN31" s="31">
        <f t="shared" si="9"/>
        <v>74</v>
      </c>
      <c r="AP31" s="61" t="str">
        <f>IF(L31="","",VLOOKUP($L31,classifications!$C:$E,3,FALSE))</f>
        <v>Yorkshire &amp; Humberside</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42</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1"/>
        <v>67</v>
      </c>
      <c r="G32" s="105"/>
      <c r="H32" s="60">
        <f t="shared" si="2"/>
        <v>67</v>
      </c>
      <c r="I32" s="112">
        <f>IF(H32="","",IF($I$8="A",(RANK(H32,H$11:H$363,1)+COUNTIF(H$11:H32,H32)-1),(RANK(H32,H$11:H$363)+COUNTIF(H$11:H32,H32)-1)))</f>
        <v>33</v>
      </c>
      <c r="J32" s="58"/>
      <c r="K32" s="51">
        <f t="shared" si="13"/>
        <v>22</v>
      </c>
      <c r="L32" s="59" t="str">
        <f t="shared" si="14"/>
        <v>Luton</v>
      </c>
      <c r="M32" s="153">
        <f t="shared" si="20"/>
        <v>74</v>
      </c>
      <c r="N32" s="148">
        <f t="shared" si="21"/>
        <v>74</v>
      </c>
      <c r="O32" s="131" t="str">
        <f t="shared" si="3"/>
        <v/>
      </c>
      <c r="P32" s="131">
        <f t="shared" si="15"/>
        <v>74</v>
      </c>
      <c r="Q32" s="131" t="str">
        <f t="shared" si="16"/>
        <v/>
      </c>
      <c r="R32" s="127" t="str">
        <f t="shared" si="17"/>
        <v/>
      </c>
      <c r="S32" s="60" t="str">
        <f t="shared" si="4"/>
        <v/>
      </c>
      <c r="T32" s="231">
        <f>IF(L32="","",VLOOKUP(L32,classifications!C:K,9,FALSE))</f>
        <v>0</v>
      </c>
      <c r="U32" s="238" t="str">
        <f t="shared" si="5"/>
        <v/>
      </c>
      <c r="V32" s="239" t="str">
        <f>IF(U32="","",IF($I$8="A",(RANK(U32,U$11:U$363)+COUNTIF(U$11:U32,U32)-1),(RANK(U32,U$11:U$363,1)+COUNTIF(U$11:U32,U32)-1)))</f>
        <v/>
      </c>
      <c r="W32" s="240"/>
      <c r="X32" s="61" t="str">
        <f>IF(L32="","",VLOOKUP($L32,classifications!$C:$J,6,FALSE))</f>
        <v>Other Urban</v>
      </c>
      <c r="Y32" s="49" t="str">
        <f t="shared" si="6"/>
        <v/>
      </c>
      <c r="Z32" s="57" t="str">
        <f>IF(Y32="","",IF(I$8="A",(RANK(Y32,Y$11:Y$363,1)+COUNTIF(Y$11:Y32,Y32)-1),(RANK(Y32,Y$11:Y$363)+COUNTIF(Y$11:Y32,Y32)-1)))</f>
        <v/>
      </c>
      <c r="AA32" s="245" t="str">
        <f>IF(L32="","",VLOOKUP($L32,classifications!C:I,7,FALSE))</f>
        <v>Predominantly Urban</v>
      </c>
      <c r="AB32" s="239" t="str">
        <f t="shared" si="7"/>
        <v/>
      </c>
      <c r="AC32" s="239" t="str">
        <f>IF(AB32="","",IF($I$8="A",(RANK(AB32,AB$11:AB$363)+COUNTIF(AB$11:AB32,AB32)-1),(RANK(AB32,AB$11:AB$363,1)+COUNTIF(AB$11:AB32,AB32)-1)))</f>
        <v/>
      </c>
      <c r="AD32" s="239"/>
      <c r="AE32" s="51"/>
      <c r="AG32" s="143"/>
      <c r="AH32" s="52"/>
      <c r="AI32" s="61" t="str">
        <f>IF(L32="","",VLOOKUP($L32,classifications!$C:$J,8,FALSE))</f>
        <v>Unitary</v>
      </c>
      <c r="AJ32" s="62">
        <f t="shared" si="0"/>
        <v>74</v>
      </c>
      <c r="AK32" s="57">
        <f>IF(AJ32="","",IF(I$8="A",(RANK(AJ32,AJ$11:AJ$363,1)+COUNTIF(AJ$11:AJ32,AJ32)-1),(RANK(AJ32,AJ$11:AJ$363)+COUNTIF(AJ$11:AJ32,AJ32)-1)))</f>
        <v>22</v>
      </c>
      <c r="AL32" s="52">
        <f t="shared" si="19"/>
        <v>22</v>
      </c>
      <c r="AM32" s="31" t="str">
        <f t="shared" si="24"/>
        <v>Luton</v>
      </c>
      <c r="AN32" s="31">
        <f t="shared" si="9"/>
        <v>74</v>
      </c>
      <c r="AP32" s="61" t="str">
        <f>IF(L32="","",VLOOKUP($L32,classifications!$C:$E,3,FALSE))</f>
        <v>East of England</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67</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1"/>
        <v>65</v>
      </c>
      <c r="G33" s="105"/>
      <c r="H33" s="60" t="str">
        <f t="shared" si="2"/>
        <v/>
      </c>
      <c r="I33" s="112" t="str">
        <f>IF(H33="","",IF($I$8="A",(RANK(H33,H$11:H$363,1)+COUNTIF(H$11:H33,H33)-1),(RANK(H33,H$11:H$363)+COUNTIF(H$11:H33,H33)-1)))</f>
        <v/>
      </c>
      <c r="J33" s="58"/>
      <c r="K33" s="51">
        <f t="shared" si="13"/>
        <v>23</v>
      </c>
      <c r="L33" s="59" t="str">
        <f t="shared" si="14"/>
        <v>Middlesbrough</v>
      </c>
      <c r="M33" s="153">
        <f t="shared" si="20"/>
        <v>74</v>
      </c>
      <c r="N33" s="148">
        <f t="shared" si="21"/>
        <v>74</v>
      </c>
      <c r="O33" s="131" t="str">
        <f t="shared" si="3"/>
        <v/>
      </c>
      <c r="P33" s="131">
        <f t="shared" si="15"/>
        <v>74</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Large Urban</v>
      </c>
      <c r="Y33" s="49" t="str">
        <f t="shared" si="6"/>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Unitary</v>
      </c>
      <c r="AJ33" s="62">
        <f t="shared" si="0"/>
        <v>74</v>
      </c>
      <c r="AK33" s="57">
        <f>IF(AJ33="","",IF(I$8="A",(RANK(AJ33,AJ$11:AJ$363,1)+COUNTIF(AJ$11:AJ33,AJ33)-1),(RANK(AJ33,AJ$11:AJ$363)+COUNTIF(AJ$11:AJ33,AJ33)-1)))</f>
        <v>23</v>
      </c>
      <c r="AL33" s="52">
        <f t="shared" si="19"/>
        <v>23</v>
      </c>
      <c r="AM33" s="31" t="str">
        <f t="shared" si="24"/>
        <v>Middlesbrough</v>
      </c>
      <c r="AN33" s="31">
        <f t="shared" si="9"/>
        <v>74</v>
      </c>
      <c r="AP33" s="61" t="str">
        <f>IF(L33="","",VLOOKUP($L33,classifications!$C:$E,3,FALSE))</f>
        <v>NE</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65</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1"/>
        <v>81</v>
      </c>
      <c r="G34" s="105"/>
      <c r="H34" s="60" t="str">
        <f t="shared" si="2"/>
        <v/>
      </c>
      <c r="I34" s="112" t="str">
        <f>IF(H34="","",IF($I$8="A",(RANK(H34,H$11:H$363,1)+COUNTIF(H$11:H34,H34)-1),(RANK(H34,H$11:H$363)+COUNTIF(H$11:H34,H34)-1)))</f>
        <v/>
      </c>
      <c r="J34" s="58"/>
      <c r="K34" s="51">
        <f t="shared" si="13"/>
        <v>24</v>
      </c>
      <c r="L34" s="59" t="str">
        <f t="shared" si="14"/>
        <v>North East Lincolnshire</v>
      </c>
      <c r="M34" s="153">
        <f t="shared" si="20"/>
        <v>74</v>
      </c>
      <c r="N34" s="148">
        <f t="shared" si="21"/>
        <v>74</v>
      </c>
      <c r="O34" s="131" t="str">
        <f t="shared" si="3"/>
        <v/>
      </c>
      <c r="P34" s="131">
        <f t="shared" si="15"/>
        <v>74</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Other Urban</v>
      </c>
      <c r="Y34" s="49" t="str">
        <f t="shared" si="6"/>
        <v/>
      </c>
      <c r="Z34" s="57" t="str">
        <f>IF(Y34="","",IF(I$8="A",(RANK(Y34,Y$11:Y$363,1)+COUNTIF(Y$11:Y34,Y34)-1),(RANK(Y34,Y$11:Y$363)+COUNTIF(Y$11:Y34,Y34)-1)))</f>
        <v/>
      </c>
      <c r="AA34" s="245" t="str">
        <f>IF(L34="","",VLOOKUP($L34,classifications!C:I,7,FALSE))</f>
        <v>Predominantly Urban</v>
      </c>
      <c r="AB34" s="239" t="str">
        <f t="shared" si="7"/>
        <v/>
      </c>
      <c r="AC34" s="239" t="str">
        <f>IF(AB34="","",IF($I$8="A",(RANK(AB34,AB$11:AB$363)+COUNTIF(AB$11:AB34,AB34)-1),(RANK(AB34,AB$11:AB$363,1)+COUNTIF(AB$11:AB34,AB34)-1)))</f>
        <v/>
      </c>
      <c r="AD34" s="239"/>
      <c r="AE34" s="51"/>
      <c r="AG34" s="143"/>
      <c r="AH34" s="52"/>
      <c r="AI34" s="61" t="str">
        <f>IF(L34="","",VLOOKUP($L34,classifications!$C:$J,8,FALSE))</f>
        <v>Unitary</v>
      </c>
      <c r="AJ34" s="62">
        <f t="shared" si="0"/>
        <v>74</v>
      </c>
      <c r="AK34" s="57">
        <f>IF(AJ34="","",IF(I$8="A",(RANK(AJ34,AJ$11:AJ$363,1)+COUNTIF(AJ$11:AJ34,AJ34)-1),(RANK(AJ34,AJ$11:AJ$363)+COUNTIF(AJ$11:AJ34,AJ34)-1)))</f>
        <v>24</v>
      </c>
      <c r="AL34" s="52">
        <f t="shared" si="19"/>
        <v>24</v>
      </c>
      <c r="AM34" s="31" t="str">
        <f t="shared" si="24"/>
        <v>North East Lincolnshire</v>
      </c>
      <c r="AN34" s="31">
        <f t="shared" si="9"/>
        <v>74</v>
      </c>
      <c r="AP34" s="61" t="str">
        <f>IF(L34="","",VLOOKUP($L34,classifications!$C:$E,3,FALSE))</f>
        <v>Yorkshire &amp; Humberside</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81</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1"/>
        <v>68</v>
      </c>
      <c r="G35" s="105"/>
      <c r="H35" s="60" t="str">
        <f t="shared" si="2"/>
        <v/>
      </c>
      <c r="I35" s="112" t="str">
        <f>IF(H35="","",IF($I$8="A",(RANK(H35,H$11:H$363,1)+COUNTIF(H$11:H35,H35)-1),(RANK(H35,H$11:H$363)+COUNTIF(H$11:H35,H35)-1)))</f>
        <v/>
      </c>
      <c r="J35" s="58"/>
      <c r="K35" s="51">
        <f t="shared" si="13"/>
        <v>25</v>
      </c>
      <c r="L35" s="59" t="str">
        <f t="shared" si="14"/>
        <v>Redcar &amp; Cleveland</v>
      </c>
      <c r="M35" s="153">
        <f t="shared" si="20"/>
        <v>73</v>
      </c>
      <c r="N35" s="148">
        <f t="shared" si="21"/>
        <v>73</v>
      </c>
      <c r="O35" s="131" t="str">
        <f t="shared" si="3"/>
        <v/>
      </c>
      <c r="P35" s="131">
        <f t="shared" si="15"/>
        <v>73</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Significant Rural</v>
      </c>
      <c r="Y35" s="49">
        <f t="shared" si="6"/>
        <v>73</v>
      </c>
      <c r="Z35" s="57">
        <f>IF(Y35="","",IF(I$8="A",(RANK(Y35,Y$11:Y$363,1)+COUNTIF(Y$11:Y35,Y35)-1),(RANK(Y35,Y$11:Y$363)+COUNTIF(Y$11:Y35,Y35)-1)))</f>
        <v>4</v>
      </c>
      <c r="AA35" s="245" t="str">
        <f>IF(L35="","",VLOOKUP($L35,classifications!C:I,7,FALSE))</f>
        <v>Significant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Unitary</v>
      </c>
      <c r="AJ35" s="62">
        <f t="shared" si="0"/>
        <v>73</v>
      </c>
      <c r="AK35" s="57">
        <f>IF(AJ35="","",IF(I$8="A",(RANK(AJ35,AJ$11:AJ$363,1)+COUNTIF(AJ$11:AJ35,AJ35)-1),(RANK(AJ35,AJ$11:AJ$363)+COUNTIF(AJ$11:AJ35,AJ35)-1)))</f>
        <v>25</v>
      </c>
      <c r="AL35" s="52">
        <f t="shared" si="19"/>
        <v>25</v>
      </c>
      <c r="AM35" s="31" t="str">
        <f t="shared" si="24"/>
        <v>Redcar &amp; Cleveland</v>
      </c>
      <c r="AN35" s="31">
        <f t="shared" si="9"/>
        <v>73</v>
      </c>
      <c r="AP35" s="61" t="str">
        <f>IF(L35="","",VLOOKUP($L35,classifications!$C:$E,3,FALSE))</f>
        <v>NE</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68</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1"/>
        <v>76</v>
      </c>
      <c r="G36" s="105"/>
      <c r="H36" s="60">
        <f t="shared" si="2"/>
        <v>76</v>
      </c>
      <c r="I36" s="112">
        <f>IF(H36="","",IF($I$8="A",(RANK(H36,H$11:H$363,1)+COUNTIF(H$11:H36,H36)-1),(RANK(H36,H$11:H$363)+COUNTIF(H$11:H36,H36)-1)))</f>
        <v>17</v>
      </c>
      <c r="J36" s="58"/>
      <c r="K36" s="51">
        <f t="shared" si="13"/>
        <v>26</v>
      </c>
      <c r="L36" s="59" t="str">
        <f t="shared" si="14"/>
        <v>York</v>
      </c>
      <c r="M36" s="153">
        <f t="shared" si="20"/>
        <v>73</v>
      </c>
      <c r="N36" s="148">
        <f t="shared" si="21"/>
        <v>73</v>
      </c>
      <c r="O36" s="131" t="str">
        <f t="shared" si="3"/>
        <v/>
      </c>
      <c r="P36" s="131">
        <f t="shared" si="15"/>
        <v>73</v>
      </c>
      <c r="Q36" s="131" t="str">
        <f t="shared" si="16"/>
        <v/>
      </c>
      <c r="R36" s="127" t="str">
        <f t="shared" si="17"/>
        <v/>
      </c>
      <c r="S36" s="60" t="str">
        <f t="shared" si="4"/>
        <v/>
      </c>
      <c r="T36" s="231">
        <f>IF(L36="","",VLOOKUP(L36,classifications!C:K,9,FALSE))</f>
        <v>0</v>
      </c>
      <c r="U36" s="238" t="str">
        <f t="shared" si="5"/>
        <v/>
      </c>
      <c r="V36" s="239" t="str">
        <f>IF(U36="","",IF($I$8="A",(RANK(U36,U$11:U$363)+COUNTIF(U$11:U36,U36)-1),(RANK(U36,U$11:U$363,1)+COUNTIF(U$11:U36,U36)-1)))</f>
        <v/>
      </c>
      <c r="W36" s="240"/>
      <c r="X36" s="61" t="str">
        <f>IF(L36="","",VLOOKUP($L36,classifications!$C:$J,6,FALSE))</f>
        <v>Other Urban</v>
      </c>
      <c r="Y36" s="49" t="str">
        <f t="shared" si="6"/>
        <v/>
      </c>
      <c r="Z36" s="57" t="str">
        <f>IF(Y36="","",IF(I$8="A",(RANK(Y36,Y$11:Y$363,1)+COUNTIF(Y$11:Y36,Y36)-1),(RANK(Y36,Y$11:Y$363)+COUNTIF(Y$11:Y36,Y36)-1)))</f>
        <v/>
      </c>
      <c r="AA36" s="245" t="str">
        <f>IF(L36="","",VLOOKUP($L36,classifications!C:I,7,FALSE))</f>
        <v>Predominantly Urban</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Unitary</v>
      </c>
      <c r="AJ36" s="62">
        <f t="shared" si="0"/>
        <v>73</v>
      </c>
      <c r="AK36" s="57">
        <f>IF(AJ36="","",IF(I$8="A",(RANK(AJ36,AJ$11:AJ$363,1)+COUNTIF(AJ$11:AJ36,AJ36)-1),(RANK(AJ36,AJ$11:AJ$363)+COUNTIF(AJ$11:AJ36,AJ36)-1)))</f>
        <v>26</v>
      </c>
      <c r="AL36" s="52">
        <f t="shared" si="19"/>
        <v>26</v>
      </c>
      <c r="AM36" s="31" t="str">
        <f t="shared" si="24"/>
        <v>York</v>
      </c>
      <c r="AN36" s="31">
        <f t="shared" si="9"/>
        <v>73</v>
      </c>
      <c r="AP36" s="61" t="str">
        <f>IF(L36="","",VLOOKUP($L36,classifications!$C:$E,3,FALSE))</f>
        <v>Yorkshire &amp; Humberside</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76</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1"/>
        <v>82</v>
      </c>
      <c r="G37" s="105"/>
      <c r="H37" s="60">
        <f t="shared" si="2"/>
        <v>82</v>
      </c>
      <c r="I37" s="112">
        <f>IF(H37="","",IF($I$8="A",(RANK(H37,H$11:H$363,1)+COUNTIF(H$11:H37,H37)-1),(RANK(H37,H$11:H$363)+COUNTIF(H$11:H37,H37)-1)))</f>
        <v>13</v>
      </c>
      <c r="J37" s="58"/>
      <c r="K37" s="51">
        <f t="shared" si="13"/>
        <v>27</v>
      </c>
      <c r="L37" s="59" t="str">
        <f t="shared" si="14"/>
        <v>Central Bedfordshire</v>
      </c>
      <c r="M37" s="153">
        <f t="shared" si="20"/>
        <v>72</v>
      </c>
      <c r="N37" s="148">
        <f t="shared" si="21"/>
        <v>72</v>
      </c>
      <c r="O37" s="131" t="str">
        <f t="shared" si="3"/>
        <v/>
      </c>
      <c r="P37" s="131">
        <f t="shared" si="15"/>
        <v>72</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Rural-50</v>
      </c>
      <c r="Y37" s="49">
        <f t="shared" si="6"/>
        <v>72</v>
      </c>
      <c r="Z37" s="57">
        <f>IF(Y37="","",IF(I$8="A",(RANK(Y37,Y$11:Y$363,1)+COUNTIF(Y$11:Y37,Y37)-1),(RANK(Y37,Y$11:Y$363)+COUNTIF(Y$11:Y37,Y37)-1)))</f>
        <v>5</v>
      </c>
      <c r="AA37" s="245" t="str">
        <f>IF(L37="","",VLOOKUP($L37,classifications!C:I,7,FALSE))</f>
        <v>Predominantly Rural</v>
      </c>
      <c r="AB37" s="239">
        <f t="shared" si="7"/>
        <v>72</v>
      </c>
      <c r="AC37" s="239">
        <f>IF(AB37="","",IF($I$8="A",(RANK(AB37,AB$11:AB$363)+COUNTIF(AB$11:AB37,AB37)-1),(RANK(AB37,AB$11:AB$363,1)+COUNTIF(AB$11:AB37,AB37)-1)))</f>
        <v>10</v>
      </c>
      <c r="AD37" s="239"/>
      <c r="AE37" s="51" t="str">
        <f t="shared" si="25"/>
        <v/>
      </c>
      <c r="AG37" s="143"/>
      <c r="AH37" s="52"/>
      <c r="AI37" s="61" t="str">
        <f>IF(L37="","",VLOOKUP($L37,classifications!$C:$J,8,FALSE))</f>
        <v>Unitary</v>
      </c>
      <c r="AJ37" s="62">
        <f t="shared" si="0"/>
        <v>72</v>
      </c>
      <c r="AK37" s="57">
        <f>IF(AJ37="","",IF(I$8="A",(RANK(AJ37,AJ$11:AJ$363,1)+COUNTIF(AJ$11:AJ37,AJ37)-1),(RANK(AJ37,AJ$11:AJ$363)+COUNTIF(AJ$11:AJ37,AJ37)-1)))</f>
        <v>27</v>
      </c>
      <c r="AL37" s="52">
        <f t="shared" si="19"/>
        <v>27</v>
      </c>
      <c r="AM37" s="31" t="str">
        <f t="shared" si="24"/>
        <v>Central Bedfordshire</v>
      </c>
      <c r="AN37" s="31">
        <f t="shared" si="9"/>
        <v>72</v>
      </c>
      <c r="AP37" s="61" t="str">
        <f>IF(L37="","",VLOOKUP($L37,classifications!$C:$E,3,FALSE))</f>
        <v>East of England</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82</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1"/>
        <v>74</v>
      </c>
      <c r="G38" s="105"/>
      <c r="H38" s="60" t="str">
        <f t="shared" si="2"/>
        <v/>
      </c>
      <c r="I38" s="112" t="str">
        <f>IF(H38="","",IF($I$8="A",(RANK(H38,H$11:H$363,1)+COUNTIF(H$11:H38,H38)-1),(RANK(H38,H$11:H$363)+COUNTIF(H$11:H38,H38)-1)))</f>
        <v/>
      </c>
      <c r="J38" s="58"/>
      <c r="K38" s="51">
        <f t="shared" si="13"/>
        <v>28</v>
      </c>
      <c r="L38" s="59" t="str">
        <f t="shared" si="14"/>
        <v>West Berkshire</v>
      </c>
      <c r="M38" s="153">
        <f t="shared" si="20"/>
        <v>72</v>
      </c>
      <c r="N38" s="148">
        <f t="shared" si="21"/>
        <v>72</v>
      </c>
      <c r="O38" s="131" t="str">
        <f t="shared" si="3"/>
        <v/>
      </c>
      <c r="P38" s="131">
        <f t="shared" si="15"/>
        <v>72</v>
      </c>
      <c r="Q38" s="131" t="str">
        <f t="shared" si="16"/>
        <v/>
      </c>
      <c r="R38" s="127" t="str">
        <f t="shared" si="17"/>
        <v/>
      </c>
      <c r="S38" s="60" t="str">
        <f t="shared" si="4"/>
        <v/>
      </c>
      <c r="T38" s="231">
        <f>IF(L38="","",VLOOKUP(L38,classifications!C:K,9,FALSE))</f>
        <v>0</v>
      </c>
      <c r="U38" s="238" t="str">
        <f t="shared" si="5"/>
        <v/>
      </c>
      <c r="V38" s="239" t="str">
        <f>IF(U38="","",IF($I$8="A",(RANK(U38,U$11:U$363)+COUNTIF(U$11:U38,U38)-1),(RANK(U38,U$11:U$363,1)+COUNTIF(U$11:U38,U38)-1)))</f>
        <v/>
      </c>
      <c r="W38" s="240"/>
      <c r="X38" s="61" t="str">
        <f>IF(L38="","",VLOOKUP($L38,classifications!$C:$J,6,FALSE))</f>
        <v>Significant Rural</v>
      </c>
      <c r="Y38" s="49">
        <f t="shared" si="6"/>
        <v>72</v>
      </c>
      <c r="Z38" s="57">
        <f>IF(Y38="","",IF(I$8="A",(RANK(Y38,Y$11:Y$363,1)+COUNTIF(Y$11:Y38,Y38)-1),(RANK(Y38,Y$11:Y$363)+COUNTIF(Y$11:Y38,Y38)-1)))</f>
        <v>6</v>
      </c>
      <c r="AA38" s="245" t="str">
        <f>IF(L38="","",VLOOKUP($L38,classifications!C:I,7,FALSE))</f>
        <v>Significant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Unitary</v>
      </c>
      <c r="AJ38" s="62">
        <f t="shared" si="0"/>
        <v>72</v>
      </c>
      <c r="AK38" s="57">
        <f>IF(AJ38="","",IF(I$8="A",(RANK(AJ38,AJ$11:AJ$363,1)+COUNTIF(AJ$11:AJ38,AJ38)-1),(RANK(AJ38,AJ$11:AJ$363)+COUNTIF(AJ$11:AJ38,AJ38)-1)))</f>
        <v>28</v>
      </c>
      <c r="AL38" s="52">
        <f t="shared" si="19"/>
        <v>28</v>
      </c>
      <c r="AM38" s="31" t="str">
        <f t="shared" si="24"/>
        <v>West Berkshire</v>
      </c>
      <c r="AN38" s="31">
        <f t="shared" si="9"/>
        <v>72</v>
      </c>
      <c r="AP38" s="61" t="str">
        <f>IF(L38="","",VLOOKUP($L38,classifications!$C:$E,3,FALSE))</f>
        <v>South East</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74</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1"/>
        <v>71</v>
      </c>
      <c r="G39" s="105"/>
      <c r="H39" s="60" t="str">
        <f t="shared" si="2"/>
        <v/>
      </c>
      <c r="I39" s="112" t="str">
        <f>IF(H39="","",IF($I$8="A",(RANK(H39,H$11:H$363,1)+COUNTIF(H$11:H39,H39)-1),(RANK(H39,H$11:H$363)+COUNTIF(H$11:H39,H39)-1)))</f>
        <v/>
      </c>
      <c r="J39" s="58"/>
      <c r="K39" s="51">
        <f t="shared" si="13"/>
        <v>29</v>
      </c>
      <c r="L39" s="59" t="str">
        <f t="shared" si="14"/>
        <v>Durham</v>
      </c>
      <c r="M39" s="153">
        <f t="shared" si="20"/>
        <v>71</v>
      </c>
      <c r="N39" s="148">
        <f t="shared" si="21"/>
        <v>71</v>
      </c>
      <c r="O39" s="131" t="str">
        <f t="shared" si="3"/>
        <v/>
      </c>
      <c r="P39" s="131" t="str">
        <f t="shared" si="15"/>
        <v/>
      </c>
      <c r="Q39" s="131">
        <f t="shared" si="16"/>
        <v>71</v>
      </c>
      <c r="R39" s="127" t="str">
        <f t="shared" si="17"/>
        <v/>
      </c>
      <c r="S39" s="60" t="str">
        <f t="shared" si="4"/>
        <v/>
      </c>
      <c r="T39" s="231" t="str">
        <f>IF(L39="","",VLOOKUP(L39,classifications!C:K,9,FALSE))</f>
        <v>Sparse</v>
      </c>
      <c r="U39" s="238">
        <f t="shared" si="5"/>
        <v>71</v>
      </c>
      <c r="V39" s="239">
        <f>IF(U39="","",IF($I$8="A",(RANK(U39,U$11:U$363)+COUNTIF(U$11:U39,U39)-1),(RANK(U39,U$11:U$363,1)+COUNTIF(U$11:U39,U39)-1)))</f>
        <v>8</v>
      </c>
      <c r="W39" s="240"/>
      <c r="X39" s="61" t="str">
        <f>IF(L39="","",VLOOKUP($L39,classifications!$C:$J,6,FALSE))</f>
        <v>Rural-50</v>
      </c>
      <c r="Y39" s="49">
        <f t="shared" si="6"/>
        <v>71</v>
      </c>
      <c r="Z39" s="57">
        <f>IF(Y39="","",IF(I$8="A",(RANK(Y39,Y$11:Y$363,1)+COUNTIF(Y$11:Y39,Y39)-1),(RANK(Y39,Y$11:Y$363)+COUNTIF(Y$11:Y39,Y39)-1)))</f>
        <v>7</v>
      </c>
      <c r="AA39" s="245" t="str">
        <f>IF(L39="","",VLOOKUP($L39,classifications!C:I,7,FALSE))</f>
        <v>Predominantly Rural</v>
      </c>
      <c r="AB39" s="239">
        <f t="shared" si="7"/>
        <v>71</v>
      </c>
      <c r="AC39" s="239">
        <f>IF(AB39="","",IF($I$8="A",(RANK(AB39,AB$11:AB$363)+COUNTIF(AB$11:AB39,AB39)-1),(RANK(AB39,AB$11:AB$363,1)+COUNTIF(AB$11:AB39,AB39)-1)))</f>
        <v>8</v>
      </c>
      <c r="AD39" s="239"/>
      <c r="AE39" s="51" t="str">
        <f t="shared" si="25"/>
        <v/>
      </c>
      <c r="AG39" s="143"/>
      <c r="AH39" s="52"/>
      <c r="AI39" s="61" t="str">
        <f>IF(L39="","",VLOOKUP($L39,classifications!$C:$J,8,FALSE))</f>
        <v>Unitary</v>
      </c>
      <c r="AJ39" s="62">
        <f t="shared" si="0"/>
        <v>71</v>
      </c>
      <c r="AK39" s="57">
        <f>IF(AJ39="","",IF(I$8="A",(RANK(AJ39,AJ$11:AJ$363,1)+COUNTIF(AJ$11:AJ39,AJ39)-1),(RANK(AJ39,AJ$11:AJ$363)+COUNTIF(AJ$11:AJ39,AJ39)-1)))</f>
        <v>29</v>
      </c>
      <c r="AL39" s="52">
        <f t="shared" si="19"/>
        <v>29</v>
      </c>
      <c r="AM39" s="31" t="str">
        <f t="shared" si="24"/>
        <v>Durham</v>
      </c>
      <c r="AN39" s="31">
        <f t="shared" si="9"/>
        <v>71</v>
      </c>
      <c r="AP39" s="61" t="str">
        <f>IF(L39="","",VLOOKUP($L39,classifications!$C:$E,3,FALSE))</f>
        <v>NE</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71</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1"/>
        <v>48</v>
      </c>
      <c r="G40" s="105"/>
      <c r="H40" s="60" t="str">
        <f t="shared" si="2"/>
        <v/>
      </c>
      <c r="I40" s="112" t="str">
        <f>IF(H40="","",IF($I$8="A",(RANK(H40,H$11:H$363,1)+COUNTIF(H$11:H40,H40)-1),(RANK(H40,H$11:H$363)+COUNTIF(H$11:H40,H40)-1)))</f>
        <v/>
      </c>
      <c r="J40" s="58"/>
      <c r="K40" s="51">
        <f t="shared" si="13"/>
        <v>30</v>
      </c>
      <c r="L40" s="59" t="str">
        <f t="shared" si="14"/>
        <v>Leicester</v>
      </c>
      <c r="M40" s="153">
        <f t="shared" si="20"/>
        <v>71</v>
      </c>
      <c r="N40" s="148">
        <f t="shared" si="21"/>
        <v>71</v>
      </c>
      <c r="O40" s="131" t="str">
        <f t="shared" si="3"/>
        <v/>
      </c>
      <c r="P40" s="131" t="str">
        <f t="shared" si="15"/>
        <v/>
      </c>
      <c r="Q40" s="131">
        <f t="shared" si="16"/>
        <v>71</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Large Urban</v>
      </c>
      <c r="Y40" s="49" t="str">
        <f t="shared" si="6"/>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Unitary</v>
      </c>
      <c r="AJ40" s="62">
        <f t="shared" si="0"/>
        <v>71</v>
      </c>
      <c r="AK40" s="57">
        <f>IF(AJ40="","",IF(I$8="A",(RANK(AJ40,AJ$11:AJ$363,1)+COUNTIF(AJ$11:AJ40,AJ40)-1),(RANK(AJ40,AJ$11:AJ$363)+COUNTIF(AJ$11:AJ40,AJ40)-1)))</f>
        <v>30</v>
      </c>
      <c r="AL40" s="52">
        <f t="shared" si="19"/>
        <v>30</v>
      </c>
      <c r="AM40" s="31" t="str">
        <f t="shared" si="24"/>
        <v>Leicester</v>
      </c>
      <c r="AN40" s="31">
        <f t="shared" si="9"/>
        <v>71</v>
      </c>
      <c r="AP40" s="61" t="str">
        <f>IF(L40="","",VLOOKUP($L40,classifications!$C:$E,3,FALSE))</f>
        <v>East Midlands</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48</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1"/>
        <v>53</v>
      </c>
      <c r="G41" s="105"/>
      <c r="H41" s="60" t="str">
        <f t="shared" si="2"/>
        <v/>
      </c>
      <c r="I41" s="112" t="str">
        <f>IF(H41="","",IF($I$8="A",(RANK(H41,H$11:H$363,1)+COUNTIF(H$11:H41,H41)-1),(RANK(H41,H$11:H$363)+COUNTIF(H$11:H41,H41)-1)))</f>
        <v/>
      </c>
      <c r="J41" s="58"/>
      <c r="K41" s="51">
        <f t="shared" si="13"/>
        <v>31</v>
      </c>
      <c r="L41" s="59" t="str">
        <f t="shared" si="14"/>
        <v>Rutland</v>
      </c>
      <c r="M41" s="153">
        <f t="shared" si="20"/>
        <v>71</v>
      </c>
      <c r="N41" s="148">
        <f t="shared" si="21"/>
        <v>71</v>
      </c>
      <c r="O41" s="131" t="str">
        <f t="shared" si="3"/>
        <v/>
      </c>
      <c r="P41" s="131" t="str">
        <f t="shared" si="15"/>
        <v/>
      </c>
      <c r="Q41" s="131">
        <f t="shared" si="16"/>
        <v>71</v>
      </c>
      <c r="R41" s="127" t="str">
        <f t="shared" si="17"/>
        <v/>
      </c>
      <c r="S41" s="60" t="str">
        <f t="shared" si="4"/>
        <v/>
      </c>
      <c r="T41" s="231" t="str">
        <f>IF(L41="","",VLOOKUP(L41,classifications!C:K,9,FALSE))</f>
        <v>Sparse</v>
      </c>
      <c r="U41" s="238">
        <f t="shared" si="5"/>
        <v>71</v>
      </c>
      <c r="V41" s="239">
        <f>IF(U41="","",IF($I$8="A",(RANK(U41,U$11:U$363)+COUNTIF(U$11:U41,U41)-1),(RANK(U41,U$11:U$363,1)+COUNTIF(U$11:U41,U41)-1)))</f>
        <v>9</v>
      </c>
      <c r="W41" s="240"/>
      <c r="X41" s="61" t="str">
        <f>IF(L41="","",VLOOKUP($L41,classifications!$C:$J,6,FALSE))</f>
        <v>Rural-80</v>
      </c>
      <c r="Y41" s="49">
        <f t="shared" si="6"/>
        <v>71</v>
      </c>
      <c r="Z41" s="57">
        <f>IF(Y41="","",IF(I$8="A",(RANK(Y41,Y$11:Y$363,1)+COUNTIF(Y$11:Y41,Y41)-1),(RANK(Y41,Y$11:Y$363)+COUNTIF(Y$11:Y41,Y41)-1)))</f>
        <v>8</v>
      </c>
      <c r="AA41" s="245" t="str">
        <f>IF(L41="","",VLOOKUP($L41,classifications!C:I,7,FALSE))</f>
        <v>Predominantly Rural</v>
      </c>
      <c r="AB41" s="239">
        <f t="shared" si="7"/>
        <v>71</v>
      </c>
      <c r="AC41" s="239">
        <f>IF(AB41="","",IF($I$8="A",(RANK(AB41,AB$11:AB$363)+COUNTIF(AB$11:AB41,AB41)-1),(RANK(AB41,AB$11:AB$363,1)+COUNTIF(AB$11:AB41,AB41)-1)))</f>
        <v>9</v>
      </c>
      <c r="AD41" s="239"/>
      <c r="AE41" s="51" t="str">
        <f t="shared" si="25"/>
        <v/>
      </c>
      <c r="AG41" s="143"/>
      <c r="AH41" s="52"/>
      <c r="AI41" s="61" t="str">
        <f>IF(L41="","",VLOOKUP($L41,classifications!$C:$J,8,FALSE))</f>
        <v>Unitary</v>
      </c>
      <c r="AJ41" s="62">
        <f t="shared" si="0"/>
        <v>71</v>
      </c>
      <c r="AK41" s="57">
        <f>IF(AJ41="","",IF(I$8="A",(RANK(AJ41,AJ$11:AJ$363,1)+COUNTIF(AJ$11:AJ41,AJ41)-1),(RANK(AJ41,AJ$11:AJ$363)+COUNTIF(AJ$11:AJ41,AJ41)-1)))</f>
        <v>31</v>
      </c>
      <c r="AL41" s="52">
        <f t="shared" si="19"/>
        <v>31</v>
      </c>
      <c r="AM41" s="31" t="str">
        <f t="shared" si="24"/>
        <v>Rutland</v>
      </c>
      <c r="AN41" s="31">
        <f t="shared" si="9"/>
        <v>71</v>
      </c>
      <c r="AP41" s="61" t="str">
        <f>IF(L41="","",VLOOKUP($L41,classifications!$C:$E,3,FALSE))</f>
        <v>East Midlands</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53</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1"/>
        <v>60</v>
      </c>
      <c r="G42" s="105"/>
      <c r="H42" s="60" t="str">
        <f t="shared" si="2"/>
        <v/>
      </c>
      <c r="I42" s="112" t="str">
        <f>IF(H42="","",IF($I$8="A",(RANK(H42,H$11:H$363,1)+COUNTIF(H$11:H42,H42)-1),(RANK(H42,H$11:H$363)+COUNTIF(H$11:H42,H42)-1)))</f>
        <v/>
      </c>
      <c r="J42" s="58"/>
      <c r="K42" s="51">
        <f t="shared" si="13"/>
        <v>32</v>
      </c>
      <c r="L42" s="59" t="str">
        <f t="shared" si="14"/>
        <v>Bristol</v>
      </c>
      <c r="M42" s="153">
        <f t="shared" si="20"/>
        <v>70</v>
      </c>
      <c r="N42" s="148">
        <f t="shared" si="21"/>
        <v>70</v>
      </c>
      <c r="O42" s="131" t="str">
        <f t="shared" si="3"/>
        <v/>
      </c>
      <c r="P42" s="131" t="str">
        <f t="shared" si="15"/>
        <v/>
      </c>
      <c r="Q42" s="131">
        <f t="shared" si="16"/>
        <v>70</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Large Urban</v>
      </c>
      <c r="Y42" s="49" t="str">
        <f t="shared" si="6"/>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0"/>
        <v>70</v>
      </c>
      <c r="AK42" s="57">
        <f>IF(AJ42="","",IF(I$8="A",(RANK(AJ42,AJ$11:AJ$363,1)+COUNTIF(AJ$11:AJ42,AJ42)-1),(RANK(AJ42,AJ$11:AJ$363)+COUNTIF(AJ$11:AJ42,AJ42)-1)))</f>
        <v>32</v>
      </c>
      <c r="AL42" s="52">
        <f t="shared" si="19"/>
        <v>32</v>
      </c>
      <c r="AM42" s="31" t="str">
        <f t="shared" si="24"/>
        <v>Bristol</v>
      </c>
      <c r="AN42" s="31">
        <f t="shared" si="9"/>
        <v>70</v>
      </c>
      <c r="AP42" s="61" t="str">
        <f>IF(L42="","",VLOOKUP($L42,classifications!$C:$E,3,FALSE))</f>
        <v>South West</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60</v>
      </c>
      <c r="AY42" s="156"/>
      <c r="AZ42" s="44"/>
    </row>
    <row r="43" spans="1:52">
      <c r="A43" s="84" t="str">
        <f>$D$1&amp;33</f>
        <v>UA33</v>
      </c>
      <c r="B43" s="85">
        <f>IF(ISERROR(VLOOKUP(A43,classifications!A:C,3,FALSE)),0,VLOOKUP(A43,classifications!A:C,3,FALSE))</f>
        <v>0</v>
      </c>
      <c r="C43" s="31" t="s">
        <v>821</v>
      </c>
      <c r="D43" s="49" t="str">
        <f>VLOOKUP($C43,classifications!$C:$J,4,FALSE)</f>
        <v>UA</v>
      </c>
      <c r="E43" s="49">
        <f>VLOOKUP(C43,classifications!C:K,9,FALSE)</f>
        <v>0</v>
      </c>
      <c r="F43" s="59">
        <f t="shared" si="1"/>
        <v>67</v>
      </c>
      <c r="G43" s="105"/>
      <c r="H43" s="60">
        <f t="shared" si="2"/>
        <v>67</v>
      </c>
      <c r="I43" s="112">
        <f>IF(H43="","",IF($I$8="A",(RANK(H43,H$11:H$363,1)+COUNTIF(H$11:H43,H43)-1),(RANK(H43,H$11:H$363)+COUNTIF(H$11:H43,H43)-1)))</f>
        <v>34</v>
      </c>
      <c r="J43" s="58"/>
      <c r="K43" s="51">
        <f t="shared" si="13"/>
        <v>33</v>
      </c>
      <c r="L43" s="59" t="str">
        <f t="shared" si="14"/>
        <v>Blackpool</v>
      </c>
      <c r="M43" s="153">
        <f t="shared" si="20"/>
        <v>67</v>
      </c>
      <c r="N43" s="148">
        <f t="shared" si="21"/>
        <v>67</v>
      </c>
      <c r="O43" s="131" t="str">
        <f t="shared" si="3"/>
        <v/>
      </c>
      <c r="P43" s="131" t="str">
        <f t="shared" si="15"/>
        <v/>
      </c>
      <c r="Q43" s="131">
        <f t="shared" si="16"/>
        <v>67</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Large Urban</v>
      </c>
      <c r="Y43" s="49" t="str">
        <f t="shared" si="6"/>
        <v/>
      </c>
      <c r="Z43" s="57" t="str">
        <f>IF(Y43="","",IF(I$8="A",(RANK(Y43,Y$11:Y$363,1)+COUNTIF(Y$11:Y43,Y43)-1),(RANK(Y43,Y$11:Y$363)+COUNTIF(Y$11:Y43,Y43)-1)))</f>
        <v/>
      </c>
      <c r="AA43" s="245" t="str">
        <f>IF(L43="","",VLOOKUP($L43,classifications!C:I,7,FALSE))</f>
        <v>Predominantly Urban</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Unitary</v>
      </c>
      <c r="AJ43" s="62">
        <f t="shared" si="0"/>
        <v>67</v>
      </c>
      <c r="AK43" s="57">
        <f>IF(AJ43="","",IF(I$8="A",(RANK(AJ43,AJ$11:AJ$363,1)+COUNTIF(AJ$11:AJ43,AJ43)-1),(RANK(AJ43,AJ$11:AJ$363)+COUNTIF(AJ$11:AJ43,AJ43)-1)))</f>
        <v>33</v>
      </c>
      <c r="AL43" s="52">
        <f t="shared" si="19"/>
        <v>33</v>
      </c>
      <c r="AM43" s="31" t="str">
        <f t="shared" si="24"/>
        <v>Blackpool</v>
      </c>
      <c r="AN43" s="31">
        <f t="shared" si="9"/>
        <v>67</v>
      </c>
      <c r="AP43" s="61" t="str">
        <f>IF(L43="","",VLOOKUP($L43,classifications!$C:$E,3,FALSE))</f>
        <v>North West</v>
      </c>
      <c r="AQ43" s="62">
        <f t="shared" si="10"/>
        <v>67</v>
      </c>
      <c r="AR43" s="57">
        <f>IF(AQ43="","",IF(I$8="A",(RANK(AQ43,AQ$11:AQ$363,1)+COUNTIF(AQ$11:AQ43,AQ43)-1),(RANK(AQ43,AQ$11:AQ$363)+COUNTIF(AQ$11:AQ43,AQ43)-1)))</f>
        <v>2</v>
      </c>
      <c r="AS43" s="52" t="str">
        <f t="shared" si="23"/>
        <v/>
      </c>
      <c r="AT43" s="57" t="str">
        <f t="shared" si="11"/>
        <v/>
      </c>
      <c r="AU43" s="62" t="str">
        <f t="shared" si="12"/>
        <v/>
      </c>
      <c r="AX43" s="44">
        <f>HLOOKUP($AX$9&amp;$AX$10,Data!$A$1:$ZZ$2000,(MATCH($C43,Data!$A$1:$A$2000,0)),FALSE)</f>
        <v>67</v>
      </c>
      <c r="AY43" s="156"/>
      <c r="AZ43" s="44"/>
    </row>
    <row r="44" spans="1:52">
      <c r="A44" s="84" t="str">
        <f>$D$1&amp;34</f>
        <v>UA34</v>
      </c>
      <c r="B44" s="85">
        <f>IF(ISERROR(VLOOKUP(A44,classifications!A:C,3,FALSE)),0,VLOOKUP(A44,classifications!A:C,3,FALSE))</f>
        <v>0</v>
      </c>
      <c r="C44" s="31" t="s">
        <v>825</v>
      </c>
      <c r="D44" s="49" t="str">
        <f>VLOOKUP($C44,classifications!$C:$J,4,FALSE)</f>
        <v>UA</v>
      </c>
      <c r="E44" s="49">
        <f>VLOOKUP(C44,classifications!C:K,9,FALSE)</f>
        <v>0</v>
      </c>
      <c r="F44" s="59">
        <f t="shared" si="1"/>
        <v>70</v>
      </c>
      <c r="G44" s="105"/>
      <c r="H44" s="60">
        <f t="shared" si="2"/>
        <v>70</v>
      </c>
      <c r="I44" s="112">
        <f>IF(H44="","",IF($I$8="A",(RANK(H44,H$11:H$363,1)+COUNTIF(H$11:H44,H44)-1),(RANK(H44,H$11:H$363)+COUNTIF(H$11:H44,H44)-1)))</f>
        <v>32</v>
      </c>
      <c r="J44" s="58"/>
      <c r="K44" s="51">
        <f t="shared" si="13"/>
        <v>34</v>
      </c>
      <c r="L44" s="59" t="str">
        <f t="shared" si="14"/>
        <v>Brighton &amp; Hove</v>
      </c>
      <c r="M44" s="153">
        <f t="shared" si="20"/>
        <v>67</v>
      </c>
      <c r="N44" s="148">
        <f t="shared" si="21"/>
        <v>67</v>
      </c>
      <c r="O44" s="131" t="str">
        <f t="shared" si="3"/>
        <v/>
      </c>
      <c r="P44" s="131" t="str">
        <f t="shared" si="15"/>
        <v/>
      </c>
      <c r="Q44" s="131">
        <f t="shared" si="16"/>
        <v>67</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Large Urban</v>
      </c>
      <c r="Y44" s="49" t="str">
        <f t="shared" si="6"/>
        <v/>
      </c>
      <c r="Z44" s="57" t="str">
        <f>IF(Y44="","",IF(I$8="A",(RANK(Y44,Y$11:Y$363,1)+COUNTIF(Y$11:Y44,Y44)-1),(RANK(Y44,Y$11:Y$363)+COUNTIF(Y$11:Y44,Y44)-1)))</f>
        <v/>
      </c>
      <c r="AA44" s="245" t="str">
        <f>IF(L44="","",VLOOKUP($L44,classifications!C:I,7,FALSE))</f>
        <v>Predominantly Urban</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Unitary</v>
      </c>
      <c r="AJ44" s="62">
        <f t="shared" si="0"/>
        <v>67</v>
      </c>
      <c r="AK44" s="57">
        <f>IF(AJ44="","",IF(I$8="A",(RANK(AJ44,AJ$11:AJ$363,1)+COUNTIF(AJ$11:AJ44,AJ44)-1),(RANK(AJ44,AJ$11:AJ$363)+COUNTIF(AJ$11:AJ44,AJ44)-1)))</f>
        <v>34</v>
      </c>
      <c r="AL44" s="52">
        <f t="shared" si="19"/>
        <v>34</v>
      </c>
      <c r="AM44" s="31" t="str">
        <f t="shared" si="24"/>
        <v>Brighton &amp; Hove</v>
      </c>
      <c r="AN44" s="31">
        <f t="shared" si="9"/>
        <v>67</v>
      </c>
      <c r="AP44" s="61" t="str">
        <f>IF(L44="","",VLOOKUP($L44,classifications!$C:$E,3,FALSE))</f>
        <v>South East</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70</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1"/>
        <v>80</v>
      </c>
      <c r="G45" s="105"/>
      <c r="H45" s="60" t="str">
        <f t="shared" si="2"/>
        <v/>
      </c>
      <c r="I45" s="112" t="str">
        <f>IF(H45="","",IF($I$8="A",(RANK(H45,H$11:H$363,1)+COUNTIF(H$11:H45,H45)-1),(RANK(H45,H$11:H$363)+COUNTIF(H$11:H45,H45)-1)))</f>
        <v/>
      </c>
      <c r="J45" s="58"/>
      <c r="K45" s="51">
        <f t="shared" si="13"/>
        <v>35</v>
      </c>
      <c r="L45" s="59" t="str">
        <f t="shared" si="14"/>
        <v>Milton Keynes</v>
      </c>
      <c r="M45" s="153">
        <f t="shared" si="20"/>
        <v>67</v>
      </c>
      <c r="N45" s="148">
        <f t="shared" si="21"/>
        <v>67</v>
      </c>
      <c r="O45" s="131" t="str">
        <f t="shared" si="3"/>
        <v/>
      </c>
      <c r="P45" s="131" t="str">
        <f t="shared" si="15"/>
        <v/>
      </c>
      <c r="Q45" s="131">
        <f t="shared" si="16"/>
        <v>67</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Other Urban</v>
      </c>
      <c r="Y45" s="49" t="str">
        <f t="shared" si="6"/>
        <v/>
      </c>
      <c r="Z45" s="57" t="str">
        <f>IF(Y45="","",IF(I$8="A",(RANK(Y45,Y$11:Y$363,1)+COUNTIF(Y$11:Y45,Y45)-1),(RANK(Y45,Y$11:Y$363)+COUNTIF(Y$11:Y45,Y45)-1)))</f>
        <v/>
      </c>
      <c r="AA45" s="245" t="str">
        <f>IF(L45="","",VLOOKUP($L45,classifications!C:I,7,FALSE))</f>
        <v>Predominantly Urban</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0"/>
        <v>67</v>
      </c>
      <c r="AK45" s="57">
        <f>IF(AJ45="","",IF(I$8="A",(RANK(AJ45,AJ$11:AJ$363,1)+COUNTIF(AJ$11:AJ45,AJ45)-1),(RANK(AJ45,AJ$11:AJ$363)+COUNTIF(AJ$11:AJ45,AJ45)-1)))</f>
        <v>35</v>
      </c>
      <c r="AL45" s="52">
        <f t="shared" si="19"/>
        <v>35</v>
      </c>
      <c r="AM45" s="31" t="str">
        <f t="shared" si="24"/>
        <v>Milton Keynes</v>
      </c>
      <c r="AN45" s="31">
        <f t="shared" si="9"/>
        <v>67</v>
      </c>
      <c r="AP45" s="61" t="str">
        <f>IF(L45="","",VLOOKUP($L45,classifications!$C:$E,3,FALSE))</f>
        <v>South East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80</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1"/>
        <v>66</v>
      </c>
      <c r="G46" s="105"/>
      <c r="H46" s="60" t="str">
        <f t="shared" si="2"/>
        <v/>
      </c>
      <c r="I46" s="112" t="str">
        <f>IF(H46="","",IF($I$8="A",(RANK(H46,H$11:H$363,1)+COUNTIF(H$11:H46,H46)-1),(RANK(H46,H$11:H$363)+COUNTIF(H$11:H46,H46)-1)))</f>
        <v/>
      </c>
      <c r="J46" s="58"/>
      <c r="K46" s="51">
        <f t="shared" si="13"/>
        <v>36</v>
      </c>
      <c r="L46" s="59" t="str">
        <f t="shared" si="14"/>
        <v>North Somerset</v>
      </c>
      <c r="M46" s="153">
        <f t="shared" si="20"/>
        <v>66</v>
      </c>
      <c r="N46" s="148">
        <f t="shared" si="21"/>
        <v>66</v>
      </c>
      <c r="O46" s="131" t="str">
        <f t="shared" si="3"/>
        <v/>
      </c>
      <c r="P46" s="131" t="str">
        <f t="shared" si="15"/>
        <v/>
      </c>
      <c r="Q46" s="131">
        <f t="shared" si="16"/>
        <v>66</v>
      </c>
      <c r="R46" s="127" t="str">
        <f t="shared" si="17"/>
        <v/>
      </c>
      <c r="S46" s="60" t="str">
        <f t="shared" si="4"/>
        <v/>
      </c>
      <c r="T46" s="231" t="str">
        <f>IF(L46="","",VLOOKUP(L46,classifications!C:K,9,FALSE))</f>
        <v>Sparse</v>
      </c>
      <c r="U46" s="238">
        <f t="shared" si="26"/>
        <v>66</v>
      </c>
      <c r="V46" s="239">
        <f>IF(U46="","",IF($I$8="A",(RANK(U46,U$11:U$363)+COUNTIF(U$11:U46,U46)-1),(RANK(U46,U$11:U$363,1)+COUNTIF(U$11:U46,U46)-1)))</f>
        <v>7</v>
      </c>
      <c r="W46" s="240"/>
      <c r="X46" s="61" t="str">
        <f>IF(L46="","",VLOOKUP($L46,classifications!$C:$J,6,FALSE))</f>
        <v>Rural-50</v>
      </c>
      <c r="Y46" s="49">
        <f t="shared" si="6"/>
        <v>66</v>
      </c>
      <c r="Z46" s="57">
        <f>IF(Y46="","",IF(I$8="A",(RANK(Y46,Y$11:Y$363,1)+COUNTIF(Y$11:Y46,Y46)-1),(RANK(Y46,Y$11:Y$363)+COUNTIF(Y$11:Y46,Y46)-1)))</f>
        <v>9</v>
      </c>
      <c r="AA46" s="245" t="str">
        <f>IF(L46="","",VLOOKUP($L46,classifications!C:I,7,FALSE))</f>
        <v>Predominantly Rural</v>
      </c>
      <c r="AB46" s="239">
        <f t="shared" si="7"/>
        <v>66</v>
      </c>
      <c r="AC46" s="239">
        <f>IF(AB46="","",IF($I$8="A",(RANK(AB46,AB$11:AB$363)+COUNTIF(AB$11:AB46,AB46)-1),(RANK(AB46,AB$11:AB$363,1)+COUNTIF(AB$11:AB46,AB46)-1)))</f>
        <v>7</v>
      </c>
      <c r="AD46" s="239"/>
      <c r="AE46" s="51" t="str">
        <f t="shared" si="25"/>
        <v/>
      </c>
      <c r="AG46" s="143"/>
      <c r="AH46" s="52"/>
      <c r="AI46" s="61" t="str">
        <f>IF(L46="","",VLOOKUP($L46,classifications!$C:$J,8,FALSE))</f>
        <v>Unitary</v>
      </c>
      <c r="AJ46" s="62">
        <f t="shared" si="0"/>
        <v>66</v>
      </c>
      <c r="AK46" s="57">
        <f>IF(AJ46="","",IF(I$8="A",(RANK(AJ46,AJ$11:AJ$363,1)+COUNTIF(AJ$11:AJ46,AJ46)-1),(RANK(AJ46,AJ$11:AJ$363)+COUNTIF(AJ$11:AJ46,AJ46)-1)))</f>
        <v>36</v>
      </c>
      <c r="AL46" s="52">
        <f t="shared" si="19"/>
        <v>36</v>
      </c>
      <c r="AM46" s="31" t="str">
        <f t="shared" si="24"/>
        <v>North Somerset</v>
      </c>
      <c r="AN46" s="31">
        <f t="shared" si="9"/>
        <v>66</v>
      </c>
      <c r="AP46" s="61" t="str">
        <f>IF(L46="","",VLOOKUP($L46,classifications!$C:$E,3,FALSE))</f>
        <v>South West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66</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1"/>
        <v>25</v>
      </c>
      <c r="G47" s="105"/>
      <c r="H47" s="60" t="str">
        <f t="shared" si="2"/>
        <v/>
      </c>
      <c r="I47" s="112" t="str">
        <f>IF(H47="","",IF($I$8="A",(RANK(H47,H$11:H$363,1)+COUNTIF(H$11:H47,H47)-1),(RANK(H47,H$11:H$363)+COUNTIF(H$11:H47,H47)-1)))</f>
        <v/>
      </c>
      <c r="J47" s="58"/>
      <c r="K47" s="51">
        <f t="shared" si="13"/>
        <v>37</v>
      </c>
      <c r="L47" s="59" t="str">
        <f t="shared" si="14"/>
        <v>Poole</v>
      </c>
      <c r="M47" s="153">
        <f t="shared" si="20"/>
        <v>66</v>
      </c>
      <c r="N47" s="148">
        <f t="shared" si="21"/>
        <v>66</v>
      </c>
      <c r="O47" s="131" t="str">
        <f t="shared" si="3"/>
        <v/>
      </c>
      <c r="P47" s="131" t="str">
        <f t="shared" si="15"/>
        <v/>
      </c>
      <c r="Q47" s="131">
        <f t="shared" si="16"/>
        <v>66</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Large Urban</v>
      </c>
      <c r="Y47" s="49" t="str">
        <f t="shared" si="6"/>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Unitary</v>
      </c>
      <c r="AJ47" s="62">
        <f t="shared" si="0"/>
        <v>66</v>
      </c>
      <c r="AK47" s="57">
        <f>IF(AJ47="","",IF(I$8="A",(RANK(AJ47,AJ$11:AJ$363,1)+COUNTIF(AJ$11:AJ47,AJ47)-1),(RANK(AJ47,AJ$11:AJ$363)+COUNTIF(AJ$11:AJ47,AJ47)-1)))</f>
        <v>37</v>
      </c>
      <c r="AL47" s="52">
        <f t="shared" si="19"/>
        <v>37</v>
      </c>
      <c r="AM47" s="31" t="str">
        <f t="shared" si="24"/>
        <v>Poole</v>
      </c>
      <c r="AN47" s="31">
        <f t="shared" si="9"/>
        <v>66</v>
      </c>
      <c r="AP47" s="61" t="str">
        <f>IF(L47="","",VLOOKUP($L47,classifications!$C:$E,3,FALSE))</f>
        <v>South West</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25</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1"/>
        <v>81</v>
      </c>
      <c r="G48" s="105"/>
      <c r="H48" s="60" t="str">
        <f t="shared" si="2"/>
        <v/>
      </c>
      <c r="I48" s="112" t="str">
        <f>IF(H48="","",IF($I$8="A",(RANK(H48,H$11:H$363,1)+COUNTIF(H$11:H48,H48)-1),(RANK(H48,H$11:H$363)+COUNTIF(H$11:H48,H48)-1)))</f>
        <v/>
      </c>
      <c r="J48" s="58"/>
      <c r="K48" s="51">
        <f t="shared" si="13"/>
        <v>38</v>
      </c>
      <c r="L48" s="59" t="str">
        <f t="shared" si="14"/>
        <v>Reading</v>
      </c>
      <c r="M48" s="153">
        <f t="shared" si="20"/>
        <v>65</v>
      </c>
      <c r="N48" s="148">
        <f t="shared" si="21"/>
        <v>65</v>
      </c>
      <c r="O48" s="131" t="str">
        <f t="shared" si="3"/>
        <v/>
      </c>
      <c r="P48" s="131" t="str">
        <f t="shared" si="15"/>
        <v/>
      </c>
      <c r="Q48" s="131">
        <f t="shared" si="16"/>
        <v>65</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Large Urban</v>
      </c>
      <c r="Y48" s="49" t="str">
        <f t="shared" si="6"/>
        <v/>
      </c>
      <c r="Z48" s="57" t="str">
        <f>IF(Y48="","",IF(I$8="A",(RANK(Y48,Y$11:Y$363,1)+COUNTIF(Y$11:Y48,Y48)-1),(RANK(Y48,Y$11:Y$363)+COUNTIF(Y$11:Y48,Y48)-1)))</f>
        <v/>
      </c>
      <c r="AA48" s="245" t="str">
        <f>IF(L48="","",VLOOKUP($L48,classifications!C:I,7,FALSE))</f>
        <v>Predominantly Urban</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Unitary</v>
      </c>
      <c r="AJ48" s="62">
        <f t="shared" si="0"/>
        <v>65</v>
      </c>
      <c r="AK48" s="57">
        <f>IF(AJ48="","",IF(I$8="A",(RANK(AJ48,AJ$11:AJ$363,1)+COUNTIF(AJ$11:AJ48,AJ48)-1),(RANK(AJ48,AJ$11:AJ$363)+COUNTIF(AJ$11:AJ48,AJ48)-1)))</f>
        <v>38</v>
      </c>
      <c r="AL48" s="52">
        <f t="shared" si="19"/>
        <v>38</v>
      </c>
      <c r="AM48" s="31" t="str">
        <f t="shared" si="24"/>
        <v>Reading</v>
      </c>
      <c r="AN48" s="31">
        <f t="shared" si="9"/>
        <v>65</v>
      </c>
      <c r="AP48" s="61" t="str">
        <f>IF(L48="","",VLOOKUP($L48,classifications!$C:$E,3,FALSE))</f>
        <v>South East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81</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1"/>
        <v>80</v>
      </c>
      <c r="G49" s="105"/>
      <c r="H49" s="60" t="str">
        <f t="shared" si="2"/>
        <v/>
      </c>
      <c r="I49" s="112" t="str">
        <f>IF(H49="","",IF($I$8="A",(RANK(H49,H$11:H$363,1)+COUNTIF(H$11:H49,H49)-1),(RANK(H49,H$11:H$363)+COUNTIF(H$11:H49,H49)-1)))</f>
        <v/>
      </c>
      <c r="J49" s="58"/>
      <c r="K49" s="51">
        <f t="shared" si="13"/>
        <v>39</v>
      </c>
      <c r="L49" s="59" t="str">
        <f t="shared" si="14"/>
        <v>East Riding of Yorkshire</v>
      </c>
      <c r="M49" s="153">
        <f t="shared" si="20"/>
        <v>64</v>
      </c>
      <c r="N49" s="148">
        <f t="shared" si="21"/>
        <v>64</v>
      </c>
      <c r="O49" s="131" t="str">
        <f t="shared" si="3"/>
        <v/>
      </c>
      <c r="P49" s="131" t="str">
        <f t="shared" si="15"/>
        <v/>
      </c>
      <c r="Q49" s="131">
        <f t="shared" si="16"/>
        <v>64</v>
      </c>
      <c r="R49" s="127" t="str">
        <f t="shared" si="17"/>
        <v/>
      </c>
      <c r="S49" s="60" t="str">
        <f t="shared" si="4"/>
        <v/>
      </c>
      <c r="T49" s="231" t="str">
        <f>IF(L49="","",VLOOKUP(L49,classifications!C:K,9,FALSE))</f>
        <v>Sparse</v>
      </c>
      <c r="U49" s="238">
        <f t="shared" si="26"/>
        <v>64</v>
      </c>
      <c r="V49" s="239">
        <f>IF(U49="","",IF($I$8="A",(RANK(U49,U$11:U$363)+COUNTIF(U$11:U49,U49)-1),(RANK(U49,U$11:U$363,1)+COUNTIF(U$11:U49,U49)-1)))</f>
        <v>6</v>
      </c>
      <c r="W49" s="240"/>
      <c r="X49" s="61" t="str">
        <f>IF(L49="","",VLOOKUP($L49,classifications!$C:$J,6,FALSE))</f>
        <v>Rural-50</v>
      </c>
      <c r="Y49" s="49">
        <f t="shared" si="6"/>
        <v>64</v>
      </c>
      <c r="Z49" s="57">
        <f>IF(Y49="","",IF(I$8="A",(RANK(Y49,Y$11:Y$363,1)+COUNTIF(Y$11:Y49,Y49)-1),(RANK(Y49,Y$11:Y$363)+COUNTIF(Y$11:Y49,Y49)-1)))</f>
        <v>10</v>
      </c>
      <c r="AA49" s="245" t="str">
        <f>IF(L49="","",VLOOKUP($L49,classifications!C:I,7,FALSE))</f>
        <v>Predominantly Rural</v>
      </c>
      <c r="AB49" s="239">
        <f t="shared" si="7"/>
        <v>64</v>
      </c>
      <c r="AC49" s="239">
        <f>IF(AB49="","",IF($I$8="A",(RANK(AB49,AB$11:AB$363)+COUNTIF(AB$11:AB49,AB49)-1),(RANK(AB49,AB$11:AB$363,1)+COUNTIF(AB$11:AB49,AB49)-1)))</f>
        <v>6</v>
      </c>
      <c r="AD49" s="239"/>
      <c r="AE49" s="51" t="str">
        <f t="shared" si="25"/>
        <v/>
      </c>
      <c r="AG49" s="143"/>
      <c r="AH49" s="52"/>
      <c r="AI49" s="61" t="str">
        <f>IF(L49="","",VLOOKUP($L49,classifications!$C:$J,8,FALSE))</f>
        <v>Unitary</v>
      </c>
      <c r="AJ49" s="62">
        <f t="shared" si="0"/>
        <v>64</v>
      </c>
      <c r="AK49" s="57">
        <f>IF(AJ49="","",IF(I$8="A",(RANK(AJ49,AJ$11:AJ$363,1)+COUNTIF(AJ$11:AJ49,AJ49)-1),(RANK(AJ49,AJ$11:AJ$363)+COUNTIF(AJ$11:AJ49,AJ49)-1)))</f>
        <v>39</v>
      </c>
      <c r="AL49" s="52">
        <f t="shared" si="19"/>
        <v>39</v>
      </c>
      <c r="AM49" s="31" t="str">
        <f t="shared" si="24"/>
        <v>East Riding of Yorkshire</v>
      </c>
      <c r="AN49" s="31">
        <f t="shared" si="9"/>
        <v>64</v>
      </c>
      <c r="AP49" s="61" t="str">
        <f>IF(L49="","",VLOOKUP($L49,classifications!$C:$E,3,FALSE))</f>
        <v>Yorkshire &amp; Humberside</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80</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Southampton</v>
      </c>
      <c r="M50" s="153">
        <f t="shared" si="20"/>
        <v>63</v>
      </c>
      <c r="N50" s="148">
        <f t="shared" si="21"/>
        <v>63</v>
      </c>
      <c r="O50" s="131" t="str">
        <f t="shared" si="3"/>
        <v/>
      </c>
      <c r="P50" s="131" t="str">
        <f t="shared" si="15"/>
        <v/>
      </c>
      <c r="Q50" s="131">
        <f t="shared" si="16"/>
        <v>63</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Large Urban</v>
      </c>
      <c r="Y50" s="49" t="str">
        <f t="shared" si="6"/>
        <v/>
      </c>
      <c r="Z50" s="57" t="str">
        <f>IF(Y50="","",IF(I$8="A",(RANK(Y50,Y$11:Y$363,1)+COUNTIF(Y$11:Y50,Y50)-1),(RANK(Y50,Y$11:Y$363)+COUNTIF(Y$11:Y50,Y50)-1)))</f>
        <v/>
      </c>
      <c r="AA50" s="245" t="str">
        <f>IF(L50="","",VLOOKUP($L50,classifications!C:I,7,FALSE))</f>
        <v>Predominantly Urban</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Unitary</v>
      </c>
      <c r="AJ50" s="62">
        <f t="shared" si="0"/>
        <v>63</v>
      </c>
      <c r="AK50" s="57">
        <f>IF(AJ50="","",IF(I$8="A",(RANK(AJ50,AJ$11:AJ$363,1)+COUNTIF(AJ$11:AJ50,AJ50)-1),(RANK(AJ50,AJ$11:AJ$363)+COUNTIF(AJ$11:AJ50,AJ50)-1)))</f>
        <v>40</v>
      </c>
      <c r="AL50" s="52">
        <f t="shared" si="19"/>
        <v>40</v>
      </c>
      <c r="AM50" s="31" t="str">
        <f t="shared" si="24"/>
        <v>Southampton</v>
      </c>
      <c r="AN50" s="31">
        <f t="shared" si="9"/>
        <v>63</v>
      </c>
      <c r="AP50" s="61" t="str">
        <f>IF(L50="","",VLOOKUP($L50,classifications!$C:$E,3,FALSE))</f>
        <v>South East</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1"/>
        <v>73</v>
      </c>
      <c r="G51" s="105"/>
      <c r="H51" s="60" t="str">
        <f t="shared" si="2"/>
        <v/>
      </c>
      <c r="I51" s="112" t="str">
        <f>IF(H51="","",IF($I$8="A",(RANK(H51,H$11:H$363,1)+COUNTIF(H$11:H51,H51)-1),(RANK(H51,H$11:H$363)+COUNTIF(H$11:H51,H51)-1)))</f>
        <v/>
      </c>
      <c r="J51" s="58"/>
      <c r="K51" s="51">
        <f t="shared" si="13"/>
        <v>41</v>
      </c>
      <c r="L51" s="59" t="str">
        <f t="shared" si="14"/>
        <v>Thurrock</v>
      </c>
      <c r="M51" s="153">
        <f t="shared" si="20"/>
        <v>63</v>
      </c>
      <c r="N51" s="148">
        <f t="shared" si="21"/>
        <v>63</v>
      </c>
      <c r="O51" s="131" t="str">
        <f t="shared" si="3"/>
        <v/>
      </c>
      <c r="P51" s="131" t="str">
        <f t="shared" si="15"/>
        <v/>
      </c>
      <c r="Q51" s="131">
        <f t="shared" si="16"/>
        <v>63</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Other Urban</v>
      </c>
      <c r="Y51" s="49" t="str">
        <f t="shared" si="6"/>
        <v/>
      </c>
      <c r="Z51" s="57" t="str">
        <f>IF(Y51="","",IF(I$8="A",(RANK(Y51,Y$11:Y$363,1)+COUNTIF(Y$11:Y51,Y51)-1),(RANK(Y51,Y$11:Y$363)+COUNTIF(Y$11:Y51,Y51)-1)))</f>
        <v/>
      </c>
      <c r="AA51" s="245" t="str">
        <f>IF(L51="","",VLOOKUP($L51,classifications!C:I,7,FALSE))</f>
        <v>Predominantly Urban</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Unitary</v>
      </c>
      <c r="AJ51" s="62">
        <f t="shared" si="0"/>
        <v>63</v>
      </c>
      <c r="AK51" s="57">
        <f>IF(AJ51="","",IF(I$8="A",(RANK(AJ51,AJ$11:AJ$363,1)+COUNTIF(AJ$11:AJ51,AJ51)-1),(RANK(AJ51,AJ$11:AJ$363)+COUNTIF(AJ$11:AJ51,AJ51)-1)))</f>
        <v>41</v>
      </c>
      <c r="AL51" s="52">
        <f t="shared" si="19"/>
        <v>41</v>
      </c>
      <c r="AM51" s="31" t="str">
        <f t="shared" si="24"/>
        <v>Thurrock</v>
      </c>
      <c r="AN51" s="31">
        <f t="shared" si="9"/>
        <v>63</v>
      </c>
      <c r="AP51" s="61" t="str">
        <f>IF(L51="","",VLOOKUP($L51,classifications!$C:$E,3,FALSE))</f>
        <v>East of England</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73</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1"/>
        <v>100</v>
      </c>
      <c r="G52" s="105"/>
      <c r="H52" s="60" t="str">
        <f t="shared" si="2"/>
        <v/>
      </c>
      <c r="I52" s="112" t="str">
        <f>IF(H52="","",IF($I$8="A",(RANK(H52,H$11:H$363,1)+COUNTIF(H$11:H52,H52)-1),(RANK(H52,H$11:H$363)+COUNTIF(H$11:H52,H52)-1)))</f>
        <v/>
      </c>
      <c r="J52" s="58"/>
      <c r="K52" s="51">
        <f t="shared" si="13"/>
        <v>42</v>
      </c>
      <c r="L52" s="59" t="str">
        <f t="shared" si="14"/>
        <v>Bedford</v>
      </c>
      <c r="M52" s="153">
        <f t="shared" si="20"/>
        <v>62</v>
      </c>
      <c r="N52" s="148">
        <f t="shared" si="21"/>
        <v>62</v>
      </c>
      <c r="O52" s="131" t="str">
        <f t="shared" si="3"/>
        <v/>
      </c>
      <c r="P52" s="131" t="str">
        <f t="shared" si="15"/>
        <v/>
      </c>
      <c r="Q52" s="131" t="str">
        <f t="shared" si="16"/>
        <v/>
      </c>
      <c r="R52" s="127">
        <f t="shared" si="17"/>
        <v>62</v>
      </c>
      <c r="S52" s="60" t="str">
        <f t="shared" si="4"/>
        <v/>
      </c>
      <c r="T52" s="231">
        <f>IF(L52="","",VLOOKUP(L52,classifications!C:K,9,FALSE))</f>
        <v>0</v>
      </c>
      <c r="U52" s="238" t="str">
        <f t="shared" si="26"/>
        <v/>
      </c>
      <c r="V52" s="239" t="str">
        <f>IF(U52="","",IF($I$8="A",(RANK(U52,U$11:U$363)+COUNTIF(U$11:U52,U52)-1),(RANK(U52,U$11:U$363,1)+COUNTIF(U$11:U52,U52)-1)))</f>
        <v/>
      </c>
      <c r="W52" s="240"/>
      <c r="X52" s="61" t="str">
        <f>IF(L52="","",VLOOKUP($L52,classifications!$C:$J,6,FALSE))</f>
        <v>Significant Rural</v>
      </c>
      <c r="Y52" s="49">
        <f t="shared" si="6"/>
        <v>62</v>
      </c>
      <c r="Z52" s="57">
        <f>IF(Y52="","",IF(I$8="A",(RANK(Y52,Y$11:Y$363,1)+COUNTIF(Y$11:Y52,Y52)-1),(RANK(Y52,Y$11:Y$363)+COUNTIF(Y$11:Y52,Y52)-1)))</f>
        <v>11</v>
      </c>
      <c r="AA52" s="245" t="str">
        <f>IF(L52="","",VLOOKUP($L52,classifications!C:I,7,FALSE))</f>
        <v>Significant Rural</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Unitary</v>
      </c>
      <c r="AJ52" s="62">
        <f t="shared" si="0"/>
        <v>62</v>
      </c>
      <c r="AK52" s="57">
        <f>IF(AJ52="","",IF(I$8="A",(RANK(AJ52,AJ$11:AJ$363,1)+COUNTIF(AJ$11:AJ52,AJ52)-1),(RANK(AJ52,AJ$11:AJ$363)+COUNTIF(AJ$11:AJ52,AJ52)-1)))</f>
        <v>42</v>
      </c>
      <c r="AL52" s="52">
        <f t="shared" si="19"/>
        <v>42</v>
      </c>
      <c r="AM52" s="31" t="str">
        <f t="shared" si="24"/>
        <v>Bedford</v>
      </c>
      <c r="AN52" s="31">
        <f t="shared" si="9"/>
        <v>62</v>
      </c>
      <c r="AP52" s="61" t="str">
        <f>IF(L52="","",VLOOKUP($L52,classifications!$C:$E,3,FALSE))</f>
        <v>East of England</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100</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1"/>
        <v>83</v>
      </c>
      <c r="G53" s="105"/>
      <c r="H53" s="60" t="str">
        <f t="shared" si="2"/>
        <v/>
      </c>
      <c r="I53" s="112" t="str">
        <f>IF(H53="","",IF($I$8="A",(RANK(H53,H$11:H$363,1)+COUNTIF(H$11:H53,H53)-1),(RANK(H53,H$11:H$363)+COUNTIF(H$11:H53,H53)-1)))</f>
        <v/>
      </c>
      <c r="J53" s="58"/>
      <c r="K53" s="51">
        <f t="shared" si="13"/>
        <v>43</v>
      </c>
      <c r="L53" s="59" t="str">
        <f t="shared" si="14"/>
        <v>Isle of Wight</v>
      </c>
      <c r="M53" s="153">
        <f t="shared" si="20"/>
        <v>62</v>
      </c>
      <c r="N53" s="148">
        <f t="shared" si="21"/>
        <v>62</v>
      </c>
      <c r="O53" s="131" t="str">
        <f t="shared" si="3"/>
        <v/>
      </c>
      <c r="P53" s="131" t="str">
        <f t="shared" si="15"/>
        <v/>
      </c>
      <c r="Q53" s="131" t="str">
        <f t="shared" si="16"/>
        <v/>
      </c>
      <c r="R53" s="127">
        <f t="shared" si="17"/>
        <v>62</v>
      </c>
      <c r="S53" s="60" t="str">
        <f t="shared" si="4"/>
        <v/>
      </c>
      <c r="T53" s="231" t="str">
        <f>IF(L53="","",VLOOKUP(L53,classifications!C:K,9,FALSE))</f>
        <v>Sparse</v>
      </c>
      <c r="U53" s="238">
        <f t="shared" si="26"/>
        <v>62</v>
      </c>
      <c r="V53" s="239">
        <f>IF(U53="","",IF($I$8="A",(RANK(U53,U$11:U$363)+COUNTIF(U$11:U53,U53)-1),(RANK(U53,U$11:U$363,1)+COUNTIF(U$11:U53,U53)-1)))</f>
        <v>5</v>
      </c>
      <c r="W53" s="240"/>
      <c r="X53" s="61" t="str">
        <f>IF(L53="","",VLOOKUP($L53,classifications!$C:$J,6,FALSE))</f>
        <v>Rural-80</v>
      </c>
      <c r="Y53" s="49">
        <f t="shared" si="6"/>
        <v>62</v>
      </c>
      <c r="Z53" s="57">
        <f>IF(Y53="","",IF(I$8="A",(RANK(Y53,Y$11:Y$363,1)+COUNTIF(Y$11:Y53,Y53)-1),(RANK(Y53,Y$11:Y$363)+COUNTIF(Y$11:Y53,Y53)-1)))</f>
        <v>12</v>
      </c>
      <c r="AA53" s="245" t="str">
        <f>IF(L53="","",VLOOKUP($L53,classifications!C:I,7,FALSE))</f>
        <v>Predominantly Rural</v>
      </c>
      <c r="AB53" s="239">
        <f t="shared" si="7"/>
        <v>62</v>
      </c>
      <c r="AC53" s="239">
        <f>IF(AB53="","",IF($I$8="A",(RANK(AB53,AB$11:AB$363)+COUNTIF(AB$11:AB53,AB53)-1),(RANK(AB53,AB$11:AB$363,1)+COUNTIF(AB$11:AB53,AB53)-1)))</f>
        <v>5</v>
      </c>
      <c r="AD53" s="239"/>
      <c r="AE53" s="51" t="str">
        <f t="shared" si="25"/>
        <v/>
      </c>
      <c r="AG53" s="143"/>
      <c r="AH53" s="52"/>
      <c r="AI53" s="61" t="str">
        <f>IF(L53="","",VLOOKUP($L53,classifications!$C:$J,8,FALSE))</f>
        <v>Unitary</v>
      </c>
      <c r="AJ53" s="62">
        <f t="shared" si="0"/>
        <v>62</v>
      </c>
      <c r="AK53" s="57">
        <f>IF(AJ53="","",IF(I$8="A",(RANK(AJ53,AJ$11:AJ$363,1)+COUNTIF(AJ$11:AJ53,AJ53)-1),(RANK(AJ53,AJ$11:AJ$363)+COUNTIF(AJ$11:AJ53,AJ53)-1)))</f>
        <v>43</v>
      </c>
      <c r="AL53" s="52">
        <f t="shared" si="19"/>
        <v>43</v>
      </c>
      <c r="AM53" s="31" t="str">
        <f t="shared" si="24"/>
        <v>Isle of Wight</v>
      </c>
      <c r="AN53" s="31">
        <f t="shared" si="9"/>
        <v>62</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83</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1"/>
        <v>81</v>
      </c>
      <c r="G54" s="105"/>
      <c r="H54" s="60" t="str">
        <f t="shared" si="2"/>
        <v/>
      </c>
      <c r="I54" s="112" t="str">
        <f>IF(H54="","",IF($I$8="A",(RANK(H54,H$11:H$363,1)+COUNTIF(H$11:H54,H54)-1),(RANK(H54,H$11:H$363)+COUNTIF(H$11:H54,H54)-1)))</f>
        <v/>
      </c>
      <c r="J54" s="58"/>
      <c r="K54" s="51">
        <f t="shared" si="13"/>
        <v>44</v>
      </c>
      <c r="L54" s="59" t="str">
        <f t="shared" si="14"/>
        <v>Halton</v>
      </c>
      <c r="M54" s="153">
        <f t="shared" si="20"/>
        <v>60</v>
      </c>
      <c r="N54" s="148">
        <f t="shared" si="21"/>
        <v>60</v>
      </c>
      <c r="O54" s="131" t="str">
        <f t="shared" si="3"/>
        <v/>
      </c>
      <c r="P54" s="131" t="str">
        <f t="shared" si="15"/>
        <v/>
      </c>
      <c r="Q54" s="131" t="str">
        <f t="shared" si="16"/>
        <v/>
      </c>
      <c r="R54" s="127">
        <f t="shared" si="17"/>
        <v>60</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Other Urban</v>
      </c>
      <c r="Y54" s="49" t="str">
        <f t="shared" si="6"/>
        <v/>
      </c>
      <c r="Z54" s="57" t="str">
        <f>IF(Y54="","",IF(I$8="A",(RANK(Y54,Y$11:Y$363,1)+COUNTIF(Y$11:Y54,Y54)-1),(RANK(Y54,Y$11:Y$363)+COUNTIF(Y$11:Y54,Y54)-1)))</f>
        <v/>
      </c>
      <c r="AA54" s="245" t="str">
        <f>IF(L54="","",VLOOKUP($L54,classifications!C:I,7,FALSE))</f>
        <v>Predominantly Urban</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0"/>
        <v>60</v>
      </c>
      <c r="AK54" s="57">
        <f>IF(AJ54="","",IF(I$8="A",(RANK(AJ54,AJ$11:AJ$363,1)+COUNTIF(AJ$11:AJ54,AJ54)-1),(RANK(AJ54,AJ$11:AJ$363)+COUNTIF(AJ$11:AJ54,AJ54)-1)))</f>
        <v>44</v>
      </c>
      <c r="AL54" s="52">
        <f t="shared" si="19"/>
        <v>44</v>
      </c>
      <c r="AM54" s="31" t="str">
        <f t="shared" si="24"/>
        <v>Halton</v>
      </c>
      <c r="AN54" s="31">
        <f t="shared" si="9"/>
        <v>60</v>
      </c>
      <c r="AP54" s="61" t="str">
        <f>IF(L54="","",VLOOKUP($L54,classifications!$C:$E,3,FALSE))</f>
        <v>North West</v>
      </c>
      <c r="AQ54" s="62">
        <f t="shared" si="10"/>
        <v>60</v>
      </c>
      <c r="AR54" s="57">
        <f>IF(AQ54="","",IF(I$8="A",(RANK(AQ54,AQ$11:AQ$363,1)+COUNTIF(AQ$11:AQ54,AQ54)-1),(RANK(AQ54,AQ$11:AQ$363)+COUNTIF(AQ$11:AQ54,AQ54)-1)))</f>
        <v>3</v>
      </c>
      <c r="AS54" s="52" t="str">
        <f t="shared" si="23"/>
        <v/>
      </c>
      <c r="AT54" s="57" t="str">
        <f t="shared" si="11"/>
        <v/>
      </c>
      <c r="AU54" s="62" t="str">
        <f t="shared" si="12"/>
        <v/>
      </c>
      <c r="AX54" s="44">
        <f>HLOOKUP($AX$9&amp;$AX$10,Data!$A$1:$ZZ$2000,(MATCH($C54,Data!$A$1:$A$2000,0)),FALSE)</f>
        <v>81</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Windsor &amp; Maidenhead</v>
      </c>
      <c r="M55" s="153">
        <f t="shared" si="20"/>
        <v>59</v>
      </c>
      <c r="N55" s="148">
        <f t="shared" si="21"/>
        <v>59</v>
      </c>
      <c r="O55" s="131" t="str">
        <f t="shared" si="3"/>
        <v/>
      </c>
      <c r="P55" s="131" t="str">
        <f t="shared" si="15"/>
        <v/>
      </c>
      <c r="Q55" s="131" t="str">
        <f t="shared" si="16"/>
        <v/>
      </c>
      <c r="R55" s="127">
        <f t="shared" si="17"/>
        <v>59</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Other Urban</v>
      </c>
      <c r="Y55" s="49" t="str">
        <f t="shared" si="6"/>
        <v/>
      </c>
      <c r="Z55" s="57" t="str">
        <f>IF(Y55="","",IF(I$8="A",(RANK(Y55,Y$11:Y$363,1)+COUNTIF(Y$11:Y55,Y55)-1),(RANK(Y55,Y$11:Y$363)+COUNTIF(Y$11:Y55,Y55)-1)))</f>
        <v/>
      </c>
      <c r="AA55" s="245" t="str">
        <f>IF(L55="","",VLOOKUP($L55,classifications!C:I,7,FALSE))</f>
        <v>Predominantly Urban</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Unitary</v>
      </c>
      <c r="AJ55" s="62">
        <f t="shared" si="0"/>
        <v>59</v>
      </c>
      <c r="AK55" s="57">
        <f>IF(AJ55="","",IF(I$8="A",(RANK(AJ55,AJ$11:AJ$363,1)+COUNTIF(AJ$11:AJ55,AJ55)-1),(RANK(AJ55,AJ$11:AJ$363)+COUNTIF(AJ$11:AJ55,AJ55)-1)))</f>
        <v>45</v>
      </c>
      <c r="AL55" s="52">
        <f t="shared" si="19"/>
        <v>45</v>
      </c>
      <c r="AM55" s="31" t="str">
        <f t="shared" si="24"/>
        <v>Windsor &amp; Maidenhead</v>
      </c>
      <c r="AN55" s="31">
        <f t="shared" si="9"/>
        <v>59</v>
      </c>
      <c r="AP55" s="61" t="str">
        <f>IF(L55="","",VLOOKUP($L55,classifications!$C:$E,3,FALSE))</f>
        <v>South East</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1"/>
        <v>84</v>
      </c>
      <c r="G56" s="105"/>
      <c r="H56" s="60" t="str">
        <f t="shared" si="2"/>
        <v/>
      </c>
      <c r="I56" s="112" t="str">
        <f>IF(H56="","",IF($I$8="A",(RANK(H56,H$11:H$363,1)+COUNTIF(H$11:H56,H56)-1),(RANK(H56,H$11:H$363)+COUNTIF(H$11:H56,H56)-1)))</f>
        <v/>
      </c>
      <c r="J56" s="58"/>
      <c r="K56" s="51">
        <f t="shared" si="13"/>
        <v>46</v>
      </c>
      <c r="L56" s="59" t="str">
        <f t="shared" si="14"/>
        <v>Herefordshire</v>
      </c>
      <c r="M56" s="153">
        <f t="shared" si="20"/>
        <v>57</v>
      </c>
      <c r="N56" s="148">
        <f t="shared" si="21"/>
        <v>57</v>
      </c>
      <c r="O56" s="131" t="str">
        <f t="shared" si="3"/>
        <v/>
      </c>
      <c r="P56" s="131" t="str">
        <f t="shared" si="15"/>
        <v/>
      </c>
      <c r="Q56" s="131" t="str">
        <f t="shared" si="16"/>
        <v/>
      </c>
      <c r="R56" s="127">
        <f t="shared" si="17"/>
        <v>57</v>
      </c>
      <c r="S56" s="60" t="str">
        <f t="shared" si="4"/>
        <v/>
      </c>
      <c r="T56" s="231" t="str">
        <f>IF(L56="","",VLOOKUP(L56,classifications!C:K,9,FALSE))</f>
        <v>Sparse</v>
      </c>
      <c r="U56" s="238">
        <f t="shared" si="26"/>
        <v>57</v>
      </c>
      <c r="V56" s="239">
        <f>IF(U56="","",IF($I$8="A",(RANK(U56,U$11:U$363)+COUNTIF(U$11:U56,U56)-1),(RANK(U56,U$11:U$363,1)+COUNTIF(U$11:U56,U56)-1)))</f>
        <v>4</v>
      </c>
      <c r="W56" s="240"/>
      <c r="X56" s="61" t="str">
        <f>IF(L56="","",VLOOKUP($L56,classifications!$C:$J,6,FALSE))</f>
        <v>Rural-50</v>
      </c>
      <c r="Y56" s="49">
        <f t="shared" si="6"/>
        <v>57</v>
      </c>
      <c r="Z56" s="57">
        <f>IF(Y56="","",IF(I$8="A",(RANK(Y56,Y$11:Y$363,1)+COUNTIF(Y$11:Y56,Y56)-1),(RANK(Y56,Y$11:Y$363)+COUNTIF(Y$11:Y56,Y56)-1)))</f>
        <v>13</v>
      </c>
      <c r="AA56" s="245" t="str">
        <f>IF(L56="","",VLOOKUP($L56,classifications!C:I,7,FALSE))</f>
        <v>Predominantly Rural</v>
      </c>
      <c r="AB56" s="239">
        <f t="shared" si="7"/>
        <v>57</v>
      </c>
      <c r="AC56" s="239">
        <f>IF(AB56="","",IF($I$8="A",(RANK(AB56,AB$11:AB$363)+COUNTIF(AB$11:AB56,AB56)-1),(RANK(AB56,AB$11:AB$363,1)+COUNTIF(AB$11:AB56,AB56)-1)))</f>
        <v>4</v>
      </c>
      <c r="AD56" s="239"/>
      <c r="AE56" s="51" t="str">
        <f t="shared" si="25"/>
        <v/>
      </c>
      <c r="AG56" s="143"/>
      <c r="AH56" s="52"/>
      <c r="AI56" s="61" t="str">
        <f>IF(L56="","",VLOOKUP($L56,classifications!$C:$J,8,FALSE))</f>
        <v>Unitary</v>
      </c>
      <c r="AJ56" s="62">
        <f t="shared" si="0"/>
        <v>57</v>
      </c>
      <c r="AK56" s="57">
        <f>IF(AJ56="","",IF(I$8="A",(RANK(AJ56,AJ$11:AJ$363,1)+COUNTIF(AJ$11:AJ56,AJ56)-1),(RANK(AJ56,AJ$11:AJ$363)+COUNTIF(AJ$11:AJ56,AJ56)-1)))</f>
        <v>46</v>
      </c>
      <c r="AL56" s="52">
        <f t="shared" si="19"/>
        <v>46</v>
      </c>
      <c r="AM56" s="31" t="str">
        <f t="shared" si="24"/>
        <v>Herefordshire</v>
      </c>
      <c r="AN56" s="31">
        <f t="shared" si="9"/>
        <v>57</v>
      </c>
      <c r="AP56" s="61" t="str">
        <f>IF(L56="","",VLOOKUP($L56,classifications!$C:$E,3,FALSE))</f>
        <v>West Midlands</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84</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1"/>
        <v>89</v>
      </c>
      <c r="G57" s="105"/>
      <c r="H57" s="60" t="str">
        <f t="shared" si="2"/>
        <v/>
      </c>
      <c r="I57" s="112" t="str">
        <f>IF(H57="","",IF($I$8="A",(RANK(H57,H$11:H$363,1)+COUNTIF(H$11:H57,H57)-1),(RANK(H57,H$11:H$363)+COUNTIF(H$11:H57,H57)-1)))</f>
        <v/>
      </c>
      <c r="J57" s="58"/>
      <c r="K57" s="51">
        <f t="shared" si="13"/>
        <v>47</v>
      </c>
      <c r="L57" s="59" t="str">
        <f t="shared" si="14"/>
        <v>Bath &amp; North East Somerset</v>
      </c>
      <c r="M57" s="153">
        <f t="shared" si="20"/>
        <v>56</v>
      </c>
      <c r="N57" s="148">
        <f t="shared" si="21"/>
        <v>56</v>
      </c>
      <c r="O57" s="131" t="str">
        <f t="shared" si="3"/>
        <v/>
      </c>
      <c r="P57" s="131" t="str">
        <f t="shared" si="15"/>
        <v/>
      </c>
      <c r="Q57" s="131" t="str">
        <f t="shared" si="16"/>
        <v/>
      </c>
      <c r="R57" s="127">
        <f t="shared" si="17"/>
        <v>56</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Significant Rural</v>
      </c>
      <c r="Y57" s="49">
        <f t="shared" si="6"/>
        <v>56</v>
      </c>
      <c r="Z57" s="57">
        <f>IF(Y57="","",IF(I$8="A",(RANK(Y57,Y$11:Y$363,1)+COUNTIF(Y$11:Y57,Y57)-1),(RANK(Y57,Y$11:Y$363)+COUNTIF(Y$11:Y57,Y57)-1)))</f>
        <v>14</v>
      </c>
      <c r="AA57" s="245" t="str">
        <f>IF(L57="","",VLOOKUP($L57,classifications!C:I,7,FALSE))</f>
        <v>Significant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Unitary</v>
      </c>
      <c r="AJ57" s="62">
        <f t="shared" si="0"/>
        <v>56</v>
      </c>
      <c r="AK57" s="57">
        <f>IF(AJ57="","",IF(I$8="A",(RANK(AJ57,AJ$11:AJ$363,1)+COUNTIF(AJ$11:AJ57,AJ57)-1),(RANK(AJ57,AJ$11:AJ$363)+COUNTIF(AJ$11:AJ57,AJ57)-1)))</f>
        <v>47</v>
      </c>
      <c r="AL57" s="52">
        <f t="shared" si="19"/>
        <v>47</v>
      </c>
      <c r="AM57" s="31" t="str">
        <f t="shared" si="24"/>
        <v>Bath &amp; North East Somerset</v>
      </c>
      <c r="AN57" s="31">
        <f t="shared" si="9"/>
        <v>56</v>
      </c>
      <c r="AP57" s="61" t="str">
        <f>IF(L57="","",VLOOKUP($L57,classifications!$C:$E,3,FALSE))</f>
        <v>South West</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89</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1"/>
        <v>70</v>
      </c>
      <c r="G58" s="105"/>
      <c r="H58" s="60" t="str">
        <f t="shared" si="2"/>
        <v/>
      </c>
      <c r="I58" s="112" t="str">
        <f>IF(H58="","",IF($I$8="A",(RANK(H58,H$11:H$363,1)+COUNTIF(H$11:H58,H58)-1),(RANK(H58,H$11:H$363)+COUNTIF(H$11:H58,H58)-1)))</f>
        <v/>
      </c>
      <c r="J58" s="58"/>
      <c r="K58" s="51">
        <f t="shared" si="13"/>
        <v>48</v>
      </c>
      <c r="L58" s="59" t="str">
        <f t="shared" si="14"/>
        <v>Wiltshire</v>
      </c>
      <c r="M58" s="153">
        <f t="shared" si="20"/>
        <v>56</v>
      </c>
      <c r="N58" s="148">
        <f t="shared" si="21"/>
        <v>56</v>
      </c>
      <c r="O58" s="131" t="str">
        <f t="shared" si="3"/>
        <v/>
      </c>
      <c r="P58" s="131" t="str">
        <f t="shared" si="15"/>
        <v/>
      </c>
      <c r="Q58" s="131" t="str">
        <f t="shared" si="16"/>
        <v/>
      </c>
      <c r="R58" s="127">
        <f t="shared" si="17"/>
        <v>56</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Rural-50</v>
      </c>
      <c r="Y58" s="49">
        <f t="shared" si="6"/>
        <v>56</v>
      </c>
      <c r="Z58" s="57">
        <f>IF(Y58="","",IF(I$8="A",(RANK(Y58,Y$11:Y$363,1)+COUNTIF(Y$11:Y58,Y58)-1),(RANK(Y58,Y$11:Y$363)+COUNTIF(Y$11:Y58,Y58)-1)))</f>
        <v>15</v>
      </c>
      <c r="AA58" s="245" t="str">
        <f>IF(L58="","",VLOOKUP($L58,classifications!C:I,7,FALSE))</f>
        <v>Predominantly Rural</v>
      </c>
      <c r="AB58" s="239">
        <f t="shared" si="7"/>
        <v>56</v>
      </c>
      <c r="AC58" s="239">
        <f>IF(AB58="","",IF($I$8="A",(RANK(AB58,AB$11:AB$363)+COUNTIF(AB$11:AB58,AB58)-1),(RANK(AB58,AB$11:AB$363,1)+COUNTIF(AB$11:AB58,AB58)-1)))</f>
        <v>3</v>
      </c>
      <c r="AD58" s="239"/>
      <c r="AE58" s="51" t="str">
        <f t="shared" si="25"/>
        <v/>
      </c>
      <c r="AG58" s="143"/>
      <c r="AH58" s="52"/>
      <c r="AI58" s="61" t="str">
        <f>IF(L58="","",VLOOKUP($L58,classifications!$C:$J,8,FALSE))</f>
        <v>Unitary</v>
      </c>
      <c r="AJ58" s="62">
        <f t="shared" si="0"/>
        <v>56</v>
      </c>
      <c r="AK58" s="57">
        <f>IF(AJ58="","",IF(I$8="A",(RANK(AJ58,AJ$11:AJ$363,1)+COUNTIF(AJ$11:AJ58,AJ58)-1),(RANK(AJ58,AJ$11:AJ$363)+COUNTIF(AJ$11:AJ58,AJ58)-1)))</f>
        <v>48</v>
      </c>
      <c r="AL58" s="52">
        <f t="shared" si="19"/>
        <v>48</v>
      </c>
      <c r="AM58" s="31" t="str">
        <f t="shared" si="24"/>
        <v>Wiltshire</v>
      </c>
      <c r="AN58" s="31">
        <f t="shared" si="9"/>
        <v>56</v>
      </c>
      <c r="AP58" s="61" t="str">
        <f>IF(L58="","",VLOOKUP($L58,classifications!$C:$E,3,FALSE))</f>
        <v>South West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70</v>
      </c>
      <c r="AY58" s="156"/>
      <c r="AZ58" s="44"/>
    </row>
    <row r="59" spans="1:52">
      <c r="A59" s="84" t="str">
        <f>$D$1&amp;49</f>
        <v>UA49</v>
      </c>
      <c r="B59" s="85">
        <f>IF(ISERROR(VLOOKUP(A59,classifications!A:C,3,FALSE)),0,VLOOKUP(A59,classifications!A:C,3,FALSE))</f>
        <v>0</v>
      </c>
      <c r="C59" s="31" t="s">
        <v>30</v>
      </c>
      <c r="D59" s="49" t="str">
        <f>VLOOKUP($C59,classifications!$C:$J,4,FALSE)</f>
        <v>SD</v>
      </c>
      <c r="E59" s="49" t="str">
        <f>VLOOKUP(C59,classifications!C:K,9,FALSE)</f>
        <v>Sparse</v>
      </c>
      <c r="F59" s="59">
        <f t="shared" si="1"/>
        <v>56</v>
      </c>
      <c r="G59" s="105"/>
      <c r="H59" s="60" t="str">
        <f t="shared" si="2"/>
        <v/>
      </c>
      <c r="I59" s="112" t="str">
        <f>IF(H59="","",IF($I$8="A",(RANK(H59,H$11:H$363,1)+COUNTIF(H$11:H59,H59)-1),(RANK(H59,H$11:H$363)+COUNTIF(H$11:H59,H59)-1)))</f>
        <v/>
      </c>
      <c r="J59" s="58"/>
      <c r="K59" s="51">
        <f t="shared" si="13"/>
        <v>49</v>
      </c>
      <c r="L59" s="59" t="str">
        <f t="shared" si="14"/>
        <v>Portsmouth</v>
      </c>
      <c r="M59" s="153">
        <f t="shared" si="20"/>
        <v>52</v>
      </c>
      <c r="N59" s="148">
        <f t="shared" si="21"/>
        <v>52</v>
      </c>
      <c r="O59" s="131" t="str">
        <f t="shared" si="3"/>
        <v/>
      </c>
      <c r="P59" s="131" t="str">
        <f t="shared" si="15"/>
        <v/>
      </c>
      <c r="Q59" s="131" t="str">
        <f t="shared" si="16"/>
        <v/>
      </c>
      <c r="R59" s="127">
        <f t="shared" si="17"/>
        <v>52</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Large Urban</v>
      </c>
      <c r="Y59" s="49" t="str">
        <f t="shared" si="6"/>
        <v/>
      </c>
      <c r="Z59" s="57" t="str">
        <f>IF(Y59="","",IF(I$8="A",(RANK(Y59,Y$11:Y$363,1)+COUNTIF(Y$11:Y59,Y59)-1),(RANK(Y59,Y$11:Y$363)+COUNTIF(Y$11:Y59,Y59)-1)))</f>
        <v/>
      </c>
      <c r="AA59" s="245" t="str">
        <f>IF(L59="","",VLOOKUP($L59,classifications!C:I,7,FALSE))</f>
        <v>Predominantly Urban</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Unitary</v>
      </c>
      <c r="AJ59" s="62">
        <f t="shared" si="0"/>
        <v>52</v>
      </c>
      <c r="AK59" s="57">
        <f>IF(AJ59="","",IF(I$8="A",(RANK(AJ59,AJ$11:AJ$363,1)+COUNTIF(AJ$11:AJ59,AJ59)-1),(RANK(AJ59,AJ$11:AJ$363)+COUNTIF(AJ$11:AJ59,AJ59)-1)))</f>
        <v>49</v>
      </c>
      <c r="AL59" s="52">
        <f t="shared" si="19"/>
        <v>49</v>
      </c>
      <c r="AM59" s="31" t="str">
        <f t="shared" si="24"/>
        <v>Portsmouth</v>
      </c>
      <c r="AN59" s="31">
        <f t="shared" si="9"/>
        <v>52</v>
      </c>
      <c r="AP59" s="61" t="str">
        <f>IF(L59="","",VLOOKUP($L59,classifications!$C:$E,3,FALSE))</f>
        <v>South East</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56</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1"/>
        <v>27</v>
      </c>
      <c r="G60" s="105"/>
      <c r="H60" s="60" t="str">
        <f t="shared" si="2"/>
        <v/>
      </c>
      <c r="I60" s="112" t="str">
        <f>IF(H60="","",IF($I$8="A",(RANK(H60,H$11:H$363,1)+COUNTIF(H$11:H60,H60)-1),(RANK(H60,H$11:H$363)+COUNTIF(H$11:H60,H60)-1)))</f>
        <v/>
      </c>
      <c r="J60" s="58"/>
      <c r="K60" s="51">
        <f t="shared" si="13"/>
        <v>50</v>
      </c>
      <c r="L60" s="59" t="str">
        <f t="shared" si="14"/>
        <v>Cheshire West &amp; Chester</v>
      </c>
      <c r="M60" s="153">
        <f t="shared" si="20"/>
        <v>51</v>
      </c>
      <c r="N60" s="148">
        <f t="shared" si="21"/>
        <v>51</v>
      </c>
      <c r="O60" s="131" t="str">
        <f t="shared" si="3"/>
        <v/>
      </c>
      <c r="P60" s="131" t="str">
        <f t="shared" si="15"/>
        <v/>
      </c>
      <c r="Q60" s="131" t="str">
        <f t="shared" si="16"/>
        <v/>
      </c>
      <c r="R60" s="127">
        <f t="shared" si="17"/>
        <v>51</v>
      </c>
      <c r="S60" s="60" t="str">
        <f t="shared" si="4"/>
        <v/>
      </c>
      <c r="T60" s="231" t="str">
        <f>IF(L60="","",VLOOKUP(L60,classifications!C:K,9,FALSE))</f>
        <v>Sparse</v>
      </c>
      <c r="U60" s="238">
        <f t="shared" si="26"/>
        <v>51</v>
      </c>
      <c r="V60" s="239">
        <f>IF(U60="","",IF($I$8="A",(RANK(U60,U$11:U$363)+COUNTIF(U$11:U60,U60)-1),(RANK(U60,U$11:U$363,1)+COUNTIF(U$11:U60,U60)-1)))</f>
        <v>3</v>
      </c>
      <c r="W60" s="240"/>
      <c r="X60" s="61" t="str">
        <f>IF(L60="","",VLOOKUP($L60,classifications!$C:$J,6,FALSE))</f>
        <v>Significant Rural</v>
      </c>
      <c r="Y60" s="49">
        <f t="shared" si="6"/>
        <v>51</v>
      </c>
      <c r="Z60" s="57">
        <f>IF(Y60="","",IF(I$8="A",(RANK(Y60,Y$11:Y$363,1)+COUNTIF(Y$11:Y60,Y60)-1),(RANK(Y60,Y$11:Y$363)+COUNTIF(Y$11:Y60,Y60)-1)))</f>
        <v>16</v>
      </c>
      <c r="AA60" s="245" t="str">
        <f>IF(L60="","",VLOOKUP($L60,classifications!C:I,7,FALSE))</f>
        <v>Significant Rural</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Unitary</v>
      </c>
      <c r="AJ60" s="62">
        <f t="shared" si="0"/>
        <v>51</v>
      </c>
      <c r="AK60" s="57">
        <f>IF(AJ60="","",IF(I$8="A",(RANK(AJ60,AJ$11:AJ$363,1)+COUNTIF(AJ$11:AJ60,AJ60)-1),(RANK(AJ60,AJ$11:AJ$363)+COUNTIF(AJ$11:AJ60,AJ60)-1)))</f>
        <v>50</v>
      </c>
      <c r="AL60" s="52">
        <f t="shared" si="19"/>
        <v>50</v>
      </c>
      <c r="AM60" s="31" t="str">
        <f t="shared" si="24"/>
        <v>Cheshire West &amp; Chester</v>
      </c>
      <c r="AN60" s="31">
        <f t="shared" si="9"/>
        <v>51</v>
      </c>
      <c r="AP60" s="61" t="str">
        <f>IF(L60="","",VLOOKUP($L60,classifications!$C:$E,3,FALSE))</f>
        <v>North West</v>
      </c>
      <c r="AQ60" s="62">
        <f t="shared" si="10"/>
        <v>51</v>
      </c>
      <c r="AR60" s="57">
        <f>IF(AQ60="","",IF(I$8="A",(RANK(AQ60,AQ$11:AQ$363,1)+COUNTIF(AQ$11:AQ60,AQ60)-1),(RANK(AQ60,AQ$11:AQ$363)+COUNTIF(AQ$11:AQ60,AQ60)-1)))</f>
        <v>4</v>
      </c>
      <c r="AS60" s="52" t="str">
        <f t="shared" si="23"/>
        <v/>
      </c>
      <c r="AT60" s="57" t="str">
        <f t="shared" si="11"/>
        <v/>
      </c>
      <c r="AU60" s="62" t="str">
        <f t="shared" si="12"/>
        <v/>
      </c>
      <c r="AX60" s="44">
        <f>HLOOKUP($AX$9&amp;$AX$10,Data!$A$1:$ZZ$2000,(MATCH($C60,Data!$A$1:$A$2000,0)),FALSE)</f>
        <v>27</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1"/>
        <v>72</v>
      </c>
      <c r="G61" s="105"/>
      <c r="H61" s="60">
        <f t="shared" si="2"/>
        <v>72</v>
      </c>
      <c r="I61" s="112">
        <f>IF(H61="","",IF($I$8="A",(RANK(H61,H$11:H$363,1)+COUNTIF(H$11:H61,H61)-1),(RANK(H61,H$11:H$363)+COUNTIF(H$11:H61,H61)-1)))</f>
        <v>27</v>
      </c>
      <c r="J61" s="58"/>
      <c r="K61" s="51">
        <f t="shared" si="13"/>
        <v>51</v>
      </c>
      <c r="L61" s="59" t="str">
        <f t="shared" si="14"/>
        <v>South Gloucestershire</v>
      </c>
      <c r="M61" s="153">
        <f t="shared" si="20"/>
        <v>51</v>
      </c>
      <c r="N61" s="148">
        <f t="shared" si="21"/>
        <v>51</v>
      </c>
      <c r="O61" s="131" t="str">
        <f t="shared" si="3"/>
        <v/>
      </c>
      <c r="P61" s="131" t="str">
        <f t="shared" si="15"/>
        <v/>
      </c>
      <c r="Q61" s="131" t="str">
        <f t="shared" si="16"/>
        <v/>
      </c>
      <c r="R61" s="127">
        <f t="shared" si="17"/>
        <v>51</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Large Urban</v>
      </c>
      <c r="Y61" s="49" t="str">
        <f t="shared" si="6"/>
        <v/>
      </c>
      <c r="Z61" s="57" t="str">
        <f>IF(Y61="","",IF(I$8="A",(RANK(Y61,Y$11:Y$363,1)+COUNTIF(Y$11:Y61,Y61)-1),(RANK(Y61,Y$11:Y$363)+COUNTIF(Y$11:Y61,Y61)-1)))</f>
        <v/>
      </c>
      <c r="AA61" s="245" t="str">
        <f>IF(L61="","",VLOOKUP($L61,classifications!C:I,7,FALSE))</f>
        <v>Predominantly Urban</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Unitary</v>
      </c>
      <c r="AJ61" s="62">
        <f t="shared" si="0"/>
        <v>51</v>
      </c>
      <c r="AK61" s="57">
        <f>IF(AJ61="","",IF(I$8="A",(RANK(AJ61,AJ$11:AJ$363,1)+COUNTIF(AJ$11:AJ61,AJ61)-1),(RANK(AJ61,AJ$11:AJ$363)+COUNTIF(AJ$11:AJ61,AJ61)-1)))</f>
        <v>51</v>
      </c>
      <c r="AL61" s="52">
        <f t="shared" si="19"/>
        <v>51</v>
      </c>
      <c r="AM61" s="31" t="str">
        <f t="shared" si="24"/>
        <v>South Gloucestershire</v>
      </c>
      <c r="AN61" s="31">
        <f t="shared" si="9"/>
        <v>51</v>
      </c>
      <c r="AP61" s="61" t="str">
        <f>IF(L61="","",VLOOKUP($L61,classifications!$C:$E,3,FALSE))</f>
        <v>South West</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72</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1"/>
        <v>79</v>
      </c>
      <c r="G62" s="105"/>
      <c r="H62" s="60" t="str">
        <f t="shared" si="2"/>
        <v/>
      </c>
      <c r="I62" s="112" t="str">
        <f>IF(H62="","",IF($I$8="A",(RANK(H62,H$11:H$363,1)+COUNTIF(H$11:H62,H62)-1),(RANK(H62,H$11:H$363)+COUNTIF(H$11:H62,H62)-1)))</f>
        <v/>
      </c>
      <c r="J62" s="58"/>
      <c r="K62" s="51">
        <f t="shared" si="13"/>
        <v>52</v>
      </c>
      <c r="L62" s="59" t="str">
        <f t="shared" si="14"/>
        <v>Wokingham</v>
      </c>
      <c r="M62" s="153">
        <f t="shared" si="20"/>
        <v>50</v>
      </c>
      <c r="N62" s="148">
        <f t="shared" si="21"/>
        <v>50</v>
      </c>
      <c r="O62" s="131" t="str">
        <f t="shared" si="3"/>
        <v/>
      </c>
      <c r="P62" s="131" t="str">
        <f t="shared" si="15"/>
        <v/>
      </c>
      <c r="Q62" s="131" t="str">
        <f t="shared" si="16"/>
        <v/>
      </c>
      <c r="R62" s="127">
        <f t="shared" si="17"/>
        <v>50</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Large Urban</v>
      </c>
      <c r="Y62" s="49" t="str">
        <f t="shared" si="6"/>
        <v/>
      </c>
      <c r="Z62" s="57" t="str">
        <f>IF(Y62="","",IF(I$8="A",(RANK(Y62,Y$11:Y$363,1)+COUNTIF(Y$11:Y62,Y62)-1),(RANK(Y62,Y$11:Y$363)+COUNTIF(Y$11:Y62,Y62)-1)))</f>
        <v/>
      </c>
      <c r="AA62" s="245" t="str">
        <f>IF(L62="","",VLOOKUP($L62,classifications!C:I,7,FALSE))</f>
        <v>Predominantly Urban</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Unitary</v>
      </c>
      <c r="AJ62" s="62">
        <f t="shared" si="0"/>
        <v>50</v>
      </c>
      <c r="AK62" s="57">
        <f>IF(AJ62="","",IF(I$8="A",(RANK(AJ62,AJ$11:AJ$363,1)+COUNTIF(AJ$11:AJ62,AJ62)-1),(RANK(AJ62,AJ$11:AJ$363)+COUNTIF(AJ$11:AJ62,AJ62)-1)))</f>
        <v>52</v>
      </c>
      <c r="AL62" s="52">
        <f t="shared" si="19"/>
        <v>52</v>
      </c>
      <c r="AM62" s="31" t="str">
        <f t="shared" si="24"/>
        <v>Wokingham</v>
      </c>
      <c r="AN62" s="31">
        <f t="shared" si="9"/>
        <v>50</v>
      </c>
      <c r="AP62" s="61" t="str">
        <f>IF(L62="","",VLOOKUP($L62,classifications!$C:$E,3,FALSE))</f>
        <v>South East</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79</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1"/>
        <v>55</v>
      </c>
      <c r="G63" s="105"/>
      <c r="H63" s="60" t="str">
        <f t="shared" si="2"/>
        <v/>
      </c>
      <c r="I63" s="112" t="str">
        <f>IF(H63="","",IF($I$8="A",(RANK(H63,H$11:H$363,1)+COUNTIF(H$11:H63,H63)-1),(RANK(H63,H$11:H$363)+COUNTIF(H$11:H63,H63)-1)))</f>
        <v/>
      </c>
      <c r="J63" s="58"/>
      <c r="K63" s="51">
        <f t="shared" si="13"/>
        <v>53</v>
      </c>
      <c r="L63" s="59" t="str">
        <f t="shared" si="14"/>
        <v>Cheshire East</v>
      </c>
      <c r="M63" s="153">
        <f t="shared" si="20"/>
        <v>49</v>
      </c>
      <c r="N63" s="148">
        <f t="shared" si="21"/>
        <v>49</v>
      </c>
      <c r="O63" s="131" t="str">
        <f t="shared" si="3"/>
        <v/>
      </c>
      <c r="P63" s="131" t="str">
        <f t="shared" si="15"/>
        <v/>
      </c>
      <c r="Q63" s="131" t="str">
        <f t="shared" si="16"/>
        <v/>
      </c>
      <c r="R63" s="127">
        <f t="shared" si="17"/>
        <v>49</v>
      </c>
      <c r="S63" s="60" t="str">
        <f t="shared" si="4"/>
        <v>u</v>
      </c>
      <c r="T63" s="231" t="str">
        <f>IF(L63="","",VLOOKUP(L63,classifications!C:K,9,FALSE))</f>
        <v>Sparse</v>
      </c>
      <c r="U63" s="238">
        <f t="shared" si="26"/>
        <v>49</v>
      </c>
      <c r="V63" s="239">
        <f>IF(U63="","",IF($I$8="A",(RANK(U63,U$11:U$363)+COUNTIF(U$11:U63,U63)-1),(RANK(U63,U$11:U$363,1)+COUNTIF(U$11:U63,U63)-1)))</f>
        <v>2</v>
      </c>
      <c r="W63" s="240"/>
      <c r="X63" s="61" t="str">
        <f>IF(L63="","",VLOOKUP($L63,classifications!$C:$J,6,FALSE))</f>
        <v>Rural-50</v>
      </c>
      <c r="Y63" s="49">
        <f t="shared" si="6"/>
        <v>49</v>
      </c>
      <c r="Z63" s="57">
        <f>IF(Y63="","",IF(I$8="A",(RANK(Y63,Y$11:Y$363,1)+COUNTIF(Y$11:Y63,Y63)-1),(RANK(Y63,Y$11:Y$363)+COUNTIF(Y$11:Y63,Y63)-1)))</f>
        <v>17</v>
      </c>
      <c r="AA63" s="245" t="str">
        <f>IF(L63="","",VLOOKUP($L63,classifications!C:I,7,FALSE))</f>
        <v>Predominantly Rural</v>
      </c>
      <c r="AB63" s="239">
        <f t="shared" si="7"/>
        <v>49</v>
      </c>
      <c r="AC63" s="239">
        <f>IF(AB63="","",IF($I$8="A",(RANK(AB63,AB$11:AB$363)+COUNTIF(AB$11:AB63,AB63)-1),(RANK(AB63,AB$11:AB$363,1)+COUNTIF(AB$11:AB63,AB63)-1)))</f>
        <v>2</v>
      </c>
      <c r="AD63" s="239"/>
      <c r="AE63" s="51" t="str">
        <f t="shared" si="25"/>
        <v/>
      </c>
      <c r="AG63" s="143"/>
      <c r="AH63" s="52"/>
      <c r="AI63" s="61" t="str">
        <f>IF(L63="","",VLOOKUP($L63,classifications!$C:$J,8,FALSE))</f>
        <v>Unitary</v>
      </c>
      <c r="AJ63" s="62">
        <f t="shared" si="0"/>
        <v>49</v>
      </c>
      <c r="AK63" s="57">
        <f>IF(AJ63="","",IF(I$8="A",(RANK(AJ63,AJ$11:AJ$363,1)+COUNTIF(AJ$11:AJ63,AJ63)-1),(RANK(AJ63,AJ$11:AJ$363)+COUNTIF(AJ$11:AJ63,AJ63)-1)))</f>
        <v>53</v>
      </c>
      <c r="AL63" s="52">
        <f t="shared" si="19"/>
        <v>53</v>
      </c>
      <c r="AM63" s="31" t="str">
        <f t="shared" si="24"/>
        <v>Cheshire East</v>
      </c>
      <c r="AN63" s="31">
        <f t="shared" si="9"/>
        <v>49</v>
      </c>
      <c r="AP63" s="61" t="str">
        <f>IF(L63="","",VLOOKUP($L63,classifications!$C:$E,3,FALSE))</f>
        <v>North West</v>
      </c>
      <c r="AQ63" s="62">
        <f t="shared" si="10"/>
        <v>49</v>
      </c>
      <c r="AR63" s="57">
        <f>IF(AQ63="","",IF(I$8="A",(RANK(AQ63,AQ$11:AQ$363,1)+COUNTIF(AQ$11:AQ63,AQ63)-1),(RANK(AQ63,AQ$11:AQ$363)+COUNTIF(AQ$11:AQ63,AQ63)-1)))</f>
        <v>5</v>
      </c>
      <c r="AS63" s="52" t="str">
        <f t="shared" si="23"/>
        <v/>
      </c>
      <c r="AT63" s="57" t="str">
        <f t="shared" si="11"/>
        <v/>
      </c>
      <c r="AU63" s="62" t="str">
        <f t="shared" si="12"/>
        <v/>
      </c>
      <c r="AX63" s="44">
        <f>HLOOKUP($AX$9&amp;$AX$10,Data!$A$1:$ZZ$2000,(MATCH($C63,Data!$A$1:$A$2000,0)),FALSE)</f>
        <v>55</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1"/>
        <v>39</v>
      </c>
      <c r="G64" s="105"/>
      <c r="H64" s="60" t="str">
        <f t="shared" si="2"/>
        <v/>
      </c>
      <c r="I64" s="112" t="str">
        <f>IF(H64="","",IF($I$8="A",(RANK(H64,H$11:H$363,1)+COUNTIF(H$11:H64,H64)-1),(RANK(H64,H$11:H$363)+COUNTIF(H$11:H64,H64)-1)))</f>
        <v/>
      </c>
      <c r="J64" s="58"/>
      <c r="K64" s="51">
        <f t="shared" si="13"/>
        <v>54</v>
      </c>
      <c r="L64" s="59" t="str">
        <f t="shared" si="14"/>
        <v>Northumberland</v>
      </c>
      <c r="M64" s="153">
        <f t="shared" si="20"/>
        <v>43</v>
      </c>
      <c r="N64" s="148">
        <f t="shared" si="21"/>
        <v>43</v>
      </c>
      <c r="O64" s="131" t="str">
        <f t="shared" si="3"/>
        <v/>
      </c>
      <c r="P64" s="131" t="str">
        <f t="shared" si="15"/>
        <v/>
      </c>
      <c r="Q64" s="131" t="str">
        <f t="shared" si="16"/>
        <v/>
      </c>
      <c r="R64" s="127">
        <f t="shared" si="17"/>
        <v>43</v>
      </c>
      <c r="S64" s="60" t="str">
        <f t="shared" si="4"/>
        <v/>
      </c>
      <c r="T64" s="231" t="str">
        <f>IF(L64="","",VLOOKUP(L64,classifications!C:K,9,FALSE))</f>
        <v>Sparse</v>
      </c>
      <c r="U64" s="238">
        <f t="shared" si="26"/>
        <v>43</v>
      </c>
      <c r="V64" s="239">
        <f>IF(U64="","",IF($I$8="A",(RANK(U64,U$11:U$363)+COUNTIF(U$11:U64,U64)-1),(RANK(U64,U$11:U$363,1)+COUNTIF(U$11:U64,U64)-1)))</f>
        <v>1</v>
      </c>
      <c r="W64" s="240"/>
      <c r="X64" s="61" t="str">
        <f>IF(L64="","",VLOOKUP($L64,classifications!$C:$J,6,FALSE))</f>
        <v>Rural-50</v>
      </c>
      <c r="Y64" s="49">
        <f t="shared" si="6"/>
        <v>43</v>
      </c>
      <c r="Z64" s="57">
        <f>IF(Y64="","",IF(I$8="A",(RANK(Y64,Y$11:Y$363,1)+COUNTIF(Y$11:Y64,Y64)-1),(RANK(Y64,Y$11:Y$363)+COUNTIF(Y$11:Y64,Y64)-1)))</f>
        <v>18</v>
      </c>
      <c r="AA64" s="245" t="str">
        <f>IF(L64="","",VLOOKUP($L64,classifications!C:I,7,FALSE))</f>
        <v>Predominantly Rural</v>
      </c>
      <c r="AB64" s="239">
        <f t="shared" si="7"/>
        <v>43</v>
      </c>
      <c r="AC64" s="239">
        <f>IF(AB64="","",IF($I$8="A",(RANK(AB64,AB$11:AB$363)+COUNTIF(AB$11:AB64,AB64)-1),(RANK(AB64,AB$11:AB$363,1)+COUNTIF(AB$11:AB64,AB64)-1)))</f>
        <v>1</v>
      </c>
      <c r="AD64" s="239"/>
      <c r="AE64" s="51" t="str">
        <f t="shared" si="25"/>
        <v/>
      </c>
      <c r="AG64" s="143"/>
      <c r="AH64" s="52"/>
      <c r="AI64" s="61" t="str">
        <f>IF(L64="","",VLOOKUP($L64,classifications!$C:$J,8,FALSE))</f>
        <v>Unitary</v>
      </c>
      <c r="AJ64" s="62">
        <f t="shared" si="0"/>
        <v>43</v>
      </c>
      <c r="AK64" s="57">
        <f>IF(AJ64="","",IF(I$8="A",(RANK(AJ64,AJ$11:AJ$363,1)+COUNTIF(AJ$11:AJ64,AJ64)-1),(RANK(AJ64,AJ$11:AJ$363)+COUNTIF(AJ$11:AJ64,AJ64)-1)))</f>
        <v>54</v>
      </c>
      <c r="AL64" s="52">
        <f t="shared" si="19"/>
        <v>54</v>
      </c>
      <c r="AM64" s="31" t="str">
        <f t="shared" si="24"/>
        <v>Northumberland</v>
      </c>
      <c r="AN64" s="31">
        <f t="shared" si="9"/>
        <v>43</v>
      </c>
      <c r="AP64" s="61" t="str">
        <f>IF(L64="","",VLOOKUP($L64,classifications!$C:$E,3,FALSE))</f>
        <v>NE</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39</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1"/>
        <v>83</v>
      </c>
      <c r="G65" s="105"/>
      <c r="H65" s="60" t="str">
        <f t="shared" si="2"/>
        <v/>
      </c>
      <c r="I65" s="112" t="str">
        <f>IF(H65="","",IF($I$8="A",(RANK(H65,H$11:H$363,1)+COUNTIF(H$11:H65,H65)-1),(RANK(H65,H$11:H$363)+COUNTIF(H$11:H65,H65)-1)))</f>
        <v/>
      </c>
      <c r="J65" s="58"/>
      <c r="K65" s="51">
        <f t="shared" si="13"/>
        <v>55</v>
      </c>
      <c r="L65" s="59" t="str">
        <f t="shared" si="14"/>
        <v>Blackburn with Darwen</v>
      </c>
      <c r="M65" s="153">
        <f t="shared" si="20"/>
        <v>42</v>
      </c>
      <c r="N65" s="148">
        <f t="shared" si="21"/>
        <v>42</v>
      </c>
      <c r="O65" s="131" t="str">
        <f t="shared" si="3"/>
        <v/>
      </c>
      <c r="P65" s="131" t="str">
        <f t="shared" si="15"/>
        <v/>
      </c>
      <c r="Q65" s="131" t="str">
        <f t="shared" si="16"/>
        <v/>
      </c>
      <c r="R65" s="127">
        <f t="shared" si="17"/>
        <v>42</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Other Urban</v>
      </c>
      <c r="Y65" s="49" t="str">
        <f t="shared" si="6"/>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Unitary</v>
      </c>
      <c r="AJ65" s="62">
        <f t="shared" si="0"/>
        <v>42</v>
      </c>
      <c r="AK65" s="57">
        <f>IF(AJ65="","",IF(I$8="A",(RANK(AJ65,AJ$11:AJ$363,1)+COUNTIF(AJ$11:AJ65,AJ65)-1),(RANK(AJ65,AJ$11:AJ$363)+COUNTIF(AJ$11:AJ65,AJ65)-1)))</f>
        <v>55</v>
      </c>
      <c r="AL65" s="52">
        <f t="shared" si="19"/>
        <v>55</v>
      </c>
      <c r="AM65" s="31" t="str">
        <f t="shared" si="24"/>
        <v>Blackburn with Darwen</v>
      </c>
      <c r="AN65" s="31">
        <f t="shared" si="9"/>
        <v>42</v>
      </c>
      <c r="AP65" s="61" t="str">
        <f>IF(L65="","",VLOOKUP($L65,classifications!$C:$E,3,FALSE))</f>
        <v>North West</v>
      </c>
      <c r="AQ65" s="62">
        <f t="shared" si="10"/>
        <v>42</v>
      </c>
      <c r="AR65" s="57">
        <f>IF(AQ65="","",IF(I$8="A",(RANK(AQ65,AQ$11:AQ$363,1)+COUNTIF(AQ$11:AQ65,AQ65)-1),(RANK(AQ65,AQ$11:AQ$363)+COUNTIF(AQ$11:AQ65,AQ65)-1)))</f>
        <v>6</v>
      </c>
      <c r="AS65" s="52" t="str">
        <f t="shared" si="23"/>
        <v/>
      </c>
      <c r="AT65" s="57" t="str">
        <f t="shared" si="11"/>
        <v/>
      </c>
      <c r="AU65" s="62" t="str">
        <f t="shared" si="12"/>
        <v/>
      </c>
      <c r="AX65" s="44">
        <f>HLOOKUP($AX$9&amp;$AX$10,Data!$A$1:$ZZ$2000,(MATCH($C65,Data!$A$1:$A$2000,0)),FALSE)</f>
        <v>83</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1"/>
        <v>49</v>
      </c>
      <c r="G66" s="105"/>
      <c r="H66" s="60">
        <f t="shared" si="2"/>
        <v>49</v>
      </c>
      <c r="I66" s="112">
        <f>IF(H66="","",IF($I$8="A",(RANK(H66,H$11:H$363,1)+COUNTIF(H$11:H66,H66)-1),(RANK(H66,H$11:H$363)+COUNTIF(H$11:H66,H66)-1)))</f>
        <v>53</v>
      </c>
      <c r="J66" s="58"/>
      <c r="K66" s="51" t="str">
        <f t="shared" si="13"/>
        <v/>
      </c>
      <c r="L66" s="59" t="str">
        <f t="shared" si="14"/>
        <v/>
      </c>
      <c r="M66" s="153" t="str">
        <f t="shared" si="20"/>
        <v/>
      </c>
      <c r="N66" s="148" t="str">
        <f t="shared" si="21"/>
        <v/>
      </c>
      <c r="O66" s="131" t="str">
        <f t="shared" si="3"/>
        <v/>
      </c>
      <c r="P66" s="131" t="str">
        <f t="shared" si="15"/>
        <v/>
      </c>
      <c r="Q66" s="131" t="str">
        <f t="shared" si="16"/>
        <v/>
      </c>
      <c r="R66" s="127" t="str">
        <f t="shared" si="17"/>
        <v/>
      </c>
      <c r="S66" s="60" t="str">
        <f t="shared" si="4"/>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6"/>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49</v>
      </c>
      <c r="AY66" s="156"/>
      <c r="AZ66" s="44"/>
    </row>
    <row r="67" spans="1:52">
      <c r="A67" s="84" t="str">
        <f>$D$1&amp;57</f>
        <v>UA57</v>
      </c>
      <c r="B67" s="85">
        <f>IF(ISERROR(VLOOKUP(A67,classifications!A:C,3,FALSE)),0,VLOOKUP(A67,classifications!A:C,3,FALSE))</f>
        <v>0</v>
      </c>
      <c r="C67" s="31" t="s">
        <v>822</v>
      </c>
      <c r="D67" s="49" t="str">
        <f>VLOOKUP($C67,classifications!$C:$J,4,FALSE)</f>
        <v>UA</v>
      </c>
      <c r="E67" s="49" t="str">
        <f>VLOOKUP(C67,classifications!C:K,9,FALSE)</f>
        <v>Sparse</v>
      </c>
      <c r="F67" s="59">
        <f t="shared" si="1"/>
        <v>51</v>
      </c>
      <c r="G67" s="105"/>
      <c r="H67" s="60">
        <f t="shared" si="2"/>
        <v>51</v>
      </c>
      <c r="I67" s="112">
        <f>IF(H67="","",IF($I$8="A",(RANK(H67,H$11:H$363,1)+COUNTIF(H$11:H67,H67)-1),(RANK(H67,H$11:H$363)+COUNTIF(H$11:H67,H67)-1)))</f>
        <v>50</v>
      </c>
      <c r="J67" s="58"/>
      <c r="K67" s="51" t="str">
        <f t="shared" si="13"/>
        <v/>
      </c>
      <c r="L67" s="59" t="str">
        <f t="shared" si="14"/>
        <v/>
      </c>
      <c r="M67" s="153" t="str">
        <f t="shared" si="20"/>
        <v/>
      </c>
      <c r="N67" s="148" t="str">
        <f t="shared" si="21"/>
        <v/>
      </c>
      <c r="O67" s="131" t="str">
        <f t="shared" si="3"/>
        <v/>
      </c>
      <c r="P67" s="131" t="str">
        <f t="shared" si="15"/>
        <v/>
      </c>
      <c r="Q67" s="131" t="str">
        <f t="shared" si="16"/>
        <v/>
      </c>
      <c r="R67" s="127" t="str">
        <f t="shared" si="17"/>
        <v/>
      </c>
      <c r="S67" s="60" t="str">
        <f t="shared" si="4"/>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6"/>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51</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1"/>
        <v>90</v>
      </c>
      <c r="G68" s="105"/>
      <c r="H68" s="60" t="str">
        <f t="shared" si="2"/>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3"/>
        <v/>
      </c>
      <c r="P68" s="131" t="str">
        <f t="shared" si="15"/>
        <v/>
      </c>
      <c r="Q68" s="131" t="str">
        <f t="shared" si="16"/>
        <v/>
      </c>
      <c r="R68" s="127" t="str">
        <f t="shared" si="17"/>
        <v/>
      </c>
      <c r="S68" s="60" t="str">
        <f t="shared" si="4"/>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6"/>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90</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1"/>
        <v>67</v>
      </c>
      <c r="G69" s="105"/>
      <c r="H69" s="60" t="str">
        <f t="shared" si="2"/>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3"/>
        <v/>
      </c>
      <c r="P69" s="131" t="str">
        <f t="shared" si="15"/>
        <v/>
      </c>
      <c r="Q69" s="131" t="str">
        <f t="shared" si="16"/>
        <v/>
      </c>
      <c r="R69" s="127" t="str">
        <f t="shared" si="17"/>
        <v/>
      </c>
      <c r="S69" s="60" t="str">
        <f t="shared" si="4"/>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6"/>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67</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1"/>
        <v>96</v>
      </c>
      <c r="G70" s="105"/>
      <c r="H70" s="60" t="str">
        <f t="shared" si="2"/>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3"/>
        <v/>
      </c>
      <c r="P70" s="131" t="str">
        <f t="shared" si="15"/>
        <v/>
      </c>
      <c r="Q70" s="131" t="str">
        <f t="shared" si="16"/>
        <v/>
      </c>
      <c r="R70" s="127" t="str">
        <f t="shared" si="17"/>
        <v/>
      </c>
      <c r="S70" s="60" t="str">
        <f t="shared" si="4"/>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6"/>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96</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1"/>
        <v>52</v>
      </c>
      <c r="G71" s="105"/>
      <c r="H71" s="60" t="str">
        <f t="shared" si="2"/>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3"/>
        <v/>
      </c>
      <c r="P71" s="131" t="str">
        <f t="shared" si="15"/>
        <v/>
      </c>
      <c r="Q71" s="131" t="str">
        <f t="shared" si="16"/>
        <v/>
      </c>
      <c r="R71" s="127" t="str">
        <f t="shared" si="17"/>
        <v/>
      </c>
      <c r="S71" s="60" t="str">
        <f t="shared" si="4"/>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6"/>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52</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f t="shared" si="1"/>
        <v>29</v>
      </c>
      <c r="G72" s="105"/>
      <c r="H72" s="60" t="str">
        <f t="shared" si="2"/>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3"/>
        <v/>
      </c>
      <c r="P72" s="131" t="str">
        <f t="shared" si="15"/>
        <v/>
      </c>
      <c r="Q72" s="131" t="str">
        <f t="shared" si="16"/>
        <v/>
      </c>
      <c r="R72" s="127" t="str">
        <f t="shared" si="17"/>
        <v/>
      </c>
      <c r="S72" s="60" t="str">
        <f t="shared" si="4"/>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6"/>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29</v>
      </c>
      <c r="AY72" s="156"/>
      <c r="AZ72" s="44"/>
    </row>
    <row r="73" spans="1:52">
      <c r="A73" s="84" t="str">
        <f>$D$1&amp;63</f>
        <v>UA63</v>
      </c>
      <c r="B73" s="85">
        <f>IF(ISERROR(VLOOKUP(A73,classifications!A:C,3,FALSE)),0,VLOOKUP(A73,classifications!A:C,3,FALSE))</f>
        <v>0</v>
      </c>
      <c r="C73" s="31" t="s">
        <v>374</v>
      </c>
      <c r="D73" s="49" t="str">
        <f>VLOOKUP($C73,classifications!$C:$J,4,FALSE)</f>
        <v>L</v>
      </c>
      <c r="E73" s="49">
        <f>VLOOKUP(C73,classifications!C:K,9,FALSE)</f>
        <v>0</v>
      </c>
      <c r="F73" s="59">
        <f t="shared" si="1"/>
        <v>57</v>
      </c>
      <c r="G73" s="105"/>
      <c r="H73" s="60" t="str">
        <f t="shared" si="2"/>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3"/>
        <v/>
      </c>
      <c r="P73" s="131" t="str">
        <f t="shared" si="15"/>
        <v/>
      </c>
      <c r="Q73" s="131" t="str">
        <f t="shared" si="16"/>
        <v/>
      </c>
      <c r="R73" s="127" t="str">
        <f t="shared" si="17"/>
        <v/>
      </c>
      <c r="S73" s="60" t="str">
        <f t="shared" si="4"/>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6"/>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57</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1"/>
        <v>91</v>
      </c>
      <c r="G74" s="105"/>
      <c r="H74" s="60">
        <f t="shared" si="2"/>
        <v>91</v>
      </c>
      <c r="I74" s="112">
        <f>IF(H74="","",IF($I$8="A",(RANK(H74,H$11:H$363,1)+COUNTIF(H$11:H74,H74)-1),(RANK(H74,H$11:H$363)+COUNTIF(H$11:H74,H74)-1)))</f>
        <v>3</v>
      </c>
      <c r="J74" s="58"/>
      <c r="K74" s="51" t="str">
        <f t="shared" si="13"/>
        <v/>
      </c>
      <c r="L74" s="59" t="str">
        <f t="shared" si="14"/>
        <v/>
      </c>
      <c r="M74" s="153" t="str">
        <f t="shared" si="20"/>
        <v/>
      </c>
      <c r="N74" s="148" t="str">
        <f t="shared" si="21"/>
        <v/>
      </c>
      <c r="O74" s="131" t="str">
        <f t="shared" si="3"/>
        <v/>
      </c>
      <c r="P74" s="131" t="str">
        <f t="shared" si="15"/>
        <v/>
      </c>
      <c r="Q74" s="131" t="str">
        <f t="shared" si="16"/>
        <v/>
      </c>
      <c r="R74" s="127" t="str">
        <f t="shared" si="17"/>
        <v/>
      </c>
      <c r="S74" s="60" t="str">
        <f t="shared" si="4"/>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6"/>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91</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85</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4"/>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si="6"/>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85</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79</v>
      </c>
      <c r="G76" s="105"/>
      <c r="H76" s="60" t="str">
        <f t="shared" si="28"/>
        <v/>
      </c>
      <c r="I76" s="112" t="str">
        <f>IF(H76="","",IF($I$8="A",(RANK(H76,H$11:H$363,1)+COUNTIF(H$11:H76,H76)-1),(RANK(H76,H$11:H$363)+COUNTIF(H$11:H76,H76)-1)))</f>
        <v/>
      </c>
      <c r="J76" s="58"/>
      <c r="K76" s="51" t="str">
        <f t="shared" si="13"/>
        <v/>
      </c>
      <c r="L76" s="59" t="str">
        <f t="shared" si="29"/>
        <v/>
      </c>
      <c r="M76" s="153" t="str">
        <f t="shared" ref="M76:M139" si="33">IF(L76="","",IF(VLOOKUP(L76,C:D,2,FALSE)=$F$3,VLOOKUP(L76,C:H,6,FALSE),""))</f>
        <v/>
      </c>
      <c r="N76" s="148" t="str">
        <f t="shared" ref="N76:N139" si="34">IF(L76="","",IF($H$8="%%",M76*100,M76))</f>
        <v/>
      </c>
      <c r="O76" s="131" t="str">
        <f t="shared" si="30"/>
        <v/>
      </c>
      <c r="P76" s="131" t="str">
        <f t="shared" si="15"/>
        <v/>
      </c>
      <c r="Q76" s="131" t="str">
        <f t="shared" si="16"/>
        <v/>
      </c>
      <c r="R76" s="127" t="str">
        <f t="shared" si="17"/>
        <v/>
      </c>
      <c r="S76" s="60" t="str">
        <f t="shared" ref="S76:S139" si="35">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79</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f t="shared" si="27"/>
        <v>50</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3"/>
        <v/>
      </c>
      <c r="N77" s="148" t="str">
        <f t="shared" si="34"/>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5"/>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6"/>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50</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75</v>
      </c>
      <c r="G78" s="105"/>
      <c r="H78" s="60">
        <f t="shared" si="28"/>
        <v>75</v>
      </c>
      <c r="I78" s="112">
        <f>IF(H78="","",IF($I$8="A",(RANK(H78,H$11:H$363,1)+COUNTIF(H$11:H78,H78)-1),(RANK(H78,H$11:H$363)+COUNTIF(H$11:H78,H78)-1)))</f>
        <v>20</v>
      </c>
      <c r="J78" s="58"/>
      <c r="K78" s="51" t="str">
        <f t="shared" si="43"/>
        <v/>
      </c>
      <c r="L78" s="59" t="str">
        <f t="shared" si="29"/>
        <v/>
      </c>
      <c r="M78" s="153" t="str">
        <f t="shared" si="33"/>
        <v/>
      </c>
      <c r="N78" s="148" t="str">
        <f t="shared" si="34"/>
        <v/>
      </c>
      <c r="O78" s="131" t="str">
        <f t="shared" si="30"/>
        <v/>
      </c>
      <c r="P78" s="131" t="str">
        <f t="shared" si="44"/>
        <v/>
      </c>
      <c r="Q78" s="131" t="str">
        <f t="shared" si="45"/>
        <v/>
      </c>
      <c r="R78" s="127" t="str">
        <f t="shared" si="46"/>
        <v/>
      </c>
      <c r="S78" s="60" t="str">
        <f t="shared" si="35"/>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6"/>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75</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73</v>
      </c>
      <c r="G79" s="105"/>
      <c r="H79" s="60" t="str">
        <f t="shared" si="28"/>
        <v/>
      </c>
      <c r="I79" s="112" t="str">
        <f>IF(H79="","",IF($I$8="A",(RANK(H79,H$11:H$363,1)+COUNTIF(H$11:H79,H79)-1),(RANK(H79,H$11:H$363)+COUNTIF(H$11:H79,H79)-1)))</f>
        <v/>
      </c>
      <c r="J79" s="58"/>
      <c r="K79" s="51" t="str">
        <f t="shared" si="43"/>
        <v/>
      </c>
      <c r="L79" s="59" t="str">
        <f t="shared" si="29"/>
        <v/>
      </c>
      <c r="M79" s="153" t="str">
        <f t="shared" si="33"/>
        <v/>
      </c>
      <c r="N79" s="148" t="str">
        <f t="shared" si="34"/>
        <v/>
      </c>
      <c r="O79" s="131" t="str">
        <f t="shared" si="30"/>
        <v/>
      </c>
      <c r="P79" s="131" t="str">
        <f t="shared" si="44"/>
        <v/>
      </c>
      <c r="Q79" s="131" t="str">
        <f t="shared" si="45"/>
        <v/>
      </c>
      <c r="R79" s="127" t="str">
        <f t="shared" si="46"/>
        <v/>
      </c>
      <c r="S79" s="60" t="str">
        <f t="shared" si="35"/>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6"/>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73</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71</v>
      </c>
      <c r="G80" s="105"/>
      <c r="H80" s="60">
        <f t="shared" si="28"/>
        <v>71</v>
      </c>
      <c r="I80" s="112">
        <f>IF(H80="","",IF($I$8="A",(RANK(H80,H$11:H$363,1)+COUNTIF(H$11:H80,H80)-1),(RANK(H80,H$11:H$363)+COUNTIF(H$11:H80,H80)-1)))</f>
        <v>29</v>
      </c>
      <c r="J80" s="58"/>
      <c r="K80" s="51" t="str">
        <f t="shared" si="43"/>
        <v/>
      </c>
      <c r="L80" s="59" t="str">
        <f t="shared" si="29"/>
        <v/>
      </c>
      <c r="M80" s="153" t="str">
        <f t="shared" si="33"/>
        <v/>
      </c>
      <c r="N80" s="148" t="str">
        <f t="shared" si="34"/>
        <v/>
      </c>
      <c r="O80" s="131" t="str">
        <f t="shared" si="30"/>
        <v/>
      </c>
      <c r="P80" s="131" t="str">
        <f t="shared" si="44"/>
        <v/>
      </c>
      <c r="Q80" s="131" t="str">
        <f t="shared" si="45"/>
        <v/>
      </c>
      <c r="R80" s="127" t="str">
        <f t="shared" si="46"/>
        <v/>
      </c>
      <c r="S80" s="60" t="str">
        <f t="shared" si="35"/>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6"/>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71</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99</v>
      </c>
      <c r="G81" s="105"/>
      <c r="H81" s="60" t="str">
        <f t="shared" si="28"/>
        <v/>
      </c>
      <c r="I81" s="112" t="str">
        <f>IF(H81="","",IF($I$8="A",(RANK(H81,H$11:H$363,1)+COUNTIF(H$11:H81,H81)-1),(RANK(H81,H$11:H$363)+COUNTIF(H$11:H81,H81)-1)))</f>
        <v/>
      </c>
      <c r="J81" s="58"/>
      <c r="K81" s="51" t="str">
        <f t="shared" si="43"/>
        <v/>
      </c>
      <c r="L81" s="59" t="str">
        <f t="shared" si="29"/>
        <v/>
      </c>
      <c r="M81" s="153" t="str">
        <f t="shared" si="33"/>
        <v/>
      </c>
      <c r="N81" s="148" t="str">
        <f t="shared" si="34"/>
        <v/>
      </c>
      <c r="O81" s="131" t="str">
        <f t="shared" si="30"/>
        <v/>
      </c>
      <c r="P81" s="131" t="str">
        <f t="shared" si="44"/>
        <v/>
      </c>
      <c r="Q81" s="131" t="str">
        <f t="shared" si="45"/>
        <v/>
      </c>
      <c r="R81" s="127" t="str">
        <f t="shared" si="46"/>
        <v/>
      </c>
      <c r="S81" s="60" t="str">
        <f t="shared" si="35"/>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6"/>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99</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100</v>
      </c>
      <c r="G82" s="105"/>
      <c r="H82" s="60" t="str">
        <f t="shared" si="28"/>
        <v/>
      </c>
      <c r="I82" s="112" t="str">
        <f>IF(H82="","",IF($I$8="A",(RANK(H82,H$11:H$363,1)+COUNTIF(H$11:H82,H82)-1),(RANK(H82,H$11:H$363)+COUNTIF(H$11:H82,H82)-1)))</f>
        <v/>
      </c>
      <c r="J82" s="58"/>
      <c r="K82" s="51" t="str">
        <f t="shared" si="43"/>
        <v/>
      </c>
      <c r="L82" s="59" t="str">
        <f t="shared" si="29"/>
        <v/>
      </c>
      <c r="M82" s="153" t="str">
        <f t="shared" si="33"/>
        <v/>
      </c>
      <c r="N82" s="148" t="str">
        <f t="shared" si="34"/>
        <v/>
      </c>
      <c r="O82" s="131" t="str">
        <f t="shared" si="30"/>
        <v/>
      </c>
      <c r="P82" s="131" t="str">
        <f t="shared" si="44"/>
        <v/>
      </c>
      <c r="Q82" s="131" t="str">
        <f t="shared" si="45"/>
        <v/>
      </c>
      <c r="R82" s="127" t="str">
        <f t="shared" si="46"/>
        <v/>
      </c>
      <c r="S82" s="60" t="str">
        <f t="shared" si="35"/>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6"/>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100</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76</v>
      </c>
      <c r="G83" s="105"/>
      <c r="H83" s="60" t="str">
        <f t="shared" si="28"/>
        <v/>
      </c>
      <c r="I83" s="112" t="str">
        <f>IF(H83="","",IF($I$8="A",(RANK(H83,H$11:H$363,1)+COUNTIF(H$11:H83,H83)-1),(RANK(H83,H$11:H$363)+COUNTIF(H$11:H83,H83)-1)))</f>
        <v/>
      </c>
      <c r="J83" s="58"/>
      <c r="K83" s="51" t="str">
        <f t="shared" si="43"/>
        <v/>
      </c>
      <c r="L83" s="59" t="str">
        <f t="shared" si="29"/>
        <v/>
      </c>
      <c r="M83" s="153" t="str">
        <f t="shared" si="33"/>
        <v/>
      </c>
      <c r="N83" s="148" t="str">
        <f t="shared" si="34"/>
        <v/>
      </c>
      <c r="O83" s="131" t="str">
        <f t="shared" si="30"/>
        <v/>
      </c>
      <c r="P83" s="131" t="str">
        <f t="shared" si="44"/>
        <v/>
      </c>
      <c r="Q83" s="131" t="str">
        <f t="shared" si="45"/>
        <v/>
      </c>
      <c r="R83" s="127" t="str">
        <f t="shared" si="46"/>
        <v/>
      </c>
      <c r="S83" s="60" t="str">
        <f t="shared" si="35"/>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6"/>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76</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79</v>
      </c>
      <c r="G84" s="105"/>
      <c r="H84" s="60" t="str">
        <f t="shared" si="28"/>
        <v/>
      </c>
      <c r="I84" s="112" t="str">
        <f>IF(H84="","",IF($I$8="A",(RANK(H84,H$11:H$363,1)+COUNTIF(H$11:H84,H84)-1),(RANK(H84,H$11:H$363)+COUNTIF(H$11:H84,H84)-1)))</f>
        <v/>
      </c>
      <c r="J84" s="58"/>
      <c r="K84" s="51" t="str">
        <f t="shared" si="43"/>
        <v/>
      </c>
      <c r="L84" s="59" t="str">
        <f t="shared" si="29"/>
        <v/>
      </c>
      <c r="M84" s="153" t="str">
        <f t="shared" si="33"/>
        <v/>
      </c>
      <c r="N84" s="148" t="str">
        <f t="shared" si="34"/>
        <v/>
      </c>
      <c r="O84" s="131" t="str">
        <f t="shared" si="30"/>
        <v/>
      </c>
      <c r="P84" s="131" t="str">
        <f t="shared" si="44"/>
        <v/>
      </c>
      <c r="Q84" s="131" t="str">
        <f t="shared" si="45"/>
        <v/>
      </c>
      <c r="R84" s="127" t="str">
        <f t="shared" si="46"/>
        <v/>
      </c>
      <c r="S84" s="60" t="str">
        <f t="shared" si="35"/>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6"/>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79</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3"/>
        <v/>
      </c>
      <c r="N85" s="148" t="str">
        <f t="shared" si="34"/>
        <v/>
      </c>
      <c r="O85" s="131" t="str">
        <f t="shared" si="30"/>
        <v/>
      </c>
      <c r="P85" s="131" t="str">
        <f t="shared" si="44"/>
        <v/>
      </c>
      <c r="Q85" s="131" t="str">
        <f t="shared" si="45"/>
        <v/>
      </c>
      <c r="R85" s="127" t="str">
        <f t="shared" si="46"/>
        <v/>
      </c>
      <c r="S85" s="60" t="str">
        <f t="shared" si="35"/>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6"/>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75</v>
      </c>
      <c r="G86" s="105"/>
      <c r="H86" s="60" t="str">
        <f t="shared" si="28"/>
        <v/>
      </c>
      <c r="I86" s="112" t="str">
        <f>IF(H86="","",IF($I$8="A",(RANK(H86,H$11:H$363,1)+COUNTIF(H$11:H86,H86)-1),(RANK(H86,H$11:H$363)+COUNTIF(H$11:H86,H86)-1)))</f>
        <v/>
      </c>
      <c r="J86" s="58"/>
      <c r="K86" s="51" t="str">
        <f t="shared" si="43"/>
        <v/>
      </c>
      <c r="L86" s="59" t="str">
        <f t="shared" si="29"/>
        <v/>
      </c>
      <c r="M86" s="153" t="str">
        <f t="shared" si="33"/>
        <v/>
      </c>
      <c r="N86" s="148" t="str">
        <f t="shared" si="34"/>
        <v/>
      </c>
      <c r="O86" s="131" t="str">
        <f t="shared" si="30"/>
        <v/>
      </c>
      <c r="P86" s="131" t="str">
        <f t="shared" si="44"/>
        <v/>
      </c>
      <c r="Q86" s="131" t="str">
        <f t="shared" si="45"/>
        <v/>
      </c>
      <c r="R86" s="127" t="str">
        <f t="shared" si="46"/>
        <v/>
      </c>
      <c r="S86" s="60" t="str">
        <f t="shared" si="35"/>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6"/>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75</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86</v>
      </c>
      <c r="G87" s="105"/>
      <c r="H87" s="60">
        <f t="shared" si="28"/>
        <v>86</v>
      </c>
      <c r="I87" s="112">
        <f>IF(H87="","",IF($I$8="A",(RANK(H87,H$11:H$363,1)+COUNTIF(H$11:H87,H87)-1),(RANK(H87,H$11:H$363)+COUNTIF(H$11:H87,H87)-1)))</f>
        <v>8</v>
      </c>
      <c r="J87" s="58"/>
      <c r="K87" s="51" t="str">
        <f t="shared" si="43"/>
        <v/>
      </c>
      <c r="L87" s="59" t="str">
        <f t="shared" si="29"/>
        <v/>
      </c>
      <c r="M87" s="153" t="str">
        <f t="shared" si="33"/>
        <v/>
      </c>
      <c r="N87" s="148" t="str">
        <f t="shared" si="34"/>
        <v/>
      </c>
      <c r="O87" s="131" t="str">
        <f t="shared" si="30"/>
        <v/>
      </c>
      <c r="P87" s="131" t="str">
        <f t="shared" si="44"/>
        <v/>
      </c>
      <c r="Q87" s="131" t="str">
        <f t="shared" si="45"/>
        <v/>
      </c>
      <c r="R87" s="127" t="str">
        <f t="shared" si="46"/>
        <v/>
      </c>
      <c r="S87" s="60" t="str">
        <f t="shared" si="35"/>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6"/>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86</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63</v>
      </c>
      <c r="G88" s="105"/>
      <c r="H88" s="60" t="str">
        <f t="shared" si="28"/>
        <v/>
      </c>
      <c r="I88" s="112" t="str">
        <f>IF(H88="","",IF($I$8="A",(RANK(H88,H$11:H$363,1)+COUNTIF(H$11:H88,H88)-1),(RANK(H88,H$11:H$363)+COUNTIF(H$11:H88,H88)-1)))</f>
        <v/>
      </c>
      <c r="J88" s="58"/>
      <c r="K88" s="51" t="str">
        <f t="shared" si="43"/>
        <v/>
      </c>
      <c r="L88" s="59" t="str">
        <f t="shared" si="29"/>
        <v/>
      </c>
      <c r="M88" s="153" t="str">
        <f t="shared" si="33"/>
        <v/>
      </c>
      <c r="N88" s="148" t="str">
        <f t="shared" si="34"/>
        <v/>
      </c>
      <c r="O88" s="131" t="str">
        <f t="shared" si="30"/>
        <v/>
      </c>
      <c r="P88" s="131" t="str">
        <f t="shared" si="44"/>
        <v/>
      </c>
      <c r="Q88" s="131" t="str">
        <f t="shared" si="45"/>
        <v/>
      </c>
      <c r="R88" s="127" t="str">
        <f t="shared" si="46"/>
        <v/>
      </c>
      <c r="S88" s="60" t="str">
        <f t="shared" si="35"/>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6"/>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63</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70</v>
      </c>
      <c r="G89" s="105"/>
      <c r="H89" s="60" t="str">
        <f t="shared" si="28"/>
        <v/>
      </c>
      <c r="I89" s="112" t="str">
        <f>IF(H89="","",IF($I$8="A",(RANK(H89,H$11:H$363,1)+COUNTIF(H$11:H89,H89)-1),(RANK(H89,H$11:H$363)+COUNTIF(H$11:H89,H89)-1)))</f>
        <v/>
      </c>
      <c r="J89" s="58"/>
      <c r="K89" s="51" t="str">
        <f t="shared" si="43"/>
        <v/>
      </c>
      <c r="L89" s="59" t="str">
        <f t="shared" si="29"/>
        <v/>
      </c>
      <c r="M89" s="153" t="str">
        <f t="shared" si="33"/>
        <v/>
      </c>
      <c r="N89" s="148" t="str">
        <f t="shared" si="34"/>
        <v/>
      </c>
      <c r="O89" s="131" t="str">
        <f t="shared" si="30"/>
        <v/>
      </c>
      <c r="P89" s="131" t="str">
        <f t="shared" si="44"/>
        <v/>
      </c>
      <c r="Q89" s="131" t="str">
        <f t="shared" si="45"/>
        <v/>
      </c>
      <c r="R89" s="127" t="str">
        <f t="shared" si="46"/>
        <v/>
      </c>
      <c r="S89" s="60" t="str">
        <f t="shared" si="35"/>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6"/>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70</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76</v>
      </c>
      <c r="G90" s="105"/>
      <c r="H90" s="60">
        <f t="shared" si="28"/>
        <v>76</v>
      </c>
      <c r="I90" s="112">
        <f>IF(H90="","",IF($I$8="A",(RANK(H90,H$11:H$363,1)+COUNTIF(H$11:H90,H90)-1),(RANK(H90,H$11:H$363)+COUNTIF(H$11:H90,H90)-1)))</f>
        <v>18</v>
      </c>
      <c r="J90" s="58"/>
      <c r="K90" s="51" t="str">
        <f t="shared" si="43"/>
        <v/>
      </c>
      <c r="L90" s="59" t="str">
        <f t="shared" si="29"/>
        <v/>
      </c>
      <c r="M90" s="153" t="str">
        <f t="shared" si="33"/>
        <v/>
      </c>
      <c r="N90" s="148" t="str">
        <f t="shared" si="34"/>
        <v/>
      </c>
      <c r="O90" s="131" t="str">
        <f t="shared" si="30"/>
        <v/>
      </c>
      <c r="P90" s="131" t="str">
        <f t="shared" si="44"/>
        <v/>
      </c>
      <c r="Q90" s="131" t="str">
        <f t="shared" si="45"/>
        <v/>
      </c>
      <c r="R90" s="127" t="str">
        <f t="shared" si="46"/>
        <v/>
      </c>
      <c r="S90" s="60" t="str">
        <f t="shared" si="35"/>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6"/>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76</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3"/>
        <v/>
      </c>
      <c r="N91" s="148" t="str">
        <f t="shared" si="34"/>
        <v/>
      </c>
      <c r="O91" s="131" t="str">
        <f t="shared" si="30"/>
        <v/>
      </c>
      <c r="P91" s="131" t="str">
        <f t="shared" si="44"/>
        <v/>
      </c>
      <c r="Q91" s="131" t="str">
        <f t="shared" si="45"/>
        <v/>
      </c>
      <c r="R91" s="127" t="str">
        <f t="shared" si="46"/>
        <v/>
      </c>
      <c r="S91" s="60" t="str">
        <f t="shared" si="35"/>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6"/>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91</v>
      </c>
      <c r="G92" s="105"/>
      <c r="H92" s="60" t="str">
        <f t="shared" si="28"/>
        <v/>
      </c>
      <c r="I92" s="112" t="str">
        <f>IF(H92="","",IF($I$8="A",(RANK(H92,H$11:H$363,1)+COUNTIF(H$11:H92,H92)-1),(RANK(H92,H$11:H$363)+COUNTIF(H$11:H92,H92)-1)))</f>
        <v/>
      </c>
      <c r="J92" s="58"/>
      <c r="K92" s="51" t="str">
        <f t="shared" si="43"/>
        <v/>
      </c>
      <c r="L92" s="59" t="str">
        <f t="shared" si="29"/>
        <v/>
      </c>
      <c r="M92" s="153" t="str">
        <f t="shared" si="33"/>
        <v/>
      </c>
      <c r="N92" s="148" t="str">
        <f t="shared" si="34"/>
        <v/>
      </c>
      <c r="O92" s="131" t="str">
        <f t="shared" si="30"/>
        <v/>
      </c>
      <c r="P92" s="131" t="str">
        <f t="shared" si="44"/>
        <v/>
      </c>
      <c r="Q92" s="131" t="str">
        <f t="shared" si="45"/>
        <v/>
      </c>
      <c r="R92" s="127" t="str">
        <f t="shared" si="46"/>
        <v/>
      </c>
      <c r="S92" s="60" t="str">
        <f t="shared" si="35"/>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6"/>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91</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3"/>
        <v/>
      </c>
      <c r="N93" s="148" t="str">
        <f t="shared" si="34"/>
        <v/>
      </c>
      <c r="O93" s="131" t="str">
        <f t="shared" si="30"/>
        <v/>
      </c>
      <c r="P93" s="131" t="str">
        <f t="shared" si="44"/>
        <v/>
      </c>
      <c r="Q93" s="131" t="str">
        <f t="shared" si="45"/>
        <v/>
      </c>
      <c r="R93" s="127" t="str">
        <f t="shared" si="46"/>
        <v/>
      </c>
      <c r="S93" s="60" t="str">
        <f t="shared" si="35"/>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6"/>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65</v>
      </c>
      <c r="G94" s="105"/>
      <c r="H94" s="60" t="str">
        <f t="shared" si="28"/>
        <v/>
      </c>
      <c r="I94" s="112" t="str">
        <f>IF(H94="","",IF($I$8="A",(RANK(H94,H$11:H$363,1)+COUNTIF(H$11:H94,H94)-1),(RANK(H94,H$11:H$363)+COUNTIF(H$11:H94,H94)-1)))</f>
        <v/>
      </c>
      <c r="J94" s="58"/>
      <c r="K94" s="51" t="str">
        <f t="shared" si="43"/>
        <v/>
      </c>
      <c r="L94" s="59" t="str">
        <f t="shared" si="29"/>
        <v/>
      </c>
      <c r="M94" s="153" t="str">
        <f t="shared" si="33"/>
        <v/>
      </c>
      <c r="N94" s="148" t="str">
        <f t="shared" si="34"/>
        <v/>
      </c>
      <c r="O94" s="131" t="str">
        <f t="shared" si="30"/>
        <v/>
      </c>
      <c r="P94" s="131" t="str">
        <f t="shared" si="44"/>
        <v/>
      </c>
      <c r="Q94" s="131" t="str">
        <f t="shared" si="45"/>
        <v/>
      </c>
      <c r="R94" s="127" t="str">
        <f t="shared" si="46"/>
        <v/>
      </c>
      <c r="S94" s="60" t="str">
        <f t="shared" si="35"/>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6"/>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65</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3"/>
        <v/>
      </c>
      <c r="N95" s="148" t="str">
        <f t="shared" si="34"/>
        <v/>
      </c>
      <c r="O95" s="131" t="str">
        <f t="shared" si="30"/>
        <v/>
      </c>
      <c r="P95" s="131" t="str">
        <f t="shared" si="44"/>
        <v/>
      </c>
      <c r="Q95" s="131" t="str">
        <f t="shared" si="45"/>
        <v/>
      </c>
      <c r="R95" s="127" t="str">
        <f t="shared" si="46"/>
        <v/>
      </c>
      <c r="S95" s="60" t="str">
        <f t="shared" si="35"/>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6"/>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65</v>
      </c>
      <c r="G96" s="105"/>
      <c r="H96" s="60" t="str">
        <f t="shared" si="28"/>
        <v/>
      </c>
      <c r="I96" s="112" t="str">
        <f>IF(H96="","",IF($I$8="A",(RANK(H96,H$11:H$363,1)+COUNTIF(H$11:H96,H96)-1),(RANK(H96,H$11:H$363)+COUNTIF(H$11:H96,H96)-1)))</f>
        <v/>
      </c>
      <c r="J96" s="58"/>
      <c r="K96" s="51" t="str">
        <f t="shared" si="43"/>
        <v/>
      </c>
      <c r="L96" s="59" t="str">
        <f t="shared" si="29"/>
        <v/>
      </c>
      <c r="M96" s="153" t="str">
        <f t="shared" si="33"/>
        <v/>
      </c>
      <c r="N96" s="148" t="str">
        <f t="shared" si="34"/>
        <v/>
      </c>
      <c r="O96" s="131" t="str">
        <f t="shared" si="30"/>
        <v/>
      </c>
      <c r="P96" s="131" t="str">
        <f t="shared" si="44"/>
        <v/>
      </c>
      <c r="Q96" s="131" t="str">
        <f t="shared" si="45"/>
        <v/>
      </c>
      <c r="R96" s="127" t="str">
        <f t="shared" si="46"/>
        <v/>
      </c>
      <c r="S96" s="60" t="str">
        <f t="shared" si="35"/>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6"/>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65</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73</v>
      </c>
      <c r="G97" s="105"/>
      <c r="H97" s="60" t="str">
        <f t="shared" si="28"/>
        <v/>
      </c>
      <c r="I97" s="112" t="str">
        <f>IF(H97="","",IF($I$8="A",(RANK(H97,H$11:H$363,1)+COUNTIF(H$11:H97,H97)-1),(RANK(H97,H$11:H$363)+COUNTIF(H$11:H97,H97)-1)))</f>
        <v/>
      </c>
      <c r="J97" s="58"/>
      <c r="K97" s="51" t="str">
        <f t="shared" si="43"/>
        <v/>
      </c>
      <c r="L97" s="59" t="str">
        <f t="shared" si="29"/>
        <v/>
      </c>
      <c r="M97" s="153" t="str">
        <f t="shared" si="33"/>
        <v/>
      </c>
      <c r="N97" s="148" t="str">
        <f t="shared" si="34"/>
        <v/>
      </c>
      <c r="O97" s="131" t="str">
        <f t="shared" si="30"/>
        <v/>
      </c>
      <c r="P97" s="131" t="str">
        <f t="shared" si="44"/>
        <v/>
      </c>
      <c r="Q97" s="131" t="str">
        <f t="shared" si="45"/>
        <v/>
      </c>
      <c r="R97" s="127" t="str">
        <f t="shared" si="46"/>
        <v/>
      </c>
      <c r="S97" s="60" t="str">
        <f t="shared" si="35"/>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6"/>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73</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62</v>
      </c>
      <c r="G98" s="105"/>
      <c r="H98" s="60" t="str">
        <f t="shared" si="28"/>
        <v/>
      </c>
      <c r="I98" s="112" t="str">
        <f>IF(H98="","",IF($I$8="A",(RANK(H98,H$11:H$363,1)+COUNTIF(H$11:H98,H98)-1),(RANK(H98,H$11:H$363)+COUNTIF(H$11:H98,H98)-1)))</f>
        <v/>
      </c>
      <c r="J98" s="58"/>
      <c r="K98" s="51" t="str">
        <f t="shared" si="43"/>
        <v/>
      </c>
      <c r="L98" s="59" t="str">
        <f t="shared" si="29"/>
        <v/>
      </c>
      <c r="M98" s="153" t="str">
        <f t="shared" si="33"/>
        <v/>
      </c>
      <c r="N98" s="148" t="str">
        <f t="shared" si="34"/>
        <v/>
      </c>
      <c r="O98" s="131" t="str">
        <f t="shared" si="30"/>
        <v/>
      </c>
      <c r="P98" s="131" t="str">
        <f t="shared" si="44"/>
        <v/>
      </c>
      <c r="Q98" s="131" t="str">
        <f t="shared" si="45"/>
        <v/>
      </c>
      <c r="R98" s="127" t="str">
        <f t="shared" si="46"/>
        <v/>
      </c>
      <c r="S98" s="60" t="str">
        <f t="shared" si="35"/>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6"/>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62</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67</v>
      </c>
      <c r="G99" s="105"/>
      <c r="H99" s="60" t="str">
        <f t="shared" si="28"/>
        <v/>
      </c>
      <c r="I99" s="112" t="str">
        <f>IF(H99="","",IF($I$8="A",(RANK(H99,H$11:H$363,1)+COUNTIF(H$11:H99,H99)-1),(RANK(H99,H$11:H$363)+COUNTIF(H$11:H99,H99)-1)))</f>
        <v/>
      </c>
      <c r="J99" s="58"/>
      <c r="K99" s="51" t="str">
        <f t="shared" si="43"/>
        <v/>
      </c>
      <c r="L99" s="59" t="str">
        <f t="shared" si="29"/>
        <v/>
      </c>
      <c r="M99" s="153" t="str">
        <f t="shared" si="33"/>
        <v/>
      </c>
      <c r="N99" s="148" t="str">
        <f t="shared" si="34"/>
        <v/>
      </c>
      <c r="O99" s="131" t="str">
        <f t="shared" si="30"/>
        <v/>
      </c>
      <c r="P99" s="131" t="str">
        <f t="shared" si="44"/>
        <v/>
      </c>
      <c r="Q99" s="131" t="str">
        <f t="shared" si="45"/>
        <v/>
      </c>
      <c r="R99" s="127" t="str">
        <f t="shared" si="46"/>
        <v/>
      </c>
      <c r="S99" s="60" t="str">
        <f t="shared" si="35"/>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6"/>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67</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55</v>
      </c>
      <c r="G100" s="105"/>
      <c r="H100" s="60" t="str">
        <f t="shared" si="28"/>
        <v/>
      </c>
      <c r="I100" s="112" t="str">
        <f>IF(H100="","",IF($I$8="A",(RANK(H100,H$11:H$363,1)+COUNTIF(H$11:H100,H100)-1),(RANK(H100,H$11:H$363)+COUNTIF(H$11:H100,H100)-1)))</f>
        <v/>
      </c>
      <c r="J100" s="58"/>
      <c r="K100" s="51" t="str">
        <f t="shared" si="43"/>
        <v/>
      </c>
      <c r="L100" s="59" t="str">
        <f t="shared" si="29"/>
        <v/>
      </c>
      <c r="M100" s="153" t="str">
        <f t="shared" si="33"/>
        <v/>
      </c>
      <c r="N100" s="148" t="str">
        <f t="shared" si="34"/>
        <v/>
      </c>
      <c r="O100" s="131" t="str">
        <f t="shared" si="30"/>
        <v/>
      </c>
      <c r="P100" s="131" t="str">
        <f t="shared" si="44"/>
        <v/>
      </c>
      <c r="Q100" s="131" t="str">
        <f t="shared" si="45"/>
        <v/>
      </c>
      <c r="R100" s="127" t="str">
        <f t="shared" si="46"/>
        <v/>
      </c>
      <c r="S100" s="60" t="str">
        <f t="shared" si="35"/>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6"/>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55</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f t="shared" si="27"/>
        <v>53</v>
      </c>
      <c r="G101" s="105"/>
      <c r="H101" s="60" t="str">
        <f t="shared" si="28"/>
        <v/>
      </c>
      <c r="I101" s="112" t="str">
        <f>IF(H101="","",IF($I$8="A",(RANK(H101,H$11:H$363,1)+COUNTIF(H$11:H101,H101)-1),(RANK(H101,H$11:H$363)+COUNTIF(H$11:H101,H101)-1)))</f>
        <v/>
      </c>
      <c r="J101" s="58"/>
      <c r="K101" s="51" t="str">
        <f t="shared" si="43"/>
        <v/>
      </c>
      <c r="L101" s="59" t="str">
        <f t="shared" si="29"/>
        <v/>
      </c>
      <c r="M101" s="153" t="str">
        <f t="shared" si="33"/>
        <v/>
      </c>
      <c r="N101" s="148" t="str">
        <f t="shared" si="34"/>
        <v/>
      </c>
      <c r="O101" s="131" t="str">
        <f t="shared" si="30"/>
        <v/>
      </c>
      <c r="P101" s="131" t="str">
        <f t="shared" si="44"/>
        <v/>
      </c>
      <c r="Q101" s="131" t="str">
        <f t="shared" si="45"/>
        <v/>
      </c>
      <c r="R101" s="127" t="str">
        <f t="shared" si="46"/>
        <v/>
      </c>
      <c r="S101" s="60" t="str">
        <f t="shared" si="35"/>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6"/>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53</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85</v>
      </c>
      <c r="G102" s="105"/>
      <c r="H102" s="60" t="str">
        <f t="shared" si="28"/>
        <v/>
      </c>
      <c r="I102" s="112" t="str">
        <f>IF(H102="","",IF($I$8="A",(RANK(H102,H$11:H$363,1)+COUNTIF(H$11:H102,H102)-1),(RANK(H102,H$11:H$363)+COUNTIF(H$11:H102,H102)-1)))</f>
        <v/>
      </c>
      <c r="J102" s="58"/>
      <c r="K102" s="51" t="str">
        <f t="shared" si="43"/>
        <v/>
      </c>
      <c r="L102" s="59" t="str">
        <f t="shared" si="29"/>
        <v/>
      </c>
      <c r="M102" s="153" t="str">
        <f t="shared" si="33"/>
        <v/>
      </c>
      <c r="N102" s="148" t="str">
        <f t="shared" si="34"/>
        <v/>
      </c>
      <c r="O102" s="131" t="str">
        <f t="shared" si="30"/>
        <v/>
      </c>
      <c r="P102" s="131" t="str">
        <f t="shared" si="44"/>
        <v/>
      </c>
      <c r="Q102" s="131" t="str">
        <f t="shared" si="45"/>
        <v/>
      </c>
      <c r="R102" s="127" t="str">
        <f t="shared" si="46"/>
        <v/>
      </c>
      <c r="S102" s="60" t="str">
        <f t="shared" si="35"/>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6"/>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85</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57</v>
      </c>
      <c r="G103" s="105"/>
      <c r="H103" s="60" t="str">
        <f t="shared" si="28"/>
        <v/>
      </c>
      <c r="I103" s="112" t="str">
        <f>IF(H103="","",IF($I$8="A",(RANK(H103,H$11:H$363,1)+COUNTIF(H$11:H103,H103)-1),(RANK(H103,H$11:H$363)+COUNTIF(H$11:H103,H103)-1)))</f>
        <v/>
      </c>
      <c r="J103" s="58"/>
      <c r="K103" s="51" t="str">
        <f t="shared" si="43"/>
        <v/>
      </c>
      <c r="L103" s="59" t="str">
        <f t="shared" si="29"/>
        <v/>
      </c>
      <c r="M103" s="153" t="str">
        <f t="shared" si="33"/>
        <v/>
      </c>
      <c r="N103" s="148" t="str">
        <f t="shared" si="34"/>
        <v/>
      </c>
      <c r="O103" s="131" t="str">
        <f t="shared" si="30"/>
        <v/>
      </c>
      <c r="P103" s="131" t="str">
        <f t="shared" si="44"/>
        <v/>
      </c>
      <c r="Q103" s="131" t="str">
        <f t="shared" si="45"/>
        <v/>
      </c>
      <c r="R103" s="127" t="str">
        <f t="shared" si="46"/>
        <v/>
      </c>
      <c r="S103" s="60" t="str">
        <f t="shared" si="35"/>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6"/>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57</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63</v>
      </c>
      <c r="G104" s="105"/>
      <c r="H104" s="60" t="str">
        <f t="shared" si="28"/>
        <v/>
      </c>
      <c r="I104" s="112" t="str">
        <f>IF(H104="","",IF($I$8="A",(RANK(H104,H$11:H$363,1)+COUNTIF(H$11:H104,H104)-1),(RANK(H104,H$11:H$363)+COUNTIF(H$11:H104,H104)-1)))</f>
        <v/>
      </c>
      <c r="J104" s="58"/>
      <c r="K104" s="51" t="str">
        <f t="shared" si="43"/>
        <v/>
      </c>
      <c r="L104" s="59" t="str">
        <f t="shared" si="29"/>
        <v/>
      </c>
      <c r="M104" s="153" t="str">
        <f t="shared" si="33"/>
        <v/>
      </c>
      <c r="N104" s="148" t="str">
        <f t="shared" si="34"/>
        <v/>
      </c>
      <c r="O104" s="131" t="str">
        <f t="shared" si="30"/>
        <v/>
      </c>
      <c r="P104" s="131" t="str">
        <f t="shared" si="44"/>
        <v/>
      </c>
      <c r="Q104" s="131" t="str">
        <f t="shared" si="45"/>
        <v/>
      </c>
      <c r="R104" s="127" t="str">
        <f t="shared" si="46"/>
        <v/>
      </c>
      <c r="S104" s="60" t="str">
        <f t="shared" si="35"/>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6"/>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63</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61</v>
      </c>
      <c r="G105" s="105"/>
      <c r="H105" s="60" t="str">
        <f t="shared" si="28"/>
        <v/>
      </c>
      <c r="I105" s="112" t="str">
        <f>IF(H105="","",IF($I$8="A",(RANK(H105,H$11:H$363,1)+COUNTIF(H$11:H105,H105)-1),(RANK(H105,H$11:H$363)+COUNTIF(H$11:H105,H105)-1)))</f>
        <v/>
      </c>
      <c r="J105" s="58"/>
      <c r="K105" s="51" t="str">
        <f t="shared" si="43"/>
        <v/>
      </c>
      <c r="L105" s="59" t="str">
        <f t="shared" si="29"/>
        <v/>
      </c>
      <c r="M105" s="153" t="str">
        <f t="shared" si="33"/>
        <v/>
      </c>
      <c r="N105" s="148" t="str">
        <f t="shared" si="34"/>
        <v/>
      </c>
      <c r="O105" s="131" t="str">
        <f t="shared" si="30"/>
        <v/>
      </c>
      <c r="P105" s="131" t="str">
        <f t="shared" si="44"/>
        <v/>
      </c>
      <c r="Q105" s="131" t="str">
        <f t="shared" si="45"/>
        <v/>
      </c>
      <c r="R105" s="127" t="str">
        <f t="shared" si="46"/>
        <v/>
      </c>
      <c r="S105" s="60" t="str">
        <f t="shared" si="35"/>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6"/>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61</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64</v>
      </c>
      <c r="G106" s="105"/>
      <c r="H106" s="60">
        <f t="shared" si="28"/>
        <v>64</v>
      </c>
      <c r="I106" s="112">
        <f>IF(H106="","",IF($I$8="A",(RANK(H106,H$11:H$363,1)+COUNTIF(H$11:H106,H106)-1),(RANK(H106,H$11:H$363)+COUNTIF(H$11:H106,H106)-1)))</f>
        <v>39</v>
      </c>
      <c r="J106" s="58"/>
      <c r="K106" s="51" t="str">
        <f t="shared" si="43"/>
        <v/>
      </c>
      <c r="L106" s="59" t="str">
        <f t="shared" si="29"/>
        <v/>
      </c>
      <c r="M106" s="153" t="str">
        <f t="shared" si="33"/>
        <v/>
      </c>
      <c r="N106" s="148" t="str">
        <f t="shared" si="34"/>
        <v/>
      </c>
      <c r="O106" s="131" t="str">
        <f t="shared" si="30"/>
        <v/>
      </c>
      <c r="P106" s="131" t="str">
        <f t="shared" si="44"/>
        <v/>
      </c>
      <c r="Q106" s="131" t="str">
        <f t="shared" si="45"/>
        <v/>
      </c>
      <c r="R106" s="127" t="str">
        <f t="shared" si="46"/>
        <v/>
      </c>
      <c r="S106" s="60" t="str">
        <f t="shared" si="35"/>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6"/>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64</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71</v>
      </c>
      <c r="G107" s="105"/>
      <c r="H107" s="60" t="str">
        <f t="shared" si="28"/>
        <v/>
      </c>
      <c r="I107" s="112" t="str">
        <f>IF(H107="","",IF($I$8="A",(RANK(H107,H$11:H$363,1)+COUNTIF(H$11:H107,H107)-1),(RANK(H107,H$11:H$363)+COUNTIF(H$11:H107,H107)-1)))</f>
        <v/>
      </c>
      <c r="J107" s="58"/>
      <c r="K107" s="51" t="str">
        <f t="shared" si="43"/>
        <v/>
      </c>
      <c r="L107" s="59" t="str">
        <f t="shared" si="29"/>
        <v/>
      </c>
      <c r="M107" s="153" t="str">
        <f t="shared" si="33"/>
        <v/>
      </c>
      <c r="N107" s="148" t="str">
        <f t="shared" si="34"/>
        <v/>
      </c>
      <c r="O107" s="131" t="str">
        <f t="shared" si="30"/>
        <v/>
      </c>
      <c r="P107" s="131" t="str">
        <f t="shared" si="44"/>
        <v/>
      </c>
      <c r="Q107" s="131" t="str">
        <f t="shared" si="45"/>
        <v/>
      </c>
      <c r="R107" s="127" t="str">
        <f t="shared" si="46"/>
        <v/>
      </c>
      <c r="S107" s="60" t="str">
        <f t="shared" si="35"/>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6"/>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71</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3"/>
        <v/>
      </c>
      <c r="N108" s="148" t="str">
        <f t="shared" si="34"/>
        <v/>
      </c>
      <c r="O108" s="131" t="str">
        <f t="shared" si="30"/>
        <v/>
      </c>
      <c r="P108" s="131" t="str">
        <f t="shared" si="44"/>
        <v/>
      </c>
      <c r="Q108" s="131" t="str">
        <f t="shared" si="45"/>
        <v/>
      </c>
      <c r="R108" s="127" t="str">
        <f t="shared" si="46"/>
        <v/>
      </c>
      <c r="S108" s="60" t="str">
        <f t="shared" si="35"/>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6"/>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47</v>
      </c>
      <c r="G109" s="105"/>
      <c r="H109" s="60" t="str">
        <f t="shared" si="28"/>
        <v/>
      </c>
      <c r="I109" s="112" t="str">
        <f>IF(H109="","",IF($I$8="A",(RANK(H109,H$11:H$363,1)+COUNTIF(H$11:H109,H109)-1),(RANK(H109,H$11:H$363)+COUNTIF(H$11:H109,H109)-1)))</f>
        <v/>
      </c>
      <c r="J109" s="58"/>
      <c r="K109" s="51" t="str">
        <f t="shared" si="43"/>
        <v/>
      </c>
      <c r="L109" s="59" t="str">
        <f t="shared" si="29"/>
        <v/>
      </c>
      <c r="M109" s="153" t="str">
        <f t="shared" si="33"/>
        <v/>
      </c>
      <c r="N109" s="148" t="str">
        <f t="shared" si="34"/>
        <v/>
      </c>
      <c r="O109" s="131" t="str">
        <f t="shared" si="30"/>
        <v/>
      </c>
      <c r="P109" s="131" t="str">
        <f t="shared" si="44"/>
        <v/>
      </c>
      <c r="Q109" s="131" t="str">
        <f t="shared" si="45"/>
        <v/>
      </c>
      <c r="R109" s="127" t="str">
        <f t="shared" si="46"/>
        <v/>
      </c>
      <c r="S109" s="60" t="str">
        <f t="shared" si="35"/>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6"/>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47</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85</v>
      </c>
      <c r="G110" s="105"/>
      <c r="H110" s="60" t="str">
        <f t="shared" si="28"/>
        <v/>
      </c>
      <c r="I110" s="112" t="str">
        <f>IF(H110="","",IF($I$8="A",(RANK(H110,H$11:H$363,1)+COUNTIF(H$11:H110,H110)-1),(RANK(H110,H$11:H$363)+COUNTIF(H$11:H110,H110)-1)))</f>
        <v/>
      </c>
      <c r="J110" s="58"/>
      <c r="K110" s="51" t="str">
        <f t="shared" si="43"/>
        <v/>
      </c>
      <c r="L110" s="59" t="str">
        <f t="shared" si="29"/>
        <v/>
      </c>
      <c r="M110" s="153" t="str">
        <f t="shared" si="33"/>
        <v/>
      </c>
      <c r="N110" s="148" t="str">
        <f t="shared" si="34"/>
        <v/>
      </c>
      <c r="O110" s="131" t="str">
        <f t="shared" si="30"/>
        <v/>
      </c>
      <c r="P110" s="131" t="str">
        <f t="shared" si="44"/>
        <v/>
      </c>
      <c r="Q110" s="131" t="str">
        <f t="shared" si="45"/>
        <v/>
      </c>
      <c r="R110" s="127" t="str">
        <f t="shared" si="46"/>
        <v/>
      </c>
      <c r="S110" s="60" t="str">
        <f t="shared" si="35"/>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6"/>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85</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81</v>
      </c>
      <c r="G111" s="105"/>
      <c r="H111" s="60" t="str">
        <f t="shared" si="28"/>
        <v/>
      </c>
      <c r="I111" s="112" t="str">
        <f>IF(H111="","",IF($I$8="A",(RANK(H111,H$11:H$363,1)+COUNTIF(H$11:H111,H111)-1),(RANK(H111,H$11:H$363)+COUNTIF(H$11:H111,H111)-1)))</f>
        <v/>
      </c>
      <c r="J111" s="58"/>
      <c r="K111" s="51" t="str">
        <f t="shared" si="43"/>
        <v/>
      </c>
      <c r="L111" s="59" t="str">
        <f t="shared" si="29"/>
        <v/>
      </c>
      <c r="M111" s="153" t="str">
        <f t="shared" si="33"/>
        <v/>
      </c>
      <c r="N111" s="148" t="str">
        <f t="shared" si="34"/>
        <v/>
      </c>
      <c r="O111" s="131" t="str">
        <f t="shared" si="30"/>
        <v/>
      </c>
      <c r="P111" s="131" t="str">
        <f t="shared" si="44"/>
        <v/>
      </c>
      <c r="Q111" s="131" t="str">
        <f t="shared" si="45"/>
        <v/>
      </c>
      <c r="R111" s="127" t="str">
        <f t="shared" si="46"/>
        <v/>
      </c>
      <c r="S111" s="60" t="str">
        <f t="shared" si="35"/>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6"/>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81</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f t="shared" si="27"/>
        <v>83</v>
      </c>
      <c r="G112" s="105"/>
      <c r="H112" s="60" t="str">
        <f t="shared" si="28"/>
        <v/>
      </c>
      <c r="I112" s="112" t="str">
        <f>IF(H112="","",IF($I$8="A",(RANK(H112,H$11:H$363,1)+COUNTIF(H$11:H112,H112)-1),(RANK(H112,H$11:H$363)+COUNTIF(H$11:H112,H112)-1)))</f>
        <v/>
      </c>
      <c r="J112" s="58"/>
      <c r="K112" s="51" t="str">
        <f t="shared" si="43"/>
        <v/>
      </c>
      <c r="L112" s="59" t="str">
        <f t="shared" si="29"/>
        <v/>
      </c>
      <c r="M112" s="153" t="str">
        <f t="shared" si="33"/>
        <v/>
      </c>
      <c r="N112" s="148" t="str">
        <f t="shared" si="34"/>
        <v/>
      </c>
      <c r="O112" s="131" t="str">
        <f t="shared" si="30"/>
        <v/>
      </c>
      <c r="P112" s="131" t="str">
        <f t="shared" si="44"/>
        <v/>
      </c>
      <c r="Q112" s="131" t="str">
        <f t="shared" si="45"/>
        <v/>
      </c>
      <c r="R112" s="127" t="str">
        <f t="shared" si="46"/>
        <v/>
      </c>
      <c r="S112" s="60" t="str">
        <f t="shared" si="35"/>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6"/>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83</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71</v>
      </c>
      <c r="G113" s="105"/>
      <c r="H113" s="60" t="str">
        <f t="shared" si="28"/>
        <v/>
      </c>
      <c r="I113" s="112" t="str">
        <f>IF(H113="","",IF($I$8="A",(RANK(H113,H$11:H$363,1)+COUNTIF(H$11:H113,H113)-1),(RANK(H113,H$11:H$363)+COUNTIF(H$11:H113,H113)-1)))</f>
        <v/>
      </c>
      <c r="J113" s="58"/>
      <c r="K113" s="51" t="str">
        <f t="shared" si="43"/>
        <v/>
      </c>
      <c r="L113" s="59" t="str">
        <f t="shared" si="29"/>
        <v/>
      </c>
      <c r="M113" s="153" t="str">
        <f t="shared" si="33"/>
        <v/>
      </c>
      <c r="N113" s="148" t="str">
        <f t="shared" si="34"/>
        <v/>
      </c>
      <c r="O113" s="131" t="str">
        <f t="shared" si="30"/>
        <v/>
      </c>
      <c r="P113" s="131" t="str">
        <f t="shared" si="44"/>
        <v/>
      </c>
      <c r="Q113" s="131" t="str">
        <f t="shared" si="45"/>
        <v/>
      </c>
      <c r="R113" s="127" t="str">
        <f t="shared" si="46"/>
        <v/>
      </c>
      <c r="S113" s="60" t="str">
        <f t="shared" si="35"/>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6"/>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71</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80</v>
      </c>
      <c r="G114" s="105"/>
      <c r="H114" s="60" t="str">
        <f t="shared" si="28"/>
        <v/>
      </c>
      <c r="I114" s="112" t="str">
        <f>IF(H114="","",IF($I$8="A",(RANK(H114,H$11:H$363,1)+COUNTIF(H$11:H114,H114)-1),(RANK(H114,H$11:H$363)+COUNTIF(H$11:H114,H114)-1)))</f>
        <v/>
      </c>
      <c r="J114" s="58"/>
      <c r="K114" s="51" t="str">
        <f t="shared" si="43"/>
        <v/>
      </c>
      <c r="L114" s="59" t="str">
        <f t="shared" si="29"/>
        <v/>
      </c>
      <c r="M114" s="153" t="str">
        <f t="shared" si="33"/>
        <v/>
      </c>
      <c r="N114" s="148" t="str">
        <f t="shared" si="34"/>
        <v/>
      </c>
      <c r="O114" s="131" t="str">
        <f t="shared" si="30"/>
        <v/>
      </c>
      <c r="P114" s="131" t="str">
        <f t="shared" si="44"/>
        <v/>
      </c>
      <c r="Q114" s="131" t="str">
        <f t="shared" si="45"/>
        <v/>
      </c>
      <c r="R114" s="127" t="str">
        <f t="shared" si="46"/>
        <v/>
      </c>
      <c r="S114" s="60" t="str">
        <f t="shared" si="35"/>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6"/>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80</v>
      </c>
      <c r="AY114" s="156"/>
      <c r="AZ114" s="44"/>
    </row>
    <row r="115" spans="1:52">
      <c r="A115" s="84" t="str">
        <f>$D$1&amp;105</f>
        <v>UA105</v>
      </c>
      <c r="B115" s="85">
        <f>IF(ISERROR(VLOOKUP(A115,classifications!A:C,3,FALSE)),0,VLOOKUP(A115,classifications!A:C,3,FALSE))</f>
        <v>0</v>
      </c>
      <c r="C115" s="31" t="s">
        <v>347</v>
      </c>
      <c r="D115" s="49" t="str">
        <f>VLOOKUP($C115,classifications!$C:$J,4,FALSE)</f>
        <v>SD</v>
      </c>
      <c r="E115" s="49">
        <f>VLOOKUP(C115,classifications!C:K,9,FALSE)</f>
        <v>0</v>
      </c>
      <c r="F115" s="59">
        <f t="shared" si="27"/>
        <v>82</v>
      </c>
      <c r="G115" s="105"/>
      <c r="H115" s="60" t="str">
        <f t="shared" si="28"/>
        <v/>
      </c>
      <c r="I115" s="112" t="str">
        <f>IF(H115="","",IF($I$8="A",(RANK(H115,H$11:H$363,1)+COUNTIF(H$11:H115,H115)-1),(RANK(H115,H$11:H$363)+COUNTIF(H$11:H115,H115)-1)))</f>
        <v/>
      </c>
      <c r="J115" s="58"/>
      <c r="K115" s="51" t="str">
        <f t="shared" si="43"/>
        <v/>
      </c>
      <c r="L115" s="59" t="str">
        <f t="shared" si="29"/>
        <v/>
      </c>
      <c r="M115" s="153" t="str">
        <f t="shared" si="33"/>
        <v/>
      </c>
      <c r="N115" s="148" t="str">
        <f t="shared" si="34"/>
        <v/>
      </c>
      <c r="O115" s="131" t="str">
        <f t="shared" si="30"/>
        <v/>
      </c>
      <c r="P115" s="131" t="str">
        <f t="shared" si="44"/>
        <v/>
      </c>
      <c r="Q115" s="131" t="str">
        <f t="shared" si="45"/>
        <v/>
      </c>
      <c r="R115" s="127" t="str">
        <f t="shared" si="46"/>
        <v/>
      </c>
      <c r="S115" s="60" t="str">
        <f t="shared" si="35"/>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6"/>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82</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90</v>
      </c>
      <c r="G116" s="105"/>
      <c r="H116" s="60" t="str">
        <f t="shared" si="28"/>
        <v/>
      </c>
      <c r="I116" s="112" t="str">
        <f>IF(H116="","",IF($I$8="A",(RANK(H116,H$11:H$363,1)+COUNTIF(H$11:H116,H116)-1),(RANK(H116,H$11:H$363)+COUNTIF(H$11:H116,H116)-1)))</f>
        <v/>
      </c>
      <c r="J116" s="58"/>
      <c r="K116" s="51" t="str">
        <f t="shared" si="43"/>
        <v/>
      </c>
      <c r="L116" s="59" t="str">
        <f t="shared" si="29"/>
        <v/>
      </c>
      <c r="M116" s="153" t="str">
        <f t="shared" si="33"/>
        <v/>
      </c>
      <c r="N116" s="148" t="str">
        <f t="shared" si="34"/>
        <v/>
      </c>
      <c r="O116" s="131" t="str">
        <f t="shared" si="30"/>
        <v/>
      </c>
      <c r="P116" s="131" t="str">
        <f t="shared" si="44"/>
        <v/>
      </c>
      <c r="Q116" s="131" t="str">
        <f t="shared" si="45"/>
        <v/>
      </c>
      <c r="R116" s="127" t="str">
        <f t="shared" si="46"/>
        <v/>
      </c>
      <c r="S116" s="60" t="str">
        <f t="shared" si="35"/>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6"/>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90</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3"/>
        <v/>
      </c>
      <c r="N117" s="148" t="str">
        <f t="shared" si="34"/>
        <v/>
      </c>
      <c r="O117" s="131" t="str">
        <f t="shared" si="30"/>
        <v/>
      </c>
      <c r="P117" s="131" t="str">
        <f t="shared" si="44"/>
        <v/>
      </c>
      <c r="Q117" s="131" t="str">
        <f t="shared" si="45"/>
        <v/>
      </c>
      <c r="R117" s="127" t="str">
        <f t="shared" si="46"/>
        <v/>
      </c>
      <c r="S117" s="60" t="str">
        <f t="shared" si="35"/>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6"/>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48</v>
      </c>
      <c r="G118" s="105"/>
      <c r="H118" s="60" t="str">
        <f t="shared" si="28"/>
        <v/>
      </c>
      <c r="I118" s="112" t="str">
        <f>IF(H118="","",IF($I$8="A",(RANK(H118,H$11:H$363,1)+COUNTIF(H$11:H118,H118)-1),(RANK(H118,H$11:H$363)+COUNTIF(H$11:H118,H118)-1)))</f>
        <v/>
      </c>
      <c r="J118" s="58"/>
      <c r="K118" s="51" t="str">
        <f t="shared" si="43"/>
        <v/>
      </c>
      <c r="L118" s="59" t="str">
        <f t="shared" si="29"/>
        <v/>
      </c>
      <c r="M118" s="153" t="str">
        <f t="shared" si="33"/>
        <v/>
      </c>
      <c r="N118" s="148" t="str">
        <f t="shared" si="34"/>
        <v/>
      </c>
      <c r="O118" s="131" t="str">
        <f t="shared" si="30"/>
        <v/>
      </c>
      <c r="P118" s="131" t="str">
        <f t="shared" si="44"/>
        <v/>
      </c>
      <c r="Q118" s="131" t="str">
        <f t="shared" si="45"/>
        <v/>
      </c>
      <c r="R118" s="127" t="str">
        <f t="shared" si="46"/>
        <v/>
      </c>
      <c r="S118" s="60" t="str">
        <f t="shared" si="35"/>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6"/>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48</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44</v>
      </c>
      <c r="G119" s="105"/>
      <c r="H119" s="60" t="str">
        <f t="shared" si="28"/>
        <v/>
      </c>
      <c r="I119" s="112" t="str">
        <f>IF(H119="","",IF($I$8="A",(RANK(H119,H$11:H$363,1)+COUNTIF(H$11:H119,H119)-1),(RANK(H119,H$11:H$363)+COUNTIF(H$11:H119,H119)-1)))</f>
        <v/>
      </c>
      <c r="J119" s="58"/>
      <c r="K119" s="51" t="str">
        <f t="shared" si="43"/>
        <v/>
      </c>
      <c r="L119" s="59" t="str">
        <f t="shared" si="29"/>
        <v/>
      </c>
      <c r="M119" s="153" t="str">
        <f t="shared" si="33"/>
        <v/>
      </c>
      <c r="N119" s="148" t="str">
        <f t="shared" si="34"/>
        <v/>
      </c>
      <c r="O119" s="131" t="str">
        <f t="shared" si="30"/>
        <v/>
      </c>
      <c r="P119" s="131" t="str">
        <f t="shared" si="44"/>
        <v/>
      </c>
      <c r="Q119" s="131" t="str">
        <f t="shared" si="45"/>
        <v/>
      </c>
      <c r="R119" s="127" t="str">
        <f t="shared" si="46"/>
        <v/>
      </c>
      <c r="S119" s="60" t="str">
        <f t="shared" si="35"/>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6"/>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44</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45</v>
      </c>
      <c r="G120" s="105"/>
      <c r="H120" s="60" t="str">
        <f t="shared" si="28"/>
        <v/>
      </c>
      <c r="I120" s="112" t="str">
        <f>IF(H120="","",IF($I$8="A",(RANK(H120,H$11:H$363,1)+COUNTIF(H$11:H120,H120)-1),(RANK(H120,H$11:H$363)+COUNTIF(H$11:H120,H120)-1)))</f>
        <v/>
      </c>
      <c r="J120" s="58"/>
      <c r="K120" s="51" t="str">
        <f t="shared" si="43"/>
        <v/>
      </c>
      <c r="L120" s="59" t="str">
        <f t="shared" si="29"/>
        <v/>
      </c>
      <c r="M120" s="153" t="str">
        <f t="shared" si="33"/>
        <v/>
      </c>
      <c r="N120" s="148" t="str">
        <f t="shared" si="34"/>
        <v/>
      </c>
      <c r="O120" s="131" t="str">
        <f t="shared" si="30"/>
        <v/>
      </c>
      <c r="P120" s="131" t="str">
        <f t="shared" si="44"/>
        <v/>
      </c>
      <c r="Q120" s="131" t="str">
        <f t="shared" si="45"/>
        <v/>
      </c>
      <c r="R120" s="127" t="str">
        <f t="shared" si="46"/>
        <v/>
      </c>
      <c r="S120" s="60" t="str">
        <f t="shared" si="35"/>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6"/>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45</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29</v>
      </c>
      <c r="G121" s="105"/>
      <c r="H121" s="60" t="str">
        <f t="shared" si="28"/>
        <v/>
      </c>
      <c r="I121" s="112" t="str">
        <f>IF(H121="","",IF($I$8="A",(RANK(H121,H$11:H$363,1)+COUNTIF(H$11:H121,H121)-1),(RANK(H121,H$11:H$363)+COUNTIF(H$11:H121,H121)-1)))</f>
        <v/>
      </c>
      <c r="J121" s="58"/>
      <c r="K121" s="51" t="str">
        <f t="shared" si="43"/>
        <v/>
      </c>
      <c r="L121" s="59" t="str">
        <f t="shared" si="29"/>
        <v/>
      </c>
      <c r="M121" s="153" t="str">
        <f t="shared" si="33"/>
        <v/>
      </c>
      <c r="N121" s="148" t="str">
        <f t="shared" si="34"/>
        <v/>
      </c>
      <c r="O121" s="131" t="str">
        <f t="shared" si="30"/>
        <v/>
      </c>
      <c r="P121" s="131" t="str">
        <f t="shared" si="44"/>
        <v/>
      </c>
      <c r="Q121" s="131" t="str">
        <f t="shared" si="45"/>
        <v/>
      </c>
      <c r="R121" s="127" t="str">
        <f t="shared" si="46"/>
        <v/>
      </c>
      <c r="S121" s="60" t="str">
        <f t="shared" si="35"/>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6"/>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29</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63</v>
      </c>
      <c r="G122" s="105"/>
      <c r="H122" s="60" t="str">
        <f t="shared" si="28"/>
        <v/>
      </c>
      <c r="I122" s="112" t="str">
        <f>IF(H122="","",IF($I$8="A",(RANK(H122,H$11:H$363,1)+COUNTIF(H$11:H122,H122)-1),(RANK(H122,H$11:H$363)+COUNTIF(H$11:H122,H122)-1)))</f>
        <v/>
      </c>
      <c r="J122" s="58"/>
      <c r="K122" s="51" t="str">
        <f t="shared" si="43"/>
        <v/>
      </c>
      <c r="L122" s="59" t="str">
        <f t="shared" si="29"/>
        <v/>
      </c>
      <c r="M122" s="153" t="str">
        <f t="shared" si="33"/>
        <v/>
      </c>
      <c r="N122" s="148" t="str">
        <f t="shared" si="34"/>
        <v/>
      </c>
      <c r="O122" s="131" t="str">
        <f t="shared" si="30"/>
        <v/>
      </c>
      <c r="P122" s="131" t="str">
        <f t="shared" si="44"/>
        <v/>
      </c>
      <c r="Q122" s="131" t="str">
        <f t="shared" si="45"/>
        <v/>
      </c>
      <c r="R122" s="127" t="str">
        <f t="shared" si="46"/>
        <v/>
      </c>
      <c r="S122" s="60" t="str">
        <f t="shared" si="35"/>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6"/>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63</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f t="shared" si="27"/>
        <v>86</v>
      </c>
      <c r="G123" s="105"/>
      <c r="H123" s="60" t="str">
        <f t="shared" si="28"/>
        <v/>
      </c>
      <c r="I123" s="112" t="str">
        <f>IF(H123="","",IF($I$8="A",(RANK(H123,H$11:H$363,1)+COUNTIF(H$11:H123,H123)-1),(RANK(H123,H$11:H$363)+COUNTIF(H$11:H123,H123)-1)))</f>
        <v/>
      </c>
      <c r="J123" s="58"/>
      <c r="K123" s="51" t="str">
        <f t="shared" si="43"/>
        <v/>
      </c>
      <c r="L123" s="59" t="str">
        <f t="shared" si="29"/>
        <v/>
      </c>
      <c r="M123" s="153" t="str">
        <f t="shared" si="33"/>
        <v/>
      </c>
      <c r="N123" s="148" t="str">
        <f t="shared" si="34"/>
        <v/>
      </c>
      <c r="O123" s="131" t="str">
        <f t="shared" si="30"/>
        <v/>
      </c>
      <c r="P123" s="131" t="str">
        <f t="shared" si="44"/>
        <v/>
      </c>
      <c r="Q123" s="131" t="str">
        <f t="shared" si="45"/>
        <v/>
      </c>
      <c r="R123" s="127" t="str">
        <f t="shared" si="46"/>
        <v/>
      </c>
      <c r="S123" s="60" t="str">
        <f t="shared" si="35"/>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6"/>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86</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90</v>
      </c>
      <c r="G124" s="105"/>
      <c r="H124" s="60" t="str">
        <f t="shared" si="28"/>
        <v/>
      </c>
      <c r="I124" s="112" t="str">
        <f>IF(H124="","",IF($I$8="A",(RANK(H124,H$11:H$363,1)+COUNTIF(H$11:H124,H124)-1),(RANK(H124,H$11:H$363)+COUNTIF(H$11:H124,H124)-1)))</f>
        <v/>
      </c>
      <c r="J124" s="58"/>
      <c r="K124" s="51" t="str">
        <f t="shared" si="43"/>
        <v/>
      </c>
      <c r="L124" s="59" t="str">
        <f t="shared" si="29"/>
        <v/>
      </c>
      <c r="M124" s="153" t="str">
        <f t="shared" si="33"/>
        <v/>
      </c>
      <c r="N124" s="148" t="str">
        <f t="shared" si="34"/>
        <v/>
      </c>
      <c r="O124" s="131" t="str">
        <f t="shared" si="30"/>
        <v/>
      </c>
      <c r="P124" s="131" t="str">
        <f t="shared" si="44"/>
        <v/>
      </c>
      <c r="Q124" s="131" t="str">
        <f t="shared" si="45"/>
        <v/>
      </c>
      <c r="R124" s="127" t="str">
        <f t="shared" si="46"/>
        <v/>
      </c>
      <c r="S124" s="60" t="str">
        <f t="shared" si="35"/>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6"/>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90</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f t="shared" si="27"/>
        <v>57</v>
      </c>
      <c r="G125" s="105"/>
      <c r="H125" s="60" t="str">
        <f t="shared" si="28"/>
        <v/>
      </c>
      <c r="I125" s="112" t="str">
        <f>IF(H125="","",IF($I$8="A",(RANK(H125,H$11:H$363,1)+COUNTIF(H$11:H125,H125)-1),(RANK(H125,H$11:H$363)+COUNTIF(H$11:H125,H125)-1)))</f>
        <v/>
      </c>
      <c r="J125" s="58"/>
      <c r="K125" s="51" t="str">
        <f t="shared" si="43"/>
        <v/>
      </c>
      <c r="L125" s="59" t="str">
        <f t="shared" si="29"/>
        <v/>
      </c>
      <c r="M125" s="153" t="str">
        <f t="shared" si="33"/>
        <v/>
      </c>
      <c r="N125" s="148" t="str">
        <f t="shared" si="34"/>
        <v/>
      </c>
      <c r="O125" s="131" t="str">
        <f t="shared" si="30"/>
        <v/>
      </c>
      <c r="P125" s="131" t="str">
        <f t="shared" si="44"/>
        <v/>
      </c>
      <c r="Q125" s="131" t="str">
        <f t="shared" si="45"/>
        <v/>
      </c>
      <c r="R125" s="127" t="str">
        <f t="shared" si="46"/>
        <v/>
      </c>
      <c r="S125" s="60" t="str">
        <f t="shared" si="35"/>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6"/>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57</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39</v>
      </c>
      <c r="G126" s="105"/>
      <c r="H126" s="60" t="str">
        <f t="shared" si="28"/>
        <v/>
      </c>
      <c r="I126" s="112" t="str">
        <f>IF(H126="","",IF($I$8="A",(RANK(H126,H$11:H$363,1)+COUNTIF(H$11:H126,H126)-1),(RANK(H126,H$11:H$363)+COUNTIF(H$11:H126,H126)-1)))</f>
        <v/>
      </c>
      <c r="J126" s="58"/>
      <c r="K126" s="51" t="str">
        <f t="shared" si="43"/>
        <v/>
      </c>
      <c r="L126" s="59" t="str">
        <f t="shared" si="29"/>
        <v/>
      </c>
      <c r="M126" s="153" t="str">
        <f t="shared" si="33"/>
        <v/>
      </c>
      <c r="N126" s="148" t="str">
        <f t="shared" si="34"/>
        <v/>
      </c>
      <c r="O126" s="131" t="str">
        <f t="shared" si="30"/>
        <v/>
      </c>
      <c r="P126" s="131" t="str">
        <f t="shared" si="44"/>
        <v/>
      </c>
      <c r="Q126" s="131" t="str">
        <f t="shared" si="45"/>
        <v/>
      </c>
      <c r="R126" s="127" t="str">
        <f t="shared" si="46"/>
        <v/>
      </c>
      <c r="S126" s="60" t="str">
        <f t="shared" si="35"/>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6"/>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39</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3"/>
        <v/>
      </c>
      <c r="N127" s="148" t="str">
        <f t="shared" si="34"/>
        <v/>
      </c>
      <c r="O127" s="131" t="str">
        <f t="shared" si="30"/>
        <v/>
      </c>
      <c r="P127" s="131" t="str">
        <f t="shared" si="44"/>
        <v/>
      </c>
      <c r="Q127" s="131" t="str">
        <f t="shared" si="45"/>
        <v/>
      </c>
      <c r="R127" s="127" t="str">
        <f t="shared" si="46"/>
        <v/>
      </c>
      <c r="S127" s="60" t="str">
        <f t="shared" si="35"/>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6"/>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64</v>
      </c>
      <c r="G128" s="105"/>
      <c r="H128" s="60" t="str">
        <f t="shared" si="28"/>
        <v/>
      </c>
      <c r="I128" s="112" t="str">
        <f>IF(H128="","",IF($I$8="A",(RANK(H128,H$11:H$363,1)+COUNTIF(H$11:H128,H128)-1),(RANK(H128,H$11:H$363)+COUNTIF(H$11:H128,H128)-1)))</f>
        <v/>
      </c>
      <c r="J128" s="58"/>
      <c r="K128" s="51" t="str">
        <f t="shared" si="43"/>
        <v/>
      </c>
      <c r="L128" s="59" t="str">
        <f t="shared" si="29"/>
        <v/>
      </c>
      <c r="M128" s="153" t="str">
        <f t="shared" si="33"/>
        <v/>
      </c>
      <c r="N128" s="148" t="str">
        <f t="shared" si="34"/>
        <v/>
      </c>
      <c r="O128" s="131" t="str">
        <f t="shared" si="30"/>
        <v/>
      </c>
      <c r="P128" s="131" t="str">
        <f t="shared" si="44"/>
        <v/>
      </c>
      <c r="Q128" s="131" t="str">
        <f t="shared" si="45"/>
        <v/>
      </c>
      <c r="R128" s="127" t="str">
        <f t="shared" si="46"/>
        <v/>
      </c>
      <c r="S128" s="60" t="str">
        <f t="shared" si="35"/>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6"/>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64</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100</v>
      </c>
      <c r="G129" s="105"/>
      <c r="H129" s="60" t="str">
        <f t="shared" si="28"/>
        <v/>
      </c>
      <c r="I129" s="112" t="str">
        <f>IF(H129="","",IF($I$8="A",(RANK(H129,H$11:H$363,1)+COUNTIF(H$11:H129,H129)-1),(RANK(H129,H$11:H$363)+COUNTIF(H$11:H129,H129)-1)))</f>
        <v/>
      </c>
      <c r="J129" s="58"/>
      <c r="K129" s="51" t="str">
        <f t="shared" si="43"/>
        <v/>
      </c>
      <c r="L129" s="59" t="str">
        <f t="shared" si="29"/>
        <v/>
      </c>
      <c r="M129" s="153" t="str">
        <f t="shared" si="33"/>
        <v/>
      </c>
      <c r="N129" s="148" t="str">
        <f t="shared" si="34"/>
        <v/>
      </c>
      <c r="O129" s="131" t="str">
        <f t="shared" si="30"/>
        <v/>
      </c>
      <c r="P129" s="131" t="str">
        <f t="shared" si="44"/>
        <v/>
      </c>
      <c r="Q129" s="131" t="str">
        <f t="shared" si="45"/>
        <v/>
      </c>
      <c r="R129" s="127" t="str">
        <f t="shared" si="46"/>
        <v/>
      </c>
      <c r="S129" s="60" t="str">
        <f t="shared" si="35"/>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6"/>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100</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f t="shared" si="27"/>
        <v>69</v>
      </c>
      <c r="G130" s="105"/>
      <c r="H130" s="60" t="str">
        <f t="shared" si="28"/>
        <v/>
      </c>
      <c r="I130" s="112" t="str">
        <f>IF(H130="","",IF($I$8="A",(RANK(H130,H$11:H$363,1)+COUNTIF(H$11:H130,H130)-1),(RANK(H130,H$11:H$363)+COUNTIF(H$11:H130,H130)-1)))</f>
        <v/>
      </c>
      <c r="J130" s="58"/>
      <c r="K130" s="51" t="str">
        <f t="shared" si="43"/>
        <v/>
      </c>
      <c r="L130" s="59" t="str">
        <f t="shared" si="29"/>
        <v/>
      </c>
      <c r="M130" s="153" t="str">
        <f t="shared" si="33"/>
        <v/>
      </c>
      <c r="N130" s="148" t="str">
        <f t="shared" si="34"/>
        <v/>
      </c>
      <c r="O130" s="131" t="str">
        <f t="shared" si="30"/>
        <v/>
      </c>
      <c r="P130" s="131" t="str">
        <f t="shared" si="44"/>
        <v/>
      </c>
      <c r="Q130" s="131" t="str">
        <f t="shared" si="45"/>
        <v/>
      </c>
      <c r="R130" s="127" t="str">
        <f t="shared" si="46"/>
        <v/>
      </c>
      <c r="S130" s="60" t="str">
        <f t="shared" si="35"/>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6"/>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69</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67</v>
      </c>
      <c r="G131" s="105"/>
      <c r="H131" s="60" t="str">
        <f t="shared" si="28"/>
        <v/>
      </c>
      <c r="I131" s="112" t="str">
        <f>IF(H131="","",IF($I$8="A",(RANK(H131,H$11:H$363,1)+COUNTIF(H$11:H131,H131)-1),(RANK(H131,H$11:H$363)+COUNTIF(H$11:H131,H131)-1)))</f>
        <v/>
      </c>
      <c r="J131" s="58"/>
      <c r="K131" s="51" t="str">
        <f t="shared" si="43"/>
        <v/>
      </c>
      <c r="L131" s="59" t="str">
        <f t="shared" si="29"/>
        <v/>
      </c>
      <c r="M131" s="153" t="str">
        <f t="shared" si="33"/>
        <v/>
      </c>
      <c r="N131" s="148" t="str">
        <f t="shared" si="34"/>
        <v/>
      </c>
      <c r="O131" s="131" t="str">
        <f t="shared" si="30"/>
        <v/>
      </c>
      <c r="P131" s="131" t="str">
        <f t="shared" si="44"/>
        <v/>
      </c>
      <c r="Q131" s="131" t="str">
        <f t="shared" si="45"/>
        <v/>
      </c>
      <c r="R131" s="127" t="str">
        <f t="shared" si="46"/>
        <v/>
      </c>
      <c r="S131" s="60" t="str">
        <f t="shared" si="35"/>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6"/>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67</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68</v>
      </c>
      <c r="G132" s="105"/>
      <c r="H132" s="60" t="str">
        <f t="shared" si="28"/>
        <v/>
      </c>
      <c r="I132" s="112" t="str">
        <f>IF(H132="","",IF($I$8="A",(RANK(H132,H$11:H$363,1)+COUNTIF(H$11:H132,H132)-1),(RANK(H132,H$11:H$363)+COUNTIF(H$11:H132,H132)-1)))</f>
        <v/>
      </c>
      <c r="J132" s="58"/>
      <c r="K132" s="51" t="str">
        <f t="shared" si="43"/>
        <v/>
      </c>
      <c r="L132" s="59" t="str">
        <f t="shared" si="29"/>
        <v/>
      </c>
      <c r="M132" s="153" t="str">
        <f t="shared" si="33"/>
        <v/>
      </c>
      <c r="N132" s="148" t="str">
        <f t="shared" si="34"/>
        <v/>
      </c>
      <c r="O132" s="131" t="str">
        <f t="shared" si="30"/>
        <v/>
      </c>
      <c r="P132" s="131" t="str">
        <f t="shared" si="44"/>
        <v/>
      </c>
      <c r="Q132" s="131" t="str">
        <f t="shared" si="45"/>
        <v/>
      </c>
      <c r="R132" s="127" t="str">
        <f t="shared" si="46"/>
        <v/>
      </c>
      <c r="S132" s="60" t="str">
        <f t="shared" si="35"/>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6"/>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68</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60</v>
      </c>
      <c r="G133" s="105"/>
      <c r="H133" s="60" t="str">
        <f t="shared" si="28"/>
        <v/>
      </c>
      <c r="I133" s="112" t="str">
        <f>IF(H133="","",IF($I$8="A",(RANK(H133,H$11:H$363,1)+COUNTIF(H$11:H133,H133)-1),(RANK(H133,H$11:H$363)+COUNTIF(H$11:H133,H133)-1)))</f>
        <v/>
      </c>
      <c r="J133" s="58"/>
      <c r="K133" s="51" t="str">
        <f t="shared" si="43"/>
        <v/>
      </c>
      <c r="L133" s="59" t="str">
        <f t="shared" si="29"/>
        <v/>
      </c>
      <c r="M133" s="153" t="str">
        <f t="shared" si="33"/>
        <v/>
      </c>
      <c r="N133" s="148" t="str">
        <f t="shared" si="34"/>
        <v/>
      </c>
      <c r="O133" s="131" t="str">
        <f t="shared" si="30"/>
        <v/>
      </c>
      <c r="P133" s="131" t="str">
        <f t="shared" si="44"/>
        <v/>
      </c>
      <c r="Q133" s="131" t="str">
        <f t="shared" si="45"/>
        <v/>
      </c>
      <c r="R133" s="127" t="str">
        <f t="shared" si="46"/>
        <v/>
      </c>
      <c r="S133" s="60" t="str">
        <f t="shared" si="35"/>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6"/>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60</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60</v>
      </c>
      <c r="G134" s="105"/>
      <c r="H134" s="60">
        <f t="shared" si="28"/>
        <v>60</v>
      </c>
      <c r="I134" s="112">
        <f>IF(H134="","",IF($I$8="A",(RANK(H134,H$11:H$363,1)+COUNTIF(H$11:H134,H134)-1),(RANK(H134,H$11:H$363)+COUNTIF(H$11:H134,H134)-1)))</f>
        <v>44</v>
      </c>
      <c r="J134" s="58"/>
      <c r="K134" s="51" t="str">
        <f t="shared" si="43"/>
        <v/>
      </c>
      <c r="L134" s="59" t="str">
        <f t="shared" si="29"/>
        <v/>
      </c>
      <c r="M134" s="153" t="str">
        <f t="shared" si="33"/>
        <v/>
      </c>
      <c r="N134" s="148" t="str">
        <f t="shared" si="34"/>
        <v/>
      </c>
      <c r="O134" s="131" t="str">
        <f t="shared" si="30"/>
        <v/>
      </c>
      <c r="P134" s="131" t="str">
        <f t="shared" si="44"/>
        <v/>
      </c>
      <c r="Q134" s="131" t="str">
        <f t="shared" si="45"/>
        <v/>
      </c>
      <c r="R134" s="127" t="str">
        <f t="shared" si="46"/>
        <v/>
      </c>
      <c r="S134" s="60" t="str">
        <f t="shared" si="35"/>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6"/>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60</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71</v>
      </c>
      <c r="G135" s="105"/>
      <c r="H135" s="60" t="str">
        <f t="shared" si="28"/>
        <v/>
      </c>
      <c r="I135" s="112" t="str">
        <f>IF(H135="","",IF($I$8="A",(RANK(H135,H$11:H$363,1)+COUNTIF(H$11:H135,H135)-1),(RANK(H135,H$11:H$363)+COUNTIF(H$11:H135,H135)-1)))</f>
        <v/>
      </c>
      <c r="J135" s="58"/>
      <c r="K135" s="51" t="str">
        <f t="shared" si="43"/>
        <v/>
      </c>
      <c r="L135" s="59" t="str">
        <f t="shared" si="29"/>
        <v/>
      </c>
      <c r="M135" s="153" t="str">
        <f t="shared" si="33"/>
        <v/>
      </c>
      <c r="N135" s="148" t="str">
        <f t="shared" si="34"/>
        <v/>
      </c>
      <c r="O135" s="131" t="str">
        <f t="shared" si="30"/>
        <v/>
      </c>
      <c r="P135" s="131" t="str">
        <f t="shared" si="44"/>
        <v/>
      </c>
      <c r="Q135" s="131" t="str">
        <f t="shared" si="45"/>
        <v/>
      </c>
      <c r="R135" s="127" t="str">
        <f t="shared" si="46"/>
        <v/>
      </c>
      <c r="S135" s="60" t="str">
        <f t="shared" si="35"/>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6"/>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71</v>
      </c>
      <c r="AY135" s="156"/>
      <c r="AZ135" s="44"/>
    </row>
    <row r="136" spans="1:52">
      <c r="A136" s="84" t="str">
        <f>$D$1&amp;126</f>
        <v>UA126</v>
      </c>
      <c r="B136" s="85">
        <f>IF(ISERROR(VLOOKUP(A136,classifications!A:C,3,FALSE)),0,VLOOKUP(A136,classifications!A:C,3,FALSE))</f>
        <v>0</v>
      </c>
      <c r="C136" s="31" t="s">
        <v>339</v>
      </c>
      <c r="D136" s="49" t="str">
        <f>VLOOKUP($C136,classifications!$C:$J,4,FALSE)</f>
        <v>L</v>
      </c>
      <c r="E136" s="49">
        <f>VLOOKUP(C136,classifications!C:K,9,FALSE)</f>
        <v>0</v>
      </c>
      <c r="F136" s="59">
        <f t="shared" si="27"/>
        <v>79</v>
      </c>
      <c r="G136" s="105"/>
      <c r="H136" s="60" t="str">
        <f t="shared" si="28"/>
        <v/>
      </c>
      <c r="I136" s="112" t="str">
        <f>IF(H136="","",IF($I$8="A",(RANK(H136,H$11:H$363,1)+COUNTIF(H$11:H136,H136)-1),(RANK(H136,H$11:H$363)+COUNTIF(H$11:H136,H136)-1)))</f>
        <v/>
      </c>
      <c r="J136" s="58"/>
      <c r="K136" s="51" t="str">
        <f t="shared" si="43"/>
        <v/>
      </c>
      <c r="L136" s="59" t="str">
        <f t="shared" si="29"/>
        <v/>
      </c>
      <c r="M136" s="153" t="str">
        <f t="shared" si="33"/>
        <v/>
      </c>
      <c r="N136" s="148" t="str">
        <f t="shared" si="34"/>
        <v/>
      </c>
      <c r="O136" s="131" t="str">
        <f t="shared" si="30"/>
        <v/>
      </c>
      <c r="P136" s="131" t="str">
        <f t="shared" si="44"/>
        <v/>
      </c>
      <c r="Q136" s="131" t="str">
        <f t="shared" si="45"/>
        <v/>
      </c>
      <c r="R136" s="127" t="str">
        <f t="shared" si="46"/>
        <v/>
      </c>
      <c r="S136" s="60" t="str">
        <f t="shared" si="35"/>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6"/>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79</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3"/>
        <v/>
      </c>
      <c r="N137" s="148" t="str">
        <f t="shared" si="34"/>
        <v/>
      </c>
      <c r="O137" s="131" t="str">
        <f t="shared" si="30"/>
        <v/>
      </c>
      <c r="P137" s="131" t="str">
        <f t="shared" si="44"/>
        <v/>
      </c>
      <c r="Q137" s="131" t="str">
        <f t="shared" si="45"/>
        <v/>
      </c>
      <c r="R137" s="127" t="str">
        <f t="shared" si="46"/>
        <v/>
      </c>
      <c r="S137" s="60" t="str">
        <f t="shared" si="35"/>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6"/>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87</v>
      </c>
      <c r="G138" s="105"/>
      <c r="H138" s="60" t="str">
        <f t="shared" si="28"/>
        <v/>
      </c>
      <c r="I138" s="112" t="str">
        <f>IF(H138="","",IF($I$8="A",(RANK(H138,H$11:H$363,1)+COUNTIF(H$11:H138,H138)-1),(RANK(H138,H$11:H$363)+COUNTIF(H$11:H138,H138)-1)))</f>
        <v/>
      </c>
      <c r="J138" s="58"/>
      <c r="K138" s="51" t="str">
        <f t="shared" si="43"/>
        <v/>
      </c>
      <c r="L138" s="59" t="str">
        <f t="shared" si="29"/>
        <v/>
      </c>
      <c r="M138" s="153" t="str">
        <f t="shared" si="33"/>
        <v/>
      </c>
      <c r="N138" s="148" t="str">
        <f t="shared" si="34"/>
        <v/>
      </c>
      <c r="O138" s="131" t="str">
        <f t="shared" si="30"/>
        <v/>
      </c>
      <c r="P138" s="131" t="str">
        <f t="shared" si="44"/>
        <v/>
      </c>
      <c r="Q138" s="131" t="str">
        <f t="shared" si="45"/>
        <v/>
      </c>
      <c r="R138" s="127" t="str">
        <f t="shared" si="46"/>
        <v/>
      </c>
      <c r="S138" s="60" t="str">
        <f t="shared" si="35"/>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6"/>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87</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82</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3"/>
        <v/>
      </c>
      <c r="N139" s="148" t="str">
        <f t="shared" si="34"/>
        <v/>
      </c>
      <c r="O139" s="131" t="str">
        <f t="shared" ref="O139:O202" si="54">IF(I$8="A",IF(N139&gt;=$P$7,IF(N139&lt;=$O$10,N139,""),""),IF(N139&lt;=$P$7,IF(N139&gt;=$O$10,N139,""),""))</f>
        <v/>
      </c>
      <c r="P139" s="131" t="str">
        <f t="shared" si="44"/>
        <v/>
      </c>
      <c r="Q139" s="131" t="str">
        <f t="shared" si="45"/>
        <v/>
      </c>
      <c r="R139" s="127" t="str">
        <f t="shared" si="46"/>
        <v/>
      </c>
      <c r="S139" s="60" t="str">
        <f t="shared" si="35"/>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si="36"/>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82</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f t="shared" si="51"/>
        <v>82</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7">IF(L140="","",IF(VLOOKUP(L140,C:D,2,FALSE)=$F$3,VLOOKUP(L140,C:H,6,FALSE),""))</f>
        <v/>
      </c>
      <c r="N140" s="148" t="str">
        <f t="shared" ref="N140:N203" si="58">IF(L140="","",IF($H$8="%%",M140*100,M140))</f>
        <v/>
      </c>
      <c r="O140" s="131" t="str">
        <f t="shared" si="54"/>
        <v/>
      </c>
      <c r="P140" s="131" t="str">
        <f t="shared" si="44"/>
        <v/>
      </c>
      <c r="Q140" s="131" t="str">
        <f t="shared" si="45"/>
        <v/>
      </c>
      <c r="R140" s="127" t="str">
        <f t="shared" si="46"/>
        <v/>
      </c>
      <c r="S140" s="60" t="str">
        <f t="shared" ref="S140:S203" si="59">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82</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73</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7"/>
        <v/>
      </c>
      <c r="N141" s="148" t="str">
        <f t="shared" si="58"/>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59"/>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60"/>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73</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66</v>
      </c>
      <c r="G142" s="105"/>
      <c r="H142" s="60" t="str">
        <f t="shared" si="52"/>
        <v/>
      </c>
      <c r="I142" s="112" t="str">
        <f>IF(H142="","",IF($I$8="A",(RANK(H142,H$11:H$363,1)+COUNTIF(H$11:H142,H142)-1),(RANK(H142,H$11:H$363)+COUNTIF(H$11:H142,H142)-1)))</f>
        <v/>
      </c>
      <c r="J142" s="58"/>
      <c r="K142" s="51" t="str">
        <f t="shared" si="66"/>
        <v/>
      </c>
      <c r="L142" s="59" t="str">
        <f t="shared" si="53"/>
        <v/>
      </c>
      <c r="M142" s="153" t="str">
        <f t="shared" si="57"/>
        <v/>
      </c>
      <c r="N142" s="148" t="str">
        <f t="shared" si="58"/>
        <v/>
      </c>
      <c r="O142" s="131" t="str">
        <f t="shared" si="54"/>
        <v/>
      </c>
      <c r="P142" s="131" t="str">
        <f t="shared" si="67"/>
        <v/>
      </c>
      <c r="Q142" s="131" t="str">
        <f t="shared" si="68"/>
        <v/>
      </c>
      <c r="R142" s="127" t="str">
        <f t="shared" si="69"/>
        <v/>
      </c>
      <c r="S142" s="60" t="str">
        <f t="shared" si="59"/>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60"/>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66</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f t="shared" si="51"/>
        <v>74</v>
      </c>
      <c r="G143" s="105"/>
      <c r="H143" s="60" t="str">
        <f t="shared" si="52"/>
        <v/>
      </c>
      <c r="I143" s="112" t="str">
        <f>IF(H143="","",IF($I$8="A",(RANK(H143,H$11:H$363,1)+COUNTIF(H$11:H143,H143)-1),(RANK(H143,H$11:H$363)+COUNTIF(H$11:H143,H143)-1)))</f>
        <v/>
      </c>
      <c r="J143" s="58"/>
      <c r="K143" s="51" t="str">
        <f t="shared" si="66"/>
        <v/>
      </c>
      <c r="L143" s="59" t="str">
        <f t="shared" si="53"/>
        <v/>
      </c>
      <c r="M143" s="153" t="str">
        <f t="shared" si="57"/>
        <v/>
      </c>
      <c r="N143" s="148" t="str">
        <f t="shared" si="58"/>
        <v/>
      </c>
      <c r="O143" s="131" t="str">
        <f t="shared" si="54"/>
        <v/>
      </c>
      <c r="P143" s="131" t="str">
        <f t="shared" si="67"/>
        <v/>
      </c>
      <c r="Q143" s="131" t="str">
        <f t="shared" si="68"/>
        <v/>
      </c>
      <c r="R143" s="127" t="str">
        <f t="shared" si="69"/>
        <v/>
      </c>
      <c r="S143" s="60" t="str">
        <f t="shared" si="59"/>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60"/>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74</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89</v>
      </c>
      <c r="G144" s="105"/>
      <c r="H144" s="60">
        <f t="shared" si="52"/>
        <v>89</v>
      </c>
      <c r="I144" s="112">
        <f>IF(H144="","",IF($I$8="A",(RANK(H144,H$11:H$363,1)+COUNTIF(H$11:H144,H144)-1),(RANK(H144,H$11:H$363)+COUNTIF(H$11:H144,H144)-1)))</f>
        <v>4</v>
      </c>
      <c r="J144" s="58"/>
      <c r="K144" s="51" t="str">
        <f t="shared" si="66"/>
        <v/>
      </c>
      <c r="L144" s="59" t="str">
        <f t="shared" si="53"/>
        <v/>
      </c>
      <c r="M144" s="153" t="str">
        <f t="shared" si="57"/>
        <v/>
      </c>
      <c r="N144" s="148" t="str">
        <f t="shared" si="58"/>
        <v/>
      </c>
      <c r="O144" s="131" t="str">
        <f t="shared" si="54"/>
        <v/>
      </c>
      <c r="P144" s="131" t="str">
        <f t="shared" si="67"/>
        <v/>
      </c>
      <c r="Q144" s="131" t="str">
        <f t="shared" si="68"/>
        <v/>
      </c>
      <c r="R144" s="127" t="str">
        <f t="shared" si="69"/>
        <v/>
      </c>
      <c r="S144" s="60" t="str">
        <f t="shared" si="59"/>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60"/>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89</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68</v>
      </c>
      <c r="G145" s="105"/>
      <c r="H145" s="60" t="str">
        <f t="shared" si="52"/>
        <v/>
      </c>
      <c r="I145" s="112" t="str">
        <f>IF(H145="","",IF($I$8="A",(RANK(H145,H$11:H$363,1)+COUNTIF(H$11:H145,H145)-1),(RANK(H145,H$11:H$363)+COUNTIF(H$11:H145,H145)-1)))</f>
        <v/>
      </c>
      <c r="J145" s="58"/>
      <c r="K145" s="51" t="str">
        <f t="shared" si="66"/>
        <v/>
      </c>
      <c r="L145" s="59" t="str">
        <f t="shared" si="53"/>
        <v/>
      </c>
      <c r="M145" s="153" t="str">
        <f t="shared" si="57"/>
        <v/>
      </c>
      <c r="N145" s="148" t="str">
        <f t="shared" si="58"/>
        <v/>
      </c>
      <c r="O145" s="131" t="str">
        <f t="shared" si="54"/>
        <v/>
      </c>
      <c r="P145" s="131" t="str">
        <f t="shared" si="67"/>
        <v/>
      </c>
      <c r="Q145" s="131" t="str">
        <f t="shared" si="68"/>
        <v/>
      </c>
      <c r="R145" s="127" t="str">
        <f t="shared" si="69"/>
        <v/>
      </c>
      <c r="S145" s="60" t="str">
        <f t="shared" si="59"/>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60"/>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68</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63</v>
      </c>
      <c r="G146" s="105"/>
      <c r="H146" s="60" t="str">
        <f t="shared" si="52"/>
        <v/>
      </c>
      <c r="I146" s="112" t="str">
        <f>IF(H146="","",IF($I$8="A",(RANK(H146,H$11:H$363,1)+COUNTIF(H$11:H146,H146)-1),(RANK(H146,H$11:H$363)+COUNTIF(H$11:H146,H146)-1)))</f>
        <v/>
      </c>
      <c r="J146" s="58"/>
      <c r="K146" s="51" t="str">
        <f t="shared" si="66"/>
        <v/>
      </c>
      <c r="L146" s="59" t="str">
        <f t="shared" si="53"/>
        <v/>
      </c>
      <c r="M146" s="153" t="str">
        <f t="shared" si="57"/>
        <v/>
      </c>
      <c r="N146" s="148" t="str">
        <f t="shared" si="58"/>
        <v/>
      </c>
      <c r="O146" s="131" t="str">
        <f t="shared" si="54"/>
        <v/>
      </c>
      <c r="P146" s="131" t="str">
        <f t="shared" si="67"/>
        <v/>
      </c>
      <c r="Q146" s="131" t="str">
        <f t="shared" si="68"/>
        <v/>
      </c>
      <c r="R146" s="127" t="str">
        <f t="shared" si="69"/>
        <v/>
      </c>
      <c r="S146" s="60" t="str">
        <f t="shared" si="59"/>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60"/>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63</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76</v>
      </c>
      <c r="G147" s="105"/>
      <c r="H147" s="60" t="str">
        <f t="shared" si="52"/>
        <v/>
      </c>
      <c r="I147" s="112" t="str">
        <f>IF(H147="","",IF($I$8="A",(RANK(H147,H$11:H$363,1)+COUNTIF(H$11:H147,H147)-1),(RANK(H147,H$11:H$363)+COUNTIF(H$11:H147,H147)-1)))</f>
        <v/>
      </c>
      <c r="J147" s="58"/>
      <c r="K147" s="51" t="str">
        <f t="shared" si="66"/>
        <v/>
      </c>
      <c r="L147" s="59" t="str">
        <f t="shared" si="53"/>
        <v/>
      </c>
      <c r="M147" s="153" t="str">
        <f t="shared" si="57"/>
        <v/>
      </c>
      <c r="N147" s="148" t="str">
        <f t="shared" si="58"/>
        <v/>
      </c>
      <c r="O147" s="131" t="str">
        <f t="shared" si="54"/>
        <v/>
      </c>
      <c r="P147" s="131" t="str">
        <f t="shared" si="67"/>
        <v/>
      </c>
      <c r="Q147" s="131" t="str">
        <f t="shared" si="68"/>
        <v/>
      </c>
      <c r="R147" s="127" t="str">
        <f t="shared" si="69"/>
        <v/>
      </c>
      <c r="S147" s="60" t="str">
        <f t="shared" si="59"/>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60"/>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76</v>
      </c>
      <c r="AY147" s="156"/>
      <c r="AZ147" s="44"/>
    </row>
    <row r="148" spans="1:52">
      <c r="A148" s="84" t="str">
        <f>$D$1&amp;138</f>
        <v>UA138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57</v>
      </c>
      <c r="G148" s="105"/>
      <c r="H148" s="60">
        <f t="shared" si="52"/>
        <v>57</v>
      </c>
      <c r="I148" s="112">
        <f>IF(H148="","",IF($I$8="A",(RANK(H148,H$11:H$363,1)+COUNTIF(H$11:H148,H148)-1),(RANK(H148,H$11:H$363)+COUNTIF(H$11:H148,H148)-1)))</f>
        <v>46</v>
      </c>
      <c r="J148" s="58"/>
      <c r="K148" s="51" t="str">
        <f t="shared" si="66"/>
        <v/>
      </c>
      <c r="L148" s="59" t="str">
        <f t="shared" si="53"/>
        <v/>
      </c>
      <c r="M148" s="153" t="str">
        <f t="shared" si="57"/>
        <v/>
      </c>
      <c r="N148" s="148" t="str">
        <f t="shared" si="58"/>
        <v/>
      </c>
      <c r="O148" s="131" t="str">
        <f t="shared" si="54"/>
        <v/>
      </c>
      <c r="P148" s="131" t="str">
        <f t="shared" si="67"/>
        <v/>
      </c>
      <c r="Q148" s="131" t="str">
        <f t="shared" si="68"/>
        <v/>
      </c>
      <c r="R148" s="127" t="str">
        <f t="shared" si="69"/>
        <v/>
      </c>
      <c r="S148" s="60" t="str">
        <f t="shared" si="59"/>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60"/>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57</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7"/>
        <v/>
      </c>
      <c r="N149" s="148" t="str">
        <f t="shared" si="58"/>
        <v/>
      </c>
      <c r="O149" s="131" t="str">
        <f t="shared" si="54"/>
        <v/>
      </c>
      <c r="P149" s="131" t="str">
        <f t="shared" si="67"/>
        <v/>
      </c>
      <c r="Q149" s="131" t="str">
        <f t="shared" si="68"/>
        <v/>
      </c>
      <c r="R149" s="127" t="str">
        <f t="shared" si="69"/>
        <v/>
      </c>
      <c r="S149" s="60" t="str">
        <f t="shared" si="59"/>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60"/>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79</v>
      </c>
      <c r="G150" s="105"/>
      <c r="H150" s="60" t="str">
        <f t="shared" si="52"/>
        <v/>
      </c>
      <c r="I150" s="112" t="str">
        <f>IF(H150="","",IF($I$8="A",(RANK(H150,H$11:H$363,1)+COUNTIF(H$11:H150,H150)-1),(RANK(H150,H$11:H$363)+COUNTIF(H$11:H150,H150)-1)))</f>
        <v/>
      </c>
      <c r="J150" s="58"/>
      <c r="K150" s="51" t="str">
        <f t="shared" si="66"/>
        <v/>
      </c>
      <c r="L150" s="59" t="str">
        <f t="shared" si="53"/>
        <v/>
      </c>
      <c r="M150" s="153" t="str">
        <f t="shared" si="57"/>
        <v/>
      </c>
      <c r="N150" s="148" t="str">
        <f t="shared" si="58"/>
        <v/>
      </c>
      <c r="O150" s="131" t="str">
        <f t="shared" si="54"/>
        <v/>
      </c>
      <c r="P150" s="131" t="str">
        <f t="shared" si="67"/>
        <v/>
      </c>
      <c r="Q150" s="131" t="str">
        <f t="shared" si="68"/>
        <v/>
      </c>
      <c r="R150" s="127" t="str">
        <f t="shared" si="69"/>
        <v/>
      </c>
      <c r="S150" s="60" t="str">
        <f t="shared" si="59"/>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60"/>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79</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75</v>
      </c>
      <c r="G151" s="105"/>
      <c r="H151" s="60" t="str">
        <f t="shared" si="52"/>
        <v/>
      </c>
      <c r="I151" s="112" t="str">
        <f>IF(H151="","",IF($I$8="A",(RANK(H151,H$11:H$363,1)+COUNTIF(H$11:H151,H151)-1),(RANK(H151,H$11:H$363)+COUNTIF(H$11:H151,H151)-1)))</f>
        <v/>
      </c>
      <c r="J151" s="58"/>
      <c r="K151" s="51" t="str">
        <f t="shared" si="66"/>
        <v/>
      </c>
      <c r="L151" s="59" t="str">
        <f t="shared" si="53"/>
        <v/>
      </c>
      <c r="M151" s="153" t="str">
        <f t="shared" si="57"/>
        <v/>
      </c>
      <c r="N151" s="148" t="str">
        <f t="shared" si="58"/>
        <v/>
      </c>
      <c r="O151" s="131" t="str">
        <f t="shared" si="54"/>
        <v/>
      </c>
      <c r="P151" s="131" t="str">
        <f t="shared" si="67"/>
        <v/>
      </c>
      <c r="Q151" s="131" t="str">
        <f t="shared" si="68"/>
        <v/>
      </c>
      <c r="R151" s="127" t="str">
        <f t="shared" si="69"/>
        <v/>
      </c>
      <c r="S151" s="60" t="str">
        <f t="shared" si="59"/>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60"/>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75</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75</v>
      </c>
      <c r="G152" s="105"/>
      <c r="H152" s="60" t="str">
        <f t="shared" si="52"/>
        <v/>
      </c>
      <c r="I152" s="112" t="str">
        <f>IF(H152="","",IF($I$8="A",(RANK(H152,H$11:H$363,1)+COUNTIF(H$11:H152,H152)-1),(RANK(H152,H$11:H$363)+COUNTIF(H$11:H152,H152)-1)))</f>
        <v/>
      </c>
      <c r="J152" s="58"/>
      <c r="K152" s="51" t="str">
        <f t="shared" si="66"/>
        <v/>
      </c>
      <c r="L152" s="59" t="str">
        <f t="shared" si="53"/>
        <v/>
      </c>
      <c r="M152" s="153" t="str">
        <f t="shared" si="57"/>
        <v/>
      </c>
      <c r="N152" s="148" t="str">
        <f t="shared" si="58"/>
        <v/>
      </c>
      <c r="O152" s="131" t="str">
        <f t="shared" si="54"/>
        <v/>
      </c>
      <c r="P152" s="131" t="str">
        <f t="shared" si="67"/>
        <v/>
      </c>
      <c r="Q152" s="131" t="str">
        <f t="shared" si="68"/>
        <v/>
      </c>
      <c r="R152" s="127" t="str">
        <f t="shared" si="69"/>
        <v/>
      </c>
      <c r="S152" s="60" t="str">
        <f t="shared" si="59"/>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60"/>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75</v>
      </c>
      <c r="AY152" s="156"/>
      <c r="AZ152" s="44"/>
    </row>
    <row r="153" spans="1:52">
      <c r="A153" s="84" t="str">
        <f>$D$1&amp;143</f>
        <v>UA143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89</v>
      </c>
      <c r="G153" s="105"/>
      <c r="H153" s="60" t="str">
        <f t="shared" si="52"/>
        <v/>
      </c>
      <c r="I153" s="112" t="str">
        <f>IF(H153="","",IF($I$8="A",(RANK(H153,H$11:H$363,1)+COUNTIF(H$11:H153,H153)-1),(RANK(H153,H$11:H$363)+COUNTIF(H$11:H153,H153)-1)))</f>
        <v/>
      </c>
      <c r="J153" s="58"/>
      <c r="K153" s="51" t="str">
        <f t="shared" si="66"/>
        <v/>
      </c>
      <c r="L153" s="59" t="str">
        <f t="shared" si="53"/>
        <v/>
      </c>
      <c r="M153" s="153" t="str">
        <f t="shared" si="57"/>
        <v/>
      </c>
      <c r="N153" s="148" t="str">
        <f t="shared" si="58"/>
        <v/>
      </c>
      <c r="O153" s="131" t="str">
        <f t="shared" si="54"/>
        <v/>
      </c>
      <c r="P153" s="131" t="str">
        <f t="shared" si="67"/>
        <v/>
      </c>
      <c r="Q153" s="131" t="str">
        <f t="shared" si="68"/>
        <v/>
      </c>
      <c r="R153" s="127" t="str">
        <f t="shared" si="69"/>
        <v/>
      </c>
      <c r="S153" s="60" t="str">
        <f t="shared" si="59"/>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60"/>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89</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86</v>
      </c>
      <c r="G154" s="105"/>
      <c r="H154" s="60" t="str">
        <f t="shared" si="52"/>
        <v/>
      </c>
      <c r="I154" s="112" t="str">
        <f>IF(H154="","",IF($I$8="A",(RANK(H154,H$11:H$363,1)+COUNTIF(H$11:H154,H154)-1),(RANK(H154,H$11:H$363)+COUNTIF(H$11:H154,H154)-1)))</f>
        <v/>
      </c>
      <c r="J154" s="58"/>
      <c r="K154" s="51" t="str">
        <f t="shared" si="66"/>
        <v/>
      </c>
      <c r="L154" s="59" t="str">
        <f t="shared" si="53"/>
        <v/>
      </c>
      <c r="M154" s="153" t="str">
        <f t="shared" si="57"/>
        <v/>
      </c>
      <c r="N154" s="148" t="str">
        <f t="shared" si="58"/>
        <v/>
      </c>
      <c r="O154" s="131" t="str">
        <f t="shared" si="54"/>
        <v/>
      </c>
      <c r="P154" s="131" t="str">
        <f t="shared" si="67"/>
        <v/>
      </c>
      <c r="Q154" s="131" t="str">
        <f t="shared" si="68"/>
        <v/>
      </c>
      <c r="R154" s="127" t="str">
        <f t="shared" si="69"/>
        <v/>
      </c>
      <c r="S154" s="60" t="str">
        <f t="shared" si="59"/>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60"/>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86</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75</v>
      </c>
      <c r="G155" s="105"/>
      <c r="H155" s="60" t="str">
        <f t="shared" si="52"/>
        <v/>
      </c>
      <c r="I155" s="112" t="str">
        <f>IF(H155="","",IF($I$8="A",(RANK(H155,H$11:H$363,1)+COUNTIF(H$11:H155,H155)-1),(RANK(H155,H$11:H$363)+COUNTIF(H$11:H155,H155)-1)))</f>
        <v/>
      </c>
      <c r="J155" s="58"/>
      <c r="K155" s="51" t="str">
        <f t="shared" si="66"/>
        <v/>
      </c>
      <c r="L155" s="59" t="str">
        <f t="shared" si="53"/>
        <v/>
      </c>
      <c r="M155" s="153" t="str">
        <f t="shared" si="57"/>
        <v/>
      </c>
      <c r="N155" s="148" t="str">
        <f t="shared" si="58"/>
        <v/>
      </c>
      <c r="O155" s="131" t="str">
        <f t="shared" si="54"/>
        <v/>
      </c>
      <c r="P155" s="131" t="str">
        <f t="shared" si="67"/>
        <v/>
      </c>
      <c r="Q155" s="131" t="str">
        <f t="shared" si="68"/>
        <v/>
      </c>
      <c r="R155" s="127" t="str">
        <f t="shared" si="69"/>
        <v/>
      </c>
      <c r="S155" s="60" t="str">
        <f t="shared" si="59"/>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60"/>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75</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f>VLOOKUP(C156,classifications!C:K,9,FALSE)</f>
        <v>0</v>
      </c>
      <c r="F156" s="59">
        <f t="shared" si="51"/>
        <v>68</v>
      </c>
      <c r="G156" s="105"/>
      <c r="H156" s="60" t="str">
        <f t="shared" si="52"/>
        <v/>
      </c>
      <c r="I156" s="112" t="str">
        <f>IF(H156="","",IF($I$8="A",(RANK(H156,H$11:H$363,1)+COUNTIF(H$11:H156,H156)-1),(RANK(H156,H$11:H$363)+COUNTIF(H$11:H156,H156)-1)))</f>
        <v/>
      </c>
      <c r="J156" s="58"/>
      <c r="K156" s="51" t="str">
        <f t="shared" si="66"/>
        <v/>
      </c>
      <c r="L156" s="59" t="str">
        <f t="shared" si="53"/>
        <v/>
      </c>
      <c r="M156" s="153" t="str">
        <f t="shared" si="57"/>
        <v/>
      </c>
      <c r="N156" s="148" t="str">
        <f t="shared" si="58"/>
        <v/>
      </c>
      <c r="O156" s="131" t="str">
        <f t="shared" si="54"/>
        <v/>
      </c>
      <c r="P156" s="131" t="str">
        <f t="shared" si="67"/>
        <v/>
      </c>
      <c r="Q156" s="131" t="str">
        <f t="shared" si="68"/>
        <v/>
      </c>
      <c r="R156" s="127" t="str">
        <f t="shared" si="69"/>
        <v/>
      </c>
      <c r="S156" s="60" t="str">
        <f t="shared" si="59"/>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60"/>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68</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75</v>
      </c>
      <c r="G157" s="105"/>
      <c r="H157" s="60" t="str">
        <f t="shared" si="52"/>
        <v/>
      </c>
      <c r="I157" s="112" t="str">
        <f>IF(H157="","",IF($I$8="A",(RANK(H157,H$11:H$363,1)+COUNTIF(H$11:H157,H157)-1),(RANK(H157,H$11:H$363)+COUNTIF(H$11:H157,H157)-1)))</f>
        <v/>
      </c>
      <c r="J157" s="58"/>
      <c r="K157" s="51" t="str">
        <f t="shared" si="66"/>
        <v/>
      </c>
      <c r="L157" s="59" t="str">
        <f t="shared" si="53"/>
        <v/>
      </c>
      <c r="M157" s="153" t="str">
        <f t="shared" si="57"/>
        <v/>
      </c>
      <c r="N157" s="148" t="str">
        <f t="shared" si="58"/>
        <v/>
      </c>
      <c r="O157" s="131" t="str">
        <f t="shared" si="54"/>
        <v/>
      </c>
      <c r="P157" s="131" t="str">
        <f t="shared" si="67"/>
        <v/>
      </c>
      <c r="Q157" s="131" t="str">
        <f t="shared" si="68"/>
        <v/>
      </c>
      <c r="R157" s="127" t="str">
        <f t="shared" si="69"/>
        <v/>
      </c>
      <c r="S157" s="60" t="str">
        <f t="shared" si="59"/>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60"/>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75</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f t="shared" si="51"/>
        <v>45</v>
      </c>
      <c r="G158" s="105"/>
      <c r="H158" s="60" t="str">
        <f t="shared" si="52"/>
        <v/>
      </c>
      <c r="I158" s="112" t="str">
        <f>IF(H158="","",IF($I$8="A",(RANK(H158,H$11:H$363,1)+COUNTIF(H$11:H158,H158)-1),(RANK(H158,H$11:H$363)+COUNTIF(H$11:H158,H158)-1)))</f>
        <v/>
      </c>
      <c r="J158" s="58"/>
      <c r="K158" s="51" t="str">
        <f t="shared" si="66"/>
        <v/>
      </c>
      <c r="L158" s="59" t="str">
        <f t="shared" si="53"/>
        <v/>
      </c>
      <c r="M158" s="153" t="str">
        <f t="shared" si="57"/>
        <v/>
      </c>
      <c r="N158" s="148" t="str">
        <f t="shared" si="58"/>
        <v/>
      </c>
      <c r="O158" s="131" t="str">
        <f t="shared" si="54"/>
        <v/>
      </c>
      <c r="P158" s="131" t="str">
        <f t="shared" si="67"/>
        <v/>
      </c>
      <c r="Q158" s="131" t="str">
        <f t="shared" si="68"/>
        <v/>
      </c>
      <c r="R158" s="127" t="str">
        <f t="shared" si="69"/>
        <v/>
      </c>
      <c r="S158" s="60" t="str">
        <f t="shared" si="59"/>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60"/>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45</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62</v>
      </c>
      <c r="G159" s="105"/>
      <c r="H159" s="60">
        <f t="shared" si="52"/>
        <v>62</v>
      </c>
      <c r="I159" s="112">
        <f>IF(H159="","",IF($I$8="A",(RANK(H159,H$11:H$363,1)+COUNTIF(H$11:H159,H159)-1),(RANK(H159,H$11:H$363)+COUNTIF(H$11:H159,H159)-1)))</f>
        <v>43</v>
      </c>
      <c r="J159" s="58"/>
      <c r="K159" s="51" t="str">
        <f t="shared" si="66"/>
        <v/>
      </c>
      <c r="L159" s="59" t="str">
        <f t="shared" si="53"/>
        <v/>
      </c>
      <c r="M159" s="153" t="str">
        <f t="shared" si="57"/>
        <v/>
      </c>
      <c r="N159" s="148" t="str">
        <f t="shared" si="58"/>
        <v/>
      </c>
      <c r="O159" s="131" t="str">
        <f t="shared" si="54"/>
        <v/>
      </c>
      <c r="P159" s="131" t="str">
        <f t="shared" si="67"/>
        <v/>
      </c>
      <c r="Q159" s="131" t="str">
        <f t="shared" si="68"/>
        <v/>
      </c>
      <c r="R159" s="127" t="str">
        <f t="shared" si="69"/>
        <v/>
      </c>
      <c r="S159" s="60" t="str">
        <f t="shared" si="59"/>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60"/>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62</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t="str">
        <f t="shared" si="66"/>
        <v/>
      </c>
      <c r="L160" s="59" t="str">
        <f t="shared" si="53"/>
        <v/>
      </c>
      <c r="M160" s="153" t="str">
        <f t="shared" si="57"/>
        <v/>
      </c>
      <c r="N160" s="148" t="str">
        <f t="shared" si="58"/>
        <v/>
      </c>
      <c r="O160" s="131" t="str">
        <f t="shared" si="54"/>
        <v/>
      </c>
      <c r="P160" s="131" t="str">
        <f t="shared" si="67"/>
        <v/>
      </c>
      <c r="Q160" s="131" t="str">
        <f t="shared" si="68"/>
        <v/>
      </c>
      <c r="R160" s="127" t="str">
        <f t="shared" si="69"/>
        <v/>
      </c>
      <c r="S160" s="60" t="str">
        <f t="shared" si="59"/>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60"/>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80</v>
      </c>
      <c r="G161" s="105"/>
      <c r="H161" s="60" t="str">
        <f t="shared" si="52"/>
        <v/>
      </c>
      <c r="I161" s="112" t="str">
        <f>IF(H161="","",IF($I$8="A",(RANK(H161,H$11:H$363,1)+COUNTIF(H$11:H161,H161)-1),(RANK(H161,H$11:H$363)+COUNTIF(H$11:H161,H161)-1)))</f>
        <v/>
      </c>
      <c r="J161" s="58"/>
      <c r="K161" s="51" t="str">
        <f t="shared" si="66"/>
        <v/>
      </c>
      <c r="L161" s="59" t="str">
        <f t="shared" si="53"/>
        <v/>
      </c>
      <c r="M161" s="153" t="str">
        <f t="shared" si="57"/>
        <v/>
      </c>
      <c r="N161" s="148" t="str">
        <f t="shared" si="58"/>
        <v/>
      </c>
      <c r="O161" s="131" t="str">
        <f t="shared" si="54"/>
        <v/>
      </c>
      <c r="P161" s="131" t="str">
        <f t="shared" si="67"/>
        <v/>
      </c>
      <c r="Q161" s="131" t="str">
        <f t="shared" si="68"/>
        <v/>
      </c>
      <c r="R161" s="127" t="str">
        <f t="shared" si="69"/>
        <v/>
      </c>
      <c r="S161" s="60" t="str">
        <f t="shared" si="59"/>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60"/>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80</v>
      </c>
      <c r="AY161" s="156"/>
      <c r="AZ161" s="44"/>
    </row>
    <row r="162" spans="1:52">
      <c r="A162" s="84" t="str">
        <f>$D$1&amp;152</f>
        <v>UA152</v>
      </c>
      <c r="B162" s="85">
        <f>IF(ISERROR(VLOOKUP(A162,classifications!A:C,3,FALSE)),0,VLOOKUP(A162,classifications!A:C,3,FALSE))</f>
        <v>0</v>
      </c>
      <c r="C162" s="31" t="s">
        <v>340</v>
      </c>
      <c r="D162" s="49" t="str">
        <f>VLOOKUP($C162,classifications!$C:$J,4,FALSE)</f>
        <v>L</v>
      </c>
      <c r="E162" s="49">
        <f>VLOOKUP(C162,classifications!C:K,9,FALSE)</f>
        <v>0</v>
      </c>
      <c r="F162" s="59">
        <f t="shared" si="51"/>
        <v>94</v>
      </c>
      <c r="G162" s="105"/>
      <c r="H162" s="60" t="str">
        <f t="shared" si="52"/>
        <v/>
      </c>
      <c r="I162" s="112" t="str">
        <f>IF(H162="","",IF($I$8="A",(RANK(H162,H$11:H$363,1)+COUNTIF(H$11:H162,H162)-1),(RANK(H162,H$11:H$363)+COUNTIF(H$11:H162,H162)-1)))</f>
        <v/>
      </c>
      <c r="J162" s="58"/>
      <c r="K162" s="51" t="str">
        <f t="shared" si="66"/>
        <v/>
      </c>
      <c r="L162" s="59" t="str">
        <f t="shared" si="53"/>
        <v/>
      </c>
      <c r="M162" s="153" t="str">
        <f t="shared" si="57"/>
        <v/>
      </c>
      <c r="N162" s="148" t="str">
        <f t="shared" si="58"/>
        <v/>
      </c>
      <c r="O162" s="131" t="str">
        <f t="shared" si="54"/>
        <v/>
      </c>
      <c r="P162" s="131" t="str">
        <f t="shared" si="67"/>
        <v/>
      </c>
      <c r="Q162" s="131" t="str">
        <f t="shared" si="68"/>
        <v/>
      </c>
      <c r="R162" s="127" t="str">
        <f t="shared" si="69"/>
        <v/>
      </c>
      <c r="S162" s="60" t="str">
        <f t="shared" si="59"/>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60"/>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94</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7"/>
        <v/>
      </c>
      <c r="N163" s="148" t="str">
        <f t="shared" si="58"/>
        <v/>
      </c>
      <c r="O163" s="131" t="str">
        <f t="shared" si="54"/>
        <v/>
      </c>
      <c r="P163" s="131" t="str">
        <f t="shared" si="67"/>
        <v/>
      </c>
      <c r="Q163" s="131" t="str">
        <f t="shared" si="68"/>
        <v/>
      </c>
      <c r="R163" s="127" t="str">
        <f t="shared" si="69"/>
        <v/>
      </c>
      <c r="S163" s="60" t="str">
        <f t="shared" si="59"/>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60"/>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50</v>
      </c>
      <c r="G164" s="105"/>
      <c r="H164" s="60" t="str">
        <f t="shared" si="52"/>
        <v/>
      </c>
      <c r="I164" s="112" t="str">
        <f>IF(H164="","",IF($I$8="A",(RANK(H164,H$11:H$363,1)+COUNTIF(H$11:H164,H164)-1),(RANK(H164,H$11:H$363)+COUNTIF(H$11:H164,H164)-1)))</f>
        <v/>
      </c>
      <c r="J164" s="58"/>
      <c r="K164" s="51" t="str">
        <f t="shared" si="66"/>
        <v/>
      </c>
      <c r="L164" s="59" t="str">
        <f t="shared" si="53"/>
        <v/>
      </c>
      <c r="M164" s="153" t="str">
        <f t="shared" si="57"/>
        <v/>
      </c>
      <c r="N164" s="148" t="str">
        <f t="shared" si="58"/>
        <v/>
      </c>
      <c r="O164" s="131" t="str">
        <f t="shared" si="54"/>
        <v/>
      </c>
      <c r="P164" s="131" t="str">
        <f t="shared" si="67"/>
        <v/>
      </c>
      <c r="Q164" s="131" t="str">
        <f t="shared" si="68"/>
        <v/>
      </c>
      <c r="R164" s="127" t="str">
        <f t="shared" si="69"/>
        <v/>
      </c>
      <c r="S164" s="60" t="str">
        <f t="shared" si="59"/>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60"/>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50</v>
      </c>
      <c r="AY164" s="156"/>
      <c r="AZ164" s="44"/>
    </row>
    <row r="165" spans="1:52">
      <c r="A165" s="84" t="str">
        <f>$D$1&amp;155</f>
        <v>UA155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67</v>
      </c>
      <c r="G165" s="105"/>
      <c r="H165" s="60" t="str">
        <f t="shared" si="52"/>
        <v/>
      </c>
      <c r="I165" s="112" t="str">
        <f>IF(H165="","",IF($I$8="A",(RANK(H165,H$11:H$363,1)+COUNTIF(H$11:H165,H165)-1),(RANK(H165,H$11:H$363)+COUNTIF(H$11:H165,H165)-1)))</f>
        <v/>
      </c>
      <c r="J165" s="58"/>
      <c r="K165" s="51" t="str">
        <f t="shared" si="66"/>
        <v/>
      </c>
      <c r="L165" s="59" t="str">
        <f t="shared" si="53"/>
        <v/>
      </c>
      <c r="M165" s="153" t="str">
        <f t="shared" si="57"/>
        <v/>
      </c>
      <c r="N165" s="148" t="str">
        <f t="shared" si="58"/>
        <v/>
      </c>
      <c r="O165" s="131" t="str">
        <f t="shared" si="54"/>
        <v/>
      </c>
      <c r="P165" s="131" t="str">
        <f t="shared" si="67"/>
        <v/>
      </c>
      <c r="Q165" s="131" t="str">
        <f t="shared" si="68"/>
        <v/>
      </c>
      <c r="R165" s="127" t="str">
        <f t="shared" si="69"/>
        <v/>
      </c>
      <c r="S165" s="60" t="str">
        <f t="shared" si="59"/>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60"/>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67</v>
      </c>
      <c r="AY165" s="156"/>
      <c r="AZ165" s="44"/>
    </row>
    <row r="166" spans="1:52">
      <c r="A166" s="84" t="str">
        <f>$D$1&amp;156</f>
        <v>UA156</v>
      </c>
      <c r="B166" s="85">
        <f>IF(ISERROR(VLOOKUP(A166,classifications!A:C,3,FALSE)),0,VLOOKUP(A166,classifications!A:C,3,FALSE))</f>
        <v>0</v>
      </c>
      <c r="C166" s="31" t="s">
        <v>827</v>
      </c>
      <c r="D166" s="49" t="str">
        <f>VLOOKUP($C166,classifications!$C:$J,4,FALSE)</f>
        <v>UA</v>
      </c>
      <c r="E166" s="49">
        <f>VLOOKUP(C166,classifications!C:K,9,FALSE)</f>
        <v>0</v>
      </c>
      <c r="F166" s="59">
        <f t="shared" si="51"/>
        <v>74</v>
      </c>
      <c r="G166" s="105"/>
      <c r="H166" s="60">
        <f t="shared" si="52"/>
        <v>74</v>
      </c>
      <c r="I166" s="112">
        <f>IF(H166="","",IF($I$8="A",(RANK(H166,H$11:H$363,1)+COUNTIF(H$11:H166,H166)-1),(RANK(H166,H$11:H$363)+COUNTIF(H$11:H166,H166)-1)))</f>
        <v>21</v>
      </c>
      <c r="J166" s="58"/>
      <c r="K166" s="51" t="str">
        <f t="shared" si="66"/>
        <v/>
      </c>
      <c r="L166" s="59" t="str">
        <f t="shared" si="53"/>
        <v/>
      </c>
      <c r="M166" s="153" t="str">
        <f t="shared" si="57"/>
        <v/>
      </c>
      <c r="N166" s="148" t="str">
        <f t="shared" si="58"/>
        <v/>
      </c>
      <c r="O166" s="131" t="str">
        <f t="shared" si="54"/>
        <v/>
      </c>
      <c r="P166" s="131" t="str">
        <f t="shared" si="67"/>
        <v/>
      </c>
      <c r="Q166" s="131" t="str">
        <f t="shared" si="68"/>
        <v/>
      </c>
      <c r="R166" s="127" t="str">
        <f t="shared" si="69"/>
        <v/>
      </c>
      <c r="S166" s="60" t="str">
        <f t="shared" si="59"/>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60"/>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74</v>
      </c>
      <c r="AY166" s="156"/>
      <c r="AZ166" s="44"/>
    </row>
    <row r="167" spans="1:52">
      <c r="A167" s="84" t="str">
        <f>$D$1&amp;157</f>
        <v>UA157</v>
      </c>
      <c r="B167" s="85">
        <f>IF(ISERROR(VLOOKUP(A167,classifications!A:C,3,FALSE)),0,VLOOKUP(A167,classifications!A:C,3,FALSE))</f>
        <v>0</v>
      </c>
      <c r="C167" s="31" t="s">
        <v>400</v>
      </c>
      <c r="D167" s="49" t="str">
        <f>VLOOKUP($C167,classifications!$C:$J,4,FALSE)</f>
        <v>L</v>
      </c>
      <c r="E167" s="49">
        <f>VLOOKUP(C167,classifications!C:K,9,FALSE)</f>
        <v>0</v>
      </c>
      <c r="F167" s="59">
        <f t="shared" si="51"/>
        <v>87</v>
      </c>
      <c r="G167" s="105"/>
      <c r="H167" s="60" t="str">
        <f t="shared" si="52"/>
        <v/>
      </c>
      <c r="I167" s="112" t="str">
        <f>IF(H167="","",IF($I$8="A",(RANK(H167,H$11:H$363,1)+COUNTIF(H$11:H167,H167)-1),(RANK(H167,H$11:H$363)+COUNTIF(H$11:H167,H167)-1)))</f>
        <v/>
      </c>
      <c r="J167" s="58"/>
      <c r="K167" s="51" t="str">
        <f t="shared" si="66"/>
        <v/>
      </c>
      <c r="L167" s="59" t="str">
        <f t="shared" si="53"/>
        <v/>
      </c>
      <c r="M167" s="153" t="str">
        <f t="shared" si="57"/>
        <v/>
      </c>
      <c r="N167" s="148" t="str">
        <f t="shared" si="58"/>
        <v/>
      </c>
      <c r="O167" s="131" t="str">
        <f t="shared" si="54"/>
        <v/>
      </c>
      <c r="P167" s="131" t="str">
        <f t="shared" si="67"/>
        <v/>
      </c>
      <c r="Q167" s="131" t="str">
        <f t="shared" si="68"/>
        <v/>
      </c>
      <c r="R167" s="127" t="str">
        <f t="shared" si="69"/>
        <v/>
      </c>
      <c r="S167" s="60" t="str">
        <f t="shared" si="59"/>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60"/>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87</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79</v>
      </c>
      <c r="G168" s="105"/>
      <c r="H168" s="60" t="str">
        <f t="shared" si="52"/>
        <v/>
      </c>
      <c r="I168" s="112" t="str">
        <f>IF(H168="","",IF($I$8="A",(RANK(H168,H$11:H$363,1)+COUNTIF(H$11:H168,H168)-1),(RANK(H168,H$11:H$363)+COUNTIF(H$11:H168,H168)-1)))</f>
        <v/>
      </c>
      <c r="J168" s="58"/>
      <c r="K168" s="51" t="str">
        <f t="shared" si="66"/>
        <v/>
      </c>
      <c r="L168" s="59" t="str">
        <f t="shared" si="53"/>
        <v/>
      </c>
      <c r="M168" s="153" t="str">
        <f t="shared" si="57"/>
        <v/>
      </c>
      <c r="N168" s="148" t="str">
        <f t="shared" si="58"/>
        <v/>
      </c>
      <c r="O168" s="131" t="str">
        <f t="shared" si="54"/>
        <v/>
      </c>
      <c r="P168" s="131" t="str">
        <f t="shared" si="67"/>
        <v/>
      </c>
      <c r="Q168" s="131" t="str">
        <f t="shared" si="68"/>
        <v/>
      </c>
      <c r="R168" s="127" t="str">
        <f t="shared" si="69"/>
        <v/>
      </c>
      <c r="S168" s="60" t="str">
        <f t="shared" si="59"/>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60"/>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79</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78</v>
      </c>
      <c r="G169" s="105"/>
      <c r="H169" s="60" t="str">
        <f t="shared" si="52"/>
        <v/>
      </c>
      <c r="I169" s="112" t="str">
        <f>IF(H169="","",IF($I$8="A",(RANK(H169,H$11:H$363,1)+COUNTIF(H$11:H169,H169)-1),(RANK(H169,H$11:H$363)+COUNTIF(H$11:H169,H169)-1)))</f>
        <v/>
      </c>
      <c r="J169" s="58"/>
      <c r="K169" s="51" t="str">
        <f t="shared" si="66"/>
        <v/>
      </c>
      <c r="L169" s="59" t="str">
        <f t="shared" si="53"/>
        <v/>
      </c>
      <c r="M169" s="153" t="str">
        <f t="shared" si="57"/>
        <v/>
      </c>
      <c r="N169" s="148" t="str">
        <f t="shared" si="58"/>
        <v/>
      </c>
      <c r="O169" s="131" t="str">
        <f t="shared" si="54"/>
        <v/>
      </c>
      <c r="P169" s="131" t="str">
        <f t="shared" si="67"/>
        <v/>
      </c>
      <c r="Q169" s="131" t="str">
        <f t="shared" si="68"/>
        <v/>
      </c>
      <c r="R169" s="127" t="str">
        <f t="shared" si="69"/>
        <v/>
      </c>
      <c r="S169" s="60" t="str">
        <f t="shared" si="59"/>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60"/>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78</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78</v>
      </c>
      <c r="G170" s="105"/>
      <c r="H170" s="60" t="str">
        <f t="shared" si="52"/>
        <v/>
      </c>
      <c r="I170" s="112" t="str">
        <f>IF(H170="","",IF($I$8="A",(RANK(H170,H$11:H$363,1)+COUNTIF(H$11:H170,H170)-1),(RANK(H170,H$11:H$363)+COUNTIF(H$11:H170,H170)-1)))</f>
        <v/>
      </c>
      <c r="J170" s="58"/>
      <c r="K170" s="51" t="str">
        <f t="shared" si="66"/>
        <v/>
      </c>
      <c r="L170" s="59" t="str">
        <f t="shared" si="53"/>
        <v/>
      </c>
      <c r="M170" s="153" t="str">
        <f t="shared" si="57"/>
        <v/>
      </c>
      <c r="N170" s="148" t="str">
        <f t="shared" si="58"/>
        <v/>
      </c>
      <c r="O170" s="131" t="str">
        <f t="shared" si="54"/>
        <v/>
      </c>
      <c r="P170" s="131" t="str">
        <f t="shared" si="67"/>
        <v/>
      </c>
      <c r="Q170" s="131" t="str">
        <f t="shared" si="68"/>
        <v/>
      </c>
      <c r="R170" s="127" t="str">
        <f t="shared" si="69"/>
        <v/>
      </c>
      <c r="S170" s="60" t="str">
        <f t="shared" si="59"/>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60"/>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78</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7"/>
        <v/>
      </c>
      <c r="N171" s="148" t="str">
        <f t="shared" si="58"/>
        <v/>
      </c>
      <c r="O171" s="131" t="str">
        <f t="shared" si="54"/>
        <v/>
      </c>
      <c r="P171" s="131" t="str">
        <f t="shared" si="67"/>
        <v/>
      </c>
      <c r="Q171" s="131" t="str">
        <f t="shared" si="68"/>
        <v/>
      </c>
      <c r="R171" s="127" t="str">
        <f t="shared" si="69"/>
        <v/>
      </c>
      <c r="S171" s="60" t="str">
        <f t="shared" si="59"/>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60"/>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68</v>
      </c>
      <c r="G172" s="105"/>
      <c r="H172" s="60" t="str">
        <f t="shared" si="52"/>
        <v/>
      </c>
      <c r="I172" s="112" t="str">
        <f>IF(H172="","",IF($I$8="A",(RANK(H172,H$11:H$363,1)+COUNTIF(H$11:H172,H172)-1),(RANK(H172,H$11:H$363)+COUNTIF(H$11:H172,H172)-1)))</f>
        <v/>
      </c>
      <c r="J172" s="58"/>
      <c r="K172" s="51" t="str">
        <f t="shared" si="66"/>
        <v/>
      </c>
      <c r="L172" s="59" t="str">
        <f t="shared" si="53"/>
        <v/>
      </c>
      <c r="M172" s="153" t="str">
        <f t="shared" si="57"/>
        <v/>
      </c>
      <c r="N172" s="148" t="str">
        <f t="shared" si="58"/>
        <v/>
      </c>
      <c r="O172" s="131" t="str">
        <f t="shared" si="54"/>
        <v/>
      </c>
      <c r="P172" s="131" t="str">
        <f t="shared" si="67"/>
        <v/>
      </c>
      <c r="Q172" s="131" t="str">
        <f t="shared" si="68"/>
        <v/>
      </c>
      <c r="R172" s="127" t="str">
        <f t="shared" si="69"/>
        <v/>
      </c>
      <c r="S172" s="60" t="str">
        <f t="shared" si="59"/>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60"/>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68</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83</v>
      </c>
      <c r="G173" s="105"/>
      <c r="H173" s="60" t="str">
        <f t="shared" si="52"/>
        <v/>
      </c>
      <c r="I173" s="112" t="str">
        <f>IF(H173="","",IF($I$8="A",(RANK(H173,H$11:H$363,1)+COUNTIF(H$11:H173,H173)-1),(RANK(H173,H$11:H$363)+COUNTIF(H$11:H173,H173)-1)))</f>
        <v/>
      </c>
      <c r="J173" s="58"/>
      <c r="K173" s="51" t="str">
        <f t="shared" si="66"/>
        <v/>
      </c>
      <c r="L173" s="59" t="str">
        <f t="shared" si="53"/>
        <v/>
      </c>
      <c r="M173" s="153" t="str">
        <f t="shared" si="57"/>
        <v/>
      </c>
      <c r="N173" s="148" t="str">
        <f t="shared" si="58"/>
        <v/>
      </c>
      <c r="O173" s="131" t="str">
        <f t="shared" si="54"/>
        <v/>
      </c>
      <c r="P173" s="131" t="str">
        <f t="shared" si="67"/>
        <v/>
      </c>
      <c r="Q173" s="131" t="str">
        <f t="shared" si="68"/>
        <v/>
      </c>
      <c r="R173" s="127" t="str">
        <f t="shared" si="69"/>
        <v/>
      </c>
      <c r="S173" s="60" t="str">
        <f t="shared" si="59"/>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60"/>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83</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71</v>
      </c>
      <c r="G174" s="105"/>
      <c r="H174" s="60">
        <f t="shared" si="52"/>
        <v>71</v>
      </c>
      <c r="I174" s="112">
        <f>IF(H174="","",IF($I$8="A",(RANK(H174,H$11:H$363,1)+COUNTIF(H$11:H174,H174)-1),(RANK(H174,H$11:H$363)+COUNTIF(H$11:H174,H174)-1)))</f>
        <v>30</v>
      </c>
      <c r="J174" s="58"/>
      <c r="K174" s="51" t="str">
        <f t="shared" si="66"/>
        <v/>
      </c>
      <c r="L174" s="59" t="str">
        <f t="shared" si="53"/>
        <v/>
      </c>
      <c r="M174" s="153" t="str">
        <f t="shared" si="57"/>
        <v/>
      </c>
      <c r="N174" s="148" t="str">
        <f t="shared" si="58"/>
        <v/>
      </c>
      <c r="O174" s="131" t="str">
        <f t="shared" si="54"/>
        <v/>
      </c>
      <c r="P174" s="131" t="str">
        <f t="shared" si="67"/>
        <v/>
      </c>
      <c r="Q174" s="131" t="str">
        <f t="shared" si="68"/>
        <v/>
      </c>
      <c r="R174" s="127" t="str">
        <f t="shared" si="69"/>
        <v/>
      </c>
      <c r="S174" s="60" t="str">
        <f t="shared" si="59"/>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60"/>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71</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7"/>
        <v/>
      </c>
      <c r="N175" s="148" t="str">
        <f t="shared" si="58"/>
        <v/>
      </c>
      <c r="O175" s="131" t="str">
        <f t="shared" si="54"/>
        <v/>
      </c>
      <c r="P175" s="131" t="str">
        <f t="shared" si="67"/>
        <v/>
      </c>
      <c r="Q175" s="131" t="str">
        <f t="shared" si="68"/>
        <v/>
      </c>
      <c r="R175" s="127" t="str">
        <f t="shared" si="69"/>
        <v/>
      </c>
      <c r="S175" s="60" t="str">
        <f t="shared" si="59"/>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60"/>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75</v>
      </c>
      <c r="G176" s="105"/>
      <c r="H176" s="60" t="str">
        <f t="shared" si="52"/>
        <v/>
      </c>
      <c r="I176" s="112" t="str">
        <f>IF(H176="","",IF($I$8="A",(RANK(H176,H$11:H$363,1)+COUNTIF(H$11:H176,H176)-1),(RANK(H176,H$11:H$363)+COUNTIF(H$11:H176,H176)-1)))</f>
        <v/>
      </c>
      <c r="J176" s="58"/>
      <c r="K176" s="51" t="str">
        <f t="shared" si="66"/>
        <v/>
      </c>
      <c r="L176" s="59" t="str">
        <f t="shared" si="53"/>
        <v/>
      </c>
      <c r="M176" s="153" t="str">
        <f t="shared" si="57"/>
        <v/>
      </c>
      <c r="N176" s="148" t="str">
        <f t="shared" si="58"/>
        <v/>
      </c>
      <c r="O176" s="131" t="str">
        <f t="shared" si="54"/>
        <v/>
      </c>
      <c r="P176" s="131" t="str">
        <f t="shared" si="67"/>
        <v/>
      </c>
      <c r="Q176" s="131" t="str">
        <f t="shared" si="68"/>
        <v/>
      </c>
      <c r="R176" s="127" t="str">
        <f t="shared" si="69"/>
        <v/>
      </c>
      <c r="S176" s="60" t="str">
        <f t="shared" si="59"/>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60"/>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75</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87</v>
      </c>
      <c r="G177" s="105"/>
      <c r="H177" s="60" t="str">
        <f t="shared" si="52"/>
        <v/>
      </c>
      <c r="I177" s="112" t="str">
        <f>IF(H177="","",IF($I$8="A",(RANK(H177,H$11:H$363,1)+COUNTIF(H$11:H177,H177)-1),(RANK(H177,H$11:H$363)+COUNTIF(H$11:H177,H177)-1)))</f>
        <v/>
      </c>
      <c r="J177" s="58"/>
      <c r="K177" s="51" t="str">
        <f t="shared" si="66"/>
        <v/>
      </c>
      <c r="L177" s="59" t="str">
        <f t="shared" si="53"/>
        <v/>
      </c>
      <c r="M177" s="153" t="str">
        <f t="shared" si="57"/>
        <v/>
      </c>
      <c r="N177" s="148" t="str">
        <f t="shared" si="58"/>
        <v/>
      </c>
      <c r="O177" s="131" t="str">
        <f t="shared" si="54"/>
        <v/>
      </c>
      <c r="P177" s="131" t="str">
        <f t="shared" si="67"/>
        <v/>
      </c>
      <c r="Q177" s="131" t="str">
        <f t="shared" si="68"/>
        <v/>
      </c>
      <c r="R177" s="127" t="str">
        <f t="shared" si="69"/>
        <v/>
      </c>
      <c r="S177" s="60" t="str">
        <f t="shared" si="59"/>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60"/>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87</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f>VLOOKUP(C178,classifications!C:K,9,FALSE)</f>
        <v>0</v>
      </c>
      <c r="F178" s="59">
        <f t="shared" si="51"/>
        <v>82</v>
      </c>
      <c r="G178" s="105"/>
      <c r="H178" s="60" t="str">
        <f t="shared" si="52"/>
        <v/>
      </c>
      <c r="I178" s="112" t="str">
        <f>IF(H178="","",IF($I$8="A",(RANK(H178,H$11:H$363,1)+COUNTIF(H$11:H178,H178)-1),(RANK(H178,H$11:H$363)+COUNTIF(H$11:H178,H178)-1)))</f>
        <v/>
      </c>
      <c r="J178" s="58"/>
      <c r="K178" s="51" t="str">
        <f t="shared" si="66"/>
        <v/>
      </c>
      <c r="L178" s="59" t="str">
        <f t="shared" si="53"/>
        <v/>
      </c>
      <c r="M178" s="153" t="str">
        <f t="shared" si="57"/>
        <v/>
      </c>
      <c r="N178" s="148" t="str">
        <f t="shared" si="58"/>
        <v/>
      </c>
      <c r="O178" s="131" t="str">
        <f t="shared" si="54"/>
        <v/>
      </c>
      <c r="P178" s="131" t="str">
        <f t="shared" si="67"/>
        <v/>
      </c>
      <c r="Q178" s="131" t="str">
        <f t="shared" si="68"/>
        <v/>
      </c>
      <c r="R178" s="127" t="str">
        <f t="shared" si="69"/>
        <v/>
      </c>
      <c r="S178" s="60" t="str">
        <f t="shared" si="59"/>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60"/>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82</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71</v>
      </c>
      <c r="G179" s="105"/>
      <c r="H179" s="60" t="str">
        <f t="shared" si="52"/>
        <v/>
      </c>
      <c r="I179" s="112" t="str">
        <f>IF(H179="","",IF($I$8="A",(RANK(H179,H$11:H$363,1)+COUNTIF(H$11:H179,H179)-1),(RANK(H179,H$11:H$363)+COUNTIF(H$11:H179,H179)-1)))</f>
        <v/>
      </c>
      <c r="J179" s="58"/>
      <c r="K179" s="51" t="str">
        <f t="shared" si="66"/>
        <v/>
      </c>
      <c r="L179" s="59" t="str">
        <f t="shared" si="53"/>
        <v/>
      </c>
      <c r="M179" s="153" t="str">
        <f t="shared" si="57"/>
        <v/>
      </c>
      <c r="N179" s="148" t="str">
        <f t="shared" si="58"/>
        <v/>
      </c>
      <c r="O179" s="131" t="str">
        <f t="shared" si="54"/>
        <v/>
      </c>
      <c r="P179" s="131" t="str">
        <f t="shared" si="67"/>
        <v/>
      </c>
      <c r="Q179" s="131" t="str">
        <f t="shared" si="68"/>
        <v/>
      </c>
      <c r="R179" s="127" t="str">
        <f t="shared" si="69"/>
        <v/>
      </c>
      <c r="S179" s="60" t="str">
        <f t="shared" si="59"/>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60"/>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71</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7"/>
        <v/>
      </c>
      <c r="N180" s="148" t="str">
        <f t="shared" si="58"/>
        <v/>
      </c>
      <c r="O180" s="131" t="str">
        <f t="shared" si="54"/>
        <v/>
      </c>
      <c r="P180" s="131" t="str">
        <f t="shared" si="67"/>
        <v/>
      </c>
      <c r="Q180" s="131" t="str">
        <f t="shared" si="68"/>
        <v/>
      </c>
      <c r="R180" s="127" t="str">
        <f t="shared" si="69"/>
        <v/>
      </c>
      <c r="S180" s="60" t="str">
        <f t="shared" si="59"/>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60"/>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58</v>
      </c>
      <c r="G181" s="105"/>
      <c r="H181" s="60" t="str">
        <f t="shared" si="52"/>
        <v/>
      </c>
      <c r="I181" s="112" t="str">
        <f>IF(H181="","",IF($I$8="A",(RANK(H181,H$11:H$363,1)+COUNTIF(H$11:H181,H181)-1),(RANK(H181,H$11:H$363)+COUNTIF(H$11:H181,H181)-1)))</f>
        <v/>
      </c>
      <c r="J181" s="58"/>
      <c r="K181" s="51" t="str">
        <f t="shared" si="66"/>
        <v/>
      </c>
      <c r="L181" s="59" t="str">
        <f t="shared" si="53"/>
        <v/>
      </c>
      <c r="M181" s="153" t="str">
        <f t="shared" si="57"/>
        <v/>
      </c>
      <c r="N181" s="148" t="str">
        <f t="shared" si="58"/>
        <v/>
      </c>
      <c r="O181" s="131" t="str">
        <f t="shared" si="54"/>
        <v/>
      </c>
      <c r="P181" s="131" t="str">
        <f t="shared" si="67"/>
        <v/>
      </c>
      <c r="Q181" s="131" t="str">
        <f t="shared" si="68"/>
        <v/>
      </c>
      <c r="R181" s="127" t="str">
        <f t="shared" si="69"/>
        <v/>
      </c>
      <c r="S181" s="60" t="str">
        <f t="shared" si="59"/>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60"/>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58</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74</v>
      </c>
      <c r="G182" s="105"/>
      <c r="H182" s="60">
        <f t="shared" si="52"/>
        <v>74</v>
      </c>
      <c r="I182" s="112">
        <f>IF(H182="","",IF($I$8="A",(RANK(H182,H$11:H$363,1)+COUNTIF(H$11:H182,H182)-1),(RANK(H182,H$11:H$363)+COUNTIF(H$11:H182,H182)-1)))</f>
        <v>22</v>
      </c>
      <c r="J182" s="58"/>
      <c r="K182" s="51" t="str">
        <f t="shared" si="66"/>
        <v/>
      </c>
      <c r="L182" s="59" t="str">
        <f t="shared" si="53"/>
        <v/>
      </c>
      <c r="M182" s="153" t="str">
        <f t="shared" si="57"/>
        <v/>
      </c>
      <c r="N182" s="148" t="str">
        <f t="shared" si="58"/>
        <v/>
      </c>
      <c r="O182" s="131" t="str">
        <f t="shared" si="54"/>
        <v/>
      </c>
      <c r="P182" s="131" t="str">
        <f t="shared" si="67"/>
        <v/>
      </c>
      <c r="Q182" s="131" t="str">
        <f t="shared" si="68"/>
        <v/>
      </c>
      <c r="R182" s="127" t="str">
        <f t="shared" si="69"/>
        <v/>
      </c>
      <c r="S182" s="60" t="str">
        <f t="shared" si="59"/>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60"/>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74</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60</v>
      </c>
      <c r="G183" s="105"/>
      <c r="H183" s="60" t="str">
        <f t="shared" si="52"/>
        <v/>
      </c>
      <c r="I183" s="112" t="str">
        <f>IF(H183="","",IF($I$8="A",(RANK(H183,H$11:H$363,1)+COUNTIF(H$11:H183,H183)-1),(RANK(H183,H$11:H$363)+COUNTIF(H$11:H183,H183)-1)))</f>
        <v/>
      </c>
      <c r="J183" s="58"/>
      <c r="K183" s="51" t="str">
        <f t="shared" si="66"/>
        <v/>
      </c>
      <c r="L183" s="59" t="str">
        <f t="shared" si="53"/>
        <v/>
      </c>
      <c r="M183" s="153" t="str">
        <f t="shared" si="57"/>
        <v/>
      </c>
      <c r="N183" s="148" t="str">
        <f t="shared" si="58"/>
        <v/>
      </c>
      <c r="O183" s="131" t="str">
        <f t="shared" si="54"/>
        <v/>
      </c>
      <c r="P183" s="131" t="str">
        <f t="shared" si="67"/>
        <v/>
      </c>
      <c r="Q183" s="131" t="str">
        <f t="shared" si="68"/>
        <v/>
      </c>
      <c r="R183" s="127" t="str">
        <f t="shared" si="69"/>
        <v/>
      </c>
      <c r="S183" s="60" t="str">
        <f t="shared" si="59"/>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60"/>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60</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51</v>
      </c>
      <c r="G184" s="105"/>
      <c r="H184" s="60" t="str">
        <f t="shared" si="52"/>
        <v/>
      </c>
      <c r="I184" s="112" t="str">
        <f>IF(H184="","",IF($I$8="A",(RANK(H184,H$11:H$363,1)+COUNTIF(H$11:H184,H184)-1),(RANK(H184,H$11:H$363)+COUNTIF(H$11:H184,H184)-1)))</f>
        <v/>
      </c>
      <c r="J184" s="58"/>
      <c r="K184" s="51" t="str">
        <f t="shared" si="66"/>
        <v/>
      </c>
      <c r="L184" s="59" t="str">
        <f t="shared" si="53"/>
        <v/>
      </c>
      <c r="M184" s="153" t="str">
        <f t="shared" si="57"/>
        <v/>
      </c>
      <c r="N184" s="148" t="str">
        <f t="shared" si="58"/>
        <v/>
      </c>
      <c r="O184" s="131" t="str">
        <f t="shared" si="54"/>
        <v/>
      </c>
      <c r="P184" s="131" t="str">
        <f t="shared" si="67"/>
        <v/>
      </c>
      <c r="Q184" s="131" t="str">
        <f t="shared" si="68"/>
        <v/>
      </c>
      <c r="R184" s="127" t="str">
        <f t="shared" si="69"/>
        <v/>
      </c>
      <c r="S184" s="60" t="str">
        <f t="shared" si="59"/>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60"/>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51</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48</v>
      </c>
      <c r="G185" s="105"/>
      <c r="H185" s="60" t="str">
        <f t="shared" si="52"/>
        <v/>
      </c>
      <c r="I185" s="112" t="str">
        <f>IF(H185="","",IF($I$8="A",(RANK(H185,H$11:H$363,1)+COUNTIF(H$11:H185,H185)-1),(RANK(H185,H$11:H$363)+COUNTIF(H$11:H185,H185)-1)))</f>
        <v/>
      </c>
      <c r="J185" s="58"/>
      <c r="K185" s="51" t="str">
        <f t="shared" si="66"/>
        <v/>
      </c>
      <c r="L185" s="59" t="str">
        <f t="shared" si="53"/>
        <v/>
      </c>
      <c r="M185" s="153" t="str">
        <f t="shared" si="57"/>
        <v/>
      </c>
      <c r="N185" s="148" t="str">
        <f t="shared" si="58"/>
        <v/>
      </c>
      <c r="O185" s="131" t="str">
        <f t="shared" si="54"/>
        <v/>
      </c>
      <c r="P185" s="131" t="str">
        <f t="shared" si="67"/>
        <v/>
      </c>
      <c r="Q185" s="131" t="str">
        <f t="shared" si="68"/>
        <v/>
      </c>
      <c r="R185" s="127" t="str">
        <f t="shared" si="69"/>
        <v/>
      </c>
      <c r="S185" s="60" t="str">
        <f t="shared" si="59"/>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60"/>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48</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71</v>
      </c>
      <c r="G186" s="105"/>
      <c r="H186" s="60" t="str">
        <f t="shared" si="52"/>
        <v/>
      </c>
      <c r="I186" s="112" t="str">
        <f>IF(H186="","",IF($I$8="A",(RANK(H186,H$11:H$363,1)+COUNTIF(H$11:H186,H186)-1),(RANK(H186,H$11:H$363)+COUNTIF(H$11:H186,H186)-1)))</f>
        <v/>
      </c>
      <c r="J186" s="58"/>
      <c r="K186" s="51" t="str">
        <f t="shared" si="66"/>
        <v/>
      </c>
      <c r="L186" s="59" t="str">
        <f t="shared" si="53"/>
        <v/>
      </c>
      <c r="M186" s="153" t="str">
        <f t="shared" si="57"/>
        <v/>
      </c>
      <c r="N186" s="148" t="str">
        <f t="shared" si="58"/>
        <v/>
      </c>
      <c r="O186" s="131" t="str">
        <f t="shared" si="54"/>
        <v/>
      </c>
      <c r="P186" s="131" t="str">
        <f t="shared" si="67"/>
        <v/>
      </c>
      <c r="Q186" s="131" t="str">
        <f t="shared" si="68"/>
        <v/>
      </c>
      <c r="R186" s="127" t="str">
        <f t="shared" si="69"/>
        <v/>
      </c>
      <c r="S186" s="60" t="str">
        <f t="shared" si="59"/>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60"/>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71</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79</v>
      </c>
      <c r="G187" s="105"/>
      <c r="H187" s="60" t="str">
        <f t="shared" si="52"/>
        <v/>
      </c>
      <c r="I187" s="112" t="str">
        <f>IF(H187="","",IF($I$8="A",(RANK(H187,H$11:H$363,1)+COUNTIF(H$11:H187,H187)-1),(RANK(H187,H$11:H$363)+COUNTIF(H$11:H187,H187)-1)))</f>
        <v/>
      </c>
      <c r="J187" s="58"/>
      <c r="K187" s="51" t="str">
        <f t="shared" si="66"/>
        <v/>
      </c>
      <c r="L187" s="59" t="str">
        <f t="shared" si="53"/>
        <v/>
      </c>
      <c r="M187" s="153" t="str">
        <f t="shared" si="57"/>
        <v/>
      </c>
      <c r="N187" s="148" t="str">
        <f t="shared" si="58"/>
        <v/>
      </c>
      <c r="O187" s="131" t="str">
        <f t="shared" si="54"/>
        <v/>
      </c>
      <c r="P187" s="131" t="str">
        <f t="shared" si="67"/>
        <v/>
      </c>
      <c r="Q187" s="131" t="str">
        <f t="shared" si="68"/>
        <v/>
      </c>
      <c r="R187" s="127" t="str">
        <f t="shared" si="69"/>
        <v/>
      </c>
      <c r="S187" s="60" t="str">
        <f t="shared" si="59"/>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60"/>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79</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60</v>
      </c>
      <c r="G188" s="105"/>
      <c r="H188" s="60" t="str">
        <f t="shared" si="52"/>
        <v/>
      </c>
      <c r="I188" s="112" t="str">
        <f>IF(H188="","",IF($I$8="A",(RANK(H188,H$11:H$363,1)+COUNTIF(H$11:H188,H188)-1),(RANK(H188,H$11:H$363)+COUNTIF(H$11:H188,H188)-1)))</f>
        <v/>
      </c>
      <c r="J188" s="58"/>
      <c r="K188" s="51" t="str">
        <f t="shared" si="66"/>
        <v/>
      </c>
      <c r="L188" s="59" t="str">
        <f t="shared" si="53"/>
        <v/>
      </c>
      <c r="M188" s="153" t="str">
        <f t="shared" si="57"/>
        <v/>
      </c>
      <c r="N188" s="148" t="str">
        <f t="shared" si="58"/>
        <v/>
      </c>
      <c r="O188" s="131" t="str">
        <f t="shared" si="54"/>
        <v/>
      </c>
      <c r="P188" s="131" t="str">
        <f t="shared" si="67"/>
        <v/>
      </c>
      <c r="Q188" s="131" t="str">
        <f t="shared" si="68"/>
        <v/>
      </c>
      <c r="R188" s="127" t="str">
        <f t="shared" si="69"/>
        <v/>
      </c>
      <c r="S188" s="60" t="str">
        <f t="shared" si="59"/>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60"/>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60</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65</v>
      </c>
      <c r="G189" s="105"/>
      <c r="H189" s="60" t="str">
        <f t="shared" si="52"/>
        <v/>
      </c>
      <c r="I189" s="112" t="str">
        <f>IF(H189="","",IF($I$8="A",(RANK(H189,H$11:H$363,1)+COUNTIF(H$11:H189,H189)-1),(RANK(H189,H$11:H$363)+COUNTIF(H$11:H189,H189)-1)))</f>
        <v/>
      </c>
      <c r="J189" s="58"/>
      <c r="K189" s="51" t="str">
        <f t="shared" si="66"/>
        <v/>
      </c>
      <c r="L189" s="59" t="str">
        <f t="shared" si="53"/>
        <v/>
      </c>
      <c r="M189" s="153" t="str">
        <f t="shared" si="57"/>
        <v/>
      </c>
      <c r="N189" s="148" t="str">
        <f t="shared" si="58"/>
        <v/>
      </c>
      <c r="O189" s="131" t="str">
        <f t="shared" si="54"/>
        <v/>
      </c>
      <c r="P189" s="131" t="str">
        <f t="shared" si="67"/>
        <v/>
      </c>
      <c r="Q189" s="131" t="str">
        <f t="shared" si="68"/>
        <v/>
      </c>
      <c r="R189" s="127" t="str">
        <f t="shared" si="69"/>
        <v/>
      </c>
      <c r="S189" s="60" t="str">
        <f t="shared" si="59"/>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60"/>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65</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f t="shared" si="51"/>
        <v>32</v>
      </c>
      <c r="G190" s="105"/>
      <c r="H190" s="60" t="str">
        <f t="shared" si="52"/>
        <v/>
      </c>
      <c r="I190" s="112" t="str">
        <f>IF(H190="","",IF($I$8="A",(RANK(H190,H$11:H$363,1)+COUNTIF(H$11:H190,H190)-1),(RANK(H190,H$11:H$363)+COUNTIF(H$11:H190,H190)-1)))</f>
        <v/>
      </c>
      <c r="J190" s="58"/>
      <c r="K190" s="51" t="str">
        <f t="shared" si="66"/>
        <v/>
      </c>
      <c r="L190" s="59" t="str">
        <f t="shared" si="53"/>
        <v/>
      </c>
      <c r="M190" s="153" t="str">
        <f t="shared" si="57"/>
        <v/>
      </c>
      <c r="N190" s="148" t="str">
        <f t="shared" si="58"/>
        <v/>
      </c>
      <c r="O190" s="131" t="str">
        <f t="shared" si="54"/>
        <v/>
      </c>
      <c r="P190" s="131" t="str">
        <f t="shared" si="67"/>
        <v/>
      </c>
      <c r="Q190" s="131" t="str">
        <f t="shared" si="68"/>
        <v/>
      </c>
      <c r="R190" s="127" t="str">
        <f t="shared" si="69"/>
        <v/>
      </c>
      <c r="S190" s="60" t="str">
        <f t="shared" si="59"/>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60"/>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32</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38</v>
      </c>
      <c r="G191" s="105"/>
      <c r="H191" s="60" t="str">
        <f t="shared" si="52"/>
        <v/>
      </c>
      <c r="I191" s="112" t="str">
        <f>IF(H191="","",IF($I$8="A",(RANK(H191,H$11:H$363,1)+COUNTIF(H$11:H191,H191)-1),(RANK(H191,H$11:H$363)+COUNTIF(H$11:H191,H191)-1)))</f>
        <v/>
      </c>
      <c r="J191" s="58"/>
      <c r="K191" s="51" t="str">
        <f t="shared" si="66"/>
        <v/>
      </c>
      <c r="L191" s="59" t="str">
        <f t="shared" si="53"/>
        <v/>
      </c>
      <c r="M191" s="153" t="str">
        <f t="shared" si="57"/>
        <v/>
      </c>
      <c r="N191" s="148" t="str">
        <f t="shared" si="58"/>
        <v/>
      </c>
      <c r="O191" s="131" t="str">
        <f t="shared" si="54"/>
        <v/>
      </c>
      <c r="P191" s="131" t="str">
        <f t="shared" si="67"/>
        <v/>
      </c>
      <c r="Q191" s="131" t="str">
        <f t="shared" si="68"/>
        <v/>
      </c>
      <c r="R191" s="127" t="str">
        <f t="shared" si="69"/>
        <v/>
      </c>
      <c r="S191" s="60" t="str">
        <f t="shared" si="59"/>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60"/>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38</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70</v>
      </c>
      <c r="G192" s="105"/>
      <c r="H192" s="60" t="str">
        <f t="shared" si="52"/>
        <v/>
      </c>
      <c r="I192" s="112" t="str">
        <f>IF(H192="","",IF($I$8="A",(RANK(H192,H$11:H$363,1)+COUNTIF(H$11:H192,H192)-1),(RANK(H192,H$11:H$363)+COUNTIF(H$11:H192,H192)-1)))</f>
        <v/>
      </c>
      <c r="J192" s="58"/>
      <c r="K192" s="51" t="str">
        <f t="shared" si="66"/>
        <v/>
      </c>
      <c r="L192" s="59" t="str">
        <f t="shared" si="53"/>
        <v/>
      </c>
      <c r="M192" s="153" t="str">
        <f t="shared" si="57"/>
        <v/>
      </c>
      <c r="N192" s="148" t="str">
        <f t="shared" si="58"/>
        <v/>
      </c>
      <c r="O192" s="131" t="str">
        <f t="shared" si="54"/>
        <v/>
      </c>
      <c r="P192" s="131" t="str">
        <f t="shared" si="67"/>
        <v/>
      </c>
      <c r="Q192" s="131" t="str">
        <f t="shared" si="68"/>
        <v/>
      </c>
      <c r="R192" s="127" t="str">
        <f t="shared" si="69"/>
        <v/>
      </c>
      <c r="S192" s="60" t="str">
        <f t="shared" si="59"/>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60"/>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70</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89</v>
      </c>
      <c r="G193" s="105"/>
      <c r="H193" s="60" t="str">
        <f t="shared" si="52"/>
        <v/>
      </c>
      <c r="I193" s="112" t="str">
        <f>IF(H193="","",IF($I$8="A",(RANK(H193,H$11:H$363,1)+COUNTIF(H$11:H193,H193)-1),(RANK(H193,H$11:H$363)+COUNTIF(H$11:H193,H193)-1)))</f>
        <v/>
      </c>
      <c r="J193" s="58"/>
      <c r="K193" s="51" t="str">
        <f t="shared" si="66"/>
        <v/>
      </c>
      <c r="L193" s="59" t="str">
        <f t="shared" si="53"/>
        <v/>
      </c>
      <c r="M193" s="153" t="str">
        <f t="shared" si="57"/>
        <v/>
      </c>
      <c r="N193" s="148" t="str">
        <f t="shared" si="58"/>
        <v/>
      </c>
      <c r="O193" s="131" t="str">
        <f t="shared" si="54"/>
        <v/>
      </c>
      <c r="P193" s="131" t="str">
        <f t="shared" si="67"/>
        <v/>
      </c>
      <c r="Q193" s="131" t="str">
        <f t="shared" si="68"/>
        <v/>
      </c>
      <c r="R193" s="127" t="str">
        <f t="shared" si="69"/>
        <v/>
      </c>
      <c r="S193" s="60" t="str">
        <f t="shared" si="59"/>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60"/>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89</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74</v>
      </c>
      <c r="G194" s="105"/>
      <c r="H194" s="60">
        <f t="shared" si="52"/>
        <v>74</v>
      </c>
      <c r="I194" s="112">
        <f>IF(H194="","",IF($I$8="A",(RANK(H194,H$11:H$363,1)+COUNTIF(H$11:H194,H194)-1),(RANK(H194,H$11:H$363)+COUNTIF(H$11:H194,H194)-1)))</f>
        <v>23</v>
      </c>
      <c r="J194" s="58"/>
      <c r="K194" s="51" t="str">
        <f t="shared" si="66"/>
        <v/>
      </c>
      <c r="L194" s="59" t="str">
        <f t="shared" si="53"/>
        <v/>
      </c>
      <c r="M194" s="153" t="str">
        <f t="shared" si="57"/>
        <v/>
      </c>
      <c r="N194" s="148" t="str">
        <f t="shared" si="58"/>
        <v/>
      </c>
      <c r="O194" s="131" t="str">
        <f t="shared" si="54"/>
        <v/>
      </c>
      <c r="P194" s="131" t="str">
        <f t="shared" si="67"/>
        <v/>
      </c>
      <c r="Q194" s="131" t="str">
        <f t="shared" si="68"/>
        <v/>
      </c>
      <c r="R194" s="127" t="str">
        <f t="shared" si="69"/>
        <v/>
      </c>
      <c r="S194" s="60" t="str">
        <f t="shared" si="59"/>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60"/>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74</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67</v>
      </c>
      <c r="G195" s="105"/>
      <c r="H195" s="60">
        <f t="shared" si="52"/>
        <v>67</v>
      </c>
      <c r="I195" s="112">
        <f>IF(H195="","",IF($I$8="A",(RANK(H195,H$11:H$363,1)+COUNTIF(H$11:H195,H195)-1),(RANK(H195,H$11:H$363)+COUNTIF(H$11:H195,H195)-1)))</f>
        <v>35</v>
      </c>
      <c r="J195" s="58"/>
      <c r="K195" s="51" t="str">
        <f t="shared" si="66"/>
        <v/>
      </c>
      <c r="L195" s="59" t="str">
        <f t="shared" si="53"/>
        <v/>
      </c>
      <c r="M195" s="153" t="str">
        <f t="shared" si="57"/>
        <v/>
      </c>
      <c r="N195" s="148" t="str">
        <f t="shared" si="58"/>
        <v/>
      </c>
      <c r="O195" s="131" t="str">
        <f t="shared" si="54"/>
        <v/>
      </c>
      <c r="P195" s="131" t="str">
        <f t="shared" si="67"/>
        <v/>
      </c>
      <c r="Q195" s="131" t="str">
        <f t="shared" si="68"/>
        <v/>
      </c>
      <c r="R195" s="127" t="str">
        <f t="shared" si="69"/>
        <v/>
      </c>
      <c r="S195" s="60" t="str">
        <f t="shared" si="59"/>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60"/>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67</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62</v>
      </c>
      <c r="G196" s="105"/>
      <c r="H196" s="60" t="str">
        <f t="shared" si="52"/>
        <v/>
      </c>
      <c r="I196" s="112" t="str">
        <f>IF(H196="","",IF($I$8="A",(RANK(H196,H$11:H$363,1)+COUNTIF(H$11:H196,H196)-1),(RANK(H196,H$11:H$363)+COUNTIF(H$11:H196,H196)-1)))</f>
        <v/>
      </c>
      <c r="J196" s="58"/>
      <c r="K196" s="51" t="str">
        <f t="shared" si="66"/>
        <v/>
      </c>
      <c r="L196" s="59" t="str">
        <f t="shared" si="53"/>
        <v/>
      </c>
      <c r="M196" s="153" t="str">
        <f t="shared" si="57"/>
        <v/>
      </c>
      <c r="N196" s="148" t="str">
        <f t="shared" si="58"/>
        <v/>
      </c>
      <c r="O196" s="131" t="str">
        <f t="shared" si="54"/>
        <v/>
      </c>
      <c r="P196" s="131" t="str">
        <f t="shared" si="67"/>
        <v/>
      </c>
      <c r="Q196" s="131" t="str">
        <f t="shared" si="68"/>
        <v/>
      </c>
      <c r="R196" s="127" t="str">
        <f t="shared" si="69"/>
        <v/>
      </c>
      <c r="S196" s="60" t="str">
        <f t="shared" si="59"/>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60"/>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62</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69</v>
      </c>
      <c r="G197" s="105"/>
      <c r="H197" s="60" t="str">
        <f t="shared" si="52"/>
        <v/>
      </c>
      <c r="I197" s="112" t="str">
        <f>IF(H197="","",IF($I$8="A",(RANK(H197,H$11:H$363,1)+COUNTIF(H$11:H197,H197)-1),(RANK(H197,H$11:H$363)+COUNTIF(H$11:H197,H197)-1)))</f>
        <v/>
      </c>
      <c r="J197" s="58"/>
      <c r="K197" s="51" t="str">
        <f t="shared" si="66"/>
        <v/>
      </c>
      <c r="L197" s="59" t="str">
        <f t="shared" si="53"/>
        <v/>
      </c>
      <c r="M197" s="153" t="str">
        <f t="shared" si="57"/>
        <v/>
      </c>
      <c r="N197" s="148" t="str">
        <f t="shared" si="58"/>
        <v/>
      </c>
      <c r="O197" s="131" t="str">
        <f t="shared" si="54"/>
        <v/>
      </c>
      <c r="P197" s="131" t="str">
        <f t="shared" si="67"/>
        <v/>
      </c>
      <c r="Q197" s="131" t="str">
        <f t="shared" si="68"/>
        <v/>
      </c>
      <c r="R197" s="127" t="str">
        <f t="shared" si="69"/>
        <v/>
      </c>
      <c r="S197" s="60" t="str">
        <f t="shared" si="59"/>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60"/>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69</v>
      </c>
      <c r="AY197" s="156"/>
      <c r="AZ197" s="44"/>
    </row>
    <row r="198" spans="1:52">
      <c r="A198" s="84" t="str">
        <f>$D$1&amp;188</f>
        <v>UA188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84</v>
      </c>
      <c r="G198" s="105"/>
      <c r="H198" s="60" t="str">
        <f t="shared" si="52"/>
        <v/>
      </c>
      <c r="I198" s="112" t="str">
        <f>IF(H198="","",IF($I$8="A",(RANK(H198,H$11:H$363,1)+COUNTIF(H$11:H198,H198)-1),(RANK(H198,H$11:H$363)+COUNTIF(H$11:H198,H198)-1)))</f>
        <v/>
      </c>
      <c r="J198" s="58"/>
      <c r="K198" s="51" t="str">
        <f t="shared" si="66"/>
        <v/>
      </c>
      <c r="L198" s="59" t="str">
        <f t="shared" si="53"/>
        <v/>
      </c>
      <c r="M198" s="153" t="str">
        <f t="shared" si="57"/>
        <v/>
      </c>
      <c r="N198" s="148" t="str">
        <f t="shared" si="58"/>
        <v/>
      </c>
      <c r="O198" s="131" t="str">
        <f t="shared" si="54"/>
        <v/>
      </c>
      <c r="P198" s="131" t="str">
        <f t="shared" si="67"/>
        <v/>
      </c>
      <c r="Q198" s="131" t="str">
        <f t="shared" si="68"/>
        <v/>
      </c>
      <c r="R198" s="127" t="str">
        <f t="shared" si="69"/>
        <v/>
      </c>
      <c r="S198" s="60" t="str">
        <f t="shared" si="59"/>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60"/>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84</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75</v>
      </c>
      <c r="G199" s="105"/>
      <c r="H199" s="60" t="str">
        <f t="shared" si="52"/>
        <v/>
      </c>
      <c r="I199" s="112" t="str">
        <f>IF(H199="","",IF($I$8="A",(RANK(H199,H$11:H$363,1)+COUNTIF(H$11:H199,H199)-1),(RANK(H199,H$11:H$363)+COUNTIF(H$11:H199,H199)-1)))</f>
        <v/>
      </c>
      <c r="J199" s="58"/>
      <c r="K199" s="51" t="str">
        <f t="shared" si="66"/>
        <v/>
      </c>
      <c r="L199" s="59" t="str">
        <f t="shared" si="53"/>
        <v/>
      </c>
      <c r="M199" s="153" t="str">
        <f t="shared" si="57"/>
        <v/>
      </c>
      <c r="N199" s="148" t="str">
        <f t="shared" si="58"/>
        <v/>
      </c>
      <c r="O199" s="131" t="str">
        <f t="shared" si="54"/>
        <v/>
      </c>
      <c r="P199" s="131" t="str">
        <f t="shared" si="67"/>
        <v/>
      </c>
      <c r="Q199" s="131" t="str">
        <f t="shared" si="68"/>
        <v/>
      </c>
      <c r="R199" s="127" t="str">
        <f t="shared" si="69"/>
        <v/>
      </c>
      <c r="S199" s="60" t="str">
        <f t="shared" si="59"/>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60"/>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75</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f t="shared" si="51"/>
        <v>75</v>
      </c>
      <c r="G200" s="105"/>
      <c r="H200" s="60" t="str">
        <f t="shared" si="52"/>
        <v/>
      </c>
      <c r="I200" s="112" t="str">
        <f>IF(H200="","",IF($I$8="A",(RANK(H200,H$11:H$363,1)+COUNTIF(H$11:H200,H200)-1),(RANK(H200,H$11:H$363)+COUNTIF(H$11:H200,H200)-1)))</f>
        <v/>
      </c>
      <c r="J200" s="58"/>
      <c r="K200" s="51" t="str">
        <f t="shared" si="66"/>
        <v/>
      </c>
      <c r="L200" s="59" t="str">
        <f t="shared" si="53"/>
        <v/>
      </c>
      <c r="M200" s="153" t="str">
        <f t="shared" si="57"/>
        <v/>
      </c>
      <c r="N200" s="148" t="str">
        <f t="shared" si="58"/>
        <v/>
      </c>
      <c r="O200" s="131" t="str">
        <f t="shared" si="54"/>
        <v/>
      </c>
      <c r="P200" s="131" t="str">
        <f t="shared" si="67"/>
        <v/>
      </c>
      <c r="Q200" s="131" t="str">
        <f t="shared" si="68"/>
        <v/>
      </c>
      <c r="R200" s="127" t="str">
        <f t="shared" si="69"/>
        <v/>
      </c>
      <c r="S200" s="60" t="str">
        <f t="shared" si="59"/>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60"/>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75</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86</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86</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31</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31</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71</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71</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66</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66</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74</v>
      </c>
      <c r="G206" s="105"/>
      <c r="H206" s="60">
        <f t="shared" si="75"/>
        <v>74</v>
      </c>
      <c r="I206" s="112">
        <f>IF(H206="","",IF($I$8="A",(RANK(H206,H$11:H$363,1)+COUNTIF(H$11:H206,H206)-1),(RANK(H206,H$11:H$363)+COUNTIF(H$11:H206,H206)-1)))</f>
        <v>24</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74</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60</v>
      </c>
      <c r="G207" s="105"/>
      <c r="H207" s="60" t="str">
        <f t="shared" si="75"/>
        <v/>
      </c>
      <c r="I207" s="112" t="str">
        <f>IF(H207="","",IF($I$8="A",(RANK(H207,H$11:H$363,1)+COUNTIF(H$11:H207,H207)-1),(RANK(H207,H$11:H$363)+COUNTIF(H$11:H207,H207)-1)))</f>
        <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60</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71</v>
      </c>
      <c r="G208" s="105"/>
      <c r="H208" s="60" t="str">
        <f t="shared" si="75"/>
        <v/>
      </c>
      <c r="I208" s="112" t="str">
        <f>IF(H208="","",IF($I$8="A",(RANK(H208,H$11:H$363,1)+COUNTIF(H$11:H208,H208)-1),(RANK(H208,H$11:H$363)+COUNTIF(H$11:H208,H208)-1)))</f>
        <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71</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86</v>
      </c>
      <c r="G209" s="105"/>
      <c r="H209" s="60">
        <f t="shared" si="75"/>
        <v>86</v>
      </c>
      <c r="I209" s="112">
        <f>IF(H209="","",IF($I$8="A",(RANK(H209,H$11:H$363,1)+COUNTIF(H$11:H209,H209)-1),(RANK(H209,H$11:H$363)+COUNTIF(H$11:H209,H209)-1)))</f>
        <v>9</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86</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77</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77</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66</v>
      </c>
      <c r="G211" s="105"/>
      <c r="H211" s="60">
        <f t="shared" si="75"/>
        <v>66</v>
      </c>
      <c r="I211" s="112">
        <f>IF(H211="","",IF($I$8="A",(RANK(H211,H$11:H$363,1)+COUNTIF(H$11:H211,H211)-1),(RANK(H211,H$11:H$363)+COUNTIF(H$11:H211,H211)-1)))</f>
        <v>36</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66</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74</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74</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73</v>
      </c>
      <c r="G213" s="105"/>
      <c r="H213" s="60" t="str">
        <f t="shared" si="75"/>
        <v/>
      </c>
      <c r="I213" s="112" t="str">
        <f>IF(H213="","",IF($I$8="A",(RANK(H213,H$11:H$363,1)+COUNTIF(H$11:H213,H213)-1),(RANK(H213,H$11:H$363)+COUNTIF(H$11:H213,H213)-1)))</f>
        <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73</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83</v>
      </c>
      <c r="G214" s="105"/>
      <c r="H214" s="60" t="str">
        <f t="shared" si="75"/>
        <v/>
      </c>
      <c r="I214" s="112" t="str">
        <f>IF(H214="","",IF($I$8="A",(RANK(H214,H$11:H$363,1)+COUNTIF(H$11:H214,H214)-1),(RANK(H214,H$11:H$363)+COUNTIF(H$11:H214,H214)-1)))</f>
        <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83</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74</v>
      </c>
      <c r="G216" s="105"/>
      <c r="H216" s="60" t="str">
        <f t="shared" si="75"/>
        <v/>
      </c>
      <c r="I216" s="112" t="str">
        <f>IF(H216="","",IF($I$8="A",(RANK(H216,H$11:H$363,1)+COUNTIF(H$11:H216,H216)-1),(RANK(H216,H$11:H$363)+COUNTIF(H$11:H216,H216)-1)))</f>
        <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74</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43</v>
      </c>
      <c r="G218" s="105"/>
      <c r="H218" s="60">
        <f t="shared" si="75"/>
        <v>43</v>
      </c>
      <c r="I218" s="112">
        <f>IF(H218="","",IF($I$8="A",(RANK(H218,H$11:H$363,1)+COUNTIF(H$11:H218,H218)-1),(RANK(H218,H$11:H$363)+COUNTIF(H$11:H218,H218)-1)))</f>
        <v>54</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43</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76</v>
      </c>
      <c r="G219" s="105"/>
      <c r="H219" s="60" t="str">
        <f t="shared" si="75"/>
        <v/>
      </c>
      <c r="I219" s="112" t="str">
        <f>IF(H219="","",IF($I$8="A",(RANK(H219,H$11:H$363,1)+COUNTIF(H$11:H219,H219)-1),(RANK(H219,H$11:H$363)+COUNTIF(H$11:H219,H219)-1)))</f>
        <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76</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350</v>
      </c>
      <c r="D221" s="49" t="str">
        <f>VLOOKUP($C221,classifications!$C:$J,4,FALSE)</f>
        <v>SD</v>
      </c>
      <c r="E221" s="49">
        <f>VLOOKUP(C221,classifications!C:K,9,FALSE)</f>
        <v>0</v>
      </c>
      <c r="F221" s="59">
        <f t="shared" si="74"/>
        <v>37</v>
      </c>
      <c r="G221" s="105"/>
      <c r="H221" s="60" t="str">
        <f t="shared" si="75"/>
        <v/>
      </c>
      <c r="I221" s="112" t="str">
        <f>IF(H221="","",IF($I$8="A",(RANK(H221,H$11:H$363,1)+COUNTIF(H$11:H221,H221)-1),(RANK(H221,H$11:H$363)+COUNTIF(H$11:H221,H221)-1)))</f>
        <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37</v>
      </c>
      <c r="AY221" s="156"/>
      <c r="AZ221" s="44"/>
    </row>
    <row r="222" spans="1:52">
      <c r="A222" s="84" t="str">
        <f>$D$1&amp;212</f>
        <v>UA212</v>
      </c>
      <c r="B222" s="85">
        <f>IF(ISERROR(VLOOKUP(A222,classifications!A:C,3,FALSE)),0,VLOOKUP(A222,classifications!A:C,3,FALSE))</f>
        <v>0</v>
      </c>
      <c r="C222" s="31" t="s">
        <v>351</v>
      </c>
      <c r="D222" s="49" t="str">
        <f>VLOOKUP($C222,classifications!$C:$J,4,FALSE)</f>
        <v>SD</v>
      </c>
      <c r="E222" s="49">
        <f>VLOOKUP(C222,classifications!C:K,9,FALSE)</f>
        <v>0</v>
      </c>
      <c r="F222" s="59">
        <f t="shared" si="74"/>
        <v>91</v>
      </c>
      <c r="G222" s="105"/>
      <c r="H222" s="60" t="str">
        <f t="shared" si="75"/>
        <v/>
      </c>
      <c r="I222" s="112" t="str">
        <f>IF(H222="","",IF($I$8="A",(RANK(H222,H$11:H$363,1)+COUNTIF(H$11:H222,H222)-1),(RANK(H222,H$11:H$363)+COUNTIF(H$11:H222,H222)-1)))</f>
        <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91</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72</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72</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95</v>
      </c>
      <c r="G224" s="105"/>
      <c r="H224" s="60" t="str">
        <f t="shared" si="75"/>
        <v/>
      </c>
      <c r="I224" s="112" t="str">
        <f>IF(H224="","",IF($I$8="A",(RANK(H224,H$11:H$363,1)+COUNTIF(H$11:H224,H224)-1),(RANK(H224,H$11:H$363)+COUNTIF(H$11:H224,H224)-1)))</f>
        <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95</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88</v>
      </c>
      <c r="G226" s="105"/>
      <c r="H226" s="60" t="str">
        <f t="shared" si="75"/>
        <v/>
      </c>
      <c r="I226" s="112" t="str">
        <f>IF(H226="","",IF($I$8="A",(RANK(H226,H$11:H$363,1)+COUNTIF(H$11:H226,H226)-1),(RANK(H226,H$11:H$363)+COUNTIF(H$11:H226,H226)-1)))</f>
        <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88</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76</v>
      </c>
      <c r="G227" s="105"/>
      <c r="H227" s="60">
        <f t="shared" si="75"/>
        <v>76</v>
      </c>
      <c r="I227" s="112">
        <f>IF(H227="","",IF($I$8="A",(RANK(H227,H$11:H$363,1)+COUNTIF(H$11:H227,H227)-1),(RANK(H227,H$11:H$363)+COUNTIF(H$11:H227,H227)-1)))</f>
        <v>19</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76</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87</v>
      </c>
      <c r="G228" s="105"/>
      <c r="H228" s="60">
        <f t="shared" si="75"/>
        <v>87</v>
      </c>
      <c r="I228" s="112">
        <f>IF(H228="","",IF($I$8="A",(RANK(H228,H$11:H$363,1)+COUNTIF(H$11:H228,H228)-1),(RANK(H228,H$11:H$363)+COUNTIF(H$11:H228,H228)-1)))</f>
        <v>5</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87</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66</v>
      </c>
      <c r="G229" s="105"/>
      <c r="H229" s="60">
        <f t="shared" si="75"/>
        <v>66</v>
      </c>
      <c r="I229" s="112">
        <f>IF(H229="","",IF($I$8="A",(RANK(H229,H$11:H$363,1)+COUNTIF(H$11:H229,H229)-1),(RANK(H229,H$11:H$363)+COUNTIF(H$11:H229,H229)-1)))</f>
        <v>37</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66</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52</v>
      </c>
      <c r="G230" s="105"/>
      <c r="H230" s="60">
        <f t="shared" si="75"/>
        <v>52</v>
      </c>
      <c r="I230" s="112">
        <f>IF(H230="","",IF($I$8="A",(RANK(H230,H$11:H$363,1)+COUNTIF(H$11:H230,H230)-1),(RANK(H230,H$11:H$363)+COUNTIF(H$11:H230,H230)-1)))</f>
        <v>49</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52</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58</v>
      </c>
      <c r="G231" s="105"/>
      <c r="H231" s="60" t="str">
        <f t="shared" si="75"/>
        <v/>
      </c>
      <c r="I231" s="112" t="str">
        <f>IF(H231="","",IF($I$8="A",(RANK(H231,H$11:H$363,1)+COUNTIF(H$11:H231,H231)-1),(RANK(H231,H$11:H$363)+COUNTIF(H$11:H231,H231)-1)))</f>
        <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58</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100</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100</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f t="shared" si="74"/>
        <v>65</v>
      </c>
      <c r="G233" s="105"/>
      <c r="H233" s="60">
        <f t="shared" si="75"/>
        <v>65</v>
      </c>
      <c r="I233" s="112">
        <f>IF(H233="","",IF($I$8="A",(RANK(H233,H$11:H$363,1)+COUNTIF(H$11:H233,H233)-1),(RANK(H233,H$11:H$363)+COUNTIF(H$11:H233,H233)-1)))</f>
        <v>38</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65</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80</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80</v>
      </c>
      <c r="AY234" s="156"/>
      <c r="AZ234" s="44"/>
    </row>
    <row r="235" spans="1:52">
      <c r="A235" s="84" t="str">
        <f>$D$1&amp;225</f>
        <v>UA225</v>
      </c>
      <c r="B235" s="85">
        <f>IF(ISERROR(VLOOKUP(A235,classifications!A:C,3,FALSE)),0,VLOOKUP(A235,classifications!A:C,3,FALSE))</f>
        <v>0</v>
      </c>
      <c r="C235" s="31" t="s">
        <v>817</v>
      </c>
      <c r="D235" s="49" t="str">
        <f>VLOOKUP($C235,classifications!$C:$J,4,FALSE)</f>
        <v>UA</v>
      </c>
      <c r="E235" s="49">
        <f>VLOOKUP(C235,classifications!C:K,9,FALSE)</f>
        <v>0</v>
      </c>
      <c r="F235" s="59">
        <f t="shared" si="74"/>
        <v>73</v>
      </c>
      <c r="G235" s="105"/>
      <c r="H235" s="60">
        <f t="shared" si="75"/>
        <v>73</v>
      </c>
      <c r="I235" s="112">
        <f>IF(H235="","",IF($I$8="A",(RANK(H235,H$11:H$363,1)+COUNTIF(H$11:H235,H235)-1),(RANK(H235,H$11:H$363)+COUNTIF(H$11:H235,H235)-1)))</f>
        <v>25</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73</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63</v>
      </c>
      <c r="G236" s="105"/>
      <c r="H236" s="60" t="str">
        <f t="shared" si="75"/>
        <v/>
      </c>
      <c r="I236" s="112" t="str">
        <f>IF(H236="","",IF($I$8="A",(RANK(H236,H$11:H$363,1)+COUNTIF(H$11:H236,H236)-1),(RANK(H236,H$11:H$363)+COUNTIF(H$11:H236,H236)-1)))</f>
        <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63</v>
      </c>
      <c r="AY236" s="156"/>
      <c r="AZ236" s="44"/>
    </row>
    <row r="237" spans="1:52">
      <c r="A237" s="84" t="str">
        <f>$D$1&amp;227</f>
        <v>UA227</v>
      </c>
      <c r="B237" s="85">
        <f>IF(ISERROR(VLOOKUP(A237,classifications!A:C,3,FALSE)),0,VLOOKUP(A237,classifications!A:C,3,FALSE))</f>
        <v>0</v>
      </c>
      <c r="C237" s="31" t="s">
        <v>352</v>
      </c>
      <c r="D237" s="49" t="str">
        <f>VLOOKUP($C237,classifications!$C:$J,4,FALSE)</f>
        <v>SD</v>
      </c>
      <c r="E237" s="49">
        <f>VLOOKUP(C237,classifications!C:K,9,FALSE)</f>
        <v>0</v>
      </c>
      <c r="F237" s="59">
        <f t="shared" si="74"/>
        <v>60</v>
      </c>
      <c r="G237" s="105"/>
      <c r="H237" s="60" t="str">
        <f t="shared" si="75"/>
        <v/>
      </c>
      <c r="I237" s="112" t="str">
        <f>IF(H237="","",IF($I$8="A",(RANK(H237,H$11:H$363,1)+COUNTIF(H$11:H237,H237)-1),(RANK(H237,H$11:H$363)+COUNTIF(H$11:H237,H237)-1)))</f>
        <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60</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55</v>
      </c>
      <c r="G238" s="105"/>
      <c r="H238" s="60" t="str">
        <f t="shared" si="75"/>
        <v/>
      </c>
      <c r="I238" s="112" t="str">
        <f>IF(H238="","",IF($I$8="A",(RANK(H238,H$11:H$363,1)+COUNTIF(H$11:H238,H238)-1),(RANK(H238,H$11:H$363)+COUNTIF(H$11:H238,H238)-1)))</f>
        <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55</v>
      </c>
      <c r="AY238" s="156"/>
      <c r="AZ238" s="44"/>
    </row>
    <row r="239" spans="1:52">
      <c r="A239" s="84" t="str">
        <f>$D$1&amp;229</f>
        <v>UA229</v>
      </c>
      <c r="B239" s="85">
        <f>IF(ISERROR(VLOOKUP(A239,classifications!A:C,3,FALSE)),0,VLOOKUP(A239,classifications!A:C,3,FALSE))</f>
        <v>0</v>
      </c>
      <c r="C239" s="31" t="s">
        <v>401</v>
      </c>
      <c r="D239" s="49" t="str">
        <f>VLOOKUP($C239,classifications!$C:$J,4,FALSE)</f>
        <v>L</v>
      </c>
      <c r="E239" s="49">
        <f>VLOOKUP(C239,classifications!C:K,9,FALSE)</f>
        <v>0</v>
      </c>
      <c r="F239" s="59">
        <f t="shared" si="74"/>
        <v>37</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37</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100</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100</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71</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71</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f t="shared" si="74"/>
        <v>91</v>
      </c>
      <c r="G242" s="105"/>
      <c r="H242" s="60" t="str">
        <f t="shared" si="75"/>
        <v/>
      </c>
      <c r="I242" s="112" t="str">
        <f>IF(H242="","",IF($I$8="A",(RANK(H242,H$11:H$363,1)+COUNTIF(H$11:H242,H242)-1),(RANK(H242,H$11:H$363)+COUNTIF(H$11:H242,H242)-1)))</f>
        <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91</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81</v>
      </c>
      <c r="G243" s="105"/>
      <c r="H243" s="60" t="str">
        <f t="shared" si="75"/>
        <v/>
      </c>
      <c r="I243" s="112" t="str">
        <f>IF(H243="","",IF($I$8="A",(RANK(H243,H$11:H$363,1)+COUNTIF(H$11:H243,H243)-1),(RANK(H243,H$11:H$363)+COUNTIF(H$11:H243,H243)-1)))</f>
        <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81</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56</v>
      </c>
      <c r="G244" s="105"/>
      <c r="H244" s="60" t="str">
        <f t="shared" si="75"/>
        <v/>
      </c>
      <c r="I244" s="112" t="str">
        <f>IF(H244="","",IF($I$8="A",(RANK(H244,H$11:H$363,1)+COUNTIF(H$11:H244,H244)-1),(RANK(H244,H$11:H$363)+COUNTIF(H$11:H244,H244)-1)))</f>
        <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56</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91</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91</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54</v>
      </c>
      <c r="G246" s="105"/>
      <c r="H246" s="60" t="str">
        <f t="shared" si="75"/>
        <v/>
      </c>
      <c r="I246" s="112" t="str">
        <f>IF(H246="","",IF($I$8="A",(RANK(H246,H$11:H$363,1)+COUNTIF(H$11:H246,H246)-1),(RANK(H246,H$11:H$363)+COUNTIF(H$11:H246,H246)-1)))</f>
        <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54</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96</v>
      </c>
      <c r="G247" s="105"/>
      <c r="H247" s="60" t="str">
        <f t="shared" si="75"/>
        <v/>
      </c>
      <c r="I247" s="112" t="str">
        <f>IF(H247="","",IF($I$8="A",(RANK(H247,H$11:H$363,1)+COUNTIF(H$11:H247,H247)-1),(RANK(H247,H$11:H$363)+COUNTIF(H$11:H247,H247)-1)))</f>
        <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96</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59</v>
      </c>
      <c r="G248" s="105"/>
      <c r="H248" s="60" t="str">
        <f t="shared" si="75"/>
        <v/>
      </c>
      <c r="I248" s="112" t="str">
        <f>IF(H248="","",IF($I$8="A",(RANK(H248,H$11:H$363,1)+COUNTIF(H$11:H248,H248)-1),(RANK(H248,H$11:H$363)+COUNTIF(H$11:H248,H248)-1)))</f>
        <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59</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91</v>
      </c>
      <c r="G249" s="105"/>
      <c r="H249" s="60" t="str">
        <f t="shared" si="75"/>
        <v/>
      </c>
      <c r="I249" s="112" t="str">
        <f>IF(H249="","",IF($I$8="A",(RANK(H249,H$11:H$363,1)+COUNTIF(H$11:H249,H249)-1),(RANK(H249,H$11:H$363)+COUNTIF(H$11:H249,H249)-1)))</f>
        <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91</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71</v>
      </c>
      <c r="G250" s="105"/>
      <c r="H250" s="60">
        <f t="shared" si="75"/>
        <v>71</v>
      </c>
      <c r="I250" s="112">
        <f>IF(H250="","",IF($I$8="A",(RANK(H250,H$11:H$363,1)+COUNTIF(H$11:H250,H250)-1),(RANK(H250,H$11:H$363)+COUNTIF(H$11:H250,H250)-1)))</f>
        <v>31</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71</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56</v>
      </c>
      <c r="G251" s="105"/>
      <c r="H251" s="60" t="str">
        <f t="shared" si="75"/>
        <v/>
      </c>
      <c r="I251" s="112" t="str">
        <f>IF(H251="","",IF($I$8="A",(RANK(H251,H$11:H$363,1)+COUNTIF(H$11:H251,H251)-1),(RANK(H251,H$11:H$363)+COUNTIF(H$11:H251,H251)-1)))</f>
        <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56</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87</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87</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93</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93</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82</v>
      </c>
      <c r="G254" s="105"/>
      <c r="H254" s="60" t="str">
        <f t="shared" si="75"/>
        <v/>
      </c>
      <c r="I254" s="112" t="str">
        <f>IF(H254="","",IF($I$8="A",(RANK(H254,H$11:H$363,1)+COUNTIF(H$11:H254,H254)-1),(RANK(H254,H$11:H$363)+COUNTIF(H$11:H254,H254)-1)))</f>
        <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82</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70</v>
      </c>
      <c r="G255" s="105"/>
      <c r="H255" s="60" t="str">
        <f t="shared" si="75"/>
        <v/>
      </c>
      <c r="I255" s="112" t="str">
        <f>IF(H255="","",IF($I$8="A",(RANK(H255,H$11:H$363,1)+COUNTIF(H$11:H255,H255)-1),(RANK(H255,H$11:H$363)+COUNTIF(H$11:H255,H255)-1)))</f>
        <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70</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f t="shared" si="74"/>
        <v>76</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76</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f>VLOOKUP(C257,classifications!C:K,9,FALSE)</f>
        <v>0</v>
      </c>
      <c r="F257" s="59">
        <f t="shared" si="74"/>
        <v>65</v>
      </c>
      <c r="G257" s="105"/>
      <c r="H257" s="60" t="str">
        <f t="shared" si="75"/>
        <v/>
      </c>
      <c r="I257" s="112" t="str">
        <f>IF(H257="","",IF($I$8="A",(RANK(H257,H$11:H$363,1)+COUNTIF(H$11:H257,H257)-1),(RANK(H257,H$11:H$363)+COUNTIF(H$11:H257,H257)-1)))</f>
        <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65</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67</v>
      </c>
      <c r="G258" s="105"/>
      <c r="H258" s="60" t="str">
        <f t="shared" si="75"/>
        <v/>
      </c>
      <c r="I258" s="112" t="str">
        <f>IF(H258="","",IF($I$8="A",(RANK(H258,H$11:H$363,1)+COUNTIF(H$11:H258,H258)-1),(RANK(H258,H$11:H$363)+COUNTIF(H$11:H258,H258)-1)))</f>
        <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67</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80</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80</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51</v>
      </c>
      <c r="G260" s="105"/>
      <c r="H260" s="60" t="str">
        <f t="shared" si="75"/>
        <v/>
      </c>
      <c r="I260" s="112" t="str">
        <f>IF(H260="","",IF($I$8="A",(RANK(H260,H$11:H$363,1)+COUNTIF(H$11:H260,H260)-1),(RANK(H260,H$11:H$363)+COUNTIF(H$11:H260,H260)-1)))</f>
        <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51</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87</v>
      </c>
      <c r="G261" s="105"/>
      <c r="H261" s="60">
        <f t="shared" si="75"/>
        <v>87</v>
      </c>
      <c r="I261" s="112">
        <f>IF(H261="","",IF($I$8="A",(RANK(H261,H$11:H$363,1)+COUNTIF(H$11:H261,H261)-1),(RANK(H261,H$11:H$363)+COUNTIF(H$11:H261,H261)-1)))</f>
        <v>6</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87</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92</v>
      </c>
      <c r="G262" s="105"/>
      <c r="H262" s="60">
        <f t="shared" si="75"/>
        <v>92</v>
      </c>
      <c r="I262" s="112">
        <f>IF(H262="","",IF($I$8="A",(RANK(H262,H$11:H$363,1)+COUNTIF(H$11:H262,H262)-1),(RANK(H262,H$11:H$363)+COUNTIF(H$11:H262,H262)-1)))</f>
        <v>2</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92</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91</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91</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84</v>
      </c>
      <c r="G265" s="105"/>
      <c r="H265" s="60" t="str">
        <f t="shared" si="75"/>
        <v/>
      </c>
      <c r="I265" s="112" t="str">
        <f>IF(H265="","",IF($I$8="A",(RANK(H265,H$11:H$363,1)+COUNTIF(H$11:H265,H265)-1),(RANK(H265,H$11:H$363)+COUNTIF(H$11:H265,H265)-1)))</f>
        <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84</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53</v>
      </c>
      <c r="G266" s="105"/>
      <c r="H266" s="60" t="str">
        <f t="shared" si="75"/>
        <v/>
      </c>
      <c r="I266" s="112" t="str">
        <f>IF(H266="","",IF($I$8="A",(RANK(H266,H$11:H$363,1)+COUNTIF(H$11:H266,H266)-1),(RANK(H266,H$11:H$363)+COUNTIF(H$11:H266,H266)-1)))</f>
        <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53</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88</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88</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51</v>
      </c>
      <c r="G268" s="105"/>
      <c r="H268" s="60">
        <f t="shared" si="99"/>
        <v>51</v>
      </c>
      <c r="I268" s="112">
        <f>IF(H268="","",IF($I$8="A",(RANK(H268,H$11:H$363,1)+COUNTIF(H$11:H268,H268)-1),(RANK(H268,H$11:H$363)+COUNTIF(H$11:H268,H268)-1)))</f>
        <v>51</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51</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93</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93</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34</v>
      </c>
      <c r="G270" s="105"/>
      <c r="H270" s="60" t="str">
        <f t="shared" si="99"/>
        <v/>
      </c>
      <c r="I270" s="112" t="str">
        <f>IF(H270="","",IF($I$8="A",(RANK(H270,H$11:H$363,1)+COUNTIF(H$11:H270,H270)-1),(RANK(H270,H$11:H$363)+COUNTIF(H$11:H270,H270)-1)))</f>
        <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34</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80</v>
      </c>
      <c r="G271" s="105"/>
      <c r="H271" s="60" t="str">
        <f t="shared" si="99"/>
        <v/>
      </c>
      <c r="I271" s="112" t="str">
        <f>IF(H271="","",IF($I$8="A",(RANK(H271,H$11:H$363,1)+COUNTIF(H$11:H271,H271)-1),(RANK(H271,H$11:H$363)+COUNTIF(H$11:H271,H271)-1)))</f>
        <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80</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79</v>
      </c>
      <c r="G272" s="105"/>
      <c r="H272" s="60" t="str">
        <f t="shared" si="99"/>
        <v/>
      </c>
      <c r="I272" s="112" t="str">
        <f>IF(H272="","",IF($I$8="A",(RANK(H272,H$11:H$363,1)+COUNTIF(H$11:H272,H272)-1),(RANK(H272,H$11:H$363)+COUNTIF(H$11:H272,H272)-1)))</f>
        <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79</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71</v>
      </c>
      <c r="G273" s="105"/>
      <c r="H273" s="60" t="str">
        <f t="shared" si="99"/>
        <v/>
      </c>
      <c r="I273" s="112" t="str">
        <f>IF(H273="","",IF($I$8="A",(RANK(H273,H$11:H$363,1)+COUNTIF(H$11:H273,H273)-1),(RANK(H273,H$11:H$363)+COUNTIF(H$11:H273,H273)-1)))</f>
        <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71</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81</v>
      </c>
      <c r="G274" s="105"/>
      <c r="H274" s="60" t="str">
        <f t="shared" si="99"/>
        <v/>
      </c>
      <c r="I274" s="112" t="str">
        <f>IF(H274="","",IF($I$8="A",(RANK(H274,H$11:H$363,1)+COUNTIF(H$11:H274,H274)-1),(RANK(H274,H$11:H$363)+COUNTIF(H$11:H274,H274)-1)))</f>
        <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81</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72</v>
      </c>
      <c r="G275" s="105"/>
      <c r="H275" s="60" t="str">
        <f t="shared" si="99"/>
        <v/>
      </c>
      <c r="I275" s="112" t="str">
        <f>IF(H275="","",IF($I$8="A",(RANK(H275,H$11:H$363,1)+COUNTIF(H$11:H275,H275)-1),(RANK(H275,H$11:H$363)+COUNTIF(H$11:H275,H275)-1)))</f>
        <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72</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48</v>
      </c>
      <c r="G276" s="105"/>
      <c r="H276" s="60" t="str">
        <f t="shared" si="99"/>
        <v/>
      </c>
      <c r="I276" s="112" t="str">
        <f>IF(H276="","",IF($I$8="A",(RANK(H276,H$11:H$363,1)+COUNTIF(H$11:H276,H276)-1),(RANK(H276,H$11:H$363)+COUNTIF(H$11:H276,H276)-1)))</f>
        <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48</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60</v>
      </c>
      <c r="G277" s="105"/>
      <c r="H277" s="60" t="str">
        <f t="shared" si="99"/>
        <v/>
      </c>
      <c r="I277" s="112" t="str">
        <f>IF(H277="","",IF($I$8="A",(RANK(H277,H$11:H$363,1)+COUNTIF(H$11:H277,H277)-1),(RANK(H277,H$11:H$363)+COUNTIF(H$11:H277,H277)-1)))</f>
        <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60</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67</v>
      </c>
      <c r="G278" s="105"/>
      <c r="H278" s="60" t="str">
        <f t="shared" si="99"/>
        <v/>
      </c>
      <c r="I278" s="112" t="str">
        <f>IF(H278="","",IF($I$8="A",(RANK(H278,H$11:H$363,1)+COUNTIF(H$11:H278,H278)-1),(RANK(H278,H$11:H$363)+COUNTIF(H$11:H278,H278)-1)))</f>
        <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67</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93</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93</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63</v>
      </c>
      <c r="G280" s="105"/>
      <c r="H280" s="60">
        <f t="shared" si="99"/>
        <v>63</v>
      </c>
      <c r="I280" s="112">
        <f>IF(H280="","",IF($I$8="A",(RANK(H280,H$11:H$363,1)+COUNTIF(H$11:H280,H280)-1),(RANK(H280,H$11:H$363)+COUNTIF(H$11:H280,H280)-1)))</f>
        <v>40</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63</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96</v>
      </c>
      <c r="G281" s="105"/>
      <c r="H281" s="60">
        <f t="shared" si="99"/>
        <v>96</v>
      </c>
      <c r="I281" s="112">
        <f>IF(H281="","",IF($I$8="A",(RANK(H281,H$11:H$363,1)+COUNTIF(H$11:H281,H281)-1),(RANK(H281,H$11:H$363)+COUNTIF(H$11:H281,H281)-1)))</f>
        <v>1</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96</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83</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83</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54</v>
      </c>
      <c r="G283" s="105"/>
      <c r="H283" s="60" t="str">
        <f t="shared" si="99"/>
        <v/>
      </c>
      <c r="I283" s="112" t="str">
        <f>IF(H283="","",IF($I$8="A",(RANK(H283,H$11:H$363,1)+COUNTIF(H$11:H283,H283)-1),(RANK(H283,H$11:H$363)+COUNTIF(H$11:H283,H283)-1)))</f>
        <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54</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64</v>
      </c>
      <c r="G284" s="105"/>
      <c r="H284" s="60" t="str">
        <f t="shared" si="99"/>
        <v/>
      </c>
      <c r="I284" s="112" t="str">
        <f>IF(H284="","",IF($I$8="A",(RANK(H284,H$11:H$363,1)+COUNTIF(H$11:H284,H284)-1),(RANK(H284,H$11:H$363)+COUNTIF(H$11:H284,H284)-1)))</f>
        <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64</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23</v>
      </c>
      <c r="G285" s="105"/>
      <c r="H285" s="60" t="str">
        <f t="shared" si="99"/>
        <v/>
      </c>
      <c r="I285" s="112" t="str">
        <f>IF(H285="","",IF($I$8="A",(RANK(H285,H$11:H$363,1)+COUNTIF(H$11:H285,H285)-1),(RANK(H285,H$11:H$363)+COUNTIF(H$11:H285,H285)-1)))</f>
        <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23</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85</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85</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70</v>
      </c>
      <c r="G287" s="105"/>
      <c r="H287" s="60" t="str">
        <f t="shared" si="99"/>
        <v/>
      </c>
      <c r="I287" s="112" t="str">
        <f>IF(H287="","",IF($I$8="A",(RANK(H287,H$11:H$363,1)+COUNTIF(H$11:H287,H287)-1),(RANK(H287,H$11:H$363)+COUNTIF(H$11:H287,H287)-1)))</f>
        <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70</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90</v>
      </c>
      <c r="G289" s="105"/>
      <c r="H289" s="60" t="str">
        <f t="shared" si="99"/>
        <v/>
      </c>
      <c r="I289" s="112" t="str">
        <f>IF(H289="","",IF($I$8="A",(RANK(H289,H$11:H$363,1)+COUNTIF(H$11:H289,H289)-1),(RANK(H289,H$11:H$363)+COUNTIF(H$11:H289,H289)-1)))</f>
        <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90</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83</v>
      </c>
      <c r="G290" s="105"/>
      <c r="H290" s="60" t="str">
        <f t="shared" si="99"/>
        <v/>
      </c>
      <c r="I290" s="112" t="str">
        <f>IF(H290="","",IF($I$8="A",(RANK(H290,H$11:H$363,1)+COUNTIF(H$11:H290,H290)-1),(RANK(H290,H$11:H$363)+COUNTIF(H$11:H290,H290)-1)))</f>
        <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83</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82</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82</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87</v>
      </c>
      <c r="G292" s="105"/>
      <c r="H292" s="60">
        <f t="shared" si="99"/>
        <v>87</v>
      </c>
      <c r="I292" s="112">
        <f>IF(H292="","",IF($I$8="A",(RANK(H292,H$11:H$363,1)+COUNTIF(H$11:H292,H292)-1),(RANK(H292,H$11:H$363)+COUNTIF(H$11:H292,H292)-1)))</f>
        <v>7</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87</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84</v>
      </c>
      <c r="G293" s="105"/>
      <c r="H293" s="60">
        <f t="shared" si="99"/>
        <v>84</v>
      </c>
      <c r="I293" s="112">
        <f>IF(H293="","",IF($I$8="A",(RANK(H293,H$11:H$363,1)+COUNTIF(H$11:H293,H293)-1),(RANK(H293,H$11:H$363)+COUNTIF(H$11:H293,H293)-1)))</f>
        <v>11</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84</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78</v>
      </c>
      <c r="G294" s="105"/>
      <c r="H294" s="60" t="str">
        <f t="shared" si="99"/>
        <v/>
      </c>
      <c r="I294" s="112" t="str">
        <f>IF(H294="","",IF($I$8="A",(RANK(H294,H$11:H$363,1)+COUNTIF(H$11:H294,H294)-1),(RANK(H294,H$11:H$363)+COUNTIF(H$11:H294,H294)-1)))</f>
        <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78</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65</v>
      </c>
      <c r="G295" s="105"/>
      <c r="H295" s="60" t="str">
        <f t="shared" si="99"/>
        <v/>
      </c>
      <c r="I295" s="112" t="str">
        <f>IF(H295="","",IF($I$8="A",(RANK(H295,H$11:H$363,1)+COUNTIF(H$11:H295,H295)-1),(RANK(H295,H$11:H$363)+COUNTIF(H$11:H295,H295)-1)))</f>
        <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65</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51</v>
      </c>
      <c r="G297" s="105"/>
      <c r="H297" s="60" t="str">
        <f t="shared" si="99"/>
        <v/>
      </c>
      <c r="I297" s="112" t="str">
        <f>IF(H297="","",IF($I$8="A",(RANK(H297,H$11:H$363,1)+COUNTIF(H$11:H297,H297)-1),(RANK(H297,H$11:H$363)+COUNTIF(H$11:H297,H297)-1)))</f>
        <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51</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66</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66</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77</v>
      </c>
      <c r="G300" s="105"/>
      <c r="H300" s="60" t="str">
        <f t="shared" si="99"/>
        <v/>
      </c>
      <c r="I300" s="112" t="str">
        <f>IF(H300="","",IF($I$8="A",(RANK(H300,H$11:H$363,1)+COUNTIF(H$11:H300,H300)-1),(RANK(H300,H$11:H$363)+COUNTIF(H$11:H300,H300)-1)))</f>
        <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77</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85</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85</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71</v>
      </c>
      <c r="G302" s="105"/>
      <c r="H302" s="60" t="str">
        <f t="shared" si="99"/>
        <v/>
      </c>
      <c r="I302" s="112" t="str">
        <f>IF(H302="","",IF($I$8="A",(RANK(H302,H$11:H$363,1)+COUNTIF(H$11:H302,H302)-1),(RANK(H302,H$11:H$363)+COUNTIF(H$11:H302,H302)-1)))</f>
        <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71</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85</v>
      </c>
      <c r="G303" s="105"/>
      <c r="H303" s="60">
        <f t="shared" si="99"/>
        <v>85</v>
      </c>
      <c r="I303" s="112">
        <f>IF(H303="","",IF($I$8="A",(RANK(H303,H$11:H$363,1)+COUNTIF(H$11:H303,H303)-1),(RANK(H303,H$11:H$363)+COUNTIF(H$11:H303,H303)-1)))</f>
        <v>10</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85</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76</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76</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57</v>
      </c>
      <c r="G305" s="105"/>
      <c r="H305" s="60" t="str">
        <f t="shared" si="99"/>
        <v/>
      </c>
      <c r="I305" s="112" t="str">
        <f>IF(H305="","",IF($I$8="A",(RANK(H305,H$11:H$363,1)+COUNTIF(H$11:H305,H305)-1),(RANK(H305,H$11:H$363)+COUNTIF(H$11:H305,H305)-1)))</f>
        <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57</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100</v>
      </c>
      <c r="G306" s="105"/>
      <c r="H306" s="60" t="str">
        <f t="shared" si="99"/>
        <v/>
      </c>
      <c r="I306" s="112" t="str">
        <f>IF(H306="","",IF($I$8="A",(RANK(H306,H$11:H$363,1)+COUNTIF(H$11:H306,H306)-1),(RANK(H306,H$11:H$363)+COUNTIF(H$11:H306,H306)-1)))</f>
        <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100</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69</v>
      </c>
      <c r="G307" s="105"/>
      <c r="H307" s="60" t="str">
        <f t="shared" si="99"/>
        <v/>
      </c>
      <c r="I307" s="112" t="str">
        <f>IF(H307="","",IF($I$8="A",(RANK(H307,H$11:H$363,1)+COUNTIF(H$11:H307,H307)-1),(RANK(H307,H$11:H$363)+COUNTIF(H$11:H307,H307)-1)))</f>
        <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69</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71</v>
      </c>
      <c r="G308" s="105"/>
      <c r="H308" s="60" t="str">
        <f t="shared" si="99"/>
        <v/>
      </c>
      <c r="I308" s="112" t="str">
        <f>IF(H308="","",IF($I$8="A",(RANK(H308,H$11:H$363,1)+COUNTIF(H$11:H308,H308)-1),(RANK(H308,H$11:H$363)+COUNTIF(H$11:H308,H308)-1)))</f>
        <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71</v>
      </c>
      <c r="AY308" s="156"/>
      <c r="AZ308" s="44"/>
    </row>
    <row r="309" spans="1:52">
      <c r="A309" s="84" t="str">
        <f>$D$1&amp;299</f>
        <v>UA299</v>
      </c>
      <c r="B309" s="85">
        <f>IF(ISERROR(VLOOKUP(A309,classifications!A:C,3,FALSE)),0,VLOOKUP(A309,classifications!A:C,3,FALSE))</f>
        <v>0</v>
      </c>
      <c r="C309" s="31" t="s">
        <v>823</v>
      </c>
      <c r="D309" s="49" t="str">
        <f>VLOOKUP($C309,classifications!$C:$J,4,FALSE)</f>
        <v>UA</v>
      </c>
      <c r="E309" s="49">
        <f>VLOOKUP(C309,classifications!C:K,9,FALSE)</f>
        <v>0</v>
      </c>
      <c r="F309" s="59">
        <f t="shared" si="98"/>
        <v>80</v>
      </c>
      <c r="G309" s="105"/>
      <c r="H309" s="60">
        <f t="shared" si="99"/>
        <v>80</v>
      </c>
      <c r="I309" s="112">
        <f>IF(H309="","",IF($I$8="A",(RANK(H309,H$11:H$363,1)+COUNTIF(H$11:H309,H309)-1),(RANK(H309,H$11:H$363)+COUNTIF(H$11:H309,H309)-1)))</f>
        <v>14</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80</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77</v>
      </c>
      <c r="G310" s="105"/>
      <c r="H310" s="60" t="str">
        <f t="shared" si="99"/>
        <v/>
      </c>
      <c r="I310" s="112" t="str">
        <f>IF(H310="","",IF($I$8="A",(RANK(H310,H$11:H$363,1)+COUNTIF(H$11:H310,H310)-1),(RANK(H310,H$11:H$363)+COUNTIF(H$11:H310,H310)-1)))</f>
        <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77</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f t="shared" si="98"/>
        <v>58</v>
      </c>
      <c r="G311" s="105"/>
      <c r="H311" s="60" t="str">
        <f t="shared" si="99"/>
        <v/>
      </c>
      <c r="I311" s="112" t="str">
        <f>IF(H311="","",IF($I$8="A",(RANK(H311,H$11:H$363,1)+COUNTIF(H$11:H311,H311)-1),(RANK(H311,H$11:H$363)+COUNTIF(H$11:H311,H311)-1)))</f>
        <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58</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43</v>
      </c>
      <c r="G312" s="105"/>
      <c r="H312" s="60" t="str">
        <f t="shared" si="99"/>
        <v/>
      </c>
      <c r="I312" s="112" t="str">
        <f>IF(H312="","",IF($I$8="A",(RANK(H312,H$11:H$363,1)+COUNTIF(H$11:H312,H312)-1),(RANK(H312,H$11:H$363)+COUNTIF(H$11:H312,H312)-1)))</f>
        <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43</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63</v>
      </c>
      <c r="G313" s="105"/>
      <c r="H313" s="60" t="str">
        <f t="shared" si="99"/>
        <v/>
      </c>
      <c r="I313" s="112" t="str">
        <f>IF(H313="","",IF($I$8="A",(RANK(H313,H$11:H$363,1)+COUNTIF(H$11:H313,H313)-1),(RANK(H313,H$11:H$363)+COUNTIF(H$11:H313,H313)-1)))</f>
        <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63</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77</v>
      </c>
      <c r="G314" s="105"/>
      <c r="H314" s="60">
        <f t="shared" si="99"/>
        <v>77</v>
      </c>
      <c r="I314" s="112">
        <f>IF(H314="","",IF($I$8="A",(RANK(H314,H$11:H$363,1)+COUNTIF(H$11:H314,H314)-1),(RANK(H314,H$11:H$363)+COUNTIF(H$11:H314,H314)-1)))</f>
        <v>16</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77</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100</v>
      </c>
      <c r="G315" s="105"/>
      <c r="H315" s="60" t="str">
        <f t="shared" si="99"/>
        <v/>
      </c>
      <c r="I315" s="112" t="str">
        <f>IF(H315="","",IF($I$8="A",(RANK(H315,H$11:H$363,1)+COUNTIF(H$11:H315,H315)-1),(RANK(H315,H$11:H$363)+COUNTIF(H$11:H315,H315)-1)))</f>
        <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100</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63</v>
      </c>
      <c r="G316" s="105"/>
      <c r="H316" s="60">
        <f t="shared" si="99"/>
        <v>63</v>
      </c>
      <c r="I316" s="112">
        <f>IF(H316="","",IF($I$8="A",(RANK(H316,H$11:H$363,1)+COUNTIF(H$11:H316,H316)-1),(RANK(H316,H$11:H$363)+COUNTIF(H$11:H316,H316)-1)))</f>
        <v>41</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63</v>
      </c>
      <c r="AY316" s="156"/>
      <c r="AZ316" s="44"/>
    </row>
    <row r="317" spans="1:52">
      <c r="A317" s="84" t="str">
        <f>$D$1&amp;307</f>
        <v>UA307</v>
      </c>
      <c r="B317" s="85">
        <f>IF(ISERROR(VLOOKUP(A317,classifications!A:C,3,FALSE)),0,VLOOKUP(A317,classifications!A:C,3,FALSE))</f>
        <v>0</v>
      </c>
      <c r="C317" s="31" t="s">
        <v>353</v>
      </c>
      <c r="D317" s="49" t="str">
        <f>VLOOKUP($C317,classifications!$C:$J,4,FALSE)</f>
        <v>SD</v>
      </c>
      <c r="E317" s="49">
        <f>VLOOKUP(C317,classifications!C:K,9,FALSE)</f>
        <v>0</v>
      </c>
      <c r="F317" s="59">
        <f t="shared" si="98"/>
        <v>64</v>
      </c>
      <c r="G317" s="105"/>
      <c r="H317" s="60" t="str">
        <f t="shared" si="99"/>
        <v/>
      </c>
      <c r="I317" s="112" t="str">
        <f>IF(H317="","",IF($I$8="A",(RANK(H317,H$11:H$363,1)+COUNTIF(H$11:H317,H317)-1),(RANK(H317,H$11:H$363)+COUNTIF(H$11:H317,H317)-1)))</f>
        <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64</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83</v>
      </c>
      <c r="G318" s="105"/>
      <c r="H318" s="60">
        <f t="shared" si="99"/>
        <v>83</v>
      </c>
      <c r="I318" s="112">
        <f>IF(H318="","",IF($I$8="A",(RANK(H318,H$11:H$363,1)+COUNTIF(H$11:H318,H318)-1),(RANK(H318,H$11:H$363)+COUNTIF(H$11:H318,H318)-1)))</f>
        <v>12</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83</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37</v>
      </c>
      <c r="G319" s="105"/>
      <c r="H319" s="60" t="str">
        <f t="shared" si="99"/>
        <v/>
      </c>
      <c r="I319" s="112" t="str">
        <f>IF(H319="","",IF($I$8="A",(RANK(H319,H$11:H$363,1)+COUNTIF(H$11:H319,H319)-1),(RANK(H319,H$11:H$363)+COUNTIF(H$11:H319,H319)-1)))</f>
        <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37</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70</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70</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70</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70</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61</v>
      </c>
      <c r="G322" s="105"/>
      <c r="H322" s="60" t="str">
        <f t="shared" si="99"/>
        <v/>
      </c>
      <c r="I322" s="112" t="str">
        <f>IF(H322="","",IF($I$8="A",(RANK(H322,H$11:H$363,1)+COUNTIF(H$11:H322,H322)-1),(RANK(H322,H$11:H$363)+COUNTIF(H$11:H322,H322)-1)))</f>
        <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61</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61</v>
      </c>
      <c r="G323" s="105"/>
      <c r="H323" s="60" t="str">
        <f t="shared" si="99"/>
        <v/>
      </c>
      <c r="I323" s="112" t="str">
        <f>IF(H323="","",IF($I$8="A",(RANK(H323,H$11:H$363,1)+COUNTIF(H$11:H323,H323)-1),(RANK(H323,H$11:H$363)+COUNTIF(H$11:H323,H323)-1)))</f>
        <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61</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8"/>
        <v>68</v>
      </c>
      <c r="G324" s="105"/>
      <c r="H324" s="60" t="str">
        <f t="shared" si="99"/>
        <v/>
      </c>
      <c r="I324" s="112" t="str">
        <f>IF(H324="","",IF($I$8="A",(RANK(H324,H$11:H$363,1)+COUNTIF(H$11:H324,H324)-1),(RANK(H324,H$11:H$363)+COUNTIF(H$11:H324,H324)-1)))</f>
        <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68</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69</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69</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69</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69</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67</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67</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68</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68</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80</v>
      </c>
      <c r="G329" s="105"/>
      <c r="H329" s="60">
        <f t="shared" si="99"/>
        <v>80</v>
      </c>
      <c r="I329" s="112">
        <f>IF(H329="","",IF($I$8="A",(RANK(H329,H$11:H$363,1)+COUNTIF(H$11:H329,H329)-1),(RANK(H329,H$11:H$363)+COUNTIF(H$11:H329,H329)-1)))</f>
        <v>15</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80</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95</v>
      </c>
      <c r="G330" s="105"/>
      <c r="H330" s="60" t="str">
        <f t="shared" si="99"/>
        <v/>
      </c>
      <c r="I330" s="112" t="str">
        <f>IF(H330="","",IF($I$8="A",(RANK(H330,H$11:H$363,1)+COUNTIF(H$11:H330,H330)-1),(RANK(H330,H$11:H$363)+COUNTIF(H$11:H330,H330)-1)))</f>
        <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95</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80</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80</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61</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61</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90</v>
      </c>
      <c r="G334" s="105"/>
      <c r="H334" s="60" t="str">
        <f t="shared" si="122"/>
        <v/>
      </c>
      <c r="I334" s="112" t="str">
        <f>IF(H334="","",IF($I$8="A",(RANK(H334,H$11:H$363,1)+COUNTIF(H$11:H334,H334)-1),(RANK(H334,H$11:H$363)+COUNTIF(H$11:H334,H334)-1)))</f>
        <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90</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81</v>
      </c>
      <c r="G335" s="105"/>
      <c r="H335" s="60" t="str">
        <f t="shared" si="122"/>
        <v/>
      </c>
      <c r="I335" s="112" t="str">
        <f>IF(H335="","",IF($I$8="A",(RANK(H335,H$11:H$363,1)+COUNTIF(H$11:H335,H335)-1),(RANK(H335,H$11:H$363)+COUNTIF(H$11:H335,H335)-1)))</f>
        <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81</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65</v>
      </c>
      <c r="G336" s="105"/>
      <c r="H336" s="60" t="str">
        <f t="shared" si="122"/>
        <v/>
      </c>
      <c r="I336" s="112" t="str">
        <f>IF(H336="","",IF($I$8="A",(RANK(H336,H$11:H$363,1)+COUNTIF(H$11:H336,H336)-1),(RANK(H336,H$11:H$363)+COUNTIF(H$11:H336,H336)-1)))</f>
        <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65</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74</v>
      </c>
      <c r="G337" s="105"/>
      <c r="H337" s="60" t="str">
        <f t="shared" si="122"/>
        <v/>
      </c>
      <c r="I337" s="112" t="str">
        <f>IF(H337="","",IF($I$8="A",(RANK(H337,H$11:H$363,1)+COUNTIF(H$11:H337,H337)-1),(RANK(H337,H$11:H$363)+COUNTIF(H$11:H337,H337)-1)))</f>
        <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74</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72</v>
      </c>
      <c r="G338" s="105"/>
      <c r="H338" s="60">
        <f t="shared" si="122"/>
        <v>72</v>
      </c>
      <c r="I338" s="112">
        <f>IF(H338="","",IF($I$8="A",(RANK(H338,H$11:H$363,1)+COUNTIF(H$11:H338,H338)-1),(RANK(H338,H$11:H$363)+COUNTIF(H$11:H338,H338)-1)))</f>
        <v>28</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72</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56</v>
      </c>
      <c r="G339" s="105"/>
      <c r="H339" s="60" t="str">
        <f t="shared" si="122"/>
        <v/>
      </c>
      <c r="I339" s="112" t="str">
        <f>IF(H339="","",IF($I$8="A",(RANK(H339,H$11:H$363,1)+COUNTIF(H$11:H339,H339)-1),(RANK(H339,H$11:H$363)+COUNTIF(H$11:H339,H339)-1)))</f>
        <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56</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84</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84</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76</v>
      </c>
      <c r="G341" s="105"/>
      <c r="H341" s="60" t="str">
        <f t="shared" si="122"/>
        <v/>
      </c>
      <c r="I341" s="112" t="str">
        <f>IF(H341="","",IF($I$8="A",(RANK(H341,H$11:H$363,1)+COUNTIF(H$11:H341,H341)-1),(RANK(H341,H$11:H$363)+COUNTIF(H$11:H341,H341)-1)))</f>
        <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76</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59</v>
      </c>
      <c r="G342" s="105"/>
      <c r="H342" s="60" t="str">
        <f t="shared" si="122"/>
        <v/>
      </c>
      <c r="I342" s="112" t="str">
        <f>IF(H342="","",IF($I$8="A",(RANK(H342,H$11:H$363,1)+COUNTIF(H$11:H342,H342)-1),(RANK(H342,H$11:H$363)+COUNTIF(H$11:H342,H342)-1)))</f>
        <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59</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63</v>
      </c>
      <c r="G343" s="105"/>
      <c r="H343" s="60" t="str">
        <f t="shared" si="122"/>
        <v/>
      </c>
      <c r="I343" s="112" t="str">
        <f>IF(H343="","",IF($I$8="A",(RANK(H343,H$11:H$363,1)+COUNTIF(H$11:H343,H343)-1),(RANK(H343,H$11:H$363)+COUNTIF(H$11:H343,H343)-1)))</f>
        <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63</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68</v>
      </c>
      <c r="G344" s="105"/>
      <c r="H344" s="60" t="str">
        <f t="shared" si="122"/>
        <v/>
      </c>
      <c r="I344" s="112" t="str">
        <f>IF(H344="","",IF($I$8="A",(RANK(H344,H$11:H$363,1)+COUNTIF(H$11:H344,H344)-1),(RANK(H344,H$11:H$363)+COUNTIF(H$11:H344,H344)-1)))</f>
        <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68</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92</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92</v>
      </c>
      <c r="AY346" s="156"/>
      <c r="AZ346" s="44"/>
    </row>
    <row r="347" spans="1:52">
      <c r="A347" s="84" t="str">
        <f>$D$1&amp;337</f>
        <v>UA337</v>
      </c>
      <c r="B347" s="85">
        <f>IF(ISERROR(VLOOKUP(A347,classifications!A:C,3,FALSE)),0,VLOOKUP(A347,classifications!A:C,3,FALSE))</f>
        <v>0</v>
      </c>
      <c r="C347" s="31" t="s">
        <v>354</v>
      </c>
      <c r="D347" s="49" t="str">
        <f>VLOOKUP($C347,classifications!$C:$J,4,FALSE)</f>
        <v>SD</v>
      </c>
      <c r="E347" s="49">
        <f>VLOOKUP(C347,classifications!C:K,9,FALSE)</f>
        <v>0</v>
      </c>
      <c r="F347" s="59">
        <f t="shared" si="121"/>
        <v>38</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38</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84</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84</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56</v>
      </c>
      <c r="G349" s="105"/>
      <c r="H349" s="60">
        <f t="shared" si="122"/>
        <v>56</v>
      </c>
      <c r="I349" s="112">
        <f>IF(H349="","",IF($I$8="A",(RANK(H349,H$11:H$363,1)+COUNTIF(H$11:H349,H349)-1),(RANK(H349,H$11:H$363)+COUNTIF(H$11:H349,H349)-1)))</f>
        <v>48</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56</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63</v>
      </c>
      <c r="G350" s="105"/>
      <c r="H350" s="60" t="str">
        <f t="shared" si="122"/>
        <v/>
      </c>
      <c r="I350" s="112" t="str">
        <f>IF(H350="","",IF($I$8="A",(RANK(H350,H$11:H$363,1)+COUNTIF(H$11:H350,H350)-1),(RANK(H350,H$11:H$363)+COUNTIF(H$11:H350,H350)-1)))</f>
        <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63</v>
      </c>
      <c r="AY350" s="156"/>
      <c r="AZ350" s="44"/>
    </row>
    <row r="351" spans="1:52">
      <c r="A351" s="84" t="str">
        <f>$D$1&amp;341</f>
        <v>UA341</v>
      </c>
      <c r="B351" s="85">
        <f>IF(ISERROR(VLOOKUP(A351,classifications!A:C,3,FALSE)),0,VLOOKUP(A351,classifications!A:C,3,FALSE))</f>
        <v>0</v>
      </c>
      <c r="C351" s="31" t="s">
        <v>824</v>
      </c>
      <c r="D351" s="49" t="str">
        <f>VLOOKUP($C351,classifications!$C:$J,4,FALSE)</f>
        <v>UA</v>
      </c>
      <c r="E351" s="49">
        <f>VLOOKUP(C351,classifications!C:K,9,FALSE)</f>
        <v>0</v>
      </c>
      <c r="F351" s="59">
        <f t="shared" si="121"/>
        <v>59</v>
      </c>
      <c r="G351" s="105"/>
      <c r="H351" s="60">
        <f t="shared" si="122"/>
        <v>59</v>
      </c>
      <c r="I351" s="112">
        <f>IF(H351="","",IF($I$8="A",(RANK(H351,H$11:H$363,1)+COUNTIF(H$11:H351,H351)-1),(RANK(H351,H$11:H$363)+COUNTIF(H$11:H351,H351)-1)))</f>
        <v>45</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59</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47</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47</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59</v>
      </c>
      <c r="G353" s="105"/>
      <c r="H353" s="60" t="str">
        <f t="shared" si="122"/>
        <v/>
      </c>
      <c r="I353" s="112" t="str">
        <f>IF(H353="","",IF($I$8="A",(RANK(H353,H$11:H$363,1)+COUNTIF(H$11:H353,H353)-1),(RANK(H353,H$11:H$363)+COUNTIF(H$11:H353,H353)-1)))</f>
        <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59</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50</v>
      </c>
      <c r="G354" s="105"/>
      <c r="H354" s="60">
        <f t="shared" si="122"/>
        <v>50</v>
      </c>
      <c r="I354" s="112">
        <f>IF(H354="","",IF($I$8="A",(RANK(H354,H$11:H$363,1)+COUNTIF(H$11:H354,H354)-1),(RANK(H354,H$11:H$363)+COUNTIF(H$11:H354,H354)-1)))</f>
        <v>52</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50</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44</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44</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88</v>
      </c>
      <c r="G356" s="105"/>
      <c r="H356" s="60" t="str">
        <f t="shared" si="122"/>
        <v/>
      </c>
      <c r="I356" s="112" t="str">
        <f>IF(H356="","",IF($I$8="A",(RANK(H356,H$11:H$363,1)+COUNTIF(H$11:H356,H356)-1),(RANK(H356,H$11:H$363)+COUNTIF(H$11:H356,H356)-1)))</f>
        <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88</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69</v>
      </c>
      <c r="G358" s="105"/>
      <c r="H358" s="60" t="str">
        <f t="shared" si="122"/>
        <v/>
      </c>
      <c r="I358" s="112" t="str">
        <f>IF(H358="","",IF($I$8="A",(RANK(H358,H$11:H$363,1)+COUNTIF(H$11:H358,H358)-1),(RANK(H358,H$11:H$363)+COUNTIF(H$11:H358,H358)-1)))</f>
        <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69</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63</v>
      </c>
      <c r="G359" s="105"/>
      <c r="H359" s="60" t="str">
        <f t="shared" si="122"/>
        <v/>
      </c>
      <c r="I359" s="112" t="str">
        <f>IF(H359="","",IF($I$8="A",(RANK(H359,H$11:H$363,1)+COUNTIF(H$11:H359,H359)-1),(RANK(H359,H$11:H$363)+COUNTIF(H$11:H359,H359)-1)))</f>
        <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63</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67</v>
      </c>
      <c r="G360" s="105"/>
      <c r="H360" s="60" t="str">
        <f t="shared" si="122"/>
        <v/>
      </c>
      <c r="I360" s="112" t="str">
        <f>IF(H360="","",IF($I$8="A",(RANK(H360,H$11:H$363,1)+COUNTIF(H$11:H360,H360)-1),(RANK(H360,H$11:H$363)+COUNTIF(H$11:H360,H360)-1)))</f>
        <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67</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51</v>
      </c>
      <c r="G361" s="105"/>
      <c r="H361" s="60" t="str">
        <f t="shared" si="122"/>
        <v/>
      </c>
      <c r="I361" s="112" t="str">
        <f>IF(H361="","",IF($I$8="A",(RANK(H361,H$11:H$363,1)+COUNTIF(H$11:H361,H361)-1),(RANK(H361,H$11:H$363)+COUNTIF(H$11:H361,H361)-1)))</f>
        <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51</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50</v>
      </c>
      <c r="G362" s="105"/>
      <c r="H362" s="60" t="str">
        <f t="shared" si="122"/>
        <v/>
      </c>
      <c r="I362" s="112" t="str">
        <f>IF(H362="","",IF($I$8="A",(RANK(H362,H$11:H$363,1)+COUNTIF(H$11:H362,H362)-1),(RANK(H362,H$11:H$363)+COUNTIF(H$11:H362,H362)-1)))</f>
        <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50</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73</v>
      </c>
      <c r="G363" s="105"/>
      <c r="H363" s="60">
        <f t="shared" si="122"/>
        <v>73</v>
      </c>
      <c r="I363" s="112">
        <f>IF(H363="","",IF($I$8="A",(RANK(H363,H$11:H$363,1)+COUNTIF(H$11:H363,H363)-1),(RANK(H363,H$11:H$363)+COUNTIF(H$11:H363,H363)-1)))</f>
        <v>26</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73</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A2" sqref="A2:F4"/>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895</v>
      </c>
      <c r="B2" t="s">
        <v>820</v>
      </c>
      <c r="C2" t="s">
        <v>831</v>
      </c>
      <c r="D2" t="s">
        <v>902</v>
      </c>
      <c r="F2" t="s">
        <v>898</v>
      </c>
      <c r="G2" s="6"/>
      <c r="H2" s="6"/>
    </row>
    <row r="3" spans="1:8" ht="15">
      <c r="A3" s="269" t="s">
        <v>896</v>
      </c>
      <c r="B3" t="s">
        <v>820</v>
      </c>
      <c r="C3" t="s">
        <v>831</v>
      </c>
      <c r="D3" t="s">
        <v>902</v>
      </c>
      <c r="F3" t="s">
        <v>899</v>
      </c>
      <c r="G3" s="6"/>
    </row>
    <row r="4" spans="1:8" ht="15">
      <c r="A4" s="269" t="s">
        <v>897</v>
      </c>
      <c r="B4" t="s">
        <v>820</v>
      </c>
      <c r="C4" t="s">
        <v>831</v>
      </c>
      <c r="D4" t="s">
        <v>902</v>
      </c>
      <c r="F4" s="6"/>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B3" sqref="B3"/>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Major Developments - % within 13 weeksYear Ending March 2014</v>
      </c>
      <c r="D1" s="188" t="str">
        <f t="shared" ref="D1:BO1" si="0">D4&amp;D5</f>
        <v>Minor Developments - % within 8 weeksYear Ending March 2014</v>
      </c>
      <c r="E1" s="188" t="str">
        <f t="shared" si="0"/>
        <v>Other Developments - % within 8 weeksYear Ending March 2014</v>
      </c>
      <c r="F1" s="188" t="str">
        <f t="shared" si="0"/>
        <v>Major Developments - % within 13 weeksYear Ending December 2013</v>
      </c>
      <c r="G1" s="188" t="str">
        <f t="shared" si="0"/>
        <v>Minor Developments - % within 8 weeksYear Ending December 2013</v>
      </c>
      <c r="H1" s="188" t="str">
        <f t="shared" si="0"/>
        <v>Other Developments - % within 8 weeksYear Ending December 2013</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901</v>
      </c>
      <c r="D3" s="192"/>
      <c r="E3" s="192"/>
      <c r="L3" s="179"/>
      <c r="M3" s="162"/>
      <c r="N3" s="179"/>
      <c r="O3" s="195"/>
      <c r="P3" s="195"/>
      <c r="Q3" s="195"/>
      <c r="R3" s="162"/>
      <c r="S3" s="162"/>
      <c r="T3" s="162"/>
      <c r="U3" s="195"/>
      <c r="V3" s="360"/>
      <c r="W3" s="360"/>
      <c r="X3" s="179"/>
      <c r="Y3" s="179"/>
    </row>
    <row r="4" spans="1:77" ht="60" customHeight="1">
      <c r="A4" s="358" t="s">
        <v>830</v>
      </c>
      <c r="B4" s="190" t="s">
        <v>810</v>
      </c>
      <c r="C4" s="269" t="s">
        <v>895</v>
      </c>
      <c r="D4" s="269" t="s">
        <v>896</v>
      </c>
      <c r="E4" s="269" t="s">
        <v>897</v>
      </c>
      <c r="F4" s="269" t="s">
        <v>895</v>
      </c>
      <c r="G4" s="269" t="s">
        <v>896</v>
      </c>
      <c r="H4" s="269" t="s">
        <v>897</v>
      </c>
      <c r="I4" s="181"/>
      <c r="J4" s="183"/>
      <c r="K4" s="183"/>
      <c r="L4" s="179"/>
      <c r="M4" s="183"/>
      <c r="N4" s="179"/>
      <c r="O4" s="181"/>
      <c r="P4" s="181"/>
      <c r="Q4" s="181"/>
      <c r="R4" s="183"/>
      <c r="S4" s="183"/>
      <c r="T4" s="183"/>
      <c r="U4" s="181"/>
      <c r="V4" s="361"/>
      <c r="W4" s="361"/>
      <c r="X4" s="179"/>
      <c r="Y4" s="179"/>
    </row>
    <row r="5" spans="1:77" ht="30" customHeight="1">
      <c r="A5" s="359"/>
      <c r="B5" s="191" t="s">
        <v>369</v>
      </c>
      <c r="C5" s="269" t="s">
        <v>898</v>
      </c>
      <c r="D5" s="269" t="s">
        <v>898</v>
      </c>
      <c r="E5" s="269" t="s">
        <v>898</v>
      </c>
      <c r="F5" s="269" t="s">
        <v>899</v>
      </c>
      <c r="G5" s="269" t="s">
        <v>899</v>
      </c>
      <c r="H5" s="269" t="s">
        <v>899</v>
      </c>
      <c r="I5" s="182"/>
      <c r="J5" s="165"/>
      <c r="K5" s="165"/>
      <c r="L5" s="179"/>
      <c r="M5" s="165"/>
      <c r="N5" s="179"/>
      <c r="O5" s="182"/>
      <c r="P5" s="182"/>
      <c r="Q5" s="182"/>
      <c r="R5" s="165"/>
      <c r="S5" s="165"/>
      <c r="T5" s="165"/>
      <c r="U5" s="182"/>
      <c r="V5" s="362"/>
      <c r="W5" s="362"/>
      <c r="X5" s="179"/>
      <c r="Y5" s="179"/>
    </row>
    <row r="6" spans="1:77" ht="14.65" customHeight="1">
      <c r="A6" s="359"/>
      <c r="B6" s="191" t="s">
        <v>370</v>
      </c>
      <c r="C6" s="217" t="s">
        <v>900</v>
      </c>
      <c r="D6" s="217" t="s">
        <v>900</v>
      </c>
      <c r="E6" s="217" t="s">
        <v>900</v>
      </c>
      <c r="F6" s="217" t="s">
        <v>900</v>
      </c>
      <c r="G6" s="217" t="s">
        <v>900</v>
      </c>
      <c r="H6" s="217" t="s">
        <v>900</v>
      </c>
      <c r="I6" s="182"/>
      <c r="J6" s="165"/>
      <c r="K6" s="165"/>
      <c r="L6" s="179"/>
      <c r="M6" s="165"/>
      <c r="N6" s="179"/>
      <c r="O6" s="182"/>
      <c r="P6" s="182"/>
      <c r="Q6" s="182"/>
      <c r="R6" s="165"/>
      <c r="S6" s="165"/>
      <c r="T6" s="165"/>
      <c r="U6" s="181"/>
      <c r="V6" s="361"/>
      <c r="W6" s="361"/>
      <c r="X6" s="179"/>
      <c r="Y6" s="179"/>
    </row>
    <row r="7" spans="1:77" ht="14.65" customHeight="1">
      <c r="A7" s="186" t="s">
        <v>4</v>
      </c>
      <c r="B7" s="186"/>
      <c r="C7">
        <v>70</v>
      </c>
      <c r="D7">
        <v>62</v>
      </c>
      <c r="E7">
        <v>81</v>
      </c>
      <c r="F7">
        <v>67</v>
      </c>
      <c r="G7">
        <v>64</v>
      </c>
      <c r="H7">
        <v>82</v>
      </c>
      <c r="I7" s="202"/>
      <c r="J7" s="165"/>
      <c r="K7" s="165"/>
      <c r="L7" s="179"/>
      <c r="M7" s="165"/>
      <c r="N7" s="179"/>
      <c r="O7" s="202"/>
      <c r="P7" s="202"/>
      <c r="Q7" s="202"/>
      <c r="R7" s="165"/>
      <c r="S7" s="165"/>
      <c r="T7" s="165"/>
      <c r="U7" s="201"/>
      <c r="V7" s="166"/>
      <c r="W7" s="166"/>
      <c r="X7" s="179"/>
      <c r="Y7" s="179"/>
    </row>
    <row r="8" spans="1:77" ht="14.65" customHeight="1">
      <c r="A8" s="186" t="s">
        <v>6</v>
      </c>
      <c r="B8" s="186"/>
      <c r="C8">
        <v>63</v>
      </c>
      <c r="D8">
        <v>73</v>
      </c>
      <c r="E8">
        <v>93</v>
      </c>
      <c r="F8">
        <v>55</v>
      </c>
      <c r="G8">
        <v>75</v>
      </c>
      <c r="H8">
        <v>90</v>
      </c>
      <c r="I8" s="202"/>
      <c r="J8" s="165"/>
      <c r="K8" s="165"/>
      <c r="L8" s="179"/>
      <c r="M8" s="165"/>
      <c r="N8" s="179"/>
      <c r="O8" s="202"/>
      <c r="P8" s="202"/>
      <c r="Q8" s="202"/>
      <c r="R8" s="165"/>
      <c r="S8" s="165"/>
      <c r="T8" s="165"/>
      <c r="U8" s="201"/>
      <c r="V8" s="166"/>
      <c r="W8" s="166"/>
      <c r="X8" s="179"/>
      <c r="Y8" s="179"/>
    </row>
    <row r="9" spans="1:77" ht="14.65" customHeight="1">
      <c r="A9" s="186" t="s">
        <v>7</v>
      </c>
      <c r="B9" s="186"/>
      <c r="C9">
        <v>25</v>
      </c>
      <c r="D9">
        <v>68</v>
      </c>
      <c r="E9">
        <v>82</v>
      </c>
      <c r="F9">
        <v>26</v>
      </c>
      <c r="G9">
        <v>68</v>
      </c>
      <c r="H9">
        <v>81</v>
      </c>
      <c r="I9" s="202"/>
      <c r="J9" s="165"/>
      <c r="K9" s="165"/>
      <c r="L9" s="179"/>
      <c r="M9" s="165"/>
      <c r="N9" s="179"/>
      <c r="O9" s="202"/>
      <c r="P9" s="202"/>
      <c r="Q9" s="202"/>
      <c r="R9" s="165"/>
      <c r="S9" s="165"/>
      <c r="T9" s="165"/>
      <c r="U9" s="201"/>
      <c r="V9" s="166"/>
      <c r="W9" s="166"/>
      <c r="X9" s="179"/>
      <c r="Y9" s="179"/>
    </row>
    <row r="10" spans="1:77" ht="14.65" customHeight="1">
      <c r="A10" s="186" t="s">
        <v>8</v>
      </c>
      <c r="B10" s="186"/>
      <c r="C10">
        <v>55</v>
      </c>
      <c r="D10">
        <v>66</v>
      </c>
      <c r="E10">
        <v>85</v>
      </c>
      <c r="F10">
        <v>52</v>
      </c>
      <c r="G10">
        <v>64</v>
      </c>
      <c r="H10">
        <v>84</v>
      </c>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76</v>
      </c>
      <c r="D11">
        <v>87</v>
      </c>
      <c r="E11">
        <v>97</v>
      </c>
      <c r="F11">
        <v>84</v>
      </c>
      <c r="G11">
        <v>86</v>
      </c>
      <c r="H11">
        <v>96</v>
      </c>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53</v>
      </c>
      <c r="D12">
        <v>64</v>
      </c>
      <c r="E12">
        <v>80</v>
      </c>
      <c r="F12">
        <v>52</v>
      </c>
      <c r="G12">
        <v>61</v>
      </c>
      <c r="H12">
        <v>79</v>
      </c>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52</v>
      </c>
      <c r="D13">
        <v>69</v>
      </c>
      <c r="E13">
        <v>88</v>
      </c>
      <c r="F13">
        <v>55</v>
      </c>
      <c r="G13">
        <v>68</v>
      </c>
      <c r="H13">
        <v>86</v>
      </c>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v>70</v>
      </c>
      <c r="D14">
        <v>63</v>
      </c>
      <c r="E14">
        <v>82</v>
      </c>
      <c r="F14">
        <v>72</v>
      </c>
      <c r="G14">
        <v>64</v>
      </c>
      <c r="H14">
        <v>82</v>
      </c>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91</v>
      </c>
      <c r="D15">
        <v>65</v>
      </c>
      <c r="E15">
        <v>75</v>
      </c>
      <c r="F15">
        <v>90</v>
      </c>
      <c r="G15">
        <v>59</v>
      </c>
      <c r="H15">
        <v>75</v>
      </c>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63</v>
      </c>
      <c r="D16">
        <v>75</v>
      </c>
      <c r="E16">
        <v>91</v>
      </c>
      <c r="F16">
        <v>52</v>
      </c>
      <c r="G16">
        <v>67</v>
      </c>
      <c r="H16">
        <v>86</v>
      </c>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87</v>
      </c>
      <c r="D17">
        <v>77</v>
      </c>
      <c r="E17">
        <v>89</v>
      </c>
      <c r="F17">
        <v>80</v>
      </c>
      <c r="G17">
        <v>81</v>
      </c>
      <c r="H17">
        <v>91</v>
      </c>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62</v>
      </c>
      <c r="D18">
        <v>38</v>
      </c>
      <c r="E18">
        <v>75</v>
      </c>
      <c r="F18">
        <v>64</v>
      </c>
      <c r="G18">
        <v>38</v>
      </c>
      <c r="H18">
        <v>76</v>
      </c>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55</v>
      </c>
      <c r="D19">
        <v>80</v>
      </c>
      <c r="E19">
        <v>88</v>
      </c>
      <c r="F19">
        <v>63</v>
      </c>
      <c r="G19">
        <v>82</v>
      </c>
      <c r="H19">
        <v>88</v>
      </c>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64</v>
      </c>
      <c r="D20">
        <v>44</v>
      </c>
      <c r="E20">
        <v>72</v>
      </c>
      <c r="F20">
        <v>65</v>
      </c>
      <c r="G20">
        <v>48</v>
      </c>
      <c r="H20">
        <v>75</v>
      </c>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54</v>
      </c>
      <c r="D21">
        <v>70</v>
      </c>
      <c r="E21">
        <v>79</v>
      </c>
      <c r="F21">
        <v>49</v>
      </c>
      <c r="G21">
        <v>73</v>
      </c>
      <c r="H21">
        <v>82</v>
      </c>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56</v>
      </c>
      <c r="D22">
        <v>72</v>
      </c>
      <c r="E22">
        <v>76</v>
      </c>
      <c r="F22">
        <v>49</v>
      </c>
      <c r="G22">
        <v>74</v>
      </c>
      <c r="H22">
        <v>75</v>
      </c>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62</v>
      </c>
      <c r="D23">
        <v>55</v>
      </c>
      <c r="E23">
        <v>82</v>
      </c>
      <c r="F23">
        <v>62</v>
      </c>
      <c r="G23">
        <v>55</v>
      </c>
      <c r="H23">
        <v>82</v>
      </c>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67</v>
      </c>
      <c r="D24">
        <v>79</v>
      </c>
      <c r="E24">
        <v>90</v>
      </c>
      <c r="F24">
        <v>59</v>
      </c>
      <c r="G24">
        <v>79</v>
      </c>
      <c r="H24">
        <v>91</v>
      </c>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92</v>
      </c>
      <c r="D25">
        <v>86</v>
      </c>
      <c r="E25">
        <v>95</v>
      </c>
      <c r="F25">
        <v>92</v>
      </c>
      <c r="G25">
        <v>86</v>
      </c>
      <c r="H25">
        <v>95</v>
      </c>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73</v>
      </c>
      <c r="D26">
        <v>44</v>
      </c>
      <c r="E26">
        <v>71</v>
      </c>
      <c r="F26">
        <v>58</v>
      </c>
      <c r="G26">
        <v>44</v>
      </c>
      <c r="H26">
        <v>68</v>
      </c>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42</v>
      </c>
      <c r="D27">
        <v>55</v>
      </c>
      <c r="E27">
        <v>65</v>
      </c>
      <c r="F27">
        <v>40</v>
      </c>
      <c r="G27">
        <v>60</v>
      </c>
      <c r="H27">
        <v>69</v>
      </c>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67</v>
      </c>
      <c r="D28">
        <v>67</v>
      </c>
      <c r="E28">
        <v>78</v>
      </c>
      <c r="F28">
        <v>70</v>
      </c>
      <c r="G28">
        <v>63</v>
      </c>
      <c r="H28">
        <v>76</v>
      </c>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65</v>
      </c>
      <c r="D29">
        <v>74</v>
      </c>
      <c r="E29">
        <v>88</v>
      </c>
      <c r="F29">
        <v>55</v>
      </c>
      <c r="G29">
        <v>72</v>
      </c>
      <c r="H29">
        <v>86</v>
      </c>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81</v>
      </c>
      <c r="D30">
        <v>62</v>
      </c>
      <c r="E30">
        <v>80</v>
      </c>
      <c r="F30">
        <v>65</v>
      </c>
      <c r="G30">
        <v>64</v>
      </c>
      <c r="H30">
        <v>82</v>
      </c>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68</v>
      </c>
      <c r="D31">
        <v>78</v>
      </c>
      <c r="E31">
        <v>81</v>
      </c>
      <c r="F31">
        <v>67</v>
      </c>
      <c r="G31">
        <v>78</v>
      </c>
      <c r="H31">
        <v>87</v>
      </c>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76</v>
      </c>
      <c r="D32">
        <v>86</v>
      </c>
      <c r="E32">
        <v>94</v>
      </c>
      <c r="F32">
        <v>79</v>
      </c>
      <c r="G32">
        <v>88</v>
      </c>
      <c r="H32">
        <v>95</v>
      </c>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82</v>
      </c>
      <c r="D33">
        <v>50</v>
      </c>
      <c r="E33">
        <v>82</v>
      </c>
      <c r="F33">
        <v>73</v>
      </c>
      <c r="G33">
        <v>55</v>
      </c>
      <c r="H33">
        <v>84</v>
      </c>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74</v>
      </c>
      <c r="D34">
        <v>84</v>
      </c>
      <c r="E34">
        <v>95</v>
      </c>
      <c r="F34">
        <v>70</v>
      </c>
      <c r="G34">
        <v>86</v>
      </c>
      <c r="H34">
        <v>95</v>
      </c>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71</v>
      </c>
      <c r="D35">
        <v>75</v>
      </c>
      <c r="E35">
        <v>87</v>
      </c>
      <c r="F35">
        <v>72</v>
      </c>
      <c r="G35">
        <v>70</v>
      </c>
      <c r="H35">
        <v>87</v>
      </c>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48</v>
      </c>
      <c r="D36">
        <v>74</v>
      </c>
      <c r="E36">
        <v>91</v>
      </c>
      <c r="F36">
        <v>52</v>
      </c>
      <c r="G36">
        <v>68</v>
      </c>
      <c r="H36">
        <v>89</v>
      </c>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53</v>
      </c>
      <c r="D37">
        <v>66</v>
      </c>
      <c r="E37">
        <v>75</v>
      </c>
      <c r="F37">
        <v>43</v>
      </c>
      <c r="G37">
        <v>68</v>
      </c>
      <c r="H37">
        <v>79</v>
      </c>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60</v>
      </c>
      <c r="D38">
        <v>52</v>
      </c>
      <c r="E38">
        <v>69</v>
      </c>
      <c r="F38">
        <v>46</v>
      </c>
      <c r="G38">
        <v>52</v>
      </c>
      <c r="H38">
        <v>69</v>
      </c>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67</v>
      </c>
      <c r="D39">
        <v>64</v>
      </c>
      <c r="E39">
        <v>77</v>
      </c>
      <c r="F39">
        <v>64</v>
      </c>
      <c r="G39">
        <v>64</v>
      </c>
      <c r="H39">
        <v>76</v>
      </c>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70</v>
      </c>
      <c r="D40">
        <v>66</v>
      </c>
      <c r="E40">
        <v>80</v>
      </c>
      <c r="F40">
        <v>71</v>
      </c>
      <c r="G40">
        <v>72</v>
      </c>
      <c r="H40">
        <v>83</v>
      </c>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80</v>
      </c>
      <c r="D41">
        <v>84</v>
      </c>
      <c r="E41">
        <v>95</v>
      </c>
      <c r="F41">
        <v>65</v>
      </c>
      <c r="G41">
        <v>82</v>
      </c>
      <c r="H41">
        <v>93</v>
      </c>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66</v>
      </c>
      <c r="D42">
        <v>50</v>
      </c>
      <c r="E42">
        <v>66</v>
      </c>
      <c r="F42">
        <v>66</v>
      </c>
      <c r="G42">
        <v>54</v>
      </c>
      <c r="H42">
        <v>69</v>
      </c>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25</v>
      </c>
      <c r="D43">
        <v>17</v>
      </c>
      <c r="E43">
        <v>29</v>
      </c>
      <c r="F43">
        <v>4</v>
      </c>
      <c r="G43">
        <v>18</v>
      </c>
      <c r="H43">
        <v>34</v>
      </c>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81</v>
      </c>
      <c r="D44">
        <v>85</v>
      </c>
      <c r="E44">
        <v>96</v>
      </c>
      <c r="F44">
        <v>58</v>
      </c>
      <c r="G44">
        <v>84</v>
      </c>
      <c r="H44">
        <v>95</v>
      </c>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80</v>
      </c>
      <c r="D45">
        <v>83</v>
      </c>
      <c r="E45">
        <v>91</v>
      </c>
      <c r="F45">
        <v>65</v>
      </c>
      <c r="G45">
        <v>78</v>
      </c>
      <c r="H45">
        <v>89</v>
      </c>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73</v>
      </c>
      <c r="D46">
        <v>64</v>
      </c>
      <c r="E46">
        <v>64</v>
      </c>
      <c r="F46">
        <v>72</v>
      </c>
      <c r="G46">
        <v>64</v>
      </c>
      <c r="H46">
        <v>63</v>
      </c>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100</v>
      </c>
      <c r="D47">
        <v>78</v>
      </c>
      <c r="E47">
        <v>92</v>
      </c>
      <c r="F47">
        <v>93</v>
      </c>
      <c r="G47">
        <v>79</v>
      </c>
      <c r="H47">
        <v>91</v>
      </c>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83</v>
      </c>
      <c r="D48">
        <v>76</v>
      </c>
      <c r="E48">
        <v>93</v>
      </c>
      <c r="F48">
        <v>79</v>
      </c>
      <c r="G48">
        <v>76</v>
      </c>
      <c r="H48">
        <v>93</v>
      </c>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81</v>
      </c>
      <c r="D49">
        <v>66</v>
      </c>
      <c r="E49">
        <v>87</v>
      </c>
      <c r="F49">
        <v>74</v>
      </c>
      <c r="G49">
        <v>65</v>
      </c>
      <c r="H49">
        <v>86</v>
      </c>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84</v>
      </c>
      <c r="D50">
        <v>51</v>
      </c>
      <c r="E50">
        <v>57</v>
      </c>
      <c r="F50">
        <v>90</v>
      </c>
      <c r="G50">
        <v>60</v>
      </c>
      <c r="H50">
        <v>66</v>
      </c>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89</v>
      </c>
      <c r="D51">
        <v>76</v>
      </c>
      <c r="E51">
        <v>88</v>
      </c>
      <c r="F51">
        <v>82</v>
      </c>
      <c r="G51">
        <v>74</v>
      </c>
      <c r="H51">
        <v>88</v>
      </c>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70</v>
      </c>
      <c r="D52">
        <v>54</v>
      </c>
      <c r="E52">
        <v>77</v>
      </c>
      <c r="F52">
        <v>52</v>
      </c>
      <c r="G52">
        <v>57</v>
      </c>
      <c r="H52">
        <v>77</v>
      </c>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56</v>
      </c>
      <c r="D53">
        <v>67</v>
      </c>
      <c r="E53">
        <v>84</v>
      </c>
      <c r="F53">
        <v>51</v>
      </c>
      <c r="G53">
        <v>69</v>
      </c>
      <c r="H53">
        <v>83</v>
      </c>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27</v>
      </c>
      <c r="D54">
        <v>34</v>
      </c>
      <c r="E54">
        <v>57</v>
      </c>
      <c r="F54">
        <v>36</v>
      </c>
      <c r="G54">
        <v>33</v>
      </c>
      <c r="H54">
        <v>49</v>
      </c>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72</v>
      </c>
      <c r="D55">
        <v>83</v>
      </c>
      <c r="E55">
        <v>94</v>
      </c>
      <c r="F55">
        <v>63</v>
      </c>
      <c r="G55">
        <v>81</v>
      </c>
      <c r="H55">
        <v>93</v>
      </c>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79</v>
      </c>
      <c r="D56">
        <v>77</v>
      </c>
      <c r="E56">
        <v>87</v>
      </c>
      <c r="F56">
        <v>75</v>
      </c>
      <c r="G56">
        <v>74</v>
      </c>
      <c r="H56">
        <v>87</v>
      </c>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55</v>
      </c>
      <c r="D57">
        <v>85</v>
      </c>
      <c r="E57">
        <v>95</v>
      </c>
      <c r="F57">
        <v>52</v>
      </c>
      <c r="G57">
        <v>81</v>
      </c>
      <c r="H57">
        <v>95</v>
      </c>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39</v>
      </c>
      <c r="D58">
        <v>59</v>
      </c>
      <c r="E58">
        <v>71</v>
      </c>
      <c r="F58">
        <v>55</v>
      </c>
      <c r="G58">
        <v>63</v>
      </c>
      <c r="H58">
        <v>71</v>
      </c>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83</v>
      </c>
      <c r="D59">
        <v>61</v>
      </c>
      <c r="E59">
        <v>80</v>
      </c>
      <c r="F59">
        <v>68</v>
      </c>
      <c r="G59">
        <v>64</v>
      </c>
      <c r="H59">
        <v>80</v>
      </c>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49</v>
      </c>
      <c r="D60">
        <v>68</v>
      </c>
      <c r="E60">
        <v>83</v>
      </c>
      <c r="F60">
        <v>53</v>
      </c>
      <c r="G60">
        <v>69</v>
      </c>
      <c r="H60">
        <v>84</v>
      </c>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51</v>
      </c>
      <c r="D61">
        <v>63</v>
      </c>
      <c r="E61">
        <v>81</v>
      </c>
      <c r="F61">
        <v>40</v>
      </c>
      <c r="G61">
        <v>64</v>
      </c>
      <c r="H61">
        <v>81</v>
      </c>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90</v>
      </c>
      <c r="D62">
        <v>85</v>
      </c>
      <c r="E62">
        <v>90</v>
      </c>
      <c r="F62">
        <v>89</v>
      </c>
      <c r="G62">
        <v>83</v>
      </c>
      <c r="H62">
        <v>93</v>
      </c>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67</v>
      </c>
      <c r="D63">
        <v>66</v>
      </c>
      <c r="E63">
        <v>78</v>
      </c>
      <c r="F63">
        <v>50</v>
      </c>
      <c r="G63">
        <v>66</v>
      </c>
      <c r="H63">
        <v>76</v>
      </c>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96</v>
      </c>
      <c r="D64">
        <v>70</v>
      </c>
      <c r="E64">
        <v>90</v>
      </c>
      <c r="F64">
        <v>89</v>
      </c>
      <c r="G64">
        <v>72</v>
      </c>
      <c r="H64">
        <v>90</v>
      </c>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52</v>
      </c>
      <c r="D65">
        <v>67</v>
      </c>
      <c r="E65">
        <v>83</v>
      </c>
      <c r="F65">
        <v>52</v>
      </c>
      <c r="G65">
        <v>64</v>
      </c>
      <c r="H65">
        <v>82</v>
      </c>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v>29</v>
      </c>
      <c r="D66">
        <v>43</v>
      </c>
      <c r="E66">
        <v>66</v>
      </c>
      <c r="F66">
        <v>28</v>
      </c>
      <c r="G66">
        <v>50</v>
      </c>
      <c r="H66">
        <v>69</v>
      </c>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57</v>
      </c>
      <c r="D67">
        <v>68</v>
      </c>
      <c r="E67">
        <v>75</v>
      </c>
      <c r="F67">
        <v>66</v>
      </c>
      <c r="G67">
        <v>69</v>
      </c>
      <c r="H67">
        <v>75</v>
      </c>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85</v>
      </c>
      <c r="D68">
        <v>80</v>
      </c>
      <c r="E68">
        <v>91</v>
      </c>
      <c r="F68">
        <v>79</v>
      </c>
      <c r="G68">
        <v>76</v>
      </c>
      <c r="H68">
        <v>90</v>
      </c>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79</v>
      </c>
      <c r="D69">
        <v>68</v>
      </c>
      <c r="E69">
        <v>82</v>
      </c>
      <c r="F69">
        <v>85</v>
      </c>
      <c r="G69">
        <v>72</v>
      </c>
      <c r="H69">
        <v>84</v>
      </c>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50</v>
      </c>
      <c r="D70">
        <v>88</v>
      </c>
      <c r="E70">
        <v>98</v>
      </c>
      <c r="F70">
        <v>41</v>
      </c>
      <c r="G70">
        <v>86</v>
      </c>
      <c r="H70">
        <v>98</v>
      </c>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75</v>
      </c>
      <c r="D71">
        <v>74</v>
      </c>
      <c r="E71">
        <v>88</v>
      </c>
      <c r="F71">
        <v>65</v>
      </c>
      <c r="G71">
        <v>72</v>
      </c>
      <c r="H71">
        <v>87</v>
      </c>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73</v>
      </c>
      <c r="D72">
        <v>63</v>
      </c>
      <c r="E72">
        <v>73</v>
      </c>
      <c r="F72">
        <v>62</v>
      </c>
      <c r="G72">
        <v>64</v>
      </c>
      <c r="H72">
        <v>71</v>
      </c>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71</v>
      </c>
      <c r="D73">
        <v>78</v>
      </c>
      <c r="E73">
        <v>90</v>
      </c>
      <c r="F73">
        <v>74</v>
      </c>
      <c r="G73">
        <v>83</v>
      </c>
      <c r="H73">
        <v>92</v>
      </c>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99</v>
      </c>
      <c r="D74">
        <v>99</v>
      </c>
      <c r="E74">
        <v>100</v>
      </c>
      <c r="F74">
        <v>99</v>
      </c>
      <c r="G74">
        <v>99</v>
      </c>
      <c r="H74">
        <v>99</v>
      </c>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100</v>
      </c>
      <c r="D75">
        <v>80</v>
      </c>
      <c r="E75">
        <v>92</v>
      </c>
      <c r="F75">
        <v>93</v>
      </c>
      <c r="G75">
        <v>83</v>
      </c>
      <c r="H75">
        <v>93</v>
      </c>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76</v>
      </c>
      <c r="D76">
        <v>46</v>
      </c>
      <c r="E76">
        <v>67</v>
      </c>
      <c r="F76">
        <v>78</v>
      </c>
      <c r="G76">
        <v>49</v>
      </c>
      <c r="H76">
        <v>73</v>
      </c>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79</v>
      </c>
      <c r="D77">
        <v>66</v>
      </c>
      <c r="E77">
        <v>78</v>
      </c>
      <c r="F77">
        <v>58</v>
      </c>
      <c r="G77">
        <v>65</v>
      </c>
      <c r="H77">
        <v>76</v>
      </c>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75</v>
      </c>
      <c r="D78">
        <v>67</v>
      </c>
      <c r="E78">
        <v>79</v>
      </c>
      <c r="F78">
        <v>76</v>
      </c>
      <c r="G78">
        <v>68</v>
      </c>
      <c r="H78">
        <v>81</v>
      </c>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86</v>
      </c>
      <c r="D79">
        <v>65</v>
      </c>
      <c r="E79">
        <v>75</v>
      </c>
      <c r="F79">
        <v>84</v>
      </c>
      <c r="G79">
        <v>67</v>
      </c>
      <c r="H79">
        <v>81</v>
      </c>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63</v>
      </c>
      <c r="D80">
        <v>84</v>
      </c>
      <c r="E80">
        <v>93</v>
      </c>
      <c r="F80">
        <v>58</v>
      </c>
      <c r="G80">
        <v>85</v>
      </c>
      <c r="H80">
        <v>93</v>
      </c>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70</v>
      </c>
      <c r="D81">
        <v>54</v>
      </c>
      <c r="E81">
        <v>74</v>
      </c>
      <c r="F81">
        <v>67</v>
      </c>
      <c r="G81">
        <v>53</v>
      </c>
      <c r="H81">
        <v>73</v>
      </c>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76</v>
      </c>
      <c r="D82">
        <v>48</v>
      </c>
      <c r="E82">
        <v>56</v>
      </c>
      <c r="F82">
        <v>61</v>
      </c>
      <c r="G82">
        <v>47</v>
      </c>
      <c r="H82">
        <v>59</v>
      </c>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91</v>
      </c>
      <c r="D83">
        <v>82</v>
      </c>
      <c r="E83">
        <v>95</v>
      </c>
      <c r="F83">
        <v>95</v>
      </c>
      <c r="G83">
        <v>83</v>
      </c>
      <c r="H83">
        <v>95</v>
      </c>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65</v>
      </c>
      <c r="D84">
        <v>63</v>
      </c>
      <c r="E84">
        <v>87</v>
      </c>
      <c r="F84">
        <v>53</v>
      </c>
      <c r="G84">
        <v>60</v>
      </c>
      <c r="H84">
        <v>84</v>
      </c>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65</v>
      </c>
      <c r="D85">
        <v>65</v>
      </c>
      <c r="E85">
        <v>65</v>
      </c>
      <c r="F85">
        <v>58</v>
      </c>
      <c r="G85">
        <v>63</v>
      </c>
      <c r="H85">
        <v>59</v>
      </c>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73</v>
      </c>
      <c r="D86">
        <v>83</v>
      </c>
      <c r="E86">
        <v>93</v>
      </c>
      <c r="F86">
        <v>75</v>
      </c>
      <c r="G86">
        <v>83</v>
      </c>
      <c r="H86">
        <v>91</v>
      </c>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62</v>
      </c>
      <c r="D87">
        <v>85</v>
      </c>
      <c r="E87">
        <v>93</v>
      </c>
      <c r="F87">
        <v>61</v>
      </c>
      <c r="G87">
        <v>85</v>
      </c>
      <c r="H87">
        <v>92</v>
      </c>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67</v>
      </c>
      <c r="D88">
        <v>41</v>
      </c>
      <c r="E88">
        <v>62</v>
      </c>
      <c r="F88">
        <v>62</v>
      </c>
      <c r="G88">
        <v>36</v>
      </c>
      <c r="H88">
        <v>56</v>
      </c>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55</v>
      </c>
      <c r="D89">
        <v>47</v>
      </c>
      <c r="E89">
        <v>79</v>
      </c>
      <c r="F89">
        <v>50</v>
      </c>
      <c r="G89">
        <v>49</v>
      </c>
      <c r="H89">
        <v>78</v>
      </c>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v>53</v>
      </c>
      <c r="D90">
        <v>47</v>
      </c>
      <c r="E90">
        <v>74</v>
      </c>
      <c r="F90">
        <v>43</v>
      </c>
      <c r="G90">
        <v>49</v>
      </c>
      <c r="H90">
        <v>74</v>
      </c>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85</v>
      </c>
      <c r="D91">
        <v>71</v>
      </c>
      <c r="E91">
        <v>88</v>
      </c>
      <c r="F91">
        <v>88</v>
      </c>
      <c r="G91">
        <v>73</v>
      </c>
      <c r="H91">
        <v>89</v>
      </c>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57</v>
      </c>
      <c r="D92">
        <v>82</v>
      </c>
      <c r="E92">
        <v>93</v>
      </c>
      <c r="F92">
        <v>49</v>
      </c>
      <c r="G92">
        <v>80</v>
      </c>
      <c r="H92">
        <v>93</v>
      </c>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63</v>
      </c>
      <c r="D93">
        <v>80</v>
      </c>
      <c r="E93">
        <v>87</v>
      </c>
      <c r="F93">
        <v>68</v>
      </c>
      <c r="G93">
        <v>80</v>
      </c>
      <c r="H93">
        <v>88</v>
      </c>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61</v>
      </c>
      <c r="D94">
        <v>62</v>
      </c>
      <c r="E94">
        <v>82</v>
      </c>
      <c r="F94">
        <v>43</v>
      </c>
      <c r="G94">
        <v>58</v>
      </c>
      <c r="H94">
        <v>83</v>
      </c>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64</v>
      </c>
      <c r="D95">
        <v>70</v>
      </c>
      <c r="E95">
        <v>85</v>
      </c>
      <c r="F95">
        <v>67</v>
      </c>
      <c r="G95">
        <v>72</v>
      </c>
      <c r="H95">
        <v>86</v>
      </c>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71</v>
      </c>
      <c r="D96">
        <v>94</v>
      </c>
      <c r="E96">
        <v>99</v>
      </c>
      <c r="F96">
        <v>63</v>
      </c>
      <c r="G96">
        <v>92</v>
      </c>
      <c r="H96">
        <v>99</v>
      </c>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47</v>
      </c>
      <c r="D97">
        <v>51</v>
      </c>
      <c r="E97">
        <v>56</v>
      </c>
      <c r="F97">
        <v>50</v>
      </c>
      <c r="G97">
        <v>45</v>
      </c>
      <c r="H97">
        <v>47</v>
      </c>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85</v>
      </c>
      <c r="D98">
        <v>63</v>
      </c>
      <c r="E98">
        <v>86</v>
      </c>
      <c r="F98">
        <v>76</v>
      </c>
      <c r="G98">
        <v>66</v>
      </c>
      <c r="H98">
        <v>89</v>
      </c>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81</v>
      </c>
      <c r="D99">
        <v>68</v>
      </c>
      <c r="E99">
        <v>87</v>
      </c>
      <c r="F99">
        <v>81</v>
      </c>
      <c r="G99">
        <v>64</v>
      </c>
      <c r="H99">
        <v>85</v>
      </c>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83</v>
      </c>
      <c r="D100">
        <v>84</v>
      </c>
      <c r="E100">
        <v>94</v>
      </c>
      <c r="F100">
        <v>84</v>
      </c>
      <c r="G100">
        <v>84</v>
      </c>
      <c r="H100">
        <v>94</v>
      </c>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71</v>
      </c>
      <c r="D101">
        <v>72</v>
      </c>
      <c r="E101">
        <v>88</v>
      </c>
      <c r="F101">
        <v>65</v>
      </c>
      <c r="G101">
        <v>69</v>
      </c>
      <c r="H101">
        <v>88</v>
      </c>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80</v>
      </c>
      <c r="D102">
        <v>71</v>
      </c>
      <c r="E102">
        <v>88</v>
      </c>
      <c r="F102">
        <v>66</v>
      </c>
      <c r="G102">
        <v>72</v>
      </c>
      <c r="H102">
        <v>86</v>
      </c>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82</v>
      </c>
      <c r="D103">
        <v>69</v>
      </c>
      <c r="E103">
        <v>88</v>
      </c>
      <c r="F103">
        <v>69</v>
      </c>
      <c r="G103">
        <v>66</v>
      </c>
      <c r="H103">
        <v>90</v>
      </c>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90</v>
      </c>
      <c r="D104">
        <v>66</v>
      </c>
      <c r="E104">
        <v>85</v>
      </c>
      <c r="F104">
        <v>75</v>
      </c>
      <c r="G104">
        <v>62</v>
      </c>
      <c r="H104">
        <v>81</v>
      </c>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48</v>
      </c>
      <c r="D105">
        <v>48</v>
      </c>
      <c r="E105">
        <v>72</v>
      </c>
      <c r="F105">
        <v>42</v>
      </c>
      <c r="G105">
        <v>52</v>
      </c>
      <c r="H105">
        <v>74</v>
      </c>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44</v>
      </c>
      <c r="D106">
        <v>58</v>
      </c>
      <c r="E106">
        <v>85</v>
      </c>
      <c r="F106">
        <v>46</v>
      </c>
      <c r="G106">
        <v>56</v>
      </c>
      <c r="H106">
        <v>82</v>
      </c>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45</v>
      </c>
      <c r="D107">
        <v>58</v>
      </c>
      <c r="E107">
        <v>84</v>
      </c>
      <c r="F107">
        <v>35</v>
      </c>
      <c r="G107">
        <v>56</v>
      </c>
      <c r="H107">
        <v>81</v>
      </c>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29</v>
      </c>
      <c r="D108">
        <v>53</v>
      </c>
      <c r="E108">
        <v>70</v>
      </c>
      <c r="F108">
        <v>42</v>
      </c>
      <c r="G108">
        <v>58</v>
      </c>
      <c r="H108">
        <v>69</v>
      </c>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63</v>
      </c>
      <c r="D109">
        <v>71</v>
      </c>
      <c r="E109">
        <v>87</v>
      </c>
      <c r="F109">
        <v>69</v>
      </c>
      <c r="G109">
        <v>70</v>
      </c>
      <c r="H109">
        <v>88</v>
      </c>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86</v>
      </c>
      <c r="D110">
        <v>42</v>
      </c>
      <c r="E110">
        <v>69</v>
      </c>
      <c r="F110">
        <v>71</v>
      </c>
      <c r="G110">
        <v>44</v>
      </c>
      <c r="H110">
        <v>68</v>
      </c>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90</v>
      </c>
      <c r="D111">
        <v>81</v>
      </c>
      <c r="E111">
        <v>93</v>
      </c>
      <c r="F111">
        <v>89</v>
      </c>
      <c r="G111">
        <v>81</v>
      </c>
      <c r="H111">
        <v>94</v>
      </c>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57</v>
      </c>
      <c r="D112">
        <v>69</v>
      </c>
      <c r="E112">
        <v>85</v>
      </c>
      <c r="F112">
        <v>53</v>
      </c>
      <c r="G112">
        <v>73</v>
      </c>
      <c r="H112">
        <v>87</v>
      </c>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39</v>
      </c>
      <c r="D113">
        <v>64</v>
      </c>
      <c r="E113">
        <v>83</v>
      </c>
      <c r="F113">
        <v>47</v>
      </c>
      <c r="G113">
        <v>64</v>
      </c>
      <c r="H113">
        <v>82</v>
      </c>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64</v>
      </c>
      <c r="D114">
        <v>66</v>
      </c>
      <c r="E114">
        <v>87</v>
      </c>
      <c r="F114">
        <v>71</v>
      </c>
      <c r="G114">
        <v>61</v>
      </c>
      <c r="H114">
        <v>75</v>
      </c>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100</v>
      </c>
      <c r="D115">
        <v>75</v>
      </c>
      <c r="E115">
        <v>85</v>
      </c>
      <c r="F115">
        <v>100</v>
      </c>
      <c r="G115">
        <v>72</v>
      </c>
      <c r="H115">
        <v>84</v>
      </c>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69</v>
      </c>
      <c r="D116">
        <v>43</v>
      </c>
      <c r="E116">
        <v>54</v>
      </c>
      <c r="F116">
        <v>67</v>
      </c>
      <c r="G116">
        <v>56</v>
      </c>
      <c r="H116">
        <v>66</v>
      </c>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67</v>
      </c>
      <c r="D117">
        <v>85</v>
      </c>
      <c r="E117">
        <v>88</v>
      </c>
      <c r="F117">
        <v>59</v>
      </c>
      <c r="G117">
        <v>86</v>
      </c>
      <c r="H117">
        <v>88</v>
      </c>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68</v>
      </c>
      <c r="D118">
        <v>57</v>
      </c>
      <c r="E118">
        <v>78</v>
      </c>
      <c r="F118">
        <v>60</v>
      </c>
      <c r="G118">
        <v>57</v>
      </c>
      <c r="H118">
        <v>78</v>
      </c>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60</v>
      </c>
      <c r="D119">
        <v>75</v>
      </c>
      <c r="E119">
        <v>83</v>
      </c>
      <c r="F119">
        <v>65</v>
      </c>
      <c r="G119">
        <v>77</v>
      </c>
      <c r="H119">
        <v>81</v>
      </c>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60</v>
      </c>
      <c r="D120">
        <v>57</v>
      </c>
      <c r="E120">
        <v>84</v>
      </c>
      <c r="F120">
        <v>49</v>
      </c>
      <c r="G120">
        <v>56</v>
      </c>
      <c r="H120">
        <v>80</v>
      </c>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71</v>
      </c>
      <c r="D121">
        <v>69</v>
      </c>
      <c r="E121">
        <v>79</v>
      </c>
      <c r="F121">
        <v>52</v>
      </c>
      <c r="G121">
        <v>68</v>
      </c>
      <c r="H121">
        <v>79</v>
      </c>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79</v>
      </c>
      <c r="D122">
        <v>87</v>
      </c>
      <c r="E122">
        <v>95</v>
      </c>
      <c r="F122">
        <v>68</v>
      </c>
      <c r="G122">
        <v>90</v>
      </c>
      <c r="H122">
        <v>95</v>
      </c>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87</v>
      </c>
      <c r="D123">
        <v>62</v>
      </c>
      <c r="E123">
        <v>77</v>
      </c>
      <c r="F123">
        <v>84</v>
      </c>
      <c r="G123">
        <v>60</v>
      </c>
      <c r="H123">
        <v>77</v>
      </c>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82</v>
      </c>
      <c r="D124">
        <v>68</v>
      </c>
      <c r="E124">
        <v>80</v>
      </c>
      <c r="F124">
        <v>73</v>
      </c>
      <c r="G124">
        <v>67</v>
      </c>
      <c r="H124">
        <v>77</v>
      </c>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82</v>
      </c>
      <c r="D125">
        <v>90</v>
      </c>
      <c r="E125">
        <v>94</v>
      </c>
      <c r="F125">
        <v>75</v>
      </c>
      <c r="G125">
        <v>91</v>
      </c>
      <c r="H125">
        <v>93</v>
      </c>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73</v>
      </c>
      <c r="D126">
        <v>71</v>
      </c>
      <c r="E126">
        <v>81</v>
      </c>
      <c r="F126">
        <v>73</v>
      </c>
      <c r="G126">
        <v>76</v>
      </c>
      <c r="H126">
        <v>85</v>
      </c>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66</v>
      </c>
      <c r="D127">
        <v>78</v>
      </c>
      <c r="E127">
        <v>85</v>
      </c>
      <c r="F127">
        <v>68</v>
      </c>
      <c r="G127">
        <v>76</v>
      </c>
      <c r="H127">
        <v>83</v>
      </c>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74</v>
      </c>
      <c r="D128">
        <v>68</v>
      </c>
      <c r="E128">
        <v>82</v>
      </c>
      <c r="F128">
        <v>65</v>
      </c>
      <c r="G128">
        <v>65</v>
      </c>
      <c r="H128">
        <v>84</v>
      </c>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89</v>
      </c>
      <c r="D129">
        <v>78</v>
      </c>
      <c r="E129">
        <v>85</v>
      </c>
      <c r="F129">
        <v>74</v>
      </c>
      <c r="G129">
        <v>77</v>
      </c>
      <c r="H129">
        <v>85</v>
      </c>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68</v>
      </c>
      <c r="D130">
        <v>80</v>
      </c>
      <c r="E130">
        <v>91</v>
      </c>
      <c r="F130">
        <v>66</v>
      </c>
      <c r="G130">
        <v>76</v>
      </c>
      <c r="H130">
        <v>91</v>
      </c>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63</v>
      </c>
      <c r="D131">
        <v>81</v>
      </c>
      <c r="E131">
        <v>89</v>
      </c>
      <c r="F131">
        <v>59</v>
      </c>
      <c r="G131">
        <v>80</v>
      </c>
      <c r="H131">
        <v>90</v>
      </c>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76</v>
      </c>
      <c r="D132">
        <v>36</v>
      </c>
      <c r="E132">
        <v>64</v>
      </c>
      <c r="F132">
        <v>75</v>
      </c>
      <c r="G132">
        <v>36</v>
      </c>
      <c r="H132">
        <v>57</v>
      </c>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57</v>
      </c>
      <c r="D133">
        <v>62</v>
      </c>
      <c r="E133">
        <v>71</v>
      </c>
      <c r="F133">
        <v>60</v>
      </c>
      <c r="G133">
        <v>63</v>
      </c>
      <c r="H133">
        <v>73</v>
      </c>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79</v>
      </c>
      <c r="D134">
        <v>86</v>
      </c>
      <c r="E134">
        <v>92</v>
      </c>
      <c r="F134">
        <v>81</v>
      </c>
      <c r="G134">
        <v>83</v>
      </c>
      <c r="H134">
        <v>94</v>
      </c>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75</v>
      </c>
      <c r="D135">
        <v>76</v>
      </c>
      <c r="E135">
        <v>92</v>
      </c>
      <c r="F135">
        <v>81</v>
      </c>
      <c r="G135">
        <v>83</v>
      </c>
      <c r="H135">
        <v>94</v>
      </c>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75</v>
      </c>
      <c r="D136">
        <v>69</v>
      </c>
      <c r="E136">
        <v>93</v>
      </c>
      <c r="F136">
        <v>75</v>
      </c>
      <c r="G136">
        <v>70</v>
      </c>
      <c r="H136">
        <v>93</v>
      </c>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89</v>
      </c>
      <c r="D137">
        <v>80</v>
      </c>
      <c r="E137">
        <v>95</v>
      </c>
      <c r="F137">
        <v>89</v>
      </c>
      <c r="G137">
        <v>81</v>
      </c>
      <c r="H137">
        <v>94</v>
      </c>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86</v>
      </c>
      <c r="D138">
        <v>67</v>
      </c>
      <c r="E138">
        <v>85</v>
      </c>
      <c r="F138">
        <v>78</v>
      </c>
      <c r="G138">
        <v>59</v>
      </c>
      <c r="H138">
        <v>82</v>
      </c>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75</v>
      </c>
      <c r="D139">
        <v>67</v>
      </c>
      <c r="E139">
        <v>79</v>
      </c>
      <c r="F139">
        <v>76</v>
      </c>
      <c r="G139">
        <v>70</v>
      </c>
      <c r="H139">
        <v>82</v>
      </c>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68</v>
      </c>
      <c r="D140">
        <v>65</v>
      </c>
      <c r="E140">
        <v>87</v>
      </c>
      <c r="F140">
        <v>77</v>
      </c>
      <c r="G140">
        <v>67</v>
      </c>
      <c r="H140">
        <v>85</v>
      </c>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75</v>
      </c>
      <c r="D141">
        <v>70</v>
      </c>
      <c r="E141">
        <v>79</v>
      </c>
      <c r="F141">
        <v>89</v>
      </c>
      <c r="G141">
        <v>76</v>
      </c>
      <c r="H141">
        <v>82</v>
      </c>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45</v>
      </c>
      <c r="D142">
        <v>83</v>
      </c>
      <c r="E142">
        <v>85</v>
      </c>
      <c r="F142">
        <v>57</v>
      </c>
      <c r="G142">
        <v>82</v>
      </c>
      <c r="H142">
        <v>86</v>
      </c>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62</v>
      </c>
      <c r="D143">
        <v>72</v>
      </c>
      <c r="E143">
        <v>85</v>
      </c>
      <c r="F143">
        <v>55</v>
      </c>
      <c r="G143">
        <v>72</v>
      </c>
      <c r="H143">
        <v>84</v>
      </c>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t="s">
        <v>3</v>
      </c>
      <c r="D144">
        <v>80</v>
      </c>
      <c r="E144">
        <v>80</v>
      </c>
      <c r="F144" t="s">
        <v>3</v>
      </c>
      <c r="G144">
        <v>71</v>
      </c>
      <c r="H144">
        <v>83</v>
      </c>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80</v>
      </c>
      <c r="D145">
        <v>80</v>
      </c>
      <c r="E145">
        <v>84</v>
      </c>
      <c r="F145">
        <v>74</v>
      </c>
      <c r="G145">
        <v>76</v>
      </c>
      <c r="H145">
        <v>78</v>
      </c>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94</v>
      </c>
      <c r="D146">
        <v>74</v>
      </c>
      <c r="E146">
        <v>74</v>
      </c>
      <c r="F146">
        <v>85</v>
      </c>
      <c r="G146">
        <v>77</v>
      </c>
      <c r="H146">
        <v>77</v>
      </c>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50</v>
      </c>
      <c r="D147">
        <v>80</v>
      </c>
      <c r="E147">
        <v>89</v>
      </c>
      <c r="F147">
        <v>38</v>
      </c>
      <c r="G147">
        <v>78</v>
      </c>
      <c r="H147">
        <v>88</v>
      </c>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67</v>
      </c>
      <c r="D148">
        <v>74</v>
      </c>
      <c r="E148">
        <v>89</v>
      </c>
      <c r="F148">
        <v>63</v>
      </c>
      <c r="G148">
        <v>72</v>
      </c>
      <c r="H148">
        <v>90</v>
      </c>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74</v>
      </c>
      <c r="D149">
        <v>73</v>
      </c>
      <c r="E149">
        <v>81</v>
      </c>
      <c r="F149">
        <v>66</v>
      </c>
      <c r="G149">
        <v>73</v>
      </c>
      <c r="H149">
        <v>83</v>
      </c>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v>87</v>
      </c>
      <c r="D150">
        <v>65</v>
      </c>
      <c r="E150">
        <v>85</v>
      </c>
      <c r="F150">
        <v>62</v>
      </c>
      <c r="G150">
        <v>64</v>
      </c>
      <c r="H150">
        <v>87</v>
      </c>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79</v>
      </c>
      <c r="D151">
        <v>70</v>
      </c>
      <c r="E151">
        <v>80</v>
      </c>
      <c r="F151">
        <v>69</v>
      </c>
      <c r="G151">
        <v>72</v>
      </c>
      <c r="H151">
        <v>80</v>
      </c>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78</v>
      </c>
      <c r="D152">
        <v>85</v>
      </c>
      <c r="E152">
        <v>97</v>
      </c>
      <c r="F152">
        <v>76</v>
      </c>
      <c r="G152">
        <v>87</v>
      </c>
      <c r="H152">
        <v>96</v>
      </c>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78</v>
      </c>
      <c r="D153">
        <v>70</v>
      </c>
      <c r="E153">
        <v>87</v>
      </c>
      <c r="F153">
        <v>71</v>
      </c>
      <c r="G153">
        <v>73</v>
      </c>
      <c r="H153">
        <v>87</v>
      </c>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68</v>
      </c>
      <c r="D154">
        <v>68</v>
      </c>
      <c r="E154">
        <v>81</v>
      </c>
      <c r="F154">
        <v>63</v>
      </c>
      <c r="G154">
        <v>65</v>
      </c>
      <c r="H154">
        <v>82</v>
      </c>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83</v>
      </c>
      <c r="D155">
        <v>70</v>
      </c>
      <c r="E155">
        <v>82</v>
      </c>
      <c r="F155">
        <v>80</v>
      </c>
      <c r="G155">
        <v>73</v>
      </c>
      <c r="H155">
        <v>85</v>
      </c>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71</v>
      </c>
      <c r="D156">
        <v>76</v>
      </c>
      <c r="E156">
        <v>82</v>
      </c>
      <c r="F156">
        <v>66</v>
      </c>
      <c r="G156">
        <v>74</v>
      </c>
      <c r="H156">
        <v>81</v>
      </c>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75</v>
      </c>
      <c r="D157">
        <v>76</v>
      </c>
      <c r="E157">
        <v>83</v>
      </c>
      <c r="F157">
        <v>50</v>
      </c>
      <c r="G157">
        <v>75</v>
      </c>
      <c r="H157">
        <v>84</v>
      </c>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87</v>
      </c>
      <c r="D158">
        <v>81</v>
      </c>
      <c r="E158">
        <v>79</v>
      </c>
      <c r="F158">
        <v>81</v>
      </c>
      <c r="G158">
        <v>78</v>
      </c>
      <c r="H158">
        <v>81</v>
      </c>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82</v>
      </c>
      <c r="D159">
        <v>75</v>
      </c>
      <c r="E159">
        <v>90</v>
      </c>
      <c r="F159">
        <v>76</v>
      </c>
      <c r="G159">
        <v>79</v>
      </c>
      <c r="H159">
        <v>90</v>
      </c>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71</v>
      </c>
      <c r="D160">
        <v>20</v>
      </c>
      <c r="E160">
        <v>25</v>
      </c>
      <c r="F160">
        <v>62</v>
      </c>
      <c r="G160">
        <v>45</v>
      </c>
      <c r="H160">
        <v>53</v>
      </c>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58</v>
      </c>
      <c r="D161">
        <v>76</v>
      </c>
      <c r="E161">
        <v>78</v>
      </c>
      <c r="F161">
        <v>61</v>
      </c>
      <c r="G161">
        <v>76</v>
      </c>
      <c r="H161">
        <v>79</v>
      </c>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v>71</v>
      </c>
      <c r="D162">
        <v>63</v>
      </c>
      <c r="E162">
        <v>88</v>
      </c>
      <c r="F162">
        <v>60</v>
      </c>
      <c r="G162">
        <v>63</v>
      </c>
      <c r="H162">
        <v>77</v>
      </c>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74</v>
      </c>
      <c r="D163">
        <v>83</v>
      </c>
      <c r="E163">
        <v>90</v>
      </c>
      <c r="F163">
        <v>74</v>
      </c>
      <c r="G163">
        <v>83</v>
      </c>
      <c r="H163">
        <v>90</v>
      </c>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60</v>
      </c>
      <c r="D164">
        <v>72</v>
      </c>
      <c r="E164">
        <v>88</v>
      </c>
      <c r="F164">
        <v>65</v>
      </c>
      <c r="G164">
        <v>75</v>
      </c>
      <c r="H164">
        <v>90</v>
      </c>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51</v>
      </c>
      <c r="D165">
        <v>48</v>
      </c>
      <c r="E165">
        <v>79</v>
      </c>
      <c r="F165">
        <v>44</v>
      </c>
      <c r="G165">
        <v>46</v>
      </c>
      <c r="H165">
        <v>81</v>
      </c>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48</v>
      </c>
      <c r="D166">
        <v>52</v>
      </c>
      <c r="E166">
        <v>74</v>
      </c>
      <c r="F166">
        <v>35</v>
      </c>
      <c r="G166">
        <v>53</v>
      </c>
      <c r="H166">
        <v>74</v>
      </c>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71</v>
      </c>
      <c r="D167">
        <v>79</v>
      </c>
      <c r="E167">
        <v>81</v>
      </c>
      <c r="F167">
        <v>72</v>
      </c>
      <c r="G167">
        <v>79</v>
      </c>
      <c r="H167">
        <v>83</v>
      </c>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79</v>
      </c>
      <c r="D168">
        <v>93</v>
      </c>
      <c r="E168">
        <v>95</v>
      </c>
      <c r="F168">
        <v>71</v>
      </c>
      <c r="G168">
        <v>91</v>
      </c>
      <c r="H168">
        <v>96</v>
      </c>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77</v>
      </c>
      <c r="D169">
        <v>78</v>
      </c>
      <c r="E169">
        <v>89</v>
      </c>
      <c r="F169">
        <v>67</v>
      </c>
      <c r="G169">
        <v>77</v>
      </c>
      <c r="H169">
        <v>90</v>
      </c>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60</v>
      </c>
      <c r="D170">
        <v>63</v>
      </c>
      <c r="E170">
        <v>81</v>
      </c>
      <c r="F170">
        <v>65</v>
      </c>
      <c r="G170">
        <v>65</v>
      </c>
      <c r="H170">
        <v>82</v>
      </c>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65</v>
      </c>
      <c r="D171">
        <v>20</v>
      </c>
      <c r="E171">
        <v>43</v>
      </c>
      <c r="F171">
        <v>55</v>
      </c>
      <c r="G171">
        <v>18</v>
      </c>
      <c r="H171">
        <v>42</v>
      </c>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32</v>
      </c>
      <c r="D172">
        <v>51</v>
      </c>
      <c r="E172">
        <v>66</v>
      </c>
      <c r="F172">
        <v>32</v>
      </c>
      <c r="G172">
        <v>57</v>
      </c>
      <c r="H172">
        <v>69</v>
      </c>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38</v>
      </c>
      <c r="D173">
        <v>54</v>
      </c>
      <c r="E173">
        <v>77</v>
      </c>
      <c r="F173">
        <v>42</v>
      </c>
      <c r="G173">
        <v>50</v>
      </c>
      <c r="H173">
        <v>75</v>
      </c>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70</v>
      </c>
      <c r="D174">
        <v>58</v>
      </c>
      <c r="E174">
        <v>74</v>
      </c>
      <c r="F174">
        <v>78</v>
      </c>
      <c r="G174">
        <v>61</v>
      </c>
      <c r="H174">
        <v>78</v>
      </c>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89</v>
      </c>
      <c r="D175">
        <v>83</v>
      </c>
      <c r="E175">
        <v>96</v>
      </c>
      <c r="F175">
        <v>90</v>
      </c>
      <c r="G175">
        <v>83</v>
      </c>
      <c r="H175">
        <v>95</v>
      </c>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74</v>
      </c>
      <c r="D176">
        <v>82</v>
      </c>
      <c r="E176">
        <v>90</v>
      </c>
      <c r="F176">
        <v>84</v>
      </c>
      <c r="G176">
        <v>81</v>
      </c>
      <c r="H176">
        <v>90</v>
      </c>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67</v>
      </c>
      <c r="D177">
        <v>52</v>
      </c>
      <c r="E177">
        <v>61</v>
      </c>
      <c r="F177">
        <v>58</v>
      </c>
      <c r="G177">
        <v>51</v>
      </c>
      <c r="H177">
        <v>61</v>
      </c>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62</v>
      </c>
      <c r="D178">
        <v>68</v>
      </c>
      <c r="E178">
        <v>87</v>
      </c>
      <c r="F178">
        <v>61</v>
      </c>
      <c r="G178">
        <v>68</v>
      </c>
      <c r="H178">
        <v>89</v>
      </c>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69</v>
      </c>
      <c r="D179">
        <v>64</v>
      </c>
      <c r="E179">
        <v>85</v>
      </c>
      <c r="F179">
        <v>65</v>
      </c>
      <c r="G179">
        <v>64</v>
      </c>
      <c r="H179">
        <v>84</v>
      </c>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84</v>
      </c>
      <c r="D180">
        <v>67</v>
      </c>
      <c r="E180">
        <v>86</v>
      </c>
      <c r="F180">
        <v>79</v>
      </c>
      <c r="G180">
        <v>70</v>
      </c>
      <c r="H180">
        <v>87</v>
      </c>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75</v>
      </c>
      <c r="D181">
        <v>86</v>
      </c>
      <c r="E181">
        <v>92</v>
      </c>
      <c r="F181">
        <v>78</v>
      </c>
      <c r="G181">
        <v>85</v>
      </c>
      <c r="H181">
        <v>91</v>
      </c>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75</v>
      </c>
      <c r="D182">
        <v>77</v>
      </c>
      <c r="E182">
        <v>93</v>
      </c>
      <c r="F182">
        <v>83</v>
      </c>
      <c r="G182">
        <v>79</v>
      </c>
      <c r="H182">
        <v>92</v>
      </c>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86</v>
      </c>
      <c r="D183">
        <v>90</v>
      </c>
      <c r="E183">
        <v>96</v>
      </c>
      <c r="F183">
        <v>83</v>
      </c>
      <c r="G183">
        <v>87</v>
      </c>
      <c r="H183">
        <v>95</v>
      </c>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31</v>
      </c>
      <c r="D184">
        <v>72</v>
      </c>
      <c r="E184">
        <v>87</v>
      </c>
      <c r="F184">
        <v>43</v>
      </c>
      <c r="G184">
        <v>74</v>
      </c>
      <c r="H184">
        <v>86</v>
      </c>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71</v>
      </c>
      <c r="D185">
        <v>64</v>
      </c>
      <c r="E185">
        <v>74</v>
      </c>
      <c r="F185">
        <v>68</v>
      </c>
      <c r="G185">
        <v>61</v>
      </c>
      <c r="H185">
        <v>71</v>
      </c>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66</v>
      </c>
      <c r="D186">
        <v>74</v>
      </c>
      <c r="E186">
        <v>90</v>
      </c>
      <c r="F186">
        <v>63</v>
      </c>
      <c r="G186">
        <v>66</v>
      </c>
      <c r="H186">
        <v>86</v>
      </c>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74</v>
      </c>
      <c r="D187">
        <v>82</v>
      </c>
      <c r="E187">
        <v>93</v>
      </c>
      <c r="F187">
        <v>68</v>
      </c>
      <c r="G187">
        <v>82</v>
      </c>
      <c r="H187">
        <v>93</v>
      </c>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60</v>
      </c>
      <c r="D188">
        <v>65</v>
      </c>
      <c r="E188">
        <v>85</v>
      </c>
      <c r="F188">
        <v>59</v>
      </c>
      <c r="G188">
        <v>62</v>
      </c>
      <c r="H188">
        <v>86</v>
      </c>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71</v>
      </c>
      <c r="D189">
        <v>77</v>
      </c>
      <c r="E189">
        <v>88</v>
      </c>
      <c r="F189">
        <v>73</v>
      </c>
      <c r="G189">
        <v>78</v>
      </c>
      <c r="H189">
        <v>89</v>
      </c>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86</v>
      </c>
      <c r="D190">
        <v>70</v>
      </c>
      <c r="E190">
        <v>84</v>
      </c>
      <c r="F190">
        <v>80</v>
      </c>
      <c r="G190">
        <v>73</v>
      </c>
      <c r="H190">
        <v>85</v>
      </c>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77</v>
      </c>
      <c r="D191">
        <v>45</v>
      </c>
      <c r="E191">
        <v>62</v>
      </c>
      <c r="F191">
        <v>78</v>
      </c>
      <c r="G191">
        <v>41</v>
      </c>
      <c r="H191">
        <v>57</v>
      </c>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66</v>
      </c>
      <c r="D192">
        <v>53</v>
      </c>
      <c r="E192">
        <v>82</v>
      </c>
      <c r="F192">
        <v>54</v>
      </c>
      <c r="G192">
        <v>53</v>
      </c>
      <c r="H192">
        <v>82</v>
      </c>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74</v>
      </c>
      <c r="D193">
        <v>91</v>
      </c>
      <c r="E193">
        <v>95</v>
      </c>
      <c r="F193">
        <v>69</v>
      </c>
      <c r="G193">
        <v>86</v>
      </c>
      <c r="H193">
        <v>94</v>
      </c>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73</v>
      </c>
      <c r="D194">
        <v>56</v>
      </c>
      <c r="E194">
        <v>79</v>
      </c>
      <c r="F194">
        <v>67</v>
      </c>
      <c r="G194">
        <v>57</v>
      </c>
      <c r="H194">
        <v>80</v>
      </c>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83</v>
      </c>
      <c r="D195">
        <v>57</v>
      </c>
      <c r="E195">
        <v>80</v>
      </c>
      <c r="F195">
        <v>82</v>
      </c>
      <c r="G195">
        <v>57</v>
      </c>
      <c r="H195">
        <v>77</v>
      </c>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74</v>
      </c>
      <c r="D196">
        <v>87</v>
      </c>
      <c r="E196">
        <v>93</v>
      </c>
      <c r="F196">
        <v>69</v>
      </c>
      <c r="G196">
        <v>86</v>
      </c>
      <c r="H196">
        <v>94</v>
      </c>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43</v>
      </c>
      <c r="D197">
        <v>54</v>
      </c>
      <c r="E197">
        <v>77</v>
      </c>
      <c r="F197">
        <v>40</v>
      </c>
      <c r="G197">
        <v>50</v>
      </c>
      <c r="H197">
        <v>72</v>
      </c>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76</v>
      </c>
      <c r="D198">
        <v>81</v>
      </c>
      <c r="E198">
        <v>87</v>
      </c>
      <c r="F198">
        <v>52</v>
      </c>
      <c r="G198">
        <v>79</v>
      </c>
      <c r="H198">
        <v>86</v>
      </c>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91</v>
      </c>
      <c r="D199">
        <v>89</v>
      </c>
      <c r="E199">
        <v>90</v>
      </c>
      <c r="F199">
        <v>88</v>
      </c>
      <c r="G199">
        <v>90</v>
      </c>
      <c r="H199">
        <v>89</v>
      </c>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37</v>
      </c>
      <c r="D200">
        <v>55</v>
      </c>
      <c r="E200">
        <v>81</v>
      </c>
      <c r="F200">
        <v>45</v>
      </c>
      <c r="G200">
        <v>64</v>
      </c>
      <c r="H200">
        <v>81</v>
      </c>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91</v>
      </c>
      <c r="D201">
        <v>86</v>
      </c>
      <c r="E201">
        <v>94</v>
      </c>
      <c r="F201">
        <v>88</v>
      </c>
      <c r="G201">
        <v>84</v>
      </c>
      <c r="H201">
        <v>95</v>
      </c>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72</v>
      </c>
      <c r="D202">
        <v>79</v>
      </c>
      <c r="E202">
        <v>89</v>
      </c>
      <c r="F202">
        <v>74</v>
      </c>
      <c r="G202">
        <v>82</v>
      </c>
      <c r="H202">
        <v>90</v>
      </c>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95</v>
      </c>
      <c r="D203">
        <v>75</v>
      </c>
      <c r="E203">
        <v>86</v>
      </c>
      <c r="F203">
        <v>96</v>
      </c>
      <c r="G203">
        <v>74</v>
      </c>
      <c r="H203">
        <v>86</v>
      </c>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88</v>
      </c>
      <c r="D204">
        <v>80</v>
      </c>
      <c r="E204">
        <v>91</v>
      </c>
      <c r="F204">
        <v>81</v>
      </c>
      <c r="G204">
        <v>77</v>
      </c>
      <c r="H204">
        <v>90</v>
      </c>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76</v>
      </c>
      <c r="D205">
        <v>77</v>
      </c>
      <c r="E205">
        <v>94</v>
      </c>
      <c r="F205">
        <v>65</v>
      </c>
      <c r="G205">
        <v>81</v>
      </c>
      <c r="H205">
        <v>95</v>
      </c>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87</v>
      </c>
      <c r="D206">
        <v>89</v>
      </c>
      <c r="E206">
        <v>95</v>
      </c>
      <c r="F206">
        <v>83</v>
      </c>
      <c r="G206">
        <v>88</v>
      </c>
      <c r="H206">
        <v>94</v>
      </c>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66</v>
      </c>
      <c r="D207">
        <v>80</v>
      </c>
      <c r="E207">
        <v>92</v>
      </c>
      <c r="F207">
        <v>58</v>
      </c>
      <c r="G207">
        <v>78</v>
      </c>
      <c r="H207">
        <v>90</v>
      </c>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52</v>
      </c>
      <c r="D208">
        <v>89</v>
      </c>
      <c r="E208">
        <v>89</v>
      </c>
      <c r="F208">
        <v>45</v>
      </c>
      <c r="G208">
        <v>88</v>
      </c>
      <c r="H208">
        <v>88</v>
      </c>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58</v>
      </c>
      <c r="D209">
        <v>56</v>
      </c>
      <c r="E209">
        <v>67</v>
      </c>
      <c r="F209">
        <v>52</v>
      </c>
      <c r="G209">
        <v>57</v>
      </c>
      <c r="H209">
        <v>76</v>
      </c>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100</v>
      </c>
      <c r="D210">
        <v>71</v>
      </c>
      <c r="E210">
        <v>92</v>
      </c>
      <c r="F210">
        <v>100</v>
      </c>
      <c r="G210">
        <v>63</v>
      </c>
      <c r="H210">
        <v>89</v>
      </c>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65</v>
      </c>
      <c r="D211">
        <v>58</v>
      </c>
      <c r="E211">
        <v>71</v>
      </c>
      <c r="F211">
        <v>54</v>
      </c>
      <c r="G211">
        <v>62</v>
      </c>
      <c r="H211">
        <v>72</v>
      </c>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80</v>
      </c>
      <c r="D212">
        <v>50</v>
      </c>
      <c r="E212">
        <v>62</v>
      </c>
      <c r="F212">
        <v>71</v>
      </c>
      <c r="G212">
        <v>43</v>
      </c>
      <c r="H212">
        <v>57</v>
      </c>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73</v>
      </c>
      <c r="D213">
        <v>85</v>
      </c>
      <c r="E213">
        <v>94</v>
      </c>
      <c r="F213">
        <v>65</v>
      </c>
      <c r="G213">
        <v>79</v>
      </c>
      <c r="H213">
        <v>93</v>
      </c>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63</v>
      </c>
      <c r="D214">
        <v>35</v>
      </c>
      <c r="E214">
        <v>49</v>
      </c>
      <c r="F214">
        <v>67</v>
      </c>
      <c r="G214">
        <v>56</v>
      </c>
      <c r="H214">
        <v>61</v>
      </c>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60</v>
      </c>
      <c r="D215">
        <v>71</v>
      </c>
      <c r="E215">
        <v>87</v>
      </c>
      <c r="F215">
        <v>80</v>
      </c>
      <c r="G215">
        <v>72</v>
      </c>
      <c r="H215">
        <v>87</v>
      </c>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55</v>
      </c>
      <c r="D216">
        <v>50</v>
      </c>
      <c r="E216">
        <v>67</v>
      </c>
      <c r="F216">
        <v>35</v>
      </c>
      <c r="G216">
        <v>50</v>
      </c>
      <c r="H216">
        <v>65</v>
      </c>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37</v>
      </c>
      <c r="D217">
        <v>65</v>
      </c>
      <c r="E217">
        <v>80</v>
      </c>
      <c r="F217">
        <v>43</v>
      </c>
      <c r="G217">
        <v>66</v>
      </c>
      <c r="H217">
        <v>79</v>
      </c>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100</v>
      </c>
      <c r="D218">
        <v>68</v>
      </c>
      <c r="E218">
        <v>80</v>
      </c>
      <c r="F218">
        <v>100</v>
      </c>
      <c r="G218">
        <v>66</v>
      </c>
      <c r="H218">
        <v>79</v>
      </c>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71</v>
      </c>
      <c r="D219">
        <v>70</v>
      </c>
      <c r="E219">
        <v>81</v>
      </c>
      <c r="F219">
        <v>71</v>
      </c>
      <c r="G219">
        <v>66</v>
      </c>
      <c r="H219">
        <v>82</v>
      </c>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91</v>
      </c>
      <c r="D220">
        <v>87</v>
      </c>
      <c r="E220">
        <v>91</v>
      </c>
      <c r="F220">
        <v>88</v>
      </c>
      <c r="G220">
        <v>86</v>
      </c>
      <c r="H220">
        <v>93</v>
      </c>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81</v>
      </c>
      <c r="D221">
        <v>88</v>
      </c>
      <c r="E221">
        <v>94</v>
      </c>
      <c r="F221">
        <v>63</v>
      </c>
      <c r="G221">
        <v>91</v>
      </c>
      <c r="H221">
        <v>95</v>
      </c>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56</v>
      </c>
      <c r="D222">
        <v>70</v>
      </c>
      <c r="E222">
        <v>84</v>
      </c>
      <c r="F222">
        <v>59</v>
      </c>
      <c r="G222">
        <v>70</v>
      </c>
      <c r="H222">
        <v>84</v>
      </c>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91</v>
      </c>
      <c r="D223">
        <v>85</v>
      </c>
      <c r="E223">
        <v>93</v>
      </c>
      <c r="F223">
        <v>88</v>
      </c>
      <c r="G223">
        <v>88</v>
      </c>
      <c r="H223">
        <v>93</v>
      </c>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54</v>
      </c>
      <c r="D224">
        <v>60</v>
      </c>
      <c r="E224">
        <v>79</v>
      </c>
      <c r="F224">
        <v>50</v>
      </c>
      <c r="G224">
        <v>60</v>
      </c>
      <c r="H224">
        <v>80</v>
      </c>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96</v>
      </c>
      <c r="D225">
        <v>84</v>
      </c>
      <c r="E225">
        <v>92</v>
      </c>
      <c r="F225">
        <v>88</v>
      </c>
      <c r="G225">
        <v>82</v>
      </c>
      <c r="H225">
        <v>91</v>
      </c>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59</v>
      </c>
      <c r="D226">
        <v>73</v>
      </c>
      <c r="E226">
        <v>89</v>
      </c>
      <c r="F226">
        <v>56</v>
      </c>
      <c r="G226">
        <v>74</v>
      </c>
      <c r="H226">
        <v>89</v>
      </c>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91</v>
      </c>
      <c r="D227">
        <v>88</v>
      </c>
      <c r="E227">
        <v>98</v>
      </c>
      <c r="F227">
        <v>85</v>
      </c>
      <c r="G227">
        <v>87</v>
      </c>
      <c r="H227">
        <v>95</v>
      </c>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71</v>
      </c>
      <c r="D228">
        <v>57</v>
      </c>
      <c r="E228">
        <v>76</v>
      </c>
      <c r="F228">
        <v>73</v>
      </c>
      <c r="G228">
        <v>58</v>
      </c>
      <c r="H228">
        <v>76</v>
      </c>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56</v>
      </c>
      <c r="D229">
        <v>57</v>
      </c>
      <c r="E229">
        <v>75</v>
      </c>
      <c r="F229">
        <v>52</v>
      </c>
      <c r="G229">
        <v>59</v>
      </c>
      <c r="H229">
        <v>79</v>
      </c>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87</v>
      </c>
      <c r="D230">
        <v>72</v>
      </c>
      <c r="E230">
        <v>85</v>
      </c>
      <c r="F230">
        <v>84</v>
      </c>
      <c r="G230">
        <v>68</v>
      </c>
      <c r="H230">
        <v>81</v>
      </c>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93</v>
      </c>
      <c r="D231">
        <v>83</v>
      </c>
      <c r="E231">
        <v>89</v>
      </c>
      <c r="F231">
        <v>91</v>
      </c>
      <c r="G231">
        <v>80</v>
      </c>
      <c r="H231">
        <v>88</v>
      </c>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82</v>
      </c>
      <c r="D232">
        <v>80</v>
      </c>
      <c r="E232">
        <v>91</v>
      </c>
      <c r="F232">
        <v>80</v>
      </c>
      <c r="G232">
        <v>80</v>
      </c>
      <c r="H232">
        <v>88</v>
      </c>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70</v>
      </c>
      <c r="D233">
        <v>73</v>
      </c>
      <c r="E233">
        <v>89</v>
      </c>
      <c r="F233">
        <v>64</v>
      </c>
      <c r="G233">
        <v>71</v>
      </c>
      <c r="H233">
        <v>86</v>
      </c>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76</v>
      </c>
      <c r="D234">
        <v>70</v>
      </c>
      <c r="E234">
        <v>86</v>
      </c>
      <c r="F234">
        <v>75</v>
      </c>
      <c r="G234">
        <v>72</v>
      </c>
      <c r="H234">
        <v>88</v>
      </c>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65</v>
      </c>
      <c r="D235">
        <v>78</v>
      </c>
      <c r="E235">
        <v>92</v>
      </c>
      <c r="F235">
        <v>48</v>
      </c>
      <c r="G235">
        <v>73</v>
      </c>
      <c r="H235">
        <v>91</v>
      </c>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67</v>
      </c>
      <c r="D236">
        <v>74</v>
      </c>
      <c r="E236">
        <v>89</v>
      </c>
      <c r="F236">
        <v>62</v>
      </c>
      <c r="G236">
        <v>71</v>
      </c>
      <c r="H236">
        <v>88</v>
      </c>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80</v>
      </c>
      <c r="D237">
        <v>69</v>
      </c>
      <c r="E237">
        <v>85</v>
      </c>
      <c r="F237">
        <v>68</v>
      </c>
      <c r="G237">
        <v>66</v>
      </c>
      <c r="H237">
        <v>81</v>
      </c>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51</v>
      </c>
      <c r="D238">
        <v>54</v>
      </c>
      <c r="E238">
        <v>68</v>
      </c>
      <c r="F238">
        <v>46</v>
      </c>
      <c r="G238">
        <v>58</v>
      </c>
      <c r="H238">
        <v>72</v>
      </c>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87</v>
      </c>
      <c r="D239">
        <v>44</v>
      </c>
      <c r="E239">
        <v>70</v>
      </c>
      <c r="F239">
        <v>65</v>
      </c>
      <c r="G239">
        <v>45</v>
      </c>
      <c r="H239">
        <v>71</v>
      </c>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92</v>
      </c>
      <c r="D240">
        <v>59</v>
      </c>
      <c r="E240">
        <v>73</v>
      </c>
      <c r="F240">
        <v>85</v>
      </c>
      <c r="G240">
        <v>56</v>
      </c>
      <c r="H240">
        <v>70</v>
      </c>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91</v>
      </c>
      <c r="D241">
        <v>86</v>
      </c>
      <c r="E241">
        <v>93</v>
      </c>
      <c r="F241">
        <v>83</v>
      </c>
      <c r="G241">
        <v>83</v>
      </c>
      <c r="H241">
        <v>93</v>
      </c>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84</v>
      </c>
      <c r="D242">
        <v>90</v>
      </c>
      <c r="E242">
        <v>97</v>
      </c>
      <c r="F242">
        <v>85</v>
      </c>
      <c r="G242">
        <v>90</v>
      </c>
      <c r="H242">
        <v>97</v>
      </c>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53</v>
      </c>
      <c r="D243">
        <v>64</v>
      </c>
      <c r="E243">
        <v>80</v>
      </c>
      <c r="F243">
        <v>56</v>
      </c>
      <c r="G243">
        <v>66</v>
      </c>
      <c r="H243">
        <v>81</v>
      </c>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88</v>
      </c>
      <c r="D244">
        <v>80</v>
      </c>
      <c r="E244">
        <v>91</v>
      </c>
      <c r="F244">
        <v>86</v>
      </c>
      <c r="G244">
        <v>81</v>
      </c>
      <c r="H244">
        <v>91</v>
      </c>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51</v>
      </c>
      <c r="D245">
        <v>66</v>
      </c>
      <c r="E245">
        <v>85</v>
      </c>
      <c r="F245">
        <v>55</v>
      </c>
      <c r="G245">
        <v>72</v>
      </c>
      <c r="H245">
        <v>87</v>
      </c>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93</v>
      </c>
      <c r="D246">
        <v>55</v>
      </c>
      <c r="E246">
        <v>76</v>
      </c>
      <c r="F246">
        <v>78</v>
      </c>
      <c r="G246">
        <v>56</v>
      </c>
      <c r="H246">
        <v>76</v>
      </c>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34</v>
      </c>
      <c r="D247">
        <v>55</v>
      </c>
      <c r="E247">
        <v>72</v>
      </c>
      <c r="F247">
        <v>42</v>
      </c>
      <c r="G247">
        <v>57</v>
      </c>
      <c r="H247">
        <v>74</v>
      </c>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80</v>
      </c>
      <c r="D248">
        <v>75</v>
      </c>
      <c r="E248">
        <v>85</v>
      </c>
      <c r="F248">
        <v>60</v>
      </c>
      <c r="G248">
        <v>69</v>
      </c>
      <c r="H248">
        <v>83</v>
      </c>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79</v>
      </c>
      <c r="D249">
        <v>47</v>
      </c>
      <c r="E249">
        <v>59</v>
      </c>
      <c r="F249">
        <v>76</v>
      </c>
      <c r="G249">
        <v>40</v>
      </c>
      <c r="H249">
        <v>53</v>
      </c>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71</v>
      </c>
      <c r="D250">
        <v>52</v>
      </c>
      <c r="E250">
        <v>71</v>
      </c>
      <c r="F250">
        <v>56</v>
      </c>
      <c r="G250">
        <v>49</v>
      </c>
      <c r="H250">
        <v>70</v>
      </c>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81</v>
      </c>
      <c r="D251">
        <v>85</v>
      </c>
      <c r="E251">
        <v>94</v>
      </c>
      <c r="F251">
        <v>82</v>
      </c>
      <c r="G251">
        <v>86</v>
      </c>
      <c r="H251">
        <v>94</v>
      </c>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72</v>
      </c>
      <c r="D252">
        <v>72</v>
      </c>
      <c r="E252">
        <v>90</v>
      </c>
      <c r="F252">
        <v>77</v>
      </c>
      <c r="G252">
        <v>77</v>
      </c>
      <c r="H252">
        <v>91</v>
      </c>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48</v>
      </c>
      <c r="D253">
        <v>81</v>
      </c>
      <c r="E253">
        <v>92</v>
      </c>
      <c r="F253">
        <v>31</v>
      </c>
      <c r="G253">
        <v>79</v>
      </c>
      <c r="H253">
        <v>92</v>
      </c>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60</v>
      </c>
      <c r="D254">
        <v>72</v>
      </c>
      <c r="E254">
        <v>90</v>
      </c>
      <c r="F254">
        <v>58</v>
      </c>
      <c r="G254">
        <v>72</v>
      </c>
      <c r="H254">
        <v>91</v>
      </c>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67</v>
      </c>
      <c r="D255">
        <v>66</v>
      </c>
      <c r="E255">
        <v>87</v>
      </c>
      <c r="F255">
        <v>64</v>
      </c>
      <c r="G255">
        <v>69</v>
      </c>
      <c r="H255">
        <v>86</v>
      </c>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93</v>
      </c>
      <c r="D256">
        <v>83</v>
      </c>
      <c r="E256">
        <v>85</v>
      </c>
      <c r="F256">
        <v>85</v>
      </c>
      <c r="G256">
        <v>75</v>
      </c>
      <c r="H256">
        <v>86</v>
      </c>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63</v>
      </c>
      <c r="D257">
        <v>65</v>
      </c>
      <c r="E257">
        <v>74</v>
      </c>
      <c r="F257">
        <v>60</v>
      </c>
      <c r="G257">
        <v>60</v>
      </c>
      <c r="H257">
        <v>70</v>
      </c>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96</v>
      </c>
      <c r="D258">
        <v>90</v>
      </c>
      <c r="E258">
        <v>94</v>
      </c>
      <c r="F258">
        <v>94</v>
      </c>
      <c r="G258">
        <v>89</v>
      </c>
      <c r="H258">
        <v>95</v>
      </c>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83</v>
      </c>
      <c r="D259">
        <v>71</v>
      </c>
      <c r="E259">
        <v>82</v>
      </c>
      <c r="F259">
        <v>75</v>
      </c>
      <c r="G259">
        <v>70</v>
      </c>
      <c r="H259">
        <v>83</v>
      </c>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54</v>
      </c>
      <c r="D260">
        <v>68</v>
      </c>
      <c r="E260">
        <v>85</v>
      </c>
      <c r="F260">
        <v>64</v>
      </c>
      <c r="G260">
        <v>66</v>
      </c>
      <c r="H260">
        <v>83</v>
      </c>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64</v>
      </c>
      <c r="D261">
        <v>67</v>
      </c>
      <c r="E261">
        <v>84</v>
      </c>
      <c r="F261">
        <v>70</v>
      </c>
      <c r="G261">
        <v>71</v>
      </c>
      <c r="H261">
        <v>87</v>
      </c>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23</v>
      </c>
      <c r="D262">
        <v>39</v>
      </c>
      <c r="E262">
        <v>54</v>
      </c>
      <c r="F262">
        <v>21</v>
      </c>
      <c r="G262">
        <v>37</v>
      </c>
      <c r="H262">
        <v>54</v>
      </c>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85</v>
      </c>
      <c r="D263">
        <v>94</v>
      </c>
      <c r="E263">
        <v>98</v>
      </c>
      <c r="F263">
        <v>89</v>
      </c>
      <c r="G263">
        <v>94</v>
      </c>
      <c r="H263">
        <v>99</v>
      </c>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70</v>
      </c>
      <c r="D264">
        <v>66</v>
      </c>
      <c r="E264">
        <v>85</v>
      </c>
      <c r="F264">
        <v>66</v>
      </c>
      <c r="G264">
        <v>65</v>
      </c>
      <c r="H264">
        <v>84</v>
      </c>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90</v>
      </c>
      <c r="D265">
        <v>74</v>
      </c>
      <c r="E265">
        <v>88</v>
      </c>
      <c r="F265">
        <v>95</v>
      </c>
      <c r="G265">
        <v>78</v>
      </c>
      <c r="H265">
        <v>90</v>
      </c>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83</v>
      </c>
      <c r="D266">
        <v>64</v>
      </c>
      <c r="E266">
        <v>84</v>
      </c>
      <c r="F266">
        <v>85</v>
      </c>
      <c r="G266">
        <v>67</v>
      </c>
      <c r="H266">
        <v>84</v>
      </c>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82</v>
      </c>
      <c r="D267">
        <v>71</v>
      </c>
      <c r="E267">
        <v>89</v>
      </c>
      <c r="F267">
        <v>83</v>
      </c>
      <c r="G267">
        <v>73</v>
      </c>
      <c r="H267">
        <v>88</v>
      </c>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87</v>
      </c>
      <c r="D268">
        <v>89</v>
      </c>
      <c r="E268">
        <v>96</v>
      </c>
      <c r="F268">
        <v>89</v>
      </c>
      <c r="G268">
        <v>88</v>
      </c>
      <c r="H268">
        <v>96</v>
      </c>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84</v>
      </c>
      <c r="D269">
        <v>85</v>
      </c>
      <c r="E269">
        <v>92</v>
      </c>
      <c r="F269">
        <v>87</v>
      </c>
      <c r="G269">
        <v>91</v>
      </c>
      <c r="H269">
        <v>95</v>
      </c>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78</v>
      </c>
      <c r="D270">
        <v>72</v>
      </c>
      <c r="E270">
        <v>84</v>
      </c>
      <c r="F270">
        <v>63</v>
      </c>
      <c r="G270">
        <v>71</v>
      </c>
      <c r="H270">
        <v>78</v>
      </c>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65</v>
      </c>
      <c r="D271">
        <v>64</v>
      </c>
      <c r="E271">
        <v>79</v>
      </c>
      <c r="F271">
        <v>67</v>
      </c>
      <c r="G271">
        <v>64</v>
      </c>
      <c r="H271">
        <v>80</v>
      </c>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51</v>
      </c>
      <c r="D272">
        <v>59</v>
      </c>
      <c r="E272">
        <v>77</v>
      </c>
      <c r="F272">
        <v>50</v>
      </c>
      <c r="G272">
        <v>57</v>
      </c>
      <c r="H272">
        <v>78</v>
      </c>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66</v>
      </c>
      <c r="D273">
        <v>62</v>
      </c>
      <c r="E273">
        <v>70</v>
      </c>
      <c r="F273">
        <v>63</v>
      </c>
      <c r="G273">
        <v>61</v>
      </c>
      <c r="H273">
        <v>71</v>
      </c>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77</v>
      </c>
      <c r="D274">
        <v>60</v>
      </c>
      <c r="E274">
        <v>78</v>
      </c>
      <c r="F274">
        <v>79</v>
      </c>
      <c r="G274">
        <v>63</v>
      </c>
      <c r="H274">
        <v>78</v>
      </c>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85</v>
      </c>
      <c r="D275">
        <v>72</v>
      </c>
      <c r="E275">
        <v>92</v>
      </c>
      <c r="F275">
        <v>69</v>
      </c>
      <c r="G275">
        <v>71</v>
      </c>
      <c r="H275">
        <v>92</v>
      </c>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71</v>
      </c>
      <c r="D276">
        <v>78</v>
      </c>
      <c r="E276">
        <v>92</v>
      </c>
      <c r="F276">
        <v>68</v>
      </c>
      <c r="G276">
        <v>83</v>
      </c>
      <c r="H276">
        <v>92</v>
      </c>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85</v>
      </c>
      <c r="D277">
        <v>71</v>
      </c>
      <c r="E277">
        <v>91</v>
      </c>
      <c r="F277">
        <v>77</v>
      </c>
      <c r="G277">
        <v>71</v>
      </c>
      <c r="H277">
        <v>92</v>
      </c>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76</v>
      </c>
      <c r="D278">
        <v>80</v>
      </c>
      <c r="E278">
        <v>89</v>
      </c>
      <c r="F278">
        <v>75</v>
      </c>
      <c r="G278">
        <v>81</v>
      </c>
      <c r="H278">
        <v>88</v>
      </c>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57</v>
      </c>
      <c r="D279">
        <v>73</v>
      </c>
      <c r="E279">
        <v>96</v>
      </c>
      <c r="F279">
        <v>70</v>
      </c>
      <c r="G279">
        <v>76</v>
      </c>
      <c r="H279">
        <v>95</v>
      </c>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100</v>
      </c>
      <c r="D280">
        <v>72</v>
      </c>
      <c r="E280">
        <v>86</v>
      </c>
      <c r="F280">
        <v>92</v>
      </c>
      <c r="G280">
        <v>67</v>
      </c>
      <c r="H280">
        <v>84</v>
      </c>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69</v>
      </c>
      <c r="D281">
        <v>78</v>
      </c>
      <c r="E281">
        <v>90</v>
      </c>
      <c r="F281">
        <v>56</v>
      </c>
      <c r="G281">
        <v>77</v>
      </c>
      <c r="H281">
        <v>88</v>
      </c>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71</v>
      </c>
      <c r="D282">
        <v>58</v>
      </c>
      <c r="E282">
        <v>77</v>
      </c>
      <c r="F282">
        <v>67</v>
      </c>
      <c r="G282">
        <v>64</v>
      </c>
      <c r="H282">
        <v>79</v>
      </c>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80</v>
      </c>
      <c r="D283">
        <v>72</v>
      </c>
      <c r="E283">
        <v>81</v>
      </c>
      <c r="F283">
        <v>76</v>
      </c>
      <c r="G283">
        <v>67</v>
      </c>
      <c r="H283">
        <v>79</v>
      </c>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77</v>
      </c>
      <c r="D284">
        <v>67</v>
      </c>
      <c r="E284">
        <v>87</v>
      </c>
      <c r="F284">
        <v>65</v>
      </c>
      <c r="G284">
        <v>60</v>
      </c>
      <c r="H284">
        <v>84</v>
      </c>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58</v>
      </c>
      <c r="D285">
        <v>64</v>
      </c>
      <c r="E285">
        <v>84</v>
      </c>
      <c r="F285">
        <v>56</v>
      </c>
      <c r="G285">
        <v>62</v>
      </c>
      <c r="H285">
        <v>82</v>
      </c>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43</v>
      </c>
      <c r="D286">
        <v>58</v>
      </c>
      <c r="E286">
        <v>67</v>
      </c>
      <c r="F286">
        <v>48</v>
      </c>
      <c r="G286">
        <v>56</v>
      </c>
      <c r="H286">
        <v>71</v>
      </c>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63</v>
      </c>
      <c r="D287">
        <v>71</v>
      </c>
      <c r="E287">
        <v>82</v>
      </c>
      <c r="F287">
        <v>59</v>
      </c>
      <c r="G287">
        <v>70</v>
      </c>
      <c r="H287">
        <v>80</v>
      </c>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100</v>
      </c>
      <c r="D288">
        <v>91</v>
      </c>
      <c r="E288">
        <v>97</v>
      </c>
      <c r="F288">
        <v>100</v>
      </c>
      <c r="G288">
        <v>89</v>
      </c>
      <c r="H288">
        <v>97</v>
      </c>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63</v>
      </c>
      <c r="D289">
        <v>92</v>
      </c>
      <c r="E289">
        <v>99</v>
      </c>
      <c r="F289">
        <v>63</v>
      </c>
      <c r="G289">
        <v>93</v>
      </c>
      <c r="H289">
        <v>98</v>
      </c>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64</v>
      </c>
      <c r="D290">
        <v>52</v>
      </c>
      <c r="E290">
        <v>79</v>
      </c>
      <c r="F290">
        <v>51</v>
      </c>
      <c r="G290">
        <v>50</v>
      </c>
      <c r="H290">
        <v>79</v>
      </c>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83</v>
      </c>
      <c r="D291">
        <v>53</v>
      </c>
      <c r="E291">
        <v>71</v>
      </c>
      <c r="F291">
        <v>76</v>
      </c>
      <c r="G291">
        <v>51</v>
      </c>
      <c r="H291">
        <v>64</v>
      </c>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37</v>
      </c>
      <c r="D292">
        <v>58</v>
      </c>
      <c r="E292">
        <v>63</v>
      </c>
      <c r="F292">
        <v>43</v>
      </c>
      <c r="G292">
        <v>62</v>
      </c>
      <c r="H292">
        <v>65</v>
      </c>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70</v>
      </c>
      <c r="D293">
        <v>82</v>
      </c>
      <c r="E293">
        <v>82</v>
      </c>
      <c r="F293">
        <v>58</v>
      </c>
      <c r="G293">
        <v>78</v>
      </c>
      <c r="H293">
        <v>79</v>
      </c>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70</v>
      </c>
      <c r="D294">
        <v>67</v>
      </c>
      <c r="E294">
        <v>86</v>
      </c>
      <c r="F294">
        <v>60</v>
      </c>
      <c r="G294">
        <v>67</v>
      </c>
      <c r="H294">
        <v>88</v>
      </c>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61</v>
      </c>
      <c r="D295">
        <v>68</v>
      </c>
      <c r="E295">
        <v>90</v>
      </c>
      <c r="F295">
        <v>61</v>
      </c>
      <c r="G295">
        <v>72</v>
      </c>
      <c r="H295">
        <v>91</v>
      </c>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61</v>
      </c>
      <c r="D296">
        <v>76</v>
      </c>
      <c r="E296">
        <v>90</v>
      </c>
      <c r="F296">
        <v>61</v>
      </c>
      <c r="G296">
        <v>80</v>
      </c>
      <c r="H296">
        <v>90</v>
      </c>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68</v>
      </c>
      <c r="D297">
        <v>70</v>
      </c>
      <c r="E297">
        <v>90</v>
      </c>
      <c r="F297">
        <v>67</v>
      </c>
      <c r="G297">
        <v>68</v>
      </c>
      <c r="H297">
        <v>89</v>
      </c>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69</v>
      </c>
      <c r="D298">
        <v>75</v>
      </c>
      <c r="E298">
        <v>87</v>
      </c>
      <c r="F298">
        <v>71</v>
      </c>
      <c r="G298">
        <v>78</v>
      </c>
      <c r="H298">
        <v>88</v>
      </c>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69</v>
      </c>
      <c r="D299">
        <v>66</v>
      </c>
      <c r="E299">
        <v>73</v>
      </c>
      <c r="F299">
        <v>59</v>
      </c>
      <c r="G299">
        <v>66</v>
      </c>
      <c r="H299">
        <v>73</v>
      </c>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67</v>
      </c>
      <c r="D300">
        <v>77</v>
      </c>
      <c r="E300">
        <v>90</v>
      </c>
      <c r="F300">
        <v>76</v>
      </c>
      <c r="G300">
        <v>73</v>
      </c>
      <c r="H300">
        <v>89</v>
      </c>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68</v>
      </c>
      <c r="D301">
        <v>66</v>
      </c>
      <c r="E301">
        <v>82</v>
      </c>
      <c r="F301">
        <v>61</v>
      </c>
      <c r="G301">
        <v>68</v>
      </c>
      <c r="H301">
        <v>81</v>
      </c>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80</v>
      </c>
      <c r="D302">
        <v>81</v>
      </c>
      <c r="E302">
        <v>93</v>
      </c>
      <c r="F302">
        <v>67</v>
      </c>
      <c r="G302">
        <v>75</v>
      </c>
      <c r="H302">
        <v>90</v>
      </c>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95</v>
      </c>
      <c r="D303">
        <v>97</v>
      </c>
      <c r="E303">
        <v>97</v>
      </c>
      <c r="F303">
        <v>96</v>
      </c>
      <c r="G303">
        <v>95</v>
      </c>
      <c r="H303">
        <v>96</v>
      </c>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80</v>
      </c>
      <c r="D304">
        <v>96</v>
      </c>
      <c r="E304">
        <v>100</v>
      </c>
      <c r="F304">
        <v>75</v>
      </c>
      <c r="G304">
        <v>98</v>
      </c>
      <c r="H304">
        <v>100</v>
      </c>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61</v>
      </c>
      <c r="D305">
        <v>86</v>
      </c>
      <c r="E305">
        <v>90</v>
      </c>
      <c r="F305">
        <v>63</v>
      </c>
      <c r="G305">
        <v>84</v>
      </c>
      <c r="H305">
        <v>91</v>
      </c>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90</v>
      </c>
      <c r="D306">
        <v>87</v>
      </c>
      <c r="E306">
        <v>97</v>
      </c>
      <c r="F306">
        <v>92</v>
      </c>
      <c r="G306">
        <v>86</v>
      </c>
      <c r="H306">
        <v>96</v>
      </c>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81</v>
      </c>
      <c r="D307">
        <v>86</v>
      </c>
      <c r="E307">
        <v>96</v>
      </c>
      <c r="F307">
        <v>79</v>
      </c>
      <c r="G307">
        <v>86</v>
      </c>
      <c r="H307">
        <v>95</v>
      </c>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65</v>
      </c>
      <c r="D308">
        <v>78</v>
      </c>
      <c r="E308">
        <v>86</v>
      </c>
      <c r="F308">
        <v>59</v>
      </c>
      <c r="G308">
        <v>77</v>
      </c>
      <c r="H308">
        <v>86</v>
      </c>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74</v>
      </c>
      <c r="D309">
        <v>75</v>
      </c>
      <c r="E309">
        <v>88</v>
      </c>
      <c r="F309">
        <v>68</v>
      </c>
      <c r="G309">
        <v>75</v>
      </c>
      <c r="H309">
        <v>86</v>
      </c>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72</v>
      </c>
      <c r="D310">
        <v>67</v>
      </c>
      <c r="E310">
        <v>90</v>
      </c>
      <c r="F310">
        <v>72</v>
      </c>
      <c r="G310">
        <v>70</v>
      </c>
      <c r="H310">
        <v>91</v>
      </c>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56</v>
      </c>
      <c r="D311">
        <v>54</v>
      </c>
      <c r="E311">
        <v>71</v>
      </c>
      <c r="F311">
        <v>54</v>
      </c>
      <c r="G311">
        <v>61</v>
      </c>
      <c r="H311">
        <v>73</v>
      </c>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84</v>
      </c>
      <c r="D312">
        <v>52</v>
      </c>
      <c r="E312">
        <v>72</v>
      </c>
      <c r="F312">
        <v>71</v>
      </c>
      <c r="G312">
        <v>53</v>
      </c>
      <c r="H312">
        <v>71</v>
      </c>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76</v>
      </c>
      <c r="D313">
        <v>78</v>
      </c>
      <c r="E313">
        <v>91</v>
      </c>
      <c r="F313">
        <v>75</v>
      </c>
      <c r="G313">
        <v>80</v>
      </c>
      <c r="H313">
        <v>92</v>
      </c>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59</v>
      </c>
      <c r="D314">
        <v>64</v>
      </c>
      <c r="E314">
        <v>79</v>
      </c>
      <c r="F314">
        <v>51</v>
      </c>
      <c r="G314">
        <v>62</v>
      </c>
      <c r="H314">
        <v>81</v>
      </c>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63</v>
      </c>
      <c r="D315">
        <v>84</v>
      </c>
      <c r="E315">
        <v>90</v>
      </c>
      <c r="F315">
        <v>56</v>
      </c>
      <c r="G315">
        <v>85</v>
      </c>
      <c r="H315">
        <v>92</v>
      </c>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68</v>
      </c>
      <c r="D316">
        <v>95</v>
      </c>
      <c r="E316">
        <v>98</v>
      </c>
      <c r="F316">
        <v>63</v>
      </c>
      <c r="G316">
        <v>95</v>
      </c>
      <c r="H316">
        <v>100</v>
      </c>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92</v>
      </c>
      <c r="D317">
        <v>70</v>
      </c>
      <c r="E317">
        <v>70</v>
      </c>
      <c r="F317">
        <v>85</v>
      </c>
      <c r="G317">
        <v>71</v>
      </c>
      <c r="H317">
        <v>71</v>
      </c>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v>38</v>
      </c>
      <c r="D318">
        <v>66</v>
      </c>
      <c r="E318">
        <v>87</v>
      </c>
      <c r="F318">
        <v>38</v>
      </c>
      <c r="G318">
        <v>64</v>
      </c>
      <c r="H318">
        <v>83</v>
      </c>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84</v>
      </c>
      <c r="D319">
        <v>76</v>
      </c>
      <c r="E319">
        <v>91</v>
      </c>
      <c r="F319">
        <v>71</v>
      </c>
      <c r="G319">
        <v>81</v>
      </c>
      <c r="H319">
        <v>94</v>
      </c>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56</v>
      </c>
      <c r="D320">
        <v>57</v>
      </c>
      <c r="E320">
        <v>66</v>
      </c>
      <c r="F320">
        <v>50</v>
      </c>
      <c r="G320">
        <v>57</v>
      </c>
      <c r="H320">
        <v>67</v>
      </c>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63</v>
      </c>
      <c r="D321">
        <v>46</v>
      </c>
      <c r="E321">
        <v>78</v>
      </c>
      <c r="F321">
        <v>53</v>
      </c>
      <c r="G321">
        <v>42</v>
      </c>
      <c r="H321">
        <v>77</v>
      </c>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59</v>
      </c>
      <c r="D322">
        <v>70</v>
      </c>
      <c r="E322">
        <v>94</v>
      </c>
      <c r="F322">
        <v>64</v>
      </c>
      <c r="G322">
        <v>75</v>
      </c>
      <c r="H322">
        <v>95</v>
      </c>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47</v>
      </c>
      <c r="D323">
        <v>66</v>
      </c>
      <c r="E323">
        <v>82</v>
      </c>
      <c r="F323">
        <v>53</v>
      </c>
      <c r="G323">
        <v>69</v>
      </c>
      <c r="H323">
        <v>82</v>
      </c>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59</v>
      </c>
      <c r="D324">
        <v>44</v>
      </c>
      <c r="E324">
        <v>74</v>
      </c>
      <c r="F324">
        <v>52</v>
      </c>
      <c r="G324">
        <v>46</v>
      </c>
      <c r="H324">
        <v>75</v>
      </c>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50</v>
      </c>
      <c r="D325">
        <v>56</v>
      </c>
      <c r="E325">
        <v>84</v>
      </c>
      <c r="F325">
        <v>55</v>
      </c>
      <c r="G325">
        <v>54</v>
      </c>
      <c r="H325">
        <v>83</v>
      </c>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44</v>
      </c>
      <c r="D326">
        <v>69</v>
      </c>
      <c r="E326">
        <v>84</v>
      </c>
      <c r="F326">
        <v>42</v>
      </c>
      <c r="G326">
        <v>71</v>
      </c>
      <c r="H326">
        <v>84</v>
      </c>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88</v>
      </c>
      <c r="D327">
        <v>76</v>
      </c>
      <c r="E327">
        <v>86</v>
      </c>
      <c r="F327">
        <v>72</v>
      </c>
      <c r="G327">
        <v>75</v>
      </c>
      <c r="H327">
        <v>87</v>
      </c>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69</v>
      </c>
      <c r="D328">
        <v>66</v>
      </c>
      <c r="E328">
        <v>79</v>
      </c>
      <c r="F328">
        <v>45</v>
      </c>
      <c r="G328">
        <v>67</v>
      </c>
      <c r="H328">
        <v>80</v>
      </c>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63</v>
      </c>
      <c r="D329">
        <v>80</v>
      </c>
      <c r="E329">
        <v>93</v>
      </c>
      <c r="F329">
        <v>59</v>
      </c>
      <c r="G329">
        <v>80</v>
      </c>
      <c r="H329">
        <v>93</v>
      </c>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67</v>
      </c>
      <c r="D330">
        <v>72</v>
      </c>
      <c r="E330">
        <v>84</v>
      </c>
      <c r="F330">
        <v>60</v>
      </c>
      <c r="G330">
        <v>70</v>
      </c>
      <c r="H330">
        <v>84</v>
      </c>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51</v>
      </c>
      <c r="D331">
        <v>57</v>
      </c>
      <c r="E331">
        <v>85</v>
      </c>
      <c r="F331">
        <v>51</v>
      </c>
      <c r="G331">
        <v>55</v>
      </c>
      <c r="H331">
        <v>86</v>
      </c>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50</v>
      </c>
      <c r="D332">
        <v>66</v>
      </c>
      <c r="E332">
        <v>74</v>
      </c>
      <c r="F332">
        <v>55</v>
      </c>
      <c r="G332">
        <v>61</v>
      </c>
      <c r="H332">
        <v>67</v>
      </c>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73</v>
      </c>
      <c r="D333">
        <v>76</v>
      </c>
      <c r="E333">
        <v>91</v>
      </c>
      <c r="F333">
        <v>75</v>
      </c>
      <c r="G333">
        <v>76</v>
      </c>
      <c r="H333">
        <v>91</v>
      </c>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182" activePane="bottomRight" state="frozen"/>
      <selection activeCell="N70" sqref="N70"/>
      <selection pane="topRight" activeCell="N70" sqref="N70"/>
      <selection pane="bottomLeft" activeCell="N70" sqref="N70"/>
      <selection pane="bottomRight" activeCell="C3" sqref="C3:K3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49</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hidden="1">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hidden="1">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hidden="1">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hidden="1">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hidden="1">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hidden="1">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hidden="1">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hidden="1">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hidden="1">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hidden="1">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hidden="1">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hidden="1">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hidden="1">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hidden="1">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hidden="1">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hidden="1">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hidden="1">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hidden="1">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hidden="1">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hidden="1">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hidden="1">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hidden="1">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hidden="1">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hidden="1">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hidden="1">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hidden="1">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hidden="1">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hidden="1">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hidden="1">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hidden="1">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hidden="1">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hidden="1">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hidden="1">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hidden="1">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hidden="1">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hidden="1">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hidden="1">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hidden="1">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hidden="1">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hidden="1">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hidden="1">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hidden="1">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hidden="1">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hidden="1">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hidden="1">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hidden="1">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filterColumn colId="7">
      <filters>
        <filter val="Rural-80"/>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3" t="s">
        <v>867</v>
      </c>
      <c r="G20" s="363"/>
      <c r="H20" s="250" t="s">
        <v>808</v>
      </c>
      <c r="I20" s="251" t="s">
        <v>800</v>
      </c>
    </row>
    <row r="21" spans="1:11" ht="24">
      <c r="C21" s="248"/>
      <c r="E21" s="264" t="s">
        <v>858</v>
      </c>
      <c r="F21" s="363"/>
      <c r="G21" s="363"/>
      <c r="H21" s="8" t="s">
        <v>820</v>
      </c>
      <c r="I21" s="10" t="s">
        <v>831</v>
      </c>
    </row>
    <row r="22" spans="1:11" ht="36">
      <c r="C22" s="248"/>
      <c r="E22" s="265" t="s">
        <v>859</v>
      </c>
      <c r="F22" s="363"/>
      <c r="G22" s="363"/>
    </row>
    <row r="23" spans="1:11">
      <c r="C23" s="248"/>
      <c r="E23" s="266">
        <v>87</v>
      </c>
      <c r="F23" s="363"/>
      <c r="G23" s="363"/>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888</v>
      </c>
      <c r="E8" t="s">
        <v>889</v>
      </c>
      <c r="F8" t="s">
        <v>890</v>
      </c>
      <c r="G8" t="s">
        <v>888</v>
      </c>
      <c r="H8" t="s">
        <v>889</v>
      </c>
      <c r="I8" t="s">
        <v>890</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891</v>
      </c>
      <c r="B18" s="271"/>
      <c r="C18" s="271"/>
      <c r="D18" s="272"/>
      <c r="E18" s="272"/>
    </row>
    <row r="20" spans="1:5">
      <c r="A20" s="271" t="s">
        <v>847</v>
      </c>
      <c r="B20" s="271"/>
      <c r="C20" s="271"/>
      <c r="D20" s="272"/>
      <c r="E20" s="272"/>
    </row>
    <row r="22" spans="1:5">
      <c r="A22" s="271" t="s">
        <v>892</v>
      </c>
      <c r="B22" s="271"/>
      <c r="C22" s="271"/>
      <c r="D22" s="272"/>
      <c r="E22" s="272"/>
    </row>
    <row r="24" spans="1:5">
      <c r="A24" s="271" t="s">
        <v>893</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894</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894</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7B2E01-42C4-4805-949F-4DD01D8751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2A3A3D-936C-498C-92DE-C6DF3DDBBC8D}">
  <ds:schemaRefs>
    <ds:schemaRef ds:uri="c0c43d4d-b7da-4a2b-8f97-25182fb94a41"/>
    <ds:schemaRef ds:uri="http://purl.org/dc/terms/"/>
    <ds:schemaRef ds:uri="http://purl.org/dc/elements/1.1/"/>
    <ds:schemaRef ds:uri="http://schemas.microsoft.com/office/infopath/2007/PartnerControls"/>
    <ds:schemaRef ds:uri="http://purl.org/dc/dcmitype/"/>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s>
</ds:datastoreItem>
</file>

<file path=customXml/itemProps3.xml><?xml version="1.0" encoding="utf-8"?>
<ds:datastoreItem xmlns:ds="http://schemas.openxmlformats.org/officeDocument/2006/customXml" ds:itemID="{965107F5-93B6-42A1-8930-596D8B7FFD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Ricky</cp:lastModifiedBy>
  <dcterms:modified xsi:type="dcterms:W3CDTF">2014-10-27T16:16:02Z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