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Benefit/"/>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B219" i="16" s="1"/>
  <c r="E218" i="16"/>
  <c r="D218" i="16"/>
  <c r="A218" i="16"/>
  <c r="E217" i="16"/>
  <c r="D217" i="16"/>
  <c r="H217" i="16" s="1"/>
  <c r="I217" i="16" s="1"/>
  <c r="A217" i="16"/>
  <c r="E216" i="16"/>
  <c r="D216" i="16"/>
  <c r="A216" i="16"/>
  <c r="E215" i="16"/>
  <c r="D215" i="16"/>
  <c r="H215" i="16" s="1"/>
  <c r="I215" i="16" s="1"/>
  <c r="A215" i="16"/>
  <c r="B215" i="16" s="1"/>
  <c r="E214" i="16"/>
  <c r="D214" i="16"/>
  <c r="A214" i="16"/>
  <c r="E213" i="16"/>
  <c r="D213" i="16"/>
  <c r="A213" i="16"/>
  <c r="E212" i="16"/>
  <c r="D212" i="16"/>
  <c r="H212" i="16" s="1"/>
  <c r="A212" i="16"/>
  <c r="E211" i="16"/>
  <c r="D211" i="16"/>
  <c r="A211" i="16"/>
  <c r="B211" i="16" s="1"/>
  <c r="E210" i="16"/>
  <c r="D210" i="16"/>
  <c r="A210" i="16"/>
  <c r="E209" i="16"/>
  <c r="D209" i="16"/>
  <c r="A209" i="16"/>
  <c r="E208" i="16"/>
  <c r="D208" i="16"/>
  <c r="A208" i="16"/>
  <c r="E207" i="16"/>
  <c r="D207" i="16"/>
  <c r="A207" i="16"/>
  <c r="B207" i="16" s="1"/>
  <c r="E206" i="16"/>
  <c r="D206" i="16"/>
  <c r="A206" i="16"/>
  <c r="E205" i="16"/>
  <c r="D205" i="16"/>
  <c r="A205" i="16"/>
  <c r="E204" i="16"/>
  <c r="D204" i="16"/>
  <c r="A204" i="16"/>
  <c r="E203" i="16"/>
  <c r="D203" i="16"/>
  <c r="A203" i="16"/>
  <c r="B203" i="16" s="1"/>
  <c r="E202" i="16"/>
  <c r="D202" i="16"/>
  <c r="H202" i="16" s="1"/>
  <c r="I202" i="16" s="1"/>
  <c r="A202" i="16"/>
  <c r="E201" i="16"/>
  <c r="D201" i="16"/>
  <c r="H201" i="16" s="1"/>
  <c r="A201" i="16"/>
  <c r="E200" i="16"/>
  <c r="D200" i="16"/>
  <c r="A200" i="16"/>
  <c r="E199" i="16"/>
  <c r="D199" i="16"/>
  <c r="H199" i="16" s="1"/>
  <c r="A199" i="16"/>
  <c r="B199" i="16" s="1"/>
  <c r="E198" i="16"/>
  <c r="D198" i="16"/>
  <c r="A198" i="16"/>
  <c r="E197" i="16"/>
  <c r="D197" i="16"/>
  <c r="A197" i="16"/>
  <c r="E196" i="16"/>
  <c r="D196" i="16"/>
  <c r="A196" i="16"/>
  <c r="E195" i="16"/>
  <c r="D195" i="16"/>
  <c r="A195" i="16"/>
  <c r="B195" i="16" s="1"/>
  <c r="E194" i="16"/>
  <c r="D194" i="16"/>
  <c r="A194" i="16"/>
  <c r="E193" i="16"/>
  <c r="D193" i="16"/>
  <c r="A193" i="16"/>
  <c r="E192" i="16"/>
  <c r="D192" i="16"/>
  <c r="A192" i="16"/>
  <c r="E191" i="16"/>
  <c r="D191" i="16"/>
  <c r="A191" i="16"/>
  <c r="B191" i="16" s="1"/>
  <c r="E190" i="16"/>
  <c r="D190" i="16"/>
  <c r="H190" i="16" s="1"/>
  <c r="A190" i="16"/>
  <c r="E189" i="16"/>
  <c r="D189" i="16"/>
  <c r="A189" i="16"/>
  <c r="E188" i="16"/>
  <c r="D188" i="16"/>
  <c r="A188" i="16"/>
  <c r="E187" i="16"/>
  <c r="D187" i="16"/>
  <c r="A187" i="16"/>
  <c r="B187" i="16" s="1"/>
  <c r="E186" i="16"/>
  <c r="D186" i="16"/>
  <c r="H186" i="16" s="1"/>
  <c r="A186" i="16"/>
  <c r="E185" i="16"/>
  <c r="D185" i="16"/>
  <c r="A185" i="16"/>
  <c r="E184" i="16"/>
  <c r="D184" i="16"/>
  <c r="A184" i="16"/>
  <c r="E183" i="16"/>
  <c r="D183" i="16"/>
  <c r="A183" i="16"/>
  <c r="B183" i="16" s="1"/>
  <c r="E182" i="16"/>
  <c r="D182" i="16"/>
  <c r="A182" i="16"/>
  <c r="E181" i="16"/>
  <c r="D181" i="16"/>
  <c r="H181" i="16" s="1"/>
  <c r="A181" i="16"/>
  <c r="E180" i="16"/>
  <c r="D180" i="16"/>
  <c r="H180" i="16" s="1"/>
  <c r="I180" i="16" s="1"/>
  <c r="A180" i="16"/>
  <c r="E179" i="16"/>
  <c r="D179" i="16"/>
  <c r="A179" i="16"/>
  <c r="B179" i="16" s="1"/>
  <c r="E178" i="16"/>
  <c r="D178" i="16"/>
  <c r="A178" i="16"/>
  <c r="E177" i="16"/>
  <c r="D177" i="16"/>
  <c r="H177" i="16" s="1"/>
  <c r="A177" i="16"/>
  <c r="E176" i="16"/>
  <c r="D176" i="16"/>
  <c r="A176" i="16"/>
  <c r="E175" i="16"/>
  <c r="D175" i="16"/>
  <c r="H175" i="16" s="1"/>
  <c r="I175" i="16" s="1"/>
  <c r="A175" i="16"/>
  <c r="B175" i="16" s="1"/>
  <c r="E174" i="16"/>
  <c r="D174" i="16"/>
  <c r="A174" i="16"/>
  <c r="E173" i="16"/>
  <c r="D173" i="16"/>
  <c r="H173" i="16" s="1"/>
  <c r="A173" i="16"/>
  <c r="E172" i="16"/>
  <c r="D172" i="16"/>
  <c r="A172" i="16"/>
  <c r="E171" i="16"/>
  <c r="D171" i="16"/>
  <c r="H171" i="16" s="1"/>
  <c r="I171" i="16" s="1"/>
  <c r="A171" i="16"/>
  <c r="B171" i="16" s="1"/>
  <c r="E170" i="16"/>
  <c r="D170" i="16"/>
  <c r="H170" i="16" s="1"/>
  <c r="A170" i="16"/>
  <c r="E169" i="16"/>
  <c r="D169" i="16"/>
  <c r="H169" i="16" s="1"/>
  <c r="A169" i="16"/>
  <c r="E168" i="16"/>
  <c r="D168" i="16"/>
  <c r="H168" i="16" s="1"/>
  <c r="A168" i="16"/>
  <c r="E167" i="16"/>
  <c r="D167" i="16"/>
  <c r="H167" i="16" s="1"/>
  <c r="A167" i="16"/>
  <c r="B167" i="16" s="1"/>
  <c r="E166" i="16"/>
  <c r="D166" i="16"/>
  <c r="A166" i="16"/>
  <c r="E165" i="16"/>
  <c r="D165" i="16"/>
  <c r="A165" i="16"/>
  <c r="E164" i="16"/>
  <c r="D164" i="16"/>
  <c r="A164" i="16"/>
  <c r="E163" i="16"/>
  <c r="D163" i="16"/>
  <c r="H163" i="16" s="1"/>
  <c r="I163" i="16" s="1"/>
  <c r="A163" i="16"/>
  <c r="B163" i="16" s="1"/>
  <c r="E162" i="16"/>
  <c r="D162" i="16"/>
  <c r="H162" i="16" s="1"/>
  <c r="A162" i="16"/>
  <c r="E161" i="16"/>
  <c r="D161" i="16"/>
  <c r="H161" i="16" s="1"/>
  <c r="A161" i="16"/>
  <c r="E160" i="16"/>
  <c r="D160" i="16"/>
  <c r="H160" i="16" s="1"/>
  <c r="I160" i="16" s="1"/>
  <c r="A160" i="16"/>
  <c r="E159" i="16"/>
  <c r="D159" i="16"/>
  <c r="A159" i="16"/>
  <c r="B159" i="16" s="1"/>
  <c r="E158" i="16"/>
  <c r="D158" i="16"/>
  <c r="A158" i="16"/>
  <c r="E157" i="16"/>
  <c r="D157" i="16"/>
  <c r="A157" i="16"/>
  <c r="E156" i="16"/>
  <c r="D156" i="16"/>
  <c r="A156" i="16"/>
  <c r="E155" i="16"/>
  <c r="D155" i="16"/>
  <c r="H155" i="16" s="1"/>
  <c r="A155" i="16"/>
  <c r="B155" i="16" s="1"/>
  <c r="E154" i="16"/>
  <c r="D154" i="16"/>
  <c r="A154" i="16"/>
  <c r="E153" i="16"/>
  <c r="D153" i="16"/>
  <c r="A153" i="16"/>
  <c r="E152" i="16"/>
  <c r="D152" i="16"/>
  <c r="H152" i="16" s="1"/>
  <c r="A152" i="16"/>
  <c r="E151" i="16"/>
  <c r="D151" i="16"/>
  <c r="A151" i="16"/>
  <c r="B151" i="16" s="1"/>
  <c r="E150" i="16"/>
  <c r="D150" i="16"/>
  <c r="A150" i="16"/>
  <c r="E149" i="16"/>
  <c r="D149" i="16"/>
  <c r="H149" i="16" s="1"/>
  <c r="I149" i="16" s="1"/>
  <c r="A149" i="16"/>
  <c r="E148" i="16"/>
  <c r="D148" i="16"/>
  <c r="A148" i="16"/>
  <c r="E147" i="16"/>
  <c r="D147" i="16"/>
  <c r="H147" i="16" s="1"/>
  <c r="A147" i="16"/>
  <c r="B147" i="16" s="1"/>
  <c r="E146" i="16"/>
  <c r="D146" i="16"/>
  <c r="A146" i="16"/>
  <c r="E145" i="16"/>
  <c r="D145" i="16"/>
  <c r="A145" i="16"/>
  <c r="E144" i="16"/>
  <c r="D144" i="16"/>
  <c r="A144" i="16"/>
  <c r="E143" i="16"/>
  <c r="D143" i="16"/>
  <c r="A143" i="16"/>
  <c r="B143" i="16" s="1"/>
  <c r="E142" i="16"/>
  <c r="D142" i="16"/>
  <c r="H142" i="16" s="1"/>
  <c r="A142" i="16"/>
  <c r="E141" i="16"/>
  <c r="D141" i="16"/>
  <c r="A141" i="16"/>
  <c r="E140" i="16"/>
  <c r="D140" i="16"/>
  <c r="A140" i="16"/>
  <c r="E139" i="16"/>
  <c r="D139" i="16"/>
  <c r="H139" i="16" s="1"/>
  <c r="A139" i="16"/>
  <c r="B139" i="16" s="1"/>
  <c r="E138" i="16"/>
  <c r="D138" i="16"/>
  <c r="A138" i="16"/>
  <c r="E137" i="16"/>
  <c r="D137" i="16"/>
  <c r="H137" i="16" s="1"/>
  <c r="I137" i="16" s="1"/>
  <c r="A137" i="16"/>
  <c r="E136" i="16"/>
  <c r="D136" i="16"/>
  <c r="H136" i="16" s="1"/>
  <c r="A136" i="16"/>
  <c r="E135" i="16"/>
  <c r="D135" i="16"/>
  <c r="A135" i="16"/>
  <c r="B135" i="16" s="1"/>
  <c r="E134" i="16"/>
  <c r="D134" i="16"/>
  <c r="A134" i="16"/>
  <c r="E133" i="16"/>
  <c r="D133" i="16"/>
  <c r="H133" i="16" s="1"/>
  <c r="A133" i="16"/>
  <c r="E132" i="16"/>
  <c r="D132" i="16"/>
  <c r="A132" i="16"/>
  <c r="E131" i="16"/>
  <c r="D131" i="16"/>
  <c r="H131" i="16" s="1"/>
  <c r="A131" i="16"/>
  <c r="B131" i="16" s="1"/>
  <c r="E130" i="16"/>
  <c r="D130" i="16"/>
  <c r="A130" i="16"/>
  <c r="E129" i="16"/>
  <c r="D129" i="16"/>
  <c r="A129" i="16"/>
  <c r="E128" i="16"/>
  <c r="D128" i="16"/>
  <c r="A128" i="16"/>
  <c r="E127" i="16"/>
  <c r="D127" i="16"/>
  <c r="A127" i="16"/>
  <c r="B127" i="16" s="1"/>
  <c r="E126" i="16"/>
  <c r="D126" i="16"/>
  <c r="A126" i="16"/>
  <c r="E125" i="16"/>
  <c r="D125" i="16"/>
  <c r="A125" i="16"/>
  <c r="E124" i="16"/>
  <c r="D124" i="16"/>
  <c r="A124" i="16"/>
  <c r="E123" i="16"/>
  <c r="D123" i="16"/>
  <c r="A123" i="16"/>
  <c r="B123" i="16" s="1"/>
  <c r="E122" i="16"/>
  <c r="D122" i="16"/>
  <c r="A122" i="16"/>
  <c r="E121" i="16"/>
  <c r="D121" i="16"/>
  <c r="A121" i="16"/>
  <c r="E120" i="16"/>
  <c r="D120" i="16"/>
  <c r="A120" i="16"/>
  <c r="E119" i="16"/>
  <c r="D119" i="16"/>
  <c r="A119" i="16"/>
  <c r="B119" i="16" s="1"/>
  <c r="E118" i="16"/>
  <c r="D118" i="16"/>
  <c r="A118" i="16"/>
  <c r="E117" i="16"/>
  <c r="D117" i="16"/>
  <c r="A117" i="16"/>
  <c r="E116" i="16"/>
  <c r="D116" i="16"/>
  <c r="A116" i="16"/>
  <c r="E115" i="16"/>
  <c r="D115" i="16"/>
  <c r="A115" i="16"/>
  <c r="B115" i="16" s="1"/>
  <c r="E114" i="16"/>
  <c r="D114" i="16"/>
  <c r="A114" i="16"/>
  <c r="E113" i="16"/>
  <c r="D113" i="16"/>
  <c r="A113" i="16"/>
  <c r="E112" i="16"/>
  <c r="D112" i="16"/>
  <c r="A112" i="16"/>
  <c r="E111" i="16"/>
  <c r="D111" i="16"/>
  <c r="A111" i="16"/>
  <c r="B111" i="16" s="1"/>
  <c r="E110" i="16"/>
  <c r="D110" i="16"/>
  <c r="A110" i="16"/>
  <c r="E109" i="16"/>
  <c r="D109" i="16"/>
  <c r="A109" i="16"/>
  <c r="E108" i="16"/>
  <c r="D108" i="16"/>
  <c r="A108" i="16"/>
  <c r="E107" i="16"/>
  <c r="D107" i="16"/>
  <c r="A107" i="16"/>
  <c r="B107" i="16" s="1"/>
  <c r="E106" i="16"/>
  <c r="D106" i="16"/>
  <c r="A106" i="16"/>
  <c r="E105" i="16"/>
  <c r="D105" i="16"/>
  <c r="A105" i="16"/>
  <c r="E104" i="16"/>
  <c r="D104" i="16"/>
  <c r="A104" i="16"/>
  <c r="E103" i="16"/>
  <c r="D103" i="16"/>
  <c r="A103" i="16"/>
  <c r="B103" i="16" s="1"/>
  <c r="E102" i="16"/>
  <c r="D102" i="16"/>
  <c r="A102" i="16"/>
  <c r="E101" i="16"/>
  <c r="D101" i="16"/>
  <c r="A101" i="16"/>
  <c r="E100" i="16"/>
  <c r="D100" i="16"/>
  <c r="A100" i="16"/>
  <c r="E99" i="16"/>
  <c r="D99" i="16"/>
  <c r="A99" i="16"/>
  <c r="B99" i="16" s="1"/>
  <c r="E98" i="16"/>
  <c r="D98" i="16"/>
  <c r="A98" i="16"/>
  <c r="E97" i="16"/>
  <c r="D97" i="16"/>
  <c r="A97" i="16"/>
  <c r="E96" i="16"/>
  <c r="D96" i="16"/>
  <c r="A96" i="16"/>
  <c r="E95" i="16"/>
  <c r="D95" i="16"/>
  <c r="A95" i="16"/>
  <c r="B95" i="16" s="1"/>
  <c r="E94" i="16"/>
  <c r="D94" i="16"/>
  <c r="A94" i="16"/>
  <c r="E93" i="16"/>
  <c r="D93" i="16"/>
  <c r="A93" i="16"/>
  <c r="E92" i="16"/>
  <c r="D92" i="16"/>
  <c r="A92" i="16"/>
  <c r="E91" i="16"/>
  <c r="D91" i="16"/>
  <c r="A91" i="16"/>
  <c r="B91" i="16" s="1"/>
  <c r="E90" i="16"/>
  <c r="D90" i="16"/>
  <c r="A90" i="16"/>
  <c r="E89" i="16"/>
  <c r="D89" i="16"/>
  <c r="A89" i="16"/>
  <c r="E88" i="16"/>
  <c r="D88" i="16"/>
  <c r="A88" i="16"/>
  <c r="E87" i="16"/>
  <c r="D87" i="16"/>
  <c r="A87" i="16"/>
  <c r="B87" i="16" s="1"/>
  <c r="E86" i="16"/>
  <c r="D86" i="16"/>
  <c r="A86" i="16"/>
  <c r="E85" i="16"/>
  <c r="D85" i="16"/>
  <c r="A85" i="16"/>
  <c r="E84" i="16"/>
  <c r="D84" i="16"/>
  <c r="A84" i="16"/>
  <c r="E83" i="16"/>
  <c r="D83" i="16"/>
  <c r="A83" i="16"/>
  <c r="B83" i="16" s="1"/>
  <c r="E82" i="16"/>
  <c r="D82" i="16"/>
  <c r="A82" i="16"/>
  <c r="E81" i="16"/>
  <c r="D81" i="16"/>
  <c r="A81" i="16"/>
  <c r="E80" i="16"/>
  <c r="D80" i="16"/>
  <c r="A80" i="16"/>
  <c r="E79" i="16"/>
  <c r="D79" i="16"/>
  <c r="A79" i="16"/>
  <c r="B79" i="16" s="1"/>
  <c r="E78" i="16"/>
  <c r="D78" i="16"/>
  <c r="A78" i="16"/>
  <c r="B78" i="16" s="1"/>
  <c r="E77" i="16"/>
  <c r="D77" i="16"/>
  <c r="A77" i="16"/>
  <c r="E76" i="16"/>
  <c r="D76" i="16"/>
  <c r="A76" i="16"/>
  <c r="E75" i="16"/>
  <c r="D75" i="16"/>
  <c r="A75" i="16"/>
  <c r="B75" i="16" s="1"/>
  <c r="E74" i="16"/>
  <c r="D74" i="16"/>
  <c r="A74" i="16"/>
  <c r="E73" i="16"/>
  <c r="D73" i="16"/>
  <c r="A73" i="16"/>
  <c r="E72" i="16"/>
  <c r="D72" i="16"/>
  <c r="A72" i="16"/>
  <c r="E71" i="16"/>
  <c r="D71" i="16"/>
  <c r="A71" i="16"/>
  <c r="B71" i="16" s="1"/>
  <c r="E70" i="16"/>
  <c r="D70" i="16"/>
  <c r="A70" i="16"/>
  <c r="E69" i="16"/>
  <c r="D69" i="16"/>
  <c r="A69" i="16"/>
  <c r="E68" i="16"/>
  <c r="D68" i="16"/>
  <c r="A68" i="16"/>
  <c r="E67" i="16"/>
  <c r="D67" i="16"/>
  <c r="A67" i="16"/>
  <c r="B67" i="16" s="1"/>
  <c r="E66" i="16"/>
  <c r="D66" i="16"/>
  <c r="A66" i="16"/>
  <c r="E65" i="16"/>
  <c r="D65" i="16"/>
  <c r="A65" i="16"/>
  <c r="E64" i="16"/>
  <c r="D64" i="16"/>
  <c r="A64" i="16"/>
  <c r="E63" i="16"/>
  <c r="D63" i="16"/>
  <c r="A63" i="16"/>
  <c r="B63" i="16" s="1"/>
  <c r="E62" i="16"/>
  <c r="D62" i="16"/>
  <c r="A62" i="16"/>
  <c r="E61" i="16"/>
  <c r="D61" i="16"/>
  <c r="A61" i="16"/>
  <c r="E60" i="16"/>
  <c r="D60" i="16"/>
  <c r="A60" i="16"/>
  <c r="E59" i="16"/>
  <c r="D59" i="16"/>
  <c r="A59" i="16"/>
  <c r="B59" i="16" s="1"/>
  <c r="E58" i="16"/>
  <c r="D58" i="16"/>
  <c r="A58" i="16"/>
  <c r="E57" i="16"/>
  <c r="D57" i="16"/>
  <c r="A57" i="16"/>
  <c r="E56" i="16"/>
  <c r="D56" i="16"/>
  <c r="A56" i="16"/>
  <c r="E55" i="16"/>
  <c r="D55" i="16"/>
  <c r="A55" i="16"/>
  <c r="B55" i="16" s="1"/>
  <c r="E54" i="16"/>
  <c r="D54" i="16"/>
  <c r="A54" i="16"/>
  <c r="E53" i="16"/>
  <c r="D53" i="16"/>
  <c r="A53" i="16"/>
  <c r="E52" i="16"/>
  <c r="D52" i="16"/>
  <c r="A52" i="16"/>
  <c r="E51" i="16"/>
  <c r="D51" i="16"/>
  <c r="A51" i="16"/>
  <c r="B51" i="16" s="1"/>
  <c r="E50" i="16"/>
  <c r="D50" i="16"/>
  <c r="A50" i="16"/>
  <c r="E49" i="16"/>
  <c r="D49" i="16"/>
  <c r="A49" i="16"/>
  <c r="E48" i="16"/>
  <c r="D48" i="16"/>
  <c r="A48" i="16"/>
  <c r="E47" i="16"/>
  <c r="D47" i="16"/>
  <c r="A47" i="16"/>
  <c r="B47" i="16" s="1"/>
  <c r="E46" i="16"/>
  <c r="D46" i="16"/>
  <c r="A46" i="16"/>
  <c r="E45" i="16"/>
  <c r="D45" i="16"/>
  <c r="A45" i="16"/>
  <c r="E44" i="16"/>
  <c r="D44" i="16"/>
  <c r="A44" i="16"/>
  <c r="E43" i="16"/>
  <c r="D43" i="16"/>
  <c r="A43" i="16"/>
  <c r="B43" i="16" s="1"/>
  <c r="E42" i="16"/>
  <c r="D42" i="16"/>
  <c r="A42" i="16"/>
  <c r="E41" i="16"/>
  <c r="D41" i="16"/>
  <c r="A41" i="16"/>
  <c r="E40" i="16"/>
  <c r="D40" i="16"/>
  <c r="A40" i="16"/>
  <c r="E39" i="16"/>
  <c r="D39" i="16"/>
  <c r="A39" i="16"/>
  <c r="B39" i="16" s="1"/>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E31" i="16"/>
  <c r="D31" i="16"/>
  <c r="A31" i="16"/>
  <c r="E30" i="16"/>
  <c r="D30" i="16"/>
  <c r="A30" i="16"/>
  <c r="B30" i="16" s="1"/>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B12" i="16" s="1"/>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29" i="16" l="1"/>
  <c r="B33" i="16"/>
  <c r="B38" i="16"/>
  <c r="B46" i="16"/>
  <c r="B58" i="16"/>
  <c r="B42" i="16"/>
  <c r="B50" i="16"/>
  <c r="B54" i="16"/>
  <c r="B62" i="16"/>
  <c r="B66" i="16"/>
  <c r="B70" i="16"/>
  <c r="B74" i="16"/>
  <c r="B86" i="16"/>
  <c r="B94" i="16"/>
  <c r="B106" i="16"/>
  <c r="B114" i="16"/>
  <c r="B122" i="16"/>
  <c r="B138" i="16"/>
  <c r="B146" i="16"/>
  <c r="B158" i="16"/>
  <c r="B162" i="16"/>
  <c r="B170" i="16"/>
  <c r="B178" i="16"/>
  <c r="B186" i="16"/>
  <c r="B190" i="16"/>
  <c r="B206" i="16"/>
  <c r="B28" i="16"/>
  <c r="B32" i="16"/>
  <c r="B41" i="16"/>
  <c r="B45" i="16"/>
  <c r="B53"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82" i="16"/>
  <c r="B90" i="16"/>
  <c r="B98" i="16"/>
  <c r="B102" i="16"/>
  <c r="B110" i="16"/>
  <c r="B118" i="16"/>
  <c r="B126" i="16"/>
  <c r="B130" i="16"/>
  <c r="B134" i="16"/>
  <c r="B142" i="16"/>
  <c r="B150" i="16"/>
  <c r="B154" i="16"/>
  <c r="B166" i="16"/>
  <c r="B174" i="16"/>
  <c r="B182" i="16"/>
  <c r="B194" i="16"/>
  <c r="B198" i="16"/>
  <c r="B202" i="16"/>
  <c r="B210" i="16"/>
  <c r="B214" i="16"/>
  <c r="B37" i="16"/>
  <c r="B49" i="16"/>
  <c r="B57"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F14" i="16" s="1"/>
  <c r="AX16" i="16"/>
  <c r="F16" i="16" s="1"/>
  <c r="AX18" i="16"/>
  <c r="H18" i="16" s="1"/>
  <c r="AX20" i="16"/>
  <c r="H20" i="16" s="1"/>
  <c r="AX22" i="16"/>
  <c r="H22" i="16" s="1"/>
  <c r="AX24" i="16"/>
  <c r="H24" i="16" s="1"/>
  <c r="AX26" i="16"/>
  <c r="AX28" i="16"/>
  <c r="H28" i="16" s="1"/>
  <c r="AX30" i="16"/>
  <c r="F30" i="16" s="1"/>
  <c r="AX32" i="16"/>
  <c r="AX34" i="16"/>
  <c r="H34" i="16" s="1"/>
  <c r="AX36" i="16"/>
  <c r="AX38" i="16"/>
  <c r="H38" i="16" s="1"/>
  <c r="AX40" i="16"/>
  <c r="H40" i="16" s="1"/>
  <c r="AX42" i="16"/>
  <c r="H42" i="16" s="1"/>
  <c r="AX44" i="16"/>
  <c r="AX46" i="16"/>
  <c r="H46" i="16" s="1"/>
  <c r="AX48" i="16"/>
  <c r="AX50" i="16"/>
  <c r="H50" i="16" s="1"/>
  <c r="AX52" i="16"/>
  <c r="H52" i="16" s="1"/>
  <c r="AX54" i="16"/>
  <c r="F54" i="16" s="1"/>
  <c r="AX56" i="16"/>
  <c r="H56" i="16" s="1"/>
  <c r="AX58" i="16"/>
  <c r="H58" i="16" s="1"/>
  <c r="AX60" i="16"/>
  <c r="AX62" i="16"/>
  <c r="H62" i="16" s="1"/>
  <c r="AX64" i="16"/>
  <c r="H64" i="16" s="1"/>
  <c r="AX66" i="16"/>
  <c r="AX68" i="16"/>
  <c r="AX70" i="16"/>
  <c r="H70" i="16" s="1"/>
  <c r="AX72" i="16"/>
  <c r="F72" i="16" s="1"/>
  <c r="AX74" i="16"/>
  <c r="AX76" i="16"/>
  <c r="AX78" i="16"/>
  <c r="AX80" i="16"/>
  <c r="AX82" i="16"/>
  <c r="H82" i="16" s="1"/>
  <c r="AX84" i="16"/>
  <c r="H84" i="16" s="1"/>
  <c r="AX86" i="16"/>
  <c r="F86" i="16" s="1"/>
  <c r="AX88" i="16"/>
  <c r="H88" i="16" s="1"/>
  <c r="AX90" i="16"/>
  <c r="AX92" i="16"/>
  <c r="AX94" i="16"/>
  <c r="H94" i="16" s="1"/>
  <c r="AX96" i="16"/>
  <c r="F96" i="16" s="1"/>
  <c r="AX98" i="16"/>
  <c r="H98" i="16" s="1"/>
  <c r="AX100" i="16"/>
  <c r="AX102" i="16"/>
  <c r="H102" i="16" s="1"/>
  <c r="AX104" i="16"/>
  <c r="H104" i="16" s="1"/>
  <c r="AX106" i="16"/>
  <c r="AX108" i="16"/>
  <c r="H108" i="16" s="1"/>
  <c r="AX110" i="16"/>
  <c r="H110" i="16" s="1"/>
  <c r="AX112" i="16"/>
  <c r="H112" i="16" s="1"/>
  <c r="AX114" i="16"/>
  <c r="F114" i="16" s="1"/>
  <c r="AX116" i="16"/>
  <c r="AX118" i="16"/>
  <c r="H118" i="16" s="1"/>
  <c r="AX120" i="16"/>
  <c r="AX122" i="16"/>
  <c r="H122" i="16" s="1"/>
  <c r="AX124" i="16"/>
  <c r="H124" i="16" s="1"/>
  <c r="AX126" i="16"/>
  <c r="F126" i="16" s="1"/>
  <c r="AX128" i="16"/>
  <c r="F128" i="16" s="1"/>
  <c r="AX130" i="16"/>
  <c r="H130" i="16" s="1"/>
  <c r="AX132" i="16"/>
  <c r="AX134" i="16"/>
  <c r="AX136" i="16"/>
  <c r="F136" i="16" s="1"/>
  <c r="AX138" i="16"/>
  <c r="F138" i="16" s="1"/>
  <c r="AX140" i="16"/>
  <c r="AX142" i="16"/>
  <c r="F142" i="16" s="1"/>
  <c r="AX144" i="16"/>
  <c r="AX146" i="16"/>
  <c r="F146" i="16" s="1"/>
  <c r="AX148" i="16"/>
  <c r="AX150" i="16"/>
  <c r="AX152" i="16"/>
  <c r="AX154" i="16"/>
  <c r="F154" i="16" s="1"/>
  <c r="AX156" i="16"/>
  <c r="AX158" i="16"/>
  <c r="AX160" i="16"/>
  <c r="F160" i="16" s="1"/>
  <c r="AX162" i="16"/>
  <c r="F162" i="16" s="1"/>
  <c r="AX164" i="16"/>
  <c r="AX166" i="16"/>
  <c r="AX168" i="16"/>
  <c r="AX170" i="16"/>
  <c r="F170" i="16" s="1"/>
  <c r="AX172" i="16"/>
  <c r="AX174" i="16"/>
  <c r="AX176" i="16"/>
  <c r="F176" i="16" s="1"/>
  <c r="AX178" i="16"/>
  <c r="H178" i="16" s="1"/>
  <c r="AX180" i="16"/>
  <c r="AX13" i="16"/>
  <c r="H13" i="16" s="1"/>
  <c r="AX15" i="16"/>
  <c r="H15" i="16" s="1"/>
  <c r="AX17" i="16"/>
  <c r="H17" i="16" s="1"/>
  <c r="AX19" i="16"/>
  <c r="H19" i="16" s="1"/>
  <c r="AX21" i="16"/>
  <c r="H21" i="16" s="1"/>
  <c r="AX23" i="16"/>
  <c r="F23" i="16" s="1"/>
  <c r="AX25" i="16"/>
  <c r="H25" i="16" s="1"/>
  <c r="AX27" i="16"/>
  <c r="AX29" i="16"/>
  <c r="H29" i="16" s="1"/>
  <c r="AX31" i="16"/>
  <c r="AX33" i="16"/>
  <c r="H33" i="16" s="1"/>
  <c r="AX35" i="16"/>
  <c r="AX37" i="16"/>
  <c r="AX39" i="16"/>
  <c r="H39" i="16" s="1"/>
  <c r="AX41" i="16"/>
  <c r="H41" i="16" s="1"/>
  <c r="AX43" i="16"/>
  <c r="AX45" i="16"/>
  <c r="H45" i="16" s="1"/>
  <c r="AX47" i="16"/>
  <c r="H47" i="16" s="1"/>
  <c r="AX49" i="16"/>
  <c r="F49" i="16" s="1"/>
  <c r="AX51" i="16"/>
  <c r="AX53" i="16"/>
  <c r="H53" i="16" s="1"/>
  <c r="AX55" i="16"/>
  <c r="H55" i="16" s="1"/>
  <c r="AX57" i="16"/>
  <c r="F57" i="16" s="1"/>
  <c r="AX59" i="16"/>
  <c r="AX61" i="16"/>
  <c r="AX63" i="16"/>
  <c r="H63" i="16" s="1"/>
  <c r="AX65" i="16"/>
  <c r="H65" i="16" s="1"/>
  <c r="AX67" i="16"/>
  <c r="AX69" i="16"/>
  <c r="AX71" i="16"/>
  <c r="F71" i="16" s="1"/>
  <c r="AX73" i="16"/>
  <c r="H73" i="16" s="1"/>
  <c r="AX75" i="16"/>
  <c r="AX77" i="16"/>
  <c r="H77" i="16" s="1"/>
  <c r="AX79" i="16"/>
  <c r="F79" i="16" s="1"/>
  <c r="AX81" i="16"/>
  <c r="H81" i="16" s="1"/>
  <c r="AX83" i="16"/>
  <c r="AX85" i="16"/>
  <c r="H85" i="16" s="1"/>
  <c r="AX87" i="16"/>
  <c r="AX89" i="16"/>
  <c r="F89" i="16" s="1"/>
  <c r="AX91" i="16"/>
  <c r="H91" i="16" s="1"/>
  <c r="AX93" i="16"/>
  <c r="H93" i="16" s="1"/>
  <c r="AX95" i="16"/>
  <c r="H95" i="16" s="1"/>
  <c r="AX97" i="16"/>
  <c r="H97" i="16" s="1"/>
  <c r="AX99" i="16"/>
  <c r="AX101" i="16"/>
  <c r="H101" i="16" s="1"/>
  <c r="AX103" i="16"/>
  <c r="F103" i="16" s="1"/>
  <c r="AX105" i="16"/>
  <c r="F105" i="16" s="1"/>
  <c r="AX107" i="16"/>
  <c r="AX109" i="16"/>
  <c r="H109" i="16" s="1"/>
  <c r="AX111" i="16"/>
  <c r="F111" i="16" s="1"/>
  <c r="AX113" i="16"/>
  <c r="H113" i="16" s="1"/>
  <c r="AX115" i="16"/>
  <c r="AX117" i="16"/>
  <c r="H117" i="16" s="1"/>
  <c r="AX119" i="16"/>
  <c r="F119" i="16" s="1"/>
  <c r="AX121" i="16"/>
  <c r="H121" i="16" s="1"/>
  <c r="AX123" i="16"/>
  <c r="AX125" i="16"/>
  <c r="H125" i="16" s="1"/>
  <c r="AX127" i="16"/>
  <c r="H127" i="16" s="1"/>
  <c r="I127" i="16" s="1"/>
  <c r="AX129" i="16"/>
  <c r="F129" i="16" s="1"/>
  <c r="AX131" i="16"/>
  <c r="AX133" i="16"/>
  <c r="F133" i="16" s="1"/>
  <c r="AX135" i="16"/>
  <c r="H135" i="16" s="1"/>
  <c r="AX137" i="16"/>
  <c r="F137" i="16" s="1"/>
  <c r="AX139" i="16"/>
  <c r="AX141" i="16"/>
  <c r="F141" i="16" s="1"/>
  <c r="AX143" i="16"/>
  <c r="F143" i="16" s="1"/>
  <c r="AX145" i="16"/>
  <c r="H145" i="16" s="1"/>
  <c r="AX147" i="16"/>
  <c r="AX149" i="16"/>
  <c r="F149" i="16" s="1"/>
  <c r="AX151" i="16"/>
  <c r="H151" i="16" s="1"/>
  <c r="AX153" i="16"/>
  <c r="H153" i="16" s="1"/>
  <c r="AX155" i="16"/>
  <c r="AX157" i="16"/>
  <c r="H157" i="16" s="1"/>
  <c r="AX159" i="16"/>
  <c r="AX161" i="16"/>
  <c r="F161" i="16" s="1"/>
  <c r="AX163" i="16"/>
  <c r="AX165" i="16"/>
  <c r="H165" i="16" s="1"/>
  <c r="AX167" i="16"/>
  <c r="AX169" i="16"/>
  <c r="F169" i="16" s="1"/>
  <c r="AX171" i="16"/>
  <c r="AX173" i="16"/>
  <c r="F173" i="16" s="1"/>
  <c r="AX175" i="16"/>
  <c r="F175" i="16" s="1"/>
  <c r="AX177" i="16"/>
  <c r="F177" i="16" s="1"/>
  <c r="AX179" i="16"/>
  <c r="AX181" i="16"/>
  <c r="AX182" i="16"/>
  <c r="AX184" i="16"/>
  <c r="H184" i="16" s="1"/>
  <c r="AX186" i="16"/>
  <c r="AX188" i="16"/>
  <c r="AX190" i="16"/>
  <c r="F190" i="16" s="1"/>
  <c r="AX192" i="16"/>
  <c r="F192" i="16" s="1"/>
  <c r="AX194" i="16"/>
  <c r="AX196" i="16"/>
  <c r="H196" i="16" s="1"/>
  <c r="AX198" i="16"/>
  <c r="AX200" i="16"/>
  <c r="F200" i="16" s="1"/>
  <c r="AX202" i="16"/>
  <c r="AX204" i="16"/>
  <c r="H204" i="16" s="1"/>
  <c r="AX206" i="16"/>
  <c r="AX208" i="16"/>
  <c r="H208" i="16" s="1"/>
  <c r="AX210" i="16"/>
  <c r="AX212" i="16"/>
  <c r="AX214" i="16"/>
  <c r="H214" i="16" s="1"/>
  <c r="AX216" i="16"/>
  <c r="H216" i="16" s="1"/>
  <c r="AX218" i="16"/>
  <c r="AX220" i="16"/>
  <c r="F220" i="16" s="1"/>
  <c r="AX222" i="16"/>
  <c r="H222" i="16" s="1"/>
  <c r="AX224" i="16"/>
  <c r="F224" i="16" s="1"/>
  <c r="AX226" i="16"/>
  <c r="AX228" i="16"/>
  <c r="AX230" i="16"/>
  <c r="AX232" i="16"/>
  <c r="H232" i="16" s="1"/>
  <c r="AX234" i="16"/>
  <c r="AX236" i="16"/>
  <c r="F236" i="16" s="1"/>
  <c r="AX238" i="16"/>
  <c r="F238" i="16" s="1"/>
  <c r="AX240" i="16"/>
  <c r="F240" i="16" s="1"/>
  <c r="AX242" i="16"/>
  <c r="AX244" i="16"/>
  <c r="AX246" i="16"/>
  <c r="F246" i="16" s="1"/>
  <c r="AX248" i="16"/>
  <c r="H248" i="16" s="1"/>
  <c r="AX250" i="16"/>
  <c r="AX252" i="16"/>
  <c r="F252" i="16" s="1"/>
  <c r="AX254" i="16"/>
  <c r="H254" i="16" s="1"/>
  <c r="AX256" i="16"/>
  <c r="F256" i="16" s="1"/>
  <c r="AX258" i="16"/>
  <c r="AX260" i="16"/>
  <c r="AX262" i="16"/>
  <c r="AX264" i="16"/>
  <c r="F264" i="16" s="1"/>
  <c r="AX266" i="16"/>
  <c r="AX268" i="16"/>
  <c r="AX270" i="16"/>
  <c r="H270" i="16" s="1"/>
  <c r="AX272" i="16"/>
  <c r="H272" i="16" s="1"/>
  <c r="AX274" i="16"/>
  <c r="AX276" i="16"/>
  <c r="H276" i="16" s="1"/>
  <c r="AX278" i="16"/>
  <c r="H278" i="16" s="1"/>
  <c r="AX280" i="16"/>
  <c r="AX282" i="16"/>
  <c r="AX284" i="16"/>
  <c r="H284" i="16" s="1"/>
  <c r="AX286" i="16"/>
  <c r="F286" i="16" s="1"/>
  <c r="AX288" i="16"/>
  <c r="F288" i="16" s="1"/>
  <c r="AX290" i="16"/>
  <c r="AX292" i="16"/>
  <c r="AX294" i="16"/>
  <c r="H294" i="16" s="1"/>
  <c r="AX296" i="16"/>
  <c r="F296" i="16" s="1"/>
  <c r="AX298" i="16"/>
  <c r="AX300" i="16"/>
  <c r="H300" i="16" s="1"/>
  <c r="AX302" i="16"/>
  <c r="H302" i="16" s="1"/>
  <c r="AX304" i="16"/>
  <c r="F304" i="16" s="1"/>
  <c r="AX306" i="16"/>
  <c r="AX308" i="16"/>
  <c r="H308" i="16" s="1"/>
  <c r="AX310" i="16"/>
  <c r="H310" i="16" s="1"/>
  <c r="AX312" i="16"/>
  <c r="H312" i="16" s="1"/>
  <c r="AX314" i="16"/>
  <c r="AX316" i="16"/>
  <c r="AX318" i="16"/>
  <c r="AX320" i="16"/>
  <c r="AX322" i="16"/>
  <c r="AX324" i="16"/>
  <c r="F324" i="16" s="1"/>
  <c r="AX326" i="16"/>
  <c r="F326" i="16" s="1"/>
  <c r="AX328" i="16"/>
  <c r="F328" i="16" s="1"/>
  <c r="AX330" i="16"/>
  <c r="F330" i="16" s="1"/>
  <c r="AX332" i="16"/>
  <c r="H332" i="16" s="1"/>
  <c r="AX334" i="16"/>
  <c r="H334" i="16" s="1"/>
  <c r="AX336" i="16"/>
  <c r="F336" i="16" s="1"/>
  <c r="AX338" i="16"/>
  <c r="AX340" i="16"/>
  <c r="AX342" i="16"/>
  <c r="H342" i="16" s="1"/>
  <c r="AX344" i="16"/>
  <c r="H344" i="16" s="1"/>
  <c r="AX346" i="16"/>
  <c r="AX348" i="16"/>
  <c r="F348" i="16" s="1"/>
  <c r="AX350" i="16"/>
  <c r="H350" i="16" s="1"/>
  <c r="AX352" i="16"/>
  <c r="F352" i="16" s="1"/>
  <c r="AX183" i="16"/>
  <c r="F183" i="16" s="1"/>
  <c r="AX185" i="16"/>
  <c r="H185" i="16" s="1"/>
  <c r="AX187" i="16"/>
  <c r="H187" i="16" s="1"/>
  <c r="AX189" i="16"/>
  <c r="F189" i="16" s="1"/>
  <c r="AX191" i="16"/>
  <c r="H191" i="16" s="1"/>
  <c r="AX193" i="16"/>
  <c r="F193" i="16" s="1"/>
  <c r="AX195" i="16"/>
  <c r="AX197" i="16"/>
  <c r="H197" i="16" s="1"/>
  <c r="AX199" i="16"/>
  <c r="AX201" i="16"/>
  <c r="F201" i="16" s="1"/>
  <c r="AX203" i="16"/>
  <c r="H203" i="16" s="1"/>
  <c r="AX205" i="16"/>
  <c r="H205" i="16" s="1"/>
  <c r="AX207" i="16"/>
  <c r="H207" i="16" s="1"/>
  <c r="AX209" i="16"/>
  <c r="AX211" i="16"/>
  <c r="AX213" i="16"/>
  <c r="H213" i="16" s="1"/>
  <c r="AX215" i="16"/>
  <c r="F215" i="16" s="1"/>
  <c r="AX217" i="16"/>
  <c r="AX219" i="16"/>
  <c r="F219" i="16" s="1"/>
  <c r="AX221" i="16"/>
  <c r="H221" i="16" s="1"/>
  <c r="AX223" i="16"/>
  <c r="F223" i="16" s="1"/>
  <c r="AX225" i="16"/>
  <c r="F225" i="16" s="1"/>
  <c r="AX227" i="16"/>
  <c r="AX229" i="16"/>
  <c r="AX231" i="16"/>
  <c r="H231" i="16" s="1"/>
  <c r="AX233" i="16"/>
  <c r="AX235" i="16"/>
  <c r="AX237" i="16"/>
  <c r="H237" i="16" s="1"/>
  <c r="AX239" i="16"/>
  <c r="F239" i="16" s="1"/>
  <c r="AX241" i="16"/>
  <c r="AX243" i="16"/>
  <c r="H243" i="16" s="1"/>
  <c r="AX245" i="16"/>
  <c r="F245" i="16" s="1"/>
  <c r="AX247" i="16"/>
  <c r="F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F269" i="16" s="1"/>
  <c r="AX271" i="16"/>
  <c r="H271" i="16" s="1"/>
  <c r="AX273" i="16"/>
  <c r="F273" i="16" s="1"/>
  <c r="AX275" i="16"/>
  <c r="H275" i="16" s="1"/>
  <c r="AX277" i="16"/>
  <c r="H277" i="16" s="1"/>
  <c r="AX279" i="16"/>
  <c r="F279" i="16" s="1"/>
  <c r="AX281" i="16"/>
  <c r="AX283" i="16"/>
  <c r="H283" i="16" s="1"/>
  <c r="AX285" i="16"/>
  <c r="F285" i="16" s="1"/>
  <c r="AX287" i="16"/>
  <c r="H287" i="16" s="1"/>
  <c r="AX289" i="16"/>
  <c r="F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35" i="16"/>
  <c r="H12" i="16"/>
  <c r="H30" i="16"/>
  <c r="H48" i="16"/>
  <c r="H59" i="16"/>
  <c r="H69" i="16"/>
  <c r="H72" i="16"/>
  <c r="H76" i="16"/>
  <c r="H83" i="16"/>
  <c r="H96" i="16"/>
  <c r="H100" i="16"/>
  <c r="H107" i="16"/>
  <c r="H116" i="16"/>
  <c r="H119" i="16"/>
  <c r="H123" i="16"/>
  <c r="H132" i="16"/>
  <c r="H141" i="16"/>
  <c r="H156" i="16"/>
  <c r="H158" i="16"/>
  <c r="H172" i="16"/>
  <c r="H179" i="16"/>
  <c r="H183" i="16"/>
  <c r="H188" i="16"/>
  <c r="H210" i="16"/>
  <c r="H226" i="16"/>
  <c r="H236" i="16"/>
  <c r="H238" i="16"/>
  <c r="H240" i="16"/>
  <c r="H242" i="16"/>
  <c r="H244" i="16"/>
  <c r="H246" i="16"/>
  <c r="H249" i="16"/>
  <c r="H258" i="16"/>
  <c r="H260" i="16"/>
  <c r="H266" i="16"/>
  <c r="H274" i="16"/>
  <c r="H289" i="16"/>
  <c r="H305" i="16"/>
  <c r="H330" i="16"/>
  <c r="H340" i="16"/>
  <c r="H51" i="16"/>
  <c r="H54" i="16"/>
  <c r="H60" i="16"/>
  <c r="H68" i="16"/>
  <c r="H71" i="16"/>
  <c r="H75" i="16"/>
  <c r="H86" i="16"/>
  <c r="H92" i="16"/>
  <c r="H99" i="16"/>
  <c r="H115" i="16"/>
  <c r="H120" i="16"/>
  <c r="H126" i="16"/>
  <c r="H140" i="16"/>
  <c r="H150" i="16"/>
  <c r="H164" i="16"/>
  <c r="H193" i="16"/>
  <c r="H198" i="16"/>
  <c r="H247" i="16"/>
  <c r="H255" i="16"/>
  <c r="H257" i="16"/>
  <c r="H273" i="16"/>
  <c r="H290" i="16"/>
  <c r="H306" i="16"/>
  <c r="H322" i="16"/>
  <c r="H335"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88" i="16"/>
  <c r="F132" i="16"/>
  <c r="F140" i="16"/>
  <c r="F156" i="16"/>
  <c r="F274" i="16"/>
  <c r="F306" i="16"/>
  <c r="F83" i="16"/>
  <c r="F99" i="16"/>
  <c r="F125" i="16"/>
  <c r="F151" i="16"/>
  <c r="F179" i="16"/>
  <c r="F203" i="16"/>
  <c r="F340" i="16"/>
  <c r="F76" i="16"/>
  <c r="F120" i="16"/>
  <c r="F172" i="16"/>
  <c r="F188" i="16"/>
  <c r="F210" i="16"/>
  <c r="F244" i="16"/>
  <c r="F258" i="16"/>
  <c r="F266" i="16"/>
  <c r="F308" i="16"/>
  <c r="F69" i="16"/>
  <c r="F75" i="16"/>
  <c r="F101" i="16"/>
  <c r="F123" i="16"/>
  <c r="F157" i="16"/>
  <c r="F187" i="16"/>
  <c r="F271" i="16"/>
  <c r="F332" i="16"/>
  <c r="F283" i="16"/>
  <c r="D50" i="8"/>
  <c r="G3" i="16"/>
  <c r="J9" i="8" s="1"/>
  <c r="I3" i="16"/>
  <c r="P8" i="16"/>
  <c r="AF11" i="16"/>
  <c r="F3" i="16"/>
  <c r="H3" i="16"/>
  <c r="J11" i="8" s="1"/>
  <c r="F346" i="16"/>
  <c r="F322" i="16"/>
  <c r="F320" i="16"/>
  <c r="F298" i="16"/>
  <c r="F290" i="16"/>
  <c r="F282" i="16"/>
  <c r="F260" i="16"/>
  <c r="F242" i="16"/>
  <c r="F234" i="16"/>
  <c r="F226" i="16"/>
  <c r="F212" i="16"/>
  <c r="F202" i="16"/>
  <c r="F241" i="16"/>
  <c r="F217" i="16"/>
  <c r="F207" i="16"/>
  <c r="F198" i="16"/>
  <c r="F186" i="16"/>
  <c r="F180" i="16"/>
  <c r="F168" i="16"/>
  <c r="F164" i="16"/>
  <c r="F158" i="16"/>
  <c r="F152" i="16"/>
  <c r="F150" i="16"/>
  <c r="F124" i="16"/>
  <c r="F199" i="16"/>
  <c r="F181" i="16"/>
  <c r="F171" i="16"/>
  <c r="F167" i="16"/>
  <c r="F165" i="16"/>
  <c r="F163" i="16"/>
  <c r="F155" i="16"/>
  <c r="F147" i="16"/>
  <c r="F139" i="16"/>
  <c r="F135" i="16"/>
  <c r="F131" i="16"/>
  <c r="F127" i="16"/>
  <c r="F12" i="16"/>
  <c r="F19" i="16"/>
  <c r="F20" i="16"/>
  <c r="F21" i="16"/>
  <c r="F24" i="16"/>
  <c r="F28" i="16"/>
  <c r="F35" i="16"/>
  <c r="F38" i="16"/>
  <c r="F39" i="16"/>
  <c r="F46" i="16"/>
  <c r="F48" i="16"/>
  <c r="F50" i="16"/>
  <c r="F51" i="16"/>
  <c r="F52" i="16"/>
  <c r="F55" i="16"/>
  <c r="F59" i="16"/>
  <c r="F60" i="16"/>
  <c r="F68" i="16"/>
  <c r="F70" i="16"/>
  <c r="F84" i="16"/>
  <c r="F85" i="16"/>
  <c r="F91" i="16"/>
  <c r="F92" i="16"/>
  <c r="F93" i="16"/>
  <c r="F95" i="16"/>
  <c r="F100" i="16"/>
  <c r="F107" i="16"/>
  <c r="F108" i="16"/>
  <c r="F115" i="16"/>
  <c r="F116" i="16"/>
  <c r="F117" i="16"/>
  <c r="F102" i="16" l="1"/>
  <c r="F29" i="16"/>
  <c r="F276" i="16"/>
  <c r="F300" i="16"/>
  <c r="F109" i="16"/>
  <c r="F45" i="16"/>
  <c r="F204" i="16"/>
  <c r="F208" i="16"/>
  <c r="F110" i="16"/>
  <c r="H324" i="16"/>
  <c r="H265" i="16"/>
  <c r="H200" i="16"/>
  <c r="H189" i="16"/>
  <c r="H297" i="16"/>
  <c r="F53" i="16"/>
  <c r="F22" i="16"/>
  <c r="F185" i="16"/>
  <c r="F196" i="16"/>
  <c r="F284" i="16"/>
  <c r="F62" i="16"/>
  <c r="H361" i="16"/>
  <c r="H313" i="16"/>
  <c r="F178" i="16"/>
  <c r="F65" i="16"/>
  <c r="H138" i="16"/>
  <c r="F145" i="16"/>
  <c r="F222" i="16"/>
  <c r="H103" i="16"/>
  <c r="F130" i="16"/>
  <c r="F216" i="16"/>
  <c r="F64" i="16"/>
  <c r="F47" i="16"/>
  <c r="F254" i="16"/>
  <c r="H192" i="16"/>
  <c r="F98" i="16"/>
  <c r="F81" i="16"/>
  <c r="F40" i="16"/>
  <c r="F221" i="16"/>
  <c r="F294" i="16"/>
  <c r="F310" i="16"/>
  <c r="H353" i="16"/>
  <c r="H154" i="16"/>
  <c r="H57" i="16"/>
  <c r="F73" i="16"/>
  <c r="F18" i="16"/>
  <c r="F184" i="16"/>
  <c r="F248" i="16"/>
  <c r="F344" i="16"/>
  <c r="F341" i="16"/>
  <c r="F213" i="16"/>
  <c r="F17" i="16"/>
  <c r="F214" i="16"/>
  <c r="F270" i="16"/>
  <c r="F350" i="16"/>
  <c r="F312" i="16"/>
  <c r="F205" i="16"/>
  <c r="F63" i="16"/>
  <c r="F272" i="16"/>
  <c r="F104" i="16"/>
  <c r="F334" i="16"/>
  <c r="F33" i="16"/>
  <c r="F278" i="16"/>
  <c r="F232" i="16"/>
  <c r="F42" i="16"/>
  <c r="H146" i="16"/>
  <c r="H128" i="16"/>
  <c r="H111" i="16"/>
  <c r="H79" i="16"/>
  <c r="H285" i="16"/>
  <c r="H176" i="16"/>
  <c r="H143" i="16"/>
  <c r="H114" i="16"/>
  <c r="H105" i="16"/>
  <c r="H16" i="16"/>
  <c r="H11" i="16"/>
  <c r="H269" i="16"/>
  <c r="H129" i="16"/>
  <c r="H336" i="16"/>
  <c r="H317" i="16"/>
  <c r="H224" i="16"/>
  <c r="H89" i="16"/>
  <c r="F113" i="16"/>
  <c r="F34" i="16"/>
  <c r="F237" i="16"/>
  <c r="F112" i="16"/>
  <c r="F56" i="16"/>
  <c r="F41" i="16"/>
  <c r="F153" i="16"/>
  <c r="F277" i="16"/>
  <c r="F197" i="16"/>
  <c r="F302" i="16"/>
  <c r="F15" i="16"/>
  <c r="H49" i="16"/>
  <c r="F339" i="16"/>
  <c r="F333" i="16"/>
  <c r="F295"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Y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M94" i="16"/>
  <c r="N94" i="16" s="1"/>
  <c r="AI94" i="16"/>
  <c r="AJ94" i="16" s="1"/>
  <c r="AK94" i="16" s="1"/>
  <c r="T94" i="16"/>
  <c r="S94" i="16"/>
  <c r="AP94" i="16"/>
  <c r="AA94" i="16"/>
  <c r="L95" i="16"/>
  <c r="U94" i="16" l="1"/>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AR115" i="16" l="1"/>
  <c r="Y116" i="16"/>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R118" i="16" l="1"/>
  <c r="AJ119" i="16"/>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Y149" i="16" s="1"/>
  <c r="Z149" i="16" s="1"/>
  <c r="M149" i="16"/>
  <c r="N149" i="16" s="1"/>
  <c r="AI149" i="16"/>
  <c r="T149" i="16"/>
  <c r="U149" i="16" s="1"/>
  <c r="S149" i="16"/>
  <c r="AP149" i="16"/>
  <c r="AA149" i="16"/>
  <c r="L150" i="16"/>
  <c r="AJ149" i="16" l="1"/>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AJ152" i="16" s="1"/>
  <c r="AK152" i="16" s="1"/>
  <c r="T152" i="16"/>
  <c r="X152" i="16"/>
  <c r="Y152" i="16" s="1"/>
  <c r="M152" i="16"/>
  <c r="N152" i="16" s="1"/>
  <c r="L153" i="16"/>
  <c r="U152" i="16" l="1"/>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Y154" i="16" s="1"/>
  <c r="Z154" i="16" s="1"/>
  <c r="M154" i="16"/>
  <c r="N154" i="16" s="1"/>
  <c r="L155" i="16"/>
  <c r="AJ154" i="16" l="1"/>
  <c r="AB154" i="16"/>
  <c r="AQ154" i="16"/>
  <c r="U154" i="16"/>
  <c r="X155" i="16"/>
  <c r="M155" i="16"/>
  <c r="N155" i="16" s="1"/>
  <c r="AI155" i="16"/>
  <c r="T155" i="16"/>
  <c r="S155" i="16"/>
  <c r="AP155" i="16"/>
  <c r="AA155" i="16"/>
  <c r="L156" i="16"/>
  <c r="Y155" i="16" l="1"/>
  <c r="V154" i="16"/>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S165" i="16"/>
  <c r="AP165" i="16"/>
  <c r="AA165" i="16"/>
  <c r="L166" i="16"/>
  <c r="U165" i="16" l="1"/>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U167" i="16" s="1"/>
  <c r="S167" i="16"/>
  <c r="AP167" i="16"/>
  <c r="AA167" i="16"/>
  <c r="Y167" i="16" l="1"/>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AJ183" i="16" l="1"/>
  <c r="Y183" i="16"/>
  <c r="AQ183" i="16"/>
  <c r="U183" i="16"/>
  <c r="AB183" i="16"/>
  <c r="AP184" i="16"/>
  <c r="AA184" i="16"/>
  <c r="S184" i="16"/>
  <c r="AI184" i="16"/>
  <c r="T184" i="16"/>
  <c r="X184" i="16"/>
  <c r="M184" i="16"/>
  <c r="N184" i="16" s="1"/>
  <c r="L185" i="16"/>
  <c r="Y184" i="16" l="1"/>
  <c r="AJ184" i="16"/>
  <c r="AB184" i="16"/>
  <c r="AQ184" i="16"/>
  <c r="U184" i="16"/>
  <c r="X185" i="16"/>
  <c r="Y185" i="16" s="1"/>
  <c r="Z185" i="16" s="1"/>
  <c r="M185" i="16"/>
  <c r="N185" i="16" s="1"/>
  <c r="AI185" i="16"/>
  <c r="T185" i="16"/>
  <c r="S185" i="16"/>
  <c r="AP185" i="16"/>
  <c r="AA185" i="16"/>
  <c r="L186" i="16"/>
  <c r="AJ185" i="16" l="1"/>
  <c r="U185" i="16"/>
  <c r="AQ185" i="16"/>
  <c r="AB185" i="16"/>
  <c r="AP186" i="16"/>
  <c r="AA186" i="16"/>
  <c r="S186" i="16"/>
  <c r="AI186" i="16"/>
  <c r="T186" i="16"/>
  <c r="X186" i="16"/>
  <c r="M186" i="16"/>
  <c r="N186" i="16" s="1"/>
  <c r="L187" i="16"/>
  <c r="AR185" i="16" l="1"/>
  <c r="Y186" i="16"/>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Z196" i="16" s="1"/>
  <c r="M196" i="16"/>
  <c r="N196" i="16" s="1"/>
  <c r="L197" i="16"/>
  <c r="AJ196" i="16" l="1"/>
  <c r="AQ196" i="16"/>
  <c r="AB196" i="16"/>
  <c r="U196" i="16"/>
  <c r="X197" i="16"/>
  <c r="M197" i="16"/>
  <c r="N197" i="16" s="1"/>
  <c r="AI197" i="16"/>
  <c r="AJ197" i="16" s="1"/>
  <c r="AK197" i="16" s="1"/>
  <c r="T197" i="16"/>
  <c r="S197" i="16"/>
  <c r="AP197" i="16"/>
  <c r="AA197" i="16"/>
  <c r="L198" i="16"/>
  <c r="Y197" i="16" l="1"/>
  <c r="AQ197" i="16"/>
  <c r="U197" i="16"/>
  <c r="AB197" i="16"/>
  <c r="AP198" i="16"/>
  <c r="AA198" i="16"/>
  <c r="S198" i="16"/>
  <c r="AI198" i="16"/>
  <c r="T198" i="16"/>
  <c r="X198" i="16"/>
  <c r="Y198" i="16" s="1"/>
  <c r="Z198" i="16" s="1"/>
  <c r="M198" i="16"/>
  <c r="N198" i="16" s="1"/>
  <c r="L199" i="16"/>
  <c r="AJ198" i="16" l="1"/>
  <c r="U198" i="16"/>
  <c r="AB198" i="16"/>
  <c r="AQ198" i="16"/>
  <c r="X199" i="16"/>
  <c r="M199" i="16"/>
  <c r="N199" i="16" s="1"/>
  <c r="AI199" i="16"/>
  <c r="T199" i="16"/>
  <c r="U199" i="16" s="1"/>
  <c r="S199" i="16"/>
  <c r="AP199" i="16"/>
  <c r="AA199" i="16"/>
  <c r="L200" i="16"/>
  <c r="Y199" i="16" l="1"/>
  <c r="AB199" i="16"/>
  <c r="AJ199" i="16"/>
  <c r="AQ199" i="16"/>
  <c r="AP200" i="16"/>
  <c r="AA200" i="16"/>
  <c r="S200" i="16"/>
  <c r="AI200" i="16"/>
  <c r="T200" i="16"/>
  <c r="X200" i="16"/>
  <c r="M200" i="16"/>
  <c r="N200" i="16" s="1"/>
  <c r="L201" i="16"/>
  <c r="Y200" i="16" l="1"/>
  <c r="AJ200" i="16"/>
  <c r="AB200" i="16"/>
  <c r="U200" i="16"/>
  <c r="AQ200" i="16"/>
  <c r="X201" i="16"/>
  <c r="Y201" i="16" s="1"/>
  <c r="M201" i="16"/>
  <c r="N201" i="16" s="1"/>
  <c r="AI201" i="16"/>
  <c r="T201" i="16"/>
  <c r="S201" i="16"/>
  <c r="AP201" i="16"/>
  <c r="AA201" i="16"/>
  <c r="L202" i="16"/>
  <c r="U201" i="16" l="1"/>
  <c r="Z201" i="16"/>
  <c r="AQ201" i="16"/>
  <c r="AJ201" i="16"/>
  <c r="AB201" i="16"/>
  <c r="AP202" i="16"/>
  <c r="AQ202" i="16" s="1"/>
  <c r="AR202" i="16" s="1"/>
  <c r="AA202" i="16"/>
  <c r="S202" i="16"/>
  <c r="AI202" i="16"/>
  <c r="AJ202" i="16" s="1"/>
  <c r="T202" i="16"/>
  <c r="X202" i="16"/>
  <c r="M202" i="16"/>
  <c r="N202" i="16" s="1"/>
  <c r="L203" i="16"/>
  <c r="AR201" i="16" l="1"/>
  <c r="Y202" i="16"/>
  <c r="AB202" i="16"/>
  <c r="AK202" i="16"/>
  <c r="U202" i="16"/>
  <c r="X203" i="16"/>
  <c r="Y203" i="16" s="1"/>
  <c r="AP203" i="16"/>
  <c r="M203" i="16"/>
  <c r="N203" i="16" s="1"/>
  <c r="AA203" i="16"/>
  <c r="S203" i="16"/>
  <c r="T203" i="16"/>
  <c r="AI203" i="16"/>
  <c r="AJ203" i="16" s="1"/>
  <c r="AK203" i="16" s="1"/>
  <c r="L204" i="16"/>
  <c r="AB203" i="16" l="1"/>
  <c r="U203" i="16"/>
  <c r="AQ203" i="16"/>
  <c r="Z203" i="16"/>
  <c r="AP204" i="16"/>
  <c r="AA204" i="16"/>
  <c r="S204" i="16"/>
  <c r="AI204" i="16"/>
  <c r="AJ204" i="16" s="1"/>
  <c r="T204" i="16"/>
  <c r="X204" i="16"/>
  <c r="Y204" i="16" s="1"/>
  <c r="M204" i="16"/>
  <c r="N204" i="16" s="1"/>
  <c r="L205" i="16"/>
  <c r="AR203" i="16" l="1"/>
  <c r="U204" i="16"/>
  <c r="Z204" i="16"/>
  <c r="AK204" i="16"/>
  <c r="AB204" i="16"/>
  <c r="AQ204" i="16"/>
  <c r="X205" i="16"/>
  <c r="Y205" i="16" s="1"/>
  <c r="Z205" i="16" s="1"/>
  <c r="M205" i="16"/>
  <c r="N205" i="16" s="1"/>
  <c r="AI205" i="16"/>
  <c r="AJ205" i="16" s="1"/>
  <c r="AK205" i="16" s="1"/>
  <c r="T205" i="16"/>
  <c r="U205" i="16" s="1"/>
  <c r="S205" i="16"/>
  <c r="AP205" i="16"/>
  <c r="AQ205" i="16" s="1"/>
  <c r="AA205" i="16"/>
  <c r="AB205" i="16" s="1"/>
  <c r="L206" i="16"/>
  <c r="AP206" i="16" l="1"/>
  <c r="AA206" i="16"/>
  <c r="S206" i="16"/>
  <c r="AI206" i="16"/>
  <c r="T206" i="16"/>
  <c r="U206" i="16" s="1"/>
  <c r="V206" i="16" s="1"/>
  <c r="X206" i="16"/>
  <c r="Y206" i="16" s="1"/>
  <c r="M206" i="16"/>
  <c r="N206" i="16" s="1"/>
  <c r="L207" i="16"/>
  <c r="AQ206" i="16" l="1"/>
  <c r="AJ206" i="16"/>
  <c r="Z206" i="16"/>
  <c r="AB206" i="16"/>
  <c r="X207" i="16"/>
  <c r="Y207" i="16" s="1"/>
  <c r="Z207" i="16" s="1"/>
  <c r="M207" i="16"/>
  <c r="N207" i="16" s="1"/>
  <c r="AI207" i="16"/>
  <c r="AJ207" i="16" s="1"/>
  <c r="AK207" i="16" s="1"/>
  <c r="T207" i="16"/>
  <c r="S207" i="16"/>
  <c r="AP207" i="16"/>
  <c r="AQ207" i="16" s="1"/>
  <c r="AA207" i="16"/>
  <c r="AB207" i="16" s="1"/>
  <c r="L208" i="16"/>
  <c r="U207" i="16" l="1"/>
  <c r="AR207" i="16"/>
  <c r="AP208" i="16"/>
  <c r="AQ208" i="16" s="1"/>
  <c r="AR208" i="16" s="1"/>
  <c r="AA208" i="16"/>
  <c r="S208" i="16"/>
  <c r="AI208" i="16"/>
  <c r="AJ208" i="16" s="1"/>
  <c r="T208" i="16"/>
  <c r="X208" i="16"/>
  <c r="Y208" i="16" s="1"/>
  <c r="Z208" i="16" s="1"/>
  <c r="M208" i="16"/>
  <c r="N208" i="16" s="1"/>
  <c r="L209" i="16"/>
  <c r="U208" i="16" l="1"/>
  <c r="AK208" i="16"/>
  <c r="AB208" i="16"/>
  <c r="X209" i="16"/>
  <c r="Y209" i="16" s="1"/>
  <c r="Z209" i="16" s="1"/>
  <c r="M209" i="16"/>
  <c r="N209" i="16" s="1"/>
  <c r="AI209" i="16"/>
  <c r="AJ209" i="16" s="1"/>
  <c r="AK209" i="16" s="1"/>
  <c r="T209" i="16"/>
  <c r="U209" i="16" s="1"/>
  <c r="V209" i="16" s="1"/>
  <c r="S209" i="16"/>
  <c r="AP209" i="16"/>
  <c r="AQ209" i="16" s="1"/>
  <c r="AA209" i="16"/>
  <c r="AB209" i="16" s="1"/>
  <c r="AC209" i="16" s="1"/>
  <c r="L210" i="16"/>
  <c r="AR209" i="16" l="1"/>
  <c r="AP210" i="16"/>
  <c r="AQ210" i="16" s="1"/>
  <c r="AA210" i="16"/>
  <c r="S210" i="16"/>
  <c r="AI210" i="16"/>
  <c r="AJ210" i="16" s="1"/>
  <c r="AK210" i="16" s="1"/>
  <c r="T210" i="16"/>
  <c r="U210" i="16" s="1"/>
  <c r="X210" i="16"/>
  <c r="Y210" i="16" s="1"/>
  <c r="Z210" i="16" s="1"/>
  <c r="M210" i="16"/>
  <c r="N210" i="16" s="1"/>
  <c r="L211" i="16"/>
  <c r="AR210" i="16" l="1"/>
  <c r="V210" i="16"/>
  <c r="AB210" i="16"/>
  <c r="X211" i="16"/>
  <c r="Y211" i="16" s="1"/>
  <c r="Z211" i="16" s="1"/>
  <c r="M211" i="16"/>
  <c r="N211" i="16" s="1"/>
  <c r="AI211" i="16"/>
  <c r="AJ211" i="16" s="1"/>
  <c r="AK211" i="16" s="1"/>
  <c r="T211" i="16"/>
  <c r="U211" i="16" s="1"/>
  <c r="S211" i="16"/>
  <c r="AP211" i="16"/>
  <c r="AQ211" i="16" s="1"/>
  <c r="AR211" i="16" s="1"/>
  <c r="AA211" i="16"/>
  <c r="AB211" i="16" s="1"/>
  <c r="AC211" i="16" s="1"/>
  <c r="L212" i="16"/>
  <c r="V211" i="16" l="1"/>
  <c r="AC210" i="16"/>
  <c r="AP212" i="16"/>
  <c r="AQ212" i="16" s="1"/>
  <c r="AA212" i="16"/>
  <c r="S212" i="16"/>
  <c r="AI212" i="16"/>
  <c r="AJ212" i="16" s="1"/>
  <c r="AK212" i="16" s="1"/>
  <c r="T212" i="16"/>
  <c r="U212" i="16" s="1"/>
  <c r="X212" i="16"/>
  <c r="Y212" i="16" s="1"/>
  <c r="Z212" i="16" s="1"/>
  <c r="M212" i="16"/>
  <c r="N212" i="16" s="1"/>
  <c r="L213" i="16"/>
  <c r="V212" i="16" l="1"/>
  <c r="AR212" i="16"/>
  <c r="AB212" i="16"/>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X214" i="16"/>
  <c r="Y214" i="16" s="1"/>
  <c r="Z214" i="16" s="1"/>
  <c r="M214" i="16"/>
  <c r="N214" i="16" s="1"/>
  <c r="L215" i="16"/>
  <c r="V214" i="16" l="1"/>
  <c r="AJ214" i="16"/>
  <c r="AQ214" i="16"/>
  <c r="AB214" i="16"/>
  <c r="X215" i="16"/>
  <c r="Y215" i="16" s="1"/>
  <c r="Z215" i="16" s="1"/>
  <c r="M215" i="16"/>
  <c r="AI215" i="16"/>
  <c r="AJ215" i="16" s="1"/>
  <c r="AK215" i="16" s="1"/>
  <c r="T215" i="16"/>
  <c r="U215" i="16" s="1"/>
  <c r="V215" i="16" s="1"/>
  <c r="S215" i="16"/>
  <c r="AP215" i="16"/>
  <c r="AQ215" i="16" s="1"/>
  <c r="AR215" i="16" s="1"/>
  <c r="AA215" i="16"/>
  <c r="AB215" i="16" s="1"/>
  <c r="AC215" i="16" s="1"/>
  <c r="N215" i="16"/>
  <c r="L216" i="16"/>
  <c r="AC214" i="16" l="1"/>
  <c r="AR214" i="16"/>
  <c r="AP216" i="16"/>
  <c r="AQ216" i="16" s="1"/>
  <c r="AR216" i="16" s="1"/>
  <c r="AA216" i="16"/>
  <c r="S216" i="16"/>
  <c r="AI216" i="16"/>
  <c r="AJ216" i="16" s="1"/>
  <c r="AK216" i="16" s="1"/>
  <c r="T216" i="16"/>
  <c r="U216" i="16" s="1"/>
  <c r="X216" i="16"/>
  <c r="Y216" i="16" s="1"/>
  <c r="Z216" i="16" s="1"/>
  <c r="M216" i="16"/>
  <c r="N216" i="16" s="1"/>
  <c r="L217" i="16"/>
  <c r="V216" i="16" l="1"/>
  <c r="AB216" i="16"/>
  <c r="X217" i="16"/>
  <c r="Y217" i="16" s="1"/>
  <c r="Z217" i="16" s="1"/>
  <c r="M217" i="16"/>
  <c r="AI217" i="16"/>
  <c r="AJ217" i="16" s="1"/>
  <c r="AK217" i="16" s="1"/>
  <c r="T217" i="16"/>
  <c r="U217" i="16" s="1"/>
  <c r="V217" i="16" s="1"/>
  <c r="S217" i="16"/>
  <c r="AP217" i="16"/>
  <c r="AQ217" i="16" s="1"/>
  <c r="AR217" i="16" s="1"/>
  <c r="AA217" i="16"/>
  <c r="AB217" i="16" s="1"/>
  <c r="AC217" i="16" s="1"/>
  <c r="N217" i="16"/>
  <c r="L218" i="16"/>
  <c r="AC216" i="16" l="1"/>
  <c r="AP218" i="16"/>
  <c r="AQ218" i="16" s="1"/>
  <c r="AR218" i="16" s="1"/>
  <c r="AA218" i="16"/>
  <c r="S218" i="16"/>
  <c r="AI218" i="16"/>
  <c r="AJ218" i="16" s="1"/>
  <c r="AK218" i="16" s="1"/>
  <c r="T218" i="16"/>
  <c r="U218" i="16" s="1"/>
  <c r="V218" i="16" s="1"/>
  <c r="X218" i="16"/>
  <c r="Y218" i="16" s="1"/>
  <c r="Z218" i="16" s="1"/>
  <c r="M218" i="16"/>
  <c r="N218" i="16" s="1"/>
  <c r="L219" i="16"/>
  <c r="AB218" i="16" l="1"/>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94" i="16" l="1"/>
  <c r="Z142" i="16"/>
  <c r="Z150" i="16"/>
  <c r="Z172" i="16"/>
  <c r="Z80" i="16"/>
  <c r="Z152" i="16"/>
  <c r="Z193" i="16"/>
  <c r="Z76" i="16"/>
  <c r="Z167" i="16"/>
  <c r="Z200" i="16"/>
  <c r="Z89" i="16"/>
  <c r="Z146" i="16"/>
  <c r="Z182" i="16"/>
  <c r="Z202" i="16"/>
  <c r="Z25" i="16"/>
  <c r="Z61"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AA363" i="16"/>
  <c r="S363" i="16"/>
  <c r="M363" i="16"/>
  <c r="M9" i="16" s="1"/>
  <c r="L37" i="8" s="1"/>
  <c r="K37" i="8" s="1"/>
  <c r="AI363" i="16"/>
  <c r="AJ363" i="16" s="1"/>
  <c r="AK183" i="16" s="1"/>
  <c r="Y9" i="16"/>
  <c r="L38" i="8" s="1"/>
  <c r="U69" i="8"/>
  <c r="U67" i="8"/>
  <c r="U70" i="8"/>
  <c r="U68" i="8"/>
  <c r="U71" i="8"/>
  <c r="U73" i="8"/>
  <c r="U72" i="8"/>
  <c r="G119" i="8"/>
  <c r="AR90" i="16" l="1"/>
  <c r="AR150" i="16"/>
  <c r="AR155" i="16"/>
  <c r="AR183" i="16"/>
  <c r="AR85" i="16"/>
  <c r="AR97" i="16"/>
  <c r="AR113" i="16"/>
  <c r="AR164" i="16"/>
  <c r="AR168" i="16"/>
  <c r="AR62" i="16"/>
  <c r="AR87" i="16"/>
  <c r="AR101" i="16"/>
  <c r="AR103" i="16"/>
  <c r="AR105" i="16"/>
  <c r="AR138" i="16"/>
  <c r="AR137" i="16"/>
  <c r="AR141" i="16"/>
  <c r="AR170" i="16"/>
  <c r="AR187" i="16"/>
  <c r="AR194" i="16"/>
  <c r="AR200" i="16"/>
  <c r="AR206" i="16"/>
  <c r="AR205" i="16"/>
  <c r="AK132" i="16"/>
  <c r="AK206" i="16"/>
  <c r="V94" i="16"/>
  <c r="V117" i="16"/>
  <c r="V146" i="16"/>
  <c r="V152" i="16"/>
  <c r="V165" i="16"/>
  <c r="V205" i="16"/>
  <c r="V208" i="16"/>
  <c r="AR59" i="16"/>
  <c r="AR13" i="16"/>
  <c r="AR63" i="16"/>
  <c r="AR74" i="16"/>
  <c r="AR79" i="16"/>
  <c r="AR98" i="16"/>
  <c r="AR123" i="16"/>
  <c r="AR166" i="16"/>
  <c r="AR184" i="16"/>
  <c r="AR196" i="16"/>
  <c r="AR204" i="16"/>
  <c r="V25" i="16"/>
  <c r="V128" i="16"/>
  <c r="V144" i="16"/>
  <c r="V150" i="16"/>
  <c r="V182" i="16"/>
  <c r="V193" i="16"/>
  <c r="V196" i="16"/>
  <c r="V201" i="16"/>
  <c r="V198" i="16"/>
  <c r="V207" i="16"/>
  <c r="AK41" i="16"/>
  <c r="AK17" i="16"/>
  <c r="AK21" i="16"/>
  <c r="AR47" i="16"/>
  <c r="AR41" i="16"/>
  <c r="AK28" i="16"/>
  <c r="AK36" i="16"/>
  <c r="AK52" i="16"/>
  <c r="AK49" i="16"/>
  <c r="AR16" i="16"/>
  <c r="AR45" i="16"/>
  <c r="AK34" i="16"/>
  <c r="AK27" i="16"/>
  <c r="AK60" i="16"/>
  <c r="AK13" i="16"/>
  <c r="AK44" i="16"/>
  <c r="AK51"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3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55"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58" i="16"/>
  <c r="K32" i="8"/>
  <c r="K50" i="8" s="1"/>
  <c r="P27" i="16"/>
  <c r="P316" i="16"/>
  <c r="P292" i="16"/>
  <c r="P289" i="16"/>
  <c r="P190" i="16"/>
  <c r="P203" i="16"/>
  <c r="P22" i="16"/>
  <c r="P67" i="16"/>
  <c r="P199" i="16"/>
  <c r="P14" i="16"/>
  <c r="P17" i="16"/>
  <c r="P124" i="16"/>
  <c r="P18" i="16"/>
  <c r="P159" i="16"/>
  <c r="P21" i="16"/>
  <c r="P13" i="16"/>
  <c r="P68" i="16"/>
  <c r="P24" i="16"/>
  <c r="P20" i="16"/>
  <c r="P16" i="16"/>
  <c r="P12" i="16"/>
  <c r="P97" i="16"/>
  <c r="P23" i="16"/>
  <c r="P19" i="16"/>
  <c r="P15" i="16"/>
  <c r="P56" i="16"/>
  <c r="P52" i="16"/>
  <c r="P48" i="16"/>
  <c r="P44" i="16"/>
  <c r="P40" i="16"/>
  <c r="P36" i="16"/>
  <c r="P32" i="16"/>
  <c r="P28" i="16"/>
  <c r="P55" i="16"/>
  <c r="P51" i="16"/>
  <c r="P47" i="16"/>
  <c r="P43" i="16"/>
  <c r="P39" i="16"/>
  <c r="P35" i="16"/>
  <c r="P31" i="16"/>
  <c r="Q34" i="16"/>
  <c r="Q88" i="16"/>
  <c r="Q37" i="16"/>
  <c r="Q79" i="16"/>
  <c r="P58" i="16"/>
  <c r="P54" i="16"/>
  <c r="P50" i="16"/>
  <c r="P46" i="16"/>
  <c r="P42" i="16"/>
  <c r="P38" i="16"/>
  <c r="P34" i="16"/>
  <c r="P30" i="16"/>
  <c r="P26" i="16"/>
  <c r="P61" i="16"/>
  <c r="P57" i="16"/>
  <c r="P53" i="16"/>
  <c r="P49" i="16"/>
  <c r="P45" i="16"/>
  <c r="P41" i="16"/>
  <c r="P37" i="16"/>
  <c r="P33" i="16"/>
  <c r="P29" i="16"/>
  <c r="P25" i="16"/>
  <c r="Q69" i="16" l="1"/>
  <c r="Q27" i="16"/>
  <c r="Q76" i="16"/>
  <c r="Q20" i="16"/>
  <c r="P63" i="16"/>
  <c r="P113" i="16"/>
  <c r="P76" i="16"/>
  <c r="P148" i="16"/>
  <c r="P75" i="16"/>
  <c r="P239" i="16"/>
  <c r="P131" i="16"/>
  <c r="P269" i="16"/>
  <c r="P222" i="16"/>
  <c r="P355" i="16"/>
  <c r="P110" i="16"/>
  <c r="P348" i="16"/>
  <c r="P250" i="16"/>
  <c r="AC152" i="16"/>
  <c r="AC197" i="16"/>
  <c r="Q101" i="16"/>
  <c r="Q59" i="16"/>
  <c r="Q15" i="16"/>
  <c r="Q62" i="16"/>
  <c r="P64" i="16"/>
  <c r="P69" i="16"/>
  <c r="P137" i="16"/>
  <c r="P84" i="16"/>
  <c r="P79" i="16"/>
  <c r="P74" i="16"/>
  <c r="P185" i="16"/>
  <c r="P267" i="16"/>
  <c r="P321" i="16"/>
  <c r="P83" i="16"/>
  <c r="P228" i="16"/>
  <c r="P184" i="16"/>
  <c r="P266" i="16"/>
  <c r="Q91" i="16"/>
  <c r="Q47" i="16"/>
  <c r="Q100" i="16"/>
  <c r="Q46" i="16"/>
  <c r="P81" i="16"/>
  <c r="P165" i="16"/>
  <c r="P100" i="16"/>
  <c r="P111" i="16"/>
  <c r="P90" i="16"/>
  <c r="P213" i="16"/>
  <c r="P130" i="16"/>
  <c r="P299" i="16"/>
  <c r="P94" i="16"/>
  <c r="P349" i="16"/>
  <c r="P78" i="16"/>
  <c r="P268" i="16"/>
  <c r="P270" i="16"/>
  <c r="P346" i="16"/>
  <c r="Q252" i="16"/>
  <c r="Q123" i="16"/>
  <c r="Q122" i="16"/>
  <c r="R293" i="16"/>
  <c r="P62" i="16"/>
  <c r="Q228" i="16"/>
  <c r="Q115" i="16"/>
  <c r="Q87" i="16"/>
  <c r="Q67" i="16"/>
  <c r="Q45" i="16"/>
  <c r="Q23" i="16"/>
  <c r="Q114" i="16"/>
  <c r="Q86" i="16"/>
  <c r="Q58" i="16"/>
  <c r="Q30" i="16"/>
  <c r="P60" i="16"/>
  <c r="P73" i="16"/>
  <c r="P101" i="16"/>
  <c r="P145" i="16"/>
  <c r="P72" i="16"/>
  <c r="P96" i="16"/>
  <c r="P71" i="16"/>
  <c r="P119" i="16"/>
  <c r="P66" i="16"/>
  <c r="P116" i="16"/>
  <c r="P172" i="16"/>
  <c r="P70" i="16"/>
  <c r="P215" i="16"/>
  <c r="P275" i="16"/>
  <c r="P99" i="16"/>
  <c r="P118" i="16"/>
  <c r="P293" i="16"/>
  <c r="P353" i="16"/>
  <c r="P230" i="16"/>
  <c r="P257" i="16"/>
  <c r="P212" i="16"/>
  <c r="P288" i="16"/>
  <c r="P319" i="16"/>
  <c r="P310" i="16"/>
  <c r="P311" i="16"/>
  <c r="P354" i="16"/>
  <c r="Q336" i="16"/>
  <c r="Q263" i="16"/>
  <c r="P65" i="16"/>
  <c r="Q316" i="16"/>
  <c r="Q215" i="16"/>
  <c r="Q99" i="16"/>
  <c r="Q77" i="16"/>
  <c r="Q55" i="16"/>
  <c r="Q35" i="16"/>
  <c r="Q13" i="16"/>
  <c r="Q96" i="16"/>
  <c r="Q74" i="16"/>
  <c r="Q44" i="16"/>
  <c r="Q14" i="16"/>
  <c r="P59" i="16"/>
  <c r="R274" i="16"/>
  <c r="P89" i="16"/>
  <c r="P117" i="16"/>
  <c r="P177" i="16"/>
  <c r="P80" i="16"/>
  <c r="P95" i="16"/>
  <c r="P183" i="16"/>
  <c r="P82" i="16"/>
  <c r="P144" i="16"/>
  <c r="P209" i="16"/>
  <c r="P91" i="16"/>
  <c r="P154" i="16"/>
  <c r="P243" i="16"/>
  <c r="P303" i="16"/>
  <c r="P229" i="16"/>
  <c r="P325" i="16"/>
  <c r="P202" i="16"/>
  <c r="P147" i="16"/>
  <c r="P347" i="16"/>
  <c r="P256" i="16"/>
  <c r="P115" i="16"/>
  <c r="P254" i="16"/>
  <c r="P340" i="16"/>
  <c r="P208" i="16"/>
  <c r="P290" i="16"/>
  <c r="P350" i="16"/>
  <c r="Q296" i="16"/>
  <c r="Q343" i="16"/>
  <c r="Q187" i="16"/>
  <c r="Q107" i="16"/>
  <c r="Q95" i="16"/>
  <c r="Q85" i="16"/>
  <c r="Q75" i="16"/>
  <c r="Q63" i="16"/>
  <c r="Q53" i="16"/>
  <c r="Q43" i="16"/>
  <c r="Q31" i="16"/>
  <c r="Q21" i="16"/>
  <c r="Q11" i="16"/>
  <c r="Q104" i="16"/>
  <c r="Q94" i="16"/>
  <c r="Q84" i="16"/>
  <c r="Q68" i="16"/>
  <c r="Q54" i="16"/>
  <c r="Q42" i="16"/>
  <c r="Q26" i="16"/>
  <c r="Q12" i="16"/>
  <c r="R65" i="16"/>
  <c r="P121" i="16"/>
  <c r="P153" i="16"/>
  <c r="P181" i="16"/>
  <c r="P108" i="16"/>
  <c r="P143" i="16"/>
  <c r="P128" i="16"/>
  <c r="P160" i="16"/>
  <c r="P193" i="16"/>
  <c r="P217" i="16"/>
  <c r="P123" i="16"/>
  <c r="P114" i="16"/>
  <c r="P162" i="16"/>
  <c r="P223" i="16"/>
  <c r="P255" i="16"/>
  <c r="P283" i="16"/>
  <c r="P307" i="16"/>
  <c r="P163" i="16"/>
  <c r="P134" i="16"/>
  <c r="P245" i="16"/>
  <c r="P301" i="16"/>
  <c r="P333" i="16"/>
  <c r="P180" i="16"/>
  <c r="P206" i="16"/>
  <c r="P234" i="16"/>
  <c r="P195" i="16"/>
  <c r="P315" i="16"/>
  <c r="P176" i="16"/>
  <c r="P244" i="16"/>
  <c r="P272" i="16"/>
  <c r="P300" i="16"/>
  <c r="P265" i="16"/>
  <c r="P200" i="16"/>
  <c r="P278" i="16"/>
  <c r="P328" i="16"/>
  <c r="P356" i="16"/>
  <c r="P179" i="16"/>
  <c r="P359" i="16"/>
  <c r="P343" i="16"/>
  <c r="P326" i="16"/>
  <c r="P318" i="16"/>
  <c r="AC155" i="16"/>
  <c r="AC203" i="16"/>
  <c r="AC205" i="16"/>
  <c r="AC207" i="16"/>
  <c r="AC206" i="16"/>
  <c r="Q360" i="16"/>
  <c r="Q272" i="16"/>
  <c r="Q303" i="16"/>
  <c r="Q147" i="16"/>
  <c r="Q103" i="16"/>
  <c r="Q93" i="16"/>
  <c r="Q83" i="16"/>
  <c r="Q71" i="16"/>
  <c r="Q61" i="16"/>
  <c r="Q51" i="16"/>
  <c r="Q39" i="16"/>
  <c r="Q29" i="16"/>
  <c r="Q18" i="16"/>
  <c r="Q146" i="16"/>
  <c r="Q102" i="16"/>
  <c r="Q92" i="16"/>
  <c r="Q78" i="16"/>
  <c r="Q66" i="16"/>
  <c r="Q52" i="16"/>
  <c r="Q36" i="16"/>
  <c r="Q22" i="16"/>
  <c r="T32" i="8"/>
  <c r="R354" i="16"/>
  <c r="P133" i="16"/>
  <c r="P161" i="16"/>
  <c r="P151" i="16"/>
  <c r="P106" i="16"/>
  <c r="P140" i="16"/>
  <c r="P164" i="16"/>
  <c r="P197" i="16"/>
  <c r="P155" i="16"/>
  <c r="P122" i="16"/>
  <c r="P182" i="16"/>
  <c r="P235" i="16"/>
  <c r="P259" i="16"/>
  <c r="P287" i="16"/>
  <c r="P187" i="16"/>
  <c r="P261" i="16"/>
  <c r="P309" i="16"/>
  <c r="P341" i="16"/>
  <c r="P186" i="16"/>
  <c r="P214" i="16"/>
  <c r="P225" i="16"/>
  <c r="P323" i="16"/>
  <c r="P204" i="16"/>
  <c r="P252" i="16"/>
  <c r="P276" i="16"/>
  <c r="P308" i="16"/>
  <c r="P297" i="16"/>
  <c r="P232" i="16"/>
  <c r="P302" i="16"/>
  <c r="P332" i="16"/>
  <c r="P360" i="16"/>
  <c r="P281" i="16"/>
  <c r="P224" i="16"/>
  <c r="P192" i="16"/>
  <c r="P282" i="16"/>
  <c r="P330" i="16"/>
  <c r="P306" i="16"/>
  <c r="P342" i="16"/>
  <c r="P240" i="16"/>
  <c r="P322" i="16"/>
  <c r="P274" i="16"/>
  <c r="P211" i="16"/>
  <c r="P142" i="16"/>
  <c r="P362" i="16"/>
  <c r="P352" i="16"/>
  <c r="P336" i="16"/>
  <c r="P320" i="16"/>
  <c r="P294" i="16"/>
  <c r="P262" i="16"/>
  <c r="P216" i="16"/>
  <c r="P335" i="16"/>
  <c r="P233" i="16"/>
  <c r="P312" i="16"/>
  <c r="P296" i="16"/>
  <c r="P280" i="16"/>
  <c r="P264" i="16"/>
  <c r="P248" i="16"/>
  <c r="P220" i="16"/>
  <c r="P188" i="16"/>
  <c r="P339" i="16"/>
  <c r="P305" i="16"/>
  <c r="P241" i="16"/>
  <c r="P126" i="16"/>
  <c r="P242" i="16"/>
  <c r="P226" i="16"/>
  <c r="P210" i="16"/>
  <c r="P194" i="16"/>
  <c r="P361" i="16"/>
  <c r="P345" i="16"/>
  <c r="P329" i="16"/>
  <c r="P313" i="16"/>
  <c r="P285" i="16"/>
  <c r="P253" i="16"/>
  <c r="P219" i="16"/>
  <c r="P150" i="16"/>
  <c r="P295" i="16"/>
  <c r="P279" i="16"/>
  <c r="P263" i="16"/>
  <c r="P247" i="16"/>
  <c r="P231" i="16"/>
  <c r="P207" i="16"/>
  <c r="P170" i="16"/>
  <c r="P138" i="16"/>
  <c r="P102" i="16"/>
  <c r="P171" i="16"/>
  <c r="P107" i="16"/>
  <c r="P221" i="16"/>
  <c r="P205" i="16"/>
  <c r="P189" i="16"/>
  <c r="P168" i="16"/>
  <c r="P152" i="16"/>
  <c r="P136" i="16"/>
  <c r="P120" i="16"/>
  <c r="P98" i="16"/>
  <c r="P167" i="16"/>
  <c r="P135" i="16"/>
  <c r="P103" i="16"/>
  <c r="P104" i="16"/>
  <c r="P88" i="16"/>
  <c r="P173" i="16"/>
  <c r="P157" i="16"/>
  <c r="P141" i="16"/>
  <c r="P125" i="16"/>
  <c r="P109" i="16"/>
  <c r="P93" i="16"/>
  <c r="P77" i="16"/>
  <c r="Q16" i="16"/>
  <c r="Q24" i="16"/>
  <c r="Q32" i="16"/>
  <c r="Q40" i="16"/>
  <c r="Q48" i="16"/>
  <c r="Q56" i="16"/>
  <c r="Q64" i="16"/>
  <c r="Q72" i="16"/>
  <c r="Q80" i="16"/>
  <c r="Q352" i="16"/>
  <c r="Q332" i="16"/>
  <c r="Q312" i="16"/>
  <c r="Q288" i="16"/>
  <c r="Q268" i="16"/>
  <c r="Q248" i="16"/>
  <c r="Q212" i="16"/>
  <c r="Q335" i="16"/>
  <c r="Q295" i="16"/>
  <c r="Q247" i="16"/>
  <c r="Q206" i="16"/>
  <c r="Q179" i="16"/>
  <c r="Q131" i="16"/>
  <c r="Q105" i="16"/>
  <c r="Q97" i="16"/>
  <c r="Q89" i="16"/>
  <c r="Q81" i="16"/>
  <c r="Q73" i="16"/>
  <c r="Q65" i="16"/>
  <c r="Q57" i="16"/>
  <c r="Q49" i="16"/>
  <c r="Q41" i="16"/>
  <c r="Q33" i="16"/>
  <c r="Q25" i="16"/>
  <c r="Q17" i="16"/>
  <c r="Q178" i="16"/>
  <c r="Q138" i="16"/>
  <c r="Q106" i="16"/>
  <c r="Q98" i="16"/>
  <c r="Q90" i="16"/>
  <c r="Q82" i="16"/>
  <c r="Q70" i="16"/>
  <c r="Q60" i="16"/>
  <c r="Q50" i="16"/>
  <c r="Q38" i="16"/>
  <c r="Q28" i="16"/>
  <c r="Q19" i="16"/>
  <c r="R322" i="16"/>
  <c r="R258" i="16"/>
  <c r="R277" i="16"/>
  <c r="R119" i="16"/>
  <c r="P85" i="16"/>
  <c r="P105" i="16"/>
  <c r="P129" i="16"/>
  <c r="P149" i="16"/>
  <c r="P169" i="16"/>
  <c r="P92" i="16"/>
  <c r="P87" i="16"/>
  <c r="P127" i="16"/>
  <c r="P175" i="16"/>
  <c r="P112" i="16"/>
  <c r="P132" i="16"/>
  <c r="P156" i="16"/>
  <c r="P178" i="16"/>
  <c r="P201" i="16"/>
  <c r="P139" i="16"/>
  <c r="P86" i="16"/>
  <c r="P146" i="16"/>
  <c r="P191" i="16"/>
  <c r="P227" i="16"/>
  <c r="P251" i="16"/>
  <c r="P271" i="16"/>
  <c r="P291" i="16"/>
  <c r="P166" i="16"/>
  <c r="P237" i="16"/>
  <c r="P277" i="16"/>
  <c r="P317" i="16"/>
  <c r="P337" i="16"/>
  <c r="P357" i="16"/>
  <c r="P198" i="16"/>
  <c r="P218" i="16"/>
  <c r="P238" i="16"/>
  <c r="P158" i="16"/>
  <c r="P273" i="16"/>
  <c r="P331" i="16"/>
  <c r="P196" i="16"/>
  <c r="P236" i="16"/>
  <c r="P260" i="16"/>
  <c r="P284" i="16"/>
  <c r="P304" i="16"/>
  <c r="P174" i="16"/>
  <c r="P351" i="16"/>
  <c r="P246" i="16"/>
  <c r="P286" i="16"/>
  <c r="P324" i="16"/>
  <c r="P344" i="16"/>
  <c r="P327" i="16"/>
  <c r="P249" i="16"/>
  <c r="P298" i="16"/>
  <c r="P314" i="16"/>
  <c r="P334" i="16"/>
  <c r="P358" i="16"/>
  <c r="Q304" i="16"/>
  <c r="Q264" i="16"/>
  <c r="Q200" i="16"/>
  <c r="Q279" i="16"/>
  <c r="Q190" i="16"/>
  <c r="Q170" i="16"/>
  <c r="Q130" i="16"/>
  <c r="R314" i="16"/>
  <c r="R242" i="16"/>
  <c r="R197" i="16"/>
  <c r="R166" i="16"/>
  <c r="R198" i="16"/>
  <c r="R261" i="16"/>
  <c r="R357" i="16"/>
  <c r="R282" i="16"/>
  <c r="R346" i="16"/>
  <c r="Q348" i="16"/>
  <c r="Q328" i="16"/>
  <c r="Q284" i="16"/>
  <c r="Q240" i="16"/>
  <c r="Q327" i="16"/>
  <c r="Q239" i="16"/>
  <c r="Q163" i="16"/>
  <c r="Q344" i="16"/>
  <c r="Q320" i="16"/>
  <c r="Q300" i="16"/>
  <c r="Q280" i="16"/>
  <c r="Q256" i="16"/>
  <c r="Q236" i="16"/>
  <c r="Q359" i="16"/>
  <c r="Q311" i="16"/>
  <c r="Q271" i="16"/>
  <c r="Q231" i="16"/>
  <c r="Q195" i="16"/>
  <c r="Q155" i="16"/>
  <c r="Q162" i="16"/>
  <c r="R306" i="16"/>
  <c r="R341" i="16"/>
  <c r="R171" i="16"/>
  <c r="Q356" i="16"/>
  <c r="Q340" i="16"/>
  <c r="Q324" i="16"/>
  <c r="Q308" i="16"/>
  <c r="Q292" i="16"/>
  <c r="Q276" i="16"/>
  <c r="Q260" i="16"/>
  <c r="Q244" i="16"/>
  <c r="Q220" i="16"/>
  <c r="Q351" i="16"/>
  <c r="Q319" i="16"/>
  <c r="Q287" i="16"/>
  <c r="Q255" i="16"/>
  <c r="Q223" i="16"/>
  <c r="Q203" i="16"/>
  <c r="Q171" i="16"/>
  <c r="Q139" i="16"/>
  <c r="Q154" i="16"/>
  <c r="R338" i="16"/>
  <c r="R290" i="16"/>
  <c r="R250" i="16"/>
  <c r="R325" i="16"/>
  <c r="R223" i="16"/>
  <c r="R230" i="16"/>
  <c r="R78" i="16"/>
  <c r="AC363" i="16"/>
  <c r="AC80" i="16"/>
  <c r="AC94" i="16"/>
  <c r="AC108" i="16"/>
  <c r="AC196" i="16"/>
  <c r="AC202" i="16"/>
  <c r="AC204" i="16"/>
  <c r="AC20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18"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20" i="8" l="1"/>
  <c r="Q121" i="8"/>
  <c r="Q119"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<sst xmlns="http://schemas.openxmlformats.org/spreadsheetml/2006/main" count="9855" uniqueCount="905">
  <si>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</si>
  <si>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</si>
  <si>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</si>
  <si>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</si>
  <si>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</si>
  <si>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</si>
  <si>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</si>
  <si>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</si>
  <si>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</si>
  <si>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</si>
  <si>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</si>
  <si>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</si>
  <si>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</si>
  <si>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</si>
  <si>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</si>
  <si>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</si>
  <si>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</si>
  <si>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</si>
  <si>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</si>
  <si>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</si>
  <si>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</si>
  <si>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</si>
  <si>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</si>
  <si>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</si>
  <si>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</si>
  <si>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</si>
  <si>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</si>
  <si>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</si>
  <si>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</si>
  <si>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</si>
  <si>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</si>
  <si>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</si>
  <si>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</si>
  <si>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</si>
  <si>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</si>
  <si>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</si>
  <si>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</si>
  <si>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</si>
  <si>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</si>
  <si>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</si>
  <si>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</si>
  <si>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</si>
  <si>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</si>
  <si>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</si>
  <si>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</si>
  <si>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</si>
  <si>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</si>
  <si>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</si>
  <si>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</si>
  <si>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</si>
  <si>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</si>
  <si>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</si>
  <si>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</si>
  <si>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</si>
  <si>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</si>
  <si>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</si>
  <si>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</si>
  <si>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</si>
  <si>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</si>
  <si>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</si>
  <si>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</si>
  <si>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</si>
  <si>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</si>
  <si>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</si>
  <si>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</si>
  <si>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</si>
  <si>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</si>
  <si>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</si>
  <si>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</si>
  <si>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</si>
  <si>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</si>
  <si>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</si>
  <si>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</si>
  <si>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</si>
  <si>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</si>
  <si>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</si>
  <si>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</si>
  <si>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</si>
  <si>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</si>
  <si>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</si>
  <si>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</si>
  <si>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</si>
  <si>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</si>
  <si>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</si>
  <si>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</si>
  <si>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</si>
  <si>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</si>
  <si>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</si>
  <si>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</si>
  <si>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</si>
  <si>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</si>
  <si>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</si>
  <si>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</si>
  <si>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</si>
  <si>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</si>
  <si>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</si>
  <si>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</si>
  <si>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</si>
  <si>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</si>
  <si>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</si>
  <si>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</si>
  <si>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</si>
  <si>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</si>
  <si>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</si>
  <si>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</si>
  <si>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</si>
  <si>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</si>
  <si>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</si>
  <si>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</si>
  <si>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</si>
  <si>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</si>
  <si>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</si>
  <si>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</si>
  <si>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</si>
  <si>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</si>
  <si>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</si>
  <si>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</si>
  <si>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</si>
  <si>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</si>
  <si>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</si>
  <si>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</si>
  <si>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</si>
  <si>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</si>
  <si>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</si>
  <si>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</si>
  <si>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</si>
  <si>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</si>
  <si>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</si>
  <si>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</si>
  <si>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</si>
  <si>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</si>
  <si>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</si>
  <si>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</si>
  <si>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</si>
  <si>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</si>
  <si>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</si>
  <si>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</si>
  <si>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</si>
  <si>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</si>
  <si>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</si>
  <si>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</si>
  <si>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</si>
  <si>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</si>
  <si>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</si>
  <si>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</si>
  <si>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</si>
  <si>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</si>
  <si>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</si>
  <si>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</si>
  <si>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</si>
  <si>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</si>
  <si>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</si>
  <si>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</si>
  <si>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</si>
  <si>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</si>
  <si>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</si>
  <si>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</si>
  <si>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</si>
  <si>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</si>
  <si>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</si>
  <si>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</si>
  <si>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</si>
  <si>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</si>
  <si>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</si>
  <si>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</si>
  <si>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</si>
  <si>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</si>
  <si>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</si>
  <si>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</si>
  <si>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</si>
  <si>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</si>
  <si>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</si>
  <si>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</si>
  <si>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</si>
  <si>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</si>
  <si>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</si>
  <si>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</si>
  <si>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</si>
  <si>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</si>
  <si>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</si>
  <si>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</si>
  <si>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</si>
  <si>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</si>
  <si>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</si>
  <si>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</si>
  <si>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</si>
  <si>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</si>
  <si>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</si>
  <si>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</si>
  <si>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</si>
  <si>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</si>
  <si>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</si>
  <si>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</si>
  <si>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</si>
  <si>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</si>
  <si>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</si>
  <si>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</si>
  <si>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</si>
  <si>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</si>
  <si>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</si>
  <si>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</si>
  <si>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</si>
  <si>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</si>
  <si>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</si>
  <si>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</si>
  <si>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</si>
  <si>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</si>
  <si>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</si>
  <si>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</si>
  <si>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</si>
  <si>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</si>
  <si>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</si>
  <si>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</si>
  <si>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</si>
  <si>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</si>
  <si>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</si>
  <si>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</si>
  <si>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</si>
  <si>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</si>
  <si>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</si>
  <si>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</si>
  <si>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</si>
  <si>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</si>
  <si>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</si>
  <si>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</si>
  <si>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</si>
  <si>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</si>
  <si>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</si>
  <si>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</si>
  <si>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</si>
  <si>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</si>
  <si>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</si>
  <si>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</si>
  <si>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</si>
  <si>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</si>
  <si>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</si>
  <si>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</si>
  <si>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</si>
  <si>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</si>
  <si>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</si>
  <si>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</si>
  <si>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</si>
  <si>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</si>
  <si>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</si>
  <si>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</si>
  <si>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</si>
  <si>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</si>
  <si>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</si>
  <si>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</si>
  <si>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</si>
  <si>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</si>
  <si>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</si>
  <si>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</si>
  <si>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</si>
  <si>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</si>
  <si>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</si>
  <si>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</si>
  <si>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</si>
  <si>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</si>
  <si>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</si>
  <si>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</si>
  <si>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</si>
  <si>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</si>
  <si>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</si>
  <si>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</si>
  <si>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</si>
  <si>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</si>
  <si>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</si>
  <si>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</si>
  <si>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</si>
  <si>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</si>
  <si>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</si>
  <si>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</si>
  <si>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</si>
  <si>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</si>
  <si>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</si>
  <si>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</si>
  <si>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</si>
  <si>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</si>
  <si>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</si>
  <si>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</si>
  <si>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</si>
  <si>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</si>
  <si>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</si>
  <si>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</si>
  <si>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</si>
  <si>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</si>
  <si>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</si>
  <si>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</si>
  <si>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</si>
  <si>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</si>
  <si>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</si>
  <si>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</si>
  <si>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</si>
  <si>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</si>
  <si>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</si>
  <si>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</si>
  <si>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</si>
  <si>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</si>
  <si>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</si>
  <si>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</si>
  <si>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</si>
  <si>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</si>
  <si>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</si>
  <si>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</si>
  <si>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</si>
  <si>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</si>
  <si>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</si>
  <si>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</si>
  <si>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</si>
  <si>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</si>
  <si>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</si>
  <si>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</si>
  <si>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</si>
  <si>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</si>
  <si>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</si>
  <si>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</si>
  <si>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</si>
  <si>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</si>
  <si>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</si>
  <si>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</si>
  <si>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</si>
  <si>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</si>
  <si>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</si>
  <si>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</si>
  <si>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</si>
  <si>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</si>
  <si>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</si>
  <si>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</si>
  <si>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</si>
  <si>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</si>
  <si>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</si>
  <si>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</si>
  <si>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</si>
  <si>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</si>
  <si>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</si>
  <si>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</si>
  <si>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</si>
  <si>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</si>
  <si>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</si>
  <si>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</si>
  <si>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</si>
  <si>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</si>
  <si>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</si>
  <si>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</si>
  <si>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</si>
  <si>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</si>
  <si>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</si>
  <si>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</si>
  <si>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</si>
  <si>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</si>
  <si>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</si>
  <si>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</si>
  <si>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</si>
  <si>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</si>
  <si>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</si>
  <si>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</si>
  <si>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</si>
  <si>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</si>
  <si>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</si>
  <si>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</si>
  <si>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</si>
  <si>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</si>
  <si>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</si>
  <si>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</si>
  <si>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</si>
  <si>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</si>
  <si>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</si>
  <si>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</si>
  <si>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</si>
  <si>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</si>
  <si>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</si>
  <si>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</si>
  <si>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</si>
  <si>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</si>
  <si>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</si>
  <si>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</si>
  <si>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</si>
  <si>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</si>
  <si>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</si>
  <si>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</si>
  <si>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</si>
  <si>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</si>
  <si>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</si>
  <si>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</si>
  <si>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</si>
  <si>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</si>
  <si>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</si>
  <si>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</si>
  <si>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</si>
  <si>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</si>
  <si>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</si>
  <si>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</si>
  <si>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</si>
  <si>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</si>
  <si>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</si>
  <si>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</si>
  <si>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</si>
  <si>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</si>
  <si>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</si>
  <si>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</si>
  <si>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</si>
  <si>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</si>
  <si>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</si>
  <si>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</si>
  <si>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</si>
  <si>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</si>
  <si>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</si>
  <si>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</si>
  <si>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</si>
  <si>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</si>
  <si>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</si>
  <si>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</si>
  <si>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</si>
  <si>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</si>
  <si>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</si>
  <si>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</si>
  <si>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</si>
  <si>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</si>
  <si>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</si>
  <si>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</si>
  <si>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</si>
  <si>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</si>
  <si>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</si>
  <si>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</si>
  <si>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</si>
  <si>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</si>
  <si>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</si>
  <si>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</si>
  <si>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</si>
  <si>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</si>
  <si>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</si>
  <si>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</si>
  <si>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</si>
  <si>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</si>
  <si>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</si>
  <si>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</si>
  <si>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</si>
  <si>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</si>
  <si>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</si>
  <si>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</si>
  <si>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</si>
  <si>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</si>
  <si>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</si>
  <si>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</si>
  <si>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</si>
  <si>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</si>
  <si>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</si>
  <si>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</si>
  <si>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</si>
  <si>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</si>
  <si>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</si>
  <si>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</si>
  <si>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</si>
  <si>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</si>
  <si>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</si>
  <si>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</si>
  <si>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</si>
  <si>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</si>
  <si>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</si>
  <si>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</si>
  <si>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</si>
  <si>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</si>
  <si>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</si>
  <si>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</si>
  <si>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</si>
  <si>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</si>
  <si>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</si>
  <si>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</si>
  <si>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</si>
  <si>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</si>
  <si>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</si>
  <si>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</si>
  <si>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</si>
  <si>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</si>
  <si>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</si>
  <si>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</si>
  <si>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</si>
  <si>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</si>
  <si>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</si>
  <si>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</si>
  <si>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</si>
  <si>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</si>
  <si>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</si>
  <si>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</si>
  <si>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</si>
  <si>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</si>
  <si>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</si>
  <si>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</si>
  <si>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</si>
  <si>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</si>
  <si>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</si>
  <si>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</si>
  <si>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</si>
  <si>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</si>
  <si>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</si>
  <si>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</si>
  <si>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</si>
  <si>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</si>
  <si>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</si>
  <si>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</si>
  <si>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</si>
  <si>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</si>
  <si>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</si>
  <si>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</si>
  <si>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</si>
  <si>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</si>
  <si>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</si>
  <si>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</si>
  <si>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</si>
  <si>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</si>
  <si>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</si>
  <si>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</si>
  <si>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</si>
  <si>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</si>
  <si>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</si>
  <si>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</si>
  <si>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</si>
  <si>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</si>
  <si>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</si>
  <si>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</si>
  <si>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</si>
  <si>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</si>
  <si>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</si>
  <si>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</si>
  <si>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</si>
  <si>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</si>
  <si>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</si>
  <si>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</si>
  <si>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</si>
  <si>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</si>
  <si>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</si>
  <si>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</si>
  <si>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</si>
  <si>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</si>
  <si>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</si>
  <si>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</si>
  <si>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</si>
  <si>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</si>
  <si>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</si>
  <si>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</si>
  <si>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</si>
  <si>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</si>
  <si>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</si>
  <si>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</si>
  <si>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</si>
  <si>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</si>
  <si>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</si>
  <si>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</si>
  <si>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</si>
  <si>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</si>
  <si>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</si>
  <si>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</si>
  <si>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</si>
  <si>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</si>
  <si>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</si>
  <si>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</si>
  <si>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</si>
  <si>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</si>
  <si>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</si>
  <si>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</si>
  <si>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</si>
  <si>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</si>
  <si>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</si>
  <si>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</si>
  <si>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</si>
  <si>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</si>
  <si>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</si>
  <si>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</si>
  <si>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</si>
  <si>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</si>
  <si>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</si>
  <si>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</si>
  <si>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</si>
  <si>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</si>
  <si>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</si>
  <si>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</si>
  <si>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</si>
  <si>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</si>
  <si>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</si>
  <si>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</si>
  <si>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</si>
  <si>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</si>
  <si>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</si>
  <si>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</si>
  <si>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</si>
  <si>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</si>
  <si>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</si>
  <si>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</si>
  <si>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</si>
  <si>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</si>
  <si>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</si>
  <si>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</si>
  <si>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</si>
  <si>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</si>
  <si>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</si>
  <si>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</si>
  <si>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</si>
  <si>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</si>
  <si>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</si>
  <si>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</si>
  <si>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</si>
  <si>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</si>
  <si>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</si>
  <si>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</si>
  <si>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</si>
  <si>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</si>
  <si>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</si>
  <si>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</si>
  <si>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</si>
  <si>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</si>
  <si>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</si>
  <si>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</si>
  <si>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</si>
  <si>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</si>
  <si>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</si>
  <si>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</si>
  <si>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</si>
  <si>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</si>
  <si>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</si>
  <si>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</si>
  <si>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</si>
  <si>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</si>
  <si>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</si>
  <si>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</si>
  <si>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</si>
  <si>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</si>
  <si>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</si>
  <si>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</si>
  <si>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</si>
  <si>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</si>
  <si>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</si>
  <si>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</si>
  <si>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</si>
  <si>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</si>
  <si>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</si>
  <si>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</si>
  <si>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</si>
  <si>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</si>
  <si>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</si>
  <si>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</si>
  <si>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</si>
  <si>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</si>
  <si>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</si>
  <si>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</si>
  <si>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</si>
  <si>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</si>
  <si>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</si>
  <si>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</si>
  <si>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</si>
  <si>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</si>
  <si>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</si>
  <si>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</si>
  <si>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</si>
  <si>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</si>
  <si>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</si>
  <si>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</si>
  <si>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</si>
  <si>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</si>
  <si>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</si>
  <si>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</si>
  <si>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</si>
  <si>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</si>
  <si>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</si>
  <si>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</si>
  <si>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</si>
  <si>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</si>
  <si>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</si>
  <si>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</si>
  <si>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</si>
  <si>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</si>
  <si>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</si>
  <si>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</si>
  <si>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</si>
  <si>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</si>
  <si>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</si>
  <si>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</si>
  <si>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</si>
  <si>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</si>
  <si>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</si>
  <si>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</si>
  <si>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</si>
  <si>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</si>
  <si>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</si>
  <si>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</si>
  <si>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</si>
  <si>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</si>
  <si>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</si>
  <si>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</si>
  <si>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</si>
  <si>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</si>
  <si>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</si>
  <si>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</si>
  <si>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</si>
  <si>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</si>
  <si>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</si>
  <si>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</si>
  <si>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</si>
  <si>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</si>
  <si>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</si>
  <si>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</si>
  <si>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</si>
  <si>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</si>
  <si>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</si>
  <si>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</si>
  <si>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</si>
  <si>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</si>
  <si>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</si>
  <si>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</si>
  <si>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</si>
  <si>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</si>
  <si>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</si>
  <si>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</si>
  <si>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</si>
  <si>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</si>
  <si>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</si>
  <si>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</si>
  <si>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</si>
  <si>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</si>
  <si>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</si>
  <si>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</si>
  <si>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</si>
  <si>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</si>
  <si>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</si>
  <si>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</si>
  <si>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</si>
  <si>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</si>
  <si>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</si>
  <si>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</si>
  <si>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</si>
  <si>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</si>
  <si>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</si>
  <si>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</si>
  <si>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</si>
  <si>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</si>
  <si>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</si>
  <si>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</si>
  <si>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</si>
  <si>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</si>
  <si>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</si>
  <si>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</si>
  <si>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</si>
  <si>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</si>
  <si>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</si>
  <si>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</si>
  <si>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</si>
  <si>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</si>
  <si>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</si>
  <si>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</si>
  <si>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</si>
  <si>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</si>
  <si>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</si>
  <si>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</si>
  <si>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</si>
  <si>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</si>
  <si>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</si>
  <si>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</si>
  <si>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</si>
  <si>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</si>
  <si>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</si>
  <si>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</si>
  <si>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</si>
  <si>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</si>
  <si>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</si>
  <si>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</si>
  <si>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</si>
  <si>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</si>
  <si>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</si>
  <si>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</si>
  <si>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</si>
  <si>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</si>
  <si>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</si>
  <si>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</si>
  <si>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</si>
  <si>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</si>
  <si>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</si>
  <si>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</si>
  <si>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</si>
  <si>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</si>
  <si>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</si>
  <si>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</si>
  <si>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</si>
  <si>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</si>
  <si>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</si>
  <si>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</si>
  <si>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</si>
  <si>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</si>
  <si>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</si>
  <si>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</si>
  <si>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</si>
  <si>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</si>
  <si>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</si>
  <si>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</si>
  <si>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</si>
  <si>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</si>
  <si>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</si>
  <si>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</si>
  <si>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</si>
  <si>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</si>
  <si>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</si>
  <si>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</si>
  <si>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</si>
  <si>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</si>
  <si>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</si>
  <si>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</si>
  <si>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</si>
  <si>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</si>
  <si>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</si>
  <si>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</si>
  <si>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</si>
  <si>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</si>
  <si>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</si>
  <si>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</si>
  <si>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</si>
  <si>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</si>
  <si>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</si>
  <si>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</si>
  <si>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</si>
  <si>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</si>
  <si>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</si>
  <si>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</si>
  <si>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</si>
  <si>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</si>
  <si>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</si>
  <si>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</si>
  <si>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</si>
  <si>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</si>
  <si>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</si>
  <si>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</si>
  <si>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</si>
  <si>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</si>
  <si>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</si>
  <si>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</si>
  <si>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</si>
  <si>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</si>
  <si>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</si>
  <si>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</si>
  <si>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</si>
  <si>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</si>
  <si>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</si>
  <si>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</si>
  <si>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</si>
  <si>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</si>
  <si>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</si>
  <si>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</si>
  <si>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</si>
  <si>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</si>
  <si>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</si>
  <si>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</si>
  <si>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</si>
  <si>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</si>
  <si>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</si>
  <si>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</si>
  <si>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</si>
  <si>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</si>
  <si>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</si>
  <si>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</si>
  <si>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</si>
  <si>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</si>
  <si>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</si>
  <si>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</si>
  <si>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</si>
  <si>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</si>
  <si>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</si>
  <si>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</si>
  <si>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</si>
  <si>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</si>
  <si>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</si>
  <si>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</si>
  <si>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</si>
  <si>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</si>
  <si>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</si>
  <si>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</si>
  <si>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</si>
  <si>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</si>
  <si>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</si>
  <si>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</si>
  <si>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</si>
  <si>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</si>
  <si>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</si>
  <si>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</si>
  <si>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</si>
  <si>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</si>
  <si>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</si>
  <si>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</si>
  <si>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</si>
  <si>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</si>
  <si>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</si>
  <si>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A</t>
  </si>
  <si>
    <t>%.</t>
  </si>
  <si>
    <t>..</t>
  </si>
  <si>
    <t>%%</t>
  </si>
  <si>
    <t>Check Rows 8,9,10,11 are correct</t>
  </si>
  <si>
    <t>Check Table matches Rows 8,9,10,11</t>
  </si>
  <si>
    <t>Check no of councils in text under Quartiles graph is correct</t>
  </si>
  <si>
    <t>Quartiles are showing (polarity &amp; score)</t>
  </si>
  <si>
    <t>Housing Benefit - New Claims</t>
  </si>
  <si>
    <t>Housing Benefit - Change of Circumstances</t>
  </si>
  <si>
    <t>Q1 2013/14</t>
  </si>
  <si>
    <t>Q2 2013/14</t>
  </si>
  <si>
    <t>Q3 2013/14</t>
  </si>
  <si>
    <t>Q4 2013/14</t>
  </si>
  <si>
    <t>Year 2013/14</t>
  </si>
  <si>
    <t>www.gov.uk</t>
  </si>
  <si>
    <t>Speed of Processing</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</si>
</sst>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7"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19" fillId="0" borderId="0" xfId="0" applyFont="1" applyAlignment="1">
      <alignment horizontal="center"/>
    </xf>
    <xf numFmtId="0" fontId="7" fillId="21" borderId="0" xfId="0" applyFont="1" applyFill="1" applyAlignment="1">
      <alignment horizontal="center"/>
    </xf>
    <xf numFmtId="2" fontId="0" fillId="0" borderId="0" xfId="52" applyNumberFormat="1" applyFont="1" applyAlignment="1">
      <alignment horizontal="center"/>
    </xf>
    <xf numFmtId="0" fontId="7" fillId="0" borderId="0" xfId="0" applyFont="1" applyAlignment="1">
      <alignment horizontal="center"/>
    </xf>
    <xf numFmtId="2" fontId="7" fillId="21" borderId="0" xfId="4" applyNumberFormat="1" applyFont="1" applyFill="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7"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1" fontId="8" fillId="0" borderId="4" xfId="4" applyNumberFormat="1" applyFont="1" applyBorder="1" applyAlignment="1">
      <alignment horizontal="center"/>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2" fontId="0" fillId="0" borderId="0" xfId="0" applyNumberFormat="1" applyBorder="1" applyAlignment="1">
      <alignment horizontal="center"/>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7" fillId="23" borderId="0" xfId="0" applyFont="1" applyFill="1" applyAlignment="1">
      <alignment horizontal="center" vertical="center"/>
    </xf>
    <xf numFmtId="43" fontId="0" fillId="0" borderId="6" xfId="54" applyNumberFormat="1" applyFont="1" applyBorder="1" applyAlignment="1">
      <alignment horizontal="center"/>
    </xf>
    <xf numFmtId="43" fontId="6" fillId="0" borderId="6" xfId="54" applyNumberFormat="1" applyFont="1" applyBorder="1" applyAlignment="1">
      <alignment horizontal="center"/>
    </xf>
    <xf numFmtId="164" fontId="0" fillId="0" borderId="6" xfId="54" applyNumberFormat="1" applyFont="1" applyBorder="1" applyAlignment="1">
      <alignment horizontal="center"/>
    </xf>
    <xf numFmtId="0" fontId="9" fillId="2" borderId="4" xfId="0" applyFont="1" applyFill="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164" fontId="0" fillId="0" borderId="15" xfId="54" applyNumberFormat="1" applyFont="1" applyBorder="1" applyAlignment="1">
      <alignment horizontal="center"/>
    </xf>
    <xf numFmtId="0" fontId="38" fillId="23" borderId="0" xfId="0" applyFont="1" applyFill="1" applyAlignment="1">
      <alignment horizontal="center" vertic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43" fontId="0" fillId="0" borderId="15" xfId="54" applyNumberFormat="1" applyFont="1" applyBorder="1" applyAlignment="1">
      <alignment horizontal="center"/>
    </xf>
    <xf numFmtId="0" fontId="22" fillId="23" borderId="0" xfId="0"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2" fontId="7" fillId="0" borderId="0" xfId="4" applyNumberFormat="1" applyFont="1" applyAlignment="1">
      <alignment horizontal="right"/>
    </xf>
    <xf numFmtId="166" fontId="0" fillId="0" borderId="0" xfId="54" applyNumberFormat="1" applyFont="1" applyAlignment="1">
      <alignment horizontal="center"/>
    </xf>
    <xf numFmtId="0" fontId="24" fillId="23" borderId="0" xfId="0" quotePrefix="1" applyNumberFormat="1"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73"/>
                <c:pt idx="172">
                  <c:v>u</c:v>
                </c:pt>
              </c:strCache>
            </c:strRef>
          </c:cat>
          <c:val>
            <c:numRef>
              <c:f>[0]!TopQuart</c:f>
              <c:numCache>
                <c:formatCode>General</c:formatCode>
                <c:ptCount val="192"/>
                <c:pt idx="0">
                  <c:v>1.4250348135540771</c:v>
                </c:pt>
                <c:pt idx="1">
                  <c:v>2.6180457895032907</c:v>
                </c:pt>
                <c:pt idx="2">
                  <c:v>2.6425392560248553</c:v>
                </c:pt>
                <c:pt idx="3">
                  <c:v>2.7058096415327566</c:v>
                </c:pt>
                <c:pt idx="4">
                  <c:v>2.7576582709326072</c:v>
                </c:pt>
                <c:pt idx="5">
                  <c:v>2.8454072904329517</c:v>
                </c:pt>
                <c:pt idx="6">
                  <c:v>2.9200943149069949</c:v>
                </c:pt>
                <c:pt idx="7">
                  <c:v>2.9632132610774624</c:v>
                </c:pt>
                <c:pt idx="8">
                  <c:v>3.4104238618524332</c:v>
                </c:pt>
                <c:pt idx="9">
                  <c:v>3.466943866943867</c:v>
                </c:pt>
                <c:pt idx="10">
                  <c:v>3.663800370932389</c:v>
                </c:pt>
                <c:pt idx="11">
                  <c:v>3.7566735498404356</c:v>
                </c:pt>
                <c:pt idx="12">
                  <c:v>3.8215256477394579</c:v>
                </c:pt>
                <c:pt idx="13">
                  <c:v>3.8476451374986831</c:v>
                </c:pt>
                <c:pt idx="14">
                  <c:v>3.8480672500516779</c:v>
                </c:pt>
                <c:pt idx="15">
                  <c:v>3.9666061198826323</c:v>
                </c:pt>
                <c:pt idx="16">
                  <c:v>3.9783733188827037</c:v>
                </c:pt>
                <c:pt idx="17">
                  <c:v>4.0188679245283021</c:v>
                </c:pt>
                <c:pt idx="18">
                  <c:v>4.0396610336502929</c:v>
                </c:pt>
                <c:pt idx="19">
                  <c:v>4.0574549581500925</c:v>
                </c:pt>
                <c:pt idx="20">
                  <c:v>4.2235507109719759</c:v>
                </c:pt>
                <c:pt idx="21">
                  <c:v>4.2906208198914157</c:v>
                </c:pt>
                <c:pt idx="22">
                  <c:v>4.3155514778163706</c:v>
                </c:pt>
                <c:pt idx="23">
                  <c:v>4.329063375168551</c:v>
                </c:pt>
                <c:pt idx="24">
                  <c:v>4.3933456361267913</c:v>
                </c:pt>
                <c:pt idx="25">
                  <c:v>4.4851788224269873</c:v>
                </c:pt>
                <c:pt idx="26">
                  <c:v>4.5784836987975046</c:v>
                </c:pt>
                <c:pt idx="27">
                  <c:v>4.591202399345633</c:v>
                </c:pt>
                <c:pt idx="28">
                  <c:v>4.6312603192074846</c:v>
                </c:pt>
                <c:pt idx="29">
                  <c:v>4.6454097626511421</c:v>
                </c:pt>
                <c:pt idx="30">
                  <c:v>4.7284090053459833</c:v>
                </c:pt>
                <c:pt idx="31">
                  <c:v>4.7471072541165995</c:v>
                </c:pt>
                <c:pt idx="32">
                  <c:v>4.8117810489374149</c:v>
                </c:pt>
                <c:pt idx="33">
                  <c:v>4.8138569604086845</c:v>
                </c:pt>
                <c:pt idx="34">
                  <c:v>4.904138641459129</c:v>
                </c:pt>
                <c:pt idx="35">
                  <c:v>4.9530446169675431</c:v>
                </c:pt>
                <c:pt idx="36">
                  <c:v>4.9679826270950498</c:v>
                </c:pt>
                <c:pt idx="37">
                  <c:v>4.9852369852369849</c:v>
                </c:pt>
                <c:pt idx="38">
                  <c:v>4.9856616376828287</c:v>
                </c:pt>
                <c:pt idx="39">
                  <c:v>5.0284566454636757</c:v>
                </c:pt>
                <c:pt idx="40">
                  <c:v>5.1213192343408318</c:v>
                </c:pt>
                <c:pt idx="41">
                  <c:v>5.1304675716440427</c:v>
                </c:pt>
                <c:pt idx="42">
                  <c:v>5.1312144486936404</c:v>
                </c:pt>
                <c:pt idx="43">
                  <c:v>5.1492880559769043</c:v>
                </c:pt>
                <c:pt idx="44">
                  <c:v>5.157262484107151</c:v>
                </c:pt>
                <c:pt idx="45">
                  <c:v>5.166774089590719</c:v>
                </c:pt>
                <c:pt idx="46">
                  <c:v>5.2753050063104752</c:v>
                </c:pt>
                <c:pt idx="47">
                  <c:v>5.3113094690346925</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73"/>
                <c:pt idx="172">
                  <c:v>u</c:v>
                </c:pt>
              </c:strCache>
            </c:strRef>
          </c:cat>
          <c:val>
            <c:numRef>
              <c:f>[0]!SecQuart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5.3362110311750603</c:v>
                </c:pt>
                <c:pt idx="49">
                  <c:v>5.341253584596477</c:v>
                </c:pt>
                <c:pt idx="50">
                  <c:v>5.3455858221201185</c:v>
                </c:pt>
                <c:pt idx="51">
                  <c:v>5.3466486120514558</c:v>
                </c:pt>
                <c:pt idx="52">
                  <c:v>5.4202515810688716</c:v>
                </c:pt>
                <c:pt idx="53">
                  <c:v>5.4934971404363484</c:v>
                </c:pt>
                <c:pt idx="54">
                  <c:v>5.5407377985204311</c:v>
                </c:pt>
                <c:pt idx="55">
                  <c:v>5.5815371525808279</c:v>
                </c:pt>
                <c:pt idx="56">
                  <c:v>5.5931467476608843</c:v>
                </c:pt>
                <c:pt idx="57">
                  <c:v>5.6096203095423673</c:v>
                </c:pt>
                <c:pt idx="58">
                  <c:v>5.6297994009258421</c:v>
                </c:pt>
                <c:pt idx="59">
                  <c:v>5.6660818713450292</c:v>
                </c:pt>
                <c:pt idx="60">
                  <c:v>5.7146600617416903</c:v>
                </c:pt>
                <c:pt idx="61">
                  <c:v>5.7191469732453335</c:v>
                </c:pt>
                <c:pt idx="62">
                  <c:v>5.7270270270270274</c:v>
                </c:pt>
                <c:pt idx="63">
                  <c:v>5.777402186421174</c:v>
                </c:pt>
                <c:pt idx="64">
                  <c:v>5.7996616723054615</c:v>
                </c:pt>
                <c:pt idx="65">
                  <c:v>5.8001367885097652</c:v>
                </c:pt>
                <c:pt idx="66">
                  <c:v>5.8048115806130225</c:v>
                </c:pt>
                <c:pt idx="67">
                  <c:v>5.8577297001232367</c:v>
                </c:pt>
                <c:pt idx="68">
                  <c:v>5.8645399357219379</c:v>
                </c:pt>
                <c:pt idx="69">
                  <c:v>5.8687818253035644</c:v>
                </c:pt>
                <c:pt idx="70">
                  <c:v>5.9700294582248219</c:v>
                </c:pt>
                <c:pt idx="71">
                  <c:v>5.9822073734509145</c:v>
                </c:pt>
                <c:pt idx="72">
                  <c:v>6.0389410022216738</c:v>
                </c:pt>
                <c:pt idx="73">
                  <c:v>6.0519275399690562</c:v>
                </c:pt>
                <c:pt idx="74">
                  <c:v>6.0892448512585808</c:v>
                </c:pt>
                <c:pt idx="75">
                  <c:v>6.1096268491940826</c:v>
                </c:pt>
                <c:pt idx="76">
                  <c:v>6.2665420172431698</c:v>
                </c:pt>
                <c:pt idx="77">
                  <c:v>6.2759835079883182</c:v>
                </c:pt>
                <c:pt idx="78">
                  <c:v>6.2872034079821031</c:v>
                </c:pt>
                <c:pt idx="79">
                  <c:v>6.3330967741935487</c:v>
                </c:pt>
                <c:pt idx="80">
                  <c:v>6.3579752736116744</c:v>
                </c:pt>
                <c:pt idx="81">
                  <c:v>6.3791605084244756</c:v>
                </c:pt>
                <c:pt idx="82">
                  <c:v>6.4517194957777502</c:v>
                </c:pt>
                <c:pt idx="83">
                  <c:v>6.4616651881890759</c:v>
                </c:pt>
                <c:pt idx="84">
                  <c:v>6.5498787571194947</c:v>
                </c:pt>
                <c:pt idx="85">
                  <c:v>6.5627851401260049</c:v>
                </c:pt>
                <c:pt idx="86">
                  <c:v>6.5646317618944163</c:v>
                </c:pt>
                <c:pt idx="87">
                  <c:v>6.6065132659319783</c:v>
                </c:pt>
                <c:pt idx="88">
                  <c:v>6.6760875010436669</c:v>
                </c:pt>
                <c:pt idx="89">
                  <c:v>6.7021554539516659</c:v>
                </c:pt>
                <c:pt idx="90">
                  <c:v>6.7234507897934384</c:v>
                </c:pt>
                <c:pt idx="91">
                  <c:v>6.8188577811910909</c:v>
                </c:pt>
                <c:pt idx="92">
                  <c:v>6.8419940109212609</c:v>
                </c:pt>
                <c:pt idx="93">
                  <c:v>6.8634482758620692</c:v>
                </c:pt>
                <c:pt idx="94">
                  <c:v>6.87052</c:v>
                </c:pt>
                <c:pt idx="95">
                  <c:v>6.8877251780477584</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73"/>
                <c:pt idx="172">
                  <c:v>u</c:v>
                </c:pt>
              </c:strCache>
            </c:strRef>
          </c:cat>
          <c:val>
            <c:numRef>
              <c:f>[0]!ThirdQuart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6.8947734922047275</c:v>
                </c:pt>
                <c:pt idx="97">
                  <c:v>6.950458190148912</c:v>
                </c:pt>
                <c:pt idx="98">
                  <c:v>6.9685308705318967</c:v>
                </c:pt>
                <c:pt idx="99">
                  <c:v>6.9772429674448002</c:v>
                </c:pt>
                <c:pt idx="100">
                  <c:v>6.9974772502027207</c:v>
                </c:pt>
                <c:pt idx="101">
                  <c:v>7.0023287405394914</c:v>
                </c:pt>
                <c:pt idx="102">
                  <c:v>7.0106124713879447</c:v>
                </c:pt>
                <c:pt idx="103">
                  <c:v>7.0145889241278363</c:v>
                </c:pt>
                <c:pt idx="104">
                  <c:v>7.0662689664116201</c:v>
                </c:pt>
                <c:pt idx="105">
                  <c:v>7.0889522368956888</c:v>
                </c:pt>
                <c:pt idx="106">
                  <c:v>7.1096578424191694</c:v>
                </c:pt>
                <c:pt idx="107">
                  <c:v>7.1255790866975515</c:v>
                </c:pt>
                <c:pt idx="108">
                  <c:v>7.1450692109173382</c:v>
                </c:pt>
                <c:pt idx="109">
                  <c:v>7.1802740346506626</c:v>
                </c:pt>
                <c:pt idx="110">
                  <c:v>7.2132624070603883</c:v>
                </c:pt>
                <c:pt idx="111">
                  <c:v>7.216631782321687</c:v>
                </c:pt>
                <c:pt idx="112">
                  <c:v>7.2417544265709983</c:v>
                </c:pt>
                <c:pt idx="113">
                  <c:v>7.2477904808238058</c:v>
                </c:pt>
                <c:pt idx="114">
                  <c:v>7.3195143849787252</c:v>
                </c:pt>
                <c:pt idx="115">
                  <c:v>7.3292522955837338</c:v>
                </c:pt>
                <c:pt idx="116">
                  <c:v>7.3674714778455828</c:v>
                </c:pt>
                <c:pt idx="117">
                  <c:v>7.4994899115846749</c:v>
                </c:pt>
                <c:pt idx="118">
                  <c:v>7.5318864562118124</c:v>
                </c:pt>
                <c:pt idx="119">
                  <c:v>7.5929598413485371</c:v>
                </c:pt>
                <c:pt idx="120">
                  <c:v>7.6510906543926351</c:v>
                </c:pt>
                <c:pt idx="121">
                  <c:v>7.6647622558053818</c:v>
                </c:pt>
                <c:pt idx="122">
                  <c:v>7.6705873425405979</c:v>
                </c:pt>
                <c:pt idx="123">
                  <c:v>7.6913685648424828</c:v>
                </c:pt>
                <c:pt idx="124">
                  <c:v>7.7503097195630142</c:v>
                </c:pt>
                <c:pt idx="125">
                  <c:v>7.7518356265811068</c:v>
                </c:pt>
                <c:pt idx="126">
                  <c:v>7.7816406052325284</c:v>
                </c:pt>
                <c:pt idx="127">
                  <c:v>7.8483732351135664</c:v>
                </c:pt>
                <c:pt idx="128">
                  <c:v>7.8723311966841774</c:v>
                </c:pt>
                <c:pt idx="129">
                  <c:v>7.8779915736437474</c:v>
                </c:pt>
                <c:pt idx="130">
                  <c:v>7.9104083031430532</c:v>
                </c:pt>
                <c:pt idx="131">
                  <c:v>7.9435675373655537</c:v>
                </c:pt>
                <c:pt idx="132">
                  <c:v>7.9628841362126241</c:v>
                </c:pt>
                <c:pt idx="133">
                  <c:v>8.0159323687205326</c:v>
                </c:pt>
                <c:pt idx="134">
                  <c:v>8.1209202076185445</c:v>
                </c:pt>
                <c:pt idx="135">
                  <c:v>8.1518984120521178</c:v>
                </c:pt>
                <c:pt idx="136">
                  <c:v>8.1773774406517763</c:v>
                </c:pt>
                <c:pt idx="137">
                  <c:v>8.1869023471457556</c:v>
                </c:pt>
                <c:pt idx="138">
                  <c:v>8.2510371933910758</c:v>
                </c:pt>
                <c:pt idx="139">
                  <c:v>8.432047477744808</c:v>
                </c:pt>
                <c:pt idx="140">
                  <c:v>8.5021167029981353</c:v>
                </c:pt>
                <c:pt idx="141">
                  <c:v>8.6149565689467966</c:v>
                </c:pt>
                <c:pt idx="142">
                  <c:v>8.7661691542288551</c:v>
                </c:pt>
                <c:pt idx="143">
                  <c:v>8.8120669599959545</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73"/>
                <c:pt idx="172">
                  <c:v>u</c:v>
                </c:pt>
              </c:strCache>
            </c:strRef>
          </c:cat>
          <c:val>
            <c:numRef>
              <c:f>[0]!BotQuart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8.818432374294165</c:v>
                </c:pt>
                <c:pt idx="145">
                  <c:v>8.8856982927511901</c:v>
                </c:pt>
                <c:pt idx="146">
                  <c:v>8.9520795308920036</c:v>
                </c:pt>
                <c:pt idx="147">
                  <c:v>8.98118369006691</c:v>
                </c:pt>
                <c:pt idx="148">
                  <c:v>9.1441911740864441</c:v>
                </c:pt>
                <c:pt idx="149">
                  <c:v>9.1597659765976598</c:v>
                </c:pt>
                <c:pt idx="150">
                  <c:v>9.253033472803347</c:v>
                </c:pt>
                <c:pt idx="151">
                  <c:v>9.2927053266859101</c:v>
                </c:pt>
                <c:pt idx="152">
                  <c:v>9.2943856742289057</c:v>
                </c:pt>
                <c:pt idx="153">
                  <c:v>9.6827120822622099</c:v>
                </c:pt>
                <c:pt idx="154">
                  <c:v>9.710198431010614</c:v>
                </c:pt>
                <c:pt idx="155">
                  <c:v>9.7740054155384293</c:v>
                </c:pt>
                <c:pt idx="156">
                  <c:v>9.7799246317231923</c:v>
                </c:pt>
                <c:pt idx="157">
                  <c:v>9.8204052098408106</c:v>
                </c:pt>
                <c:pt idx="158">
                  <c:v>9.896448206018519</c:v>
                </c:pt>
                <c:pt idx="159">
                  <c:v>9.9836593216142617</c:v>
                </c:pt>
                <c:pt idx="160">
                  <c:v>10.22347475575596</c:v>
                </c:pt>
                <c:pt idx="161">
                  <c:v>10.42640922850364</c:v>
                </c:pt>
                <c:pt idx="162">
                  <c:v>10.439509519606608</c:v>
                </c:pt>
                <c:pt idx="163">
                  <c:v>10.451952635773655</c:v>
                </c:pt>
                <c:pt idx="164">
                  <c:v>10.4849395327875</c:v>
                </c:pt>
                <c:pt idx="165">
                  <c:v>10.650170955551557</c:v>
                </c:pt>
                <c:pt idx="166">
                  <c:v>10.687137585661571</c:v>
                </c:pt>
                <c:pt idx="167">
                  <c:v>10.725261108160737</c:v>
                </c:pt>
                <c:pt idx="168">
                  <c:v>10.808453548759378</c:v>
                </c:pt>
                <c:pt idx="169">
                  <c:v>10.861514105525421</c:v>
                </c:pt>
                <c:pt idx="170">
                  <c:v>10.908317143121472</c:v>
                </c:pt>
                <c:pt idx="171">
                  <c:v>10.970383275261325</c:v>
                </c:pt>
                <c:pt idx="172">
                  <c:v>11.015070716438673</c:v>
                </c:pt>
                <c:pt idx="173">
                  <c:v>11.180386673151752</c:v>
                </c:pt>
                <c:pt idx="174">
                  <c:v>11.189828639683926</c:v>
                </c:pt>
                <c:pt idx="175">
                  <c:v>11.236641447856401</c:v>
                </c:pt>
                <c:pt idx="176">
                  <c:v>11.502347417840376</c:v>
                </c:pt>
                <c:pt idx="177">
                  <c:v>11.597382545401073</c:v>
                </c:pt>
                <c:pt idx="178">
                  <c:v>12.403643223486412</c:v>
                </c:pt>
                <c:pt idx="179">
                  <c:v>12.603362911522634</c:v>
                </c:pt>
                <c:pt idx="180">
                  <c:v>12.6431380605776</c:v>
                </c:pt>
                <c:pt idx="181">
                  <c:v>12.737129253050293</c:v>
                </c:pt>
                <c:pt idx="182">
                  <c:v>12.835946924004825</c:v>
                </c:pt>
                <c:pt idx="183">
                  <c:v>13.082076195346458</c:v>
                </c:pt>
                <c:pt idx="184">
                  <c:v>13.285353535353535</c:v>
                </c:pt>
                <c:pt idx="185">
                  <c:v>13.44885164494103</c:v>
                </c:pt>
                <c:pt idx="186">
                  <c:v>13.754559009060673</c:v>
                </c:pt>
                <c:pt idx="187">
                  <c:v>14.292982096487632</c:v>
                </c:pt>
                <c:pt idx="188">
                  <c:v>14.639803234078183</c:v>
                </c:pt>
                <c:pt idx="189">
                  <c:v>15.789827754306142</c:v>
                </c:pt>
                <c:pt idx="190">
                  <c:v>16.128402903811253</c:v>
                </c:pt>
                <c:pt idx="191">
                  <c:v>23.356147855654271</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73"/>
                <c:pt idx="172">
                  <c:v>u</c:v>
                </c:pt>
              </c:strCache>
            </c:strRef>
          </c:cat>
          <c:val>
            <c:numRef>
              <c:f>[0]!MarkData</c:f>
              <c:numCache>
                <c:formatCode>0.00</c:formatCode>
                <c:ptCount val="192"/>
                <c:pt idx="0">
                  <c:v>1.4250348135540771</c:v>
                </c:pt>
                <c:pt idx="1">
                  <c:v>2.6180457895032907</c:v>
                </c:pt>
                <c:pt idx="2">
                  <c:v>2.6425392560248553</c:v>
                </c:pt>
                <c:pt idx="3">
                  <c:v>2.7058096415327566</c:v>
                </c:pt>
                <c:pt idx="4">
                  <c:v>2.7576582709326072</c:v>
                </c:pt>
                <c:pt idx="5">
                  <c:v>2.8454072904329517</c:v>
                </c:pt>
                <c:pt idx="6">
                  <c:v>2.9200943149069949</c:v>
                </c:pt>
                <c:pt idx="7">
                  <c:v>2.9632132610774624</c:v>
                </c:pt>
                <c:pt idx="8">
                  <c:v>3.4104238618524332</c:v>
                </c:pt>
                <c:pt idx="9">
                  <c:v>3.466943866943867</c:v>
                </c:pt>
                <c:pt idx="10">
                  <c:v>3.663800370932389</c:v>
                </c:pt>
                <c:pt idx="11">
                  <c:v>3.7566735498404356</c:v>
                </c:pt>
                <c:pt idx="12">
                  <c:v>3.8215256477394579</c:v>
                </c:pt>
                <c:pt idx="13">
                  <c:v>3.8476451374986831</c:v>
                </c:pt>
                <c:pt idx="14">
                  <c:v>3.8480672500516779</c:v>
                </c:pt>
                <c:pt idx="15">
                  <c:v>3.9666061198826323</c:v>
                </c:pt>
                <c:pt idx="16">
                  <c:v>3.9783733188827037</c:v>
                </c:pt>
                <c:pt idx="17">
                  <c:v>4.0188679245283021</c:v>
                </c:pt>
                <c:pt idx="18">
                  <c:v>4.0396610336502929</c:v>
                </c:pt>
                <c:pt idx="19">
                  <c:v>4.0574549581500925</c:v>
                </c:pt>
                <c:pt idx="20">
                  <c:v>4.2235507109719759</c:v>
                </c:pt>
                <c:pt idx="21">
                  <c:v>4.2906208198914157</c:v>
                </c:pt>
                <c:pt idx="22">
                  <c:v>4.3155514778163706</c:v>
                </c:pt>
                <c:pt idx="23">
                  <c:v>4.329063375168551</c:v>
                </c:pt>
                <c:pt idx="24">
                  <c:v>4.3933456361267913</c:v>
                </c:pt>
                <c:pt idx="25">
                  <c:v>4.4851788224269873</c:v>
                </c:pt>
                <c:pt idx="26">
                  <c:v>4.5784836987975046</c:v>
                </c:pt>
                <c:pt idx="27">
                  <c:v>4.591202399345633</c:v>
                </c:pt>
                <c:pt idx="28">
                  <c:v>4.6312603192074846</c:v>
                </c:pt>
                <c:pt idx="29">
                  <c:v>4.6454097626511421</c:v>
                </c:pt>
                <c:pt idx="30">
                  <c:v>4.7284090053459833</c:v>
                </c:pt>
                <c:pt idx="31">
                  <c:v>4.7471072541165995</c:v>
                </c:pt>
                <c:pt idx="32">
                  <c:v>4.8117810489374149</c:v>
                </c:pt>
                <c:pt idx="33">
                  <c:v>4.8138569604086845</c:v>
                </c:pt>
                <c:pt idx="34">
                  <c:v>4.904138641459129</c:v>
                </c:pt>
                <c:pt idx="35">
                  <c:v>4.9530446169675431</c:v>
                </c:pt>
                <c:pt idx="36">
                  <c:v>4.9679826270950498</c:v>
                </c:pt>
                <c:pt idx="37">
                  <c:v>4.9852369852369849</c:v>
                </c:pt>
                <c:pt idx="38">
                  <c:v>4.9856616376828287</c:v>
                </c:pt>
                <c:pt idx="39">
                  <c:v>5.0284566454636757</c:v>
                </c:pt>
                <c:pt idx="40">
                  <c:v>5.1213192343408318</c:v>
                </c:pt>
                <c:pt idx="41">
                  <c:v>5.1304675716440427</c:v>
                </c:pt>
                <c:pt idx="42">
                  <c:v>5.1312144486936404</c:v>
                </c:pt>
                <c:pt idx="43">
                  <c:v>5.1492880559769043</c:v>
                </c:pt>
                <c:pt idx="44">
                  <c:v>5.157262484107151</c:v>
                </c:pt>
                <c:pt idx="45">
                  <c:v>5.166774089590719</c:v>
                </c:pt>
                <c:pt idx="46">
                  <c:v>5.2753050063104752</c:v>
                </c:pt>
                <c:pt idx="47">
                  <c:v>5.3113094690346925</c:v>
                </c:pt>
                <c:pt idx="48">
                  <c:v>5.3362110311750603</c:v>
                </c:pt>
                <c:pt idx="49">
                  <c:v>5.341253584596477</c:v>
                </c:pt>
                <c:pt idx="50">
                  <c:v>5.3455858221201185</c:v>
                </c:pt>
                <c:pt idx="51">
                  <c:v>5.3466486120514558</c:v>
                </c:pt>
                <c:pt idx="52">
                  <c:v>5.4202515810688716</c:v>
                </c:pt>
                <c:pt idx="53">
                  <c:v>5.4934971404363484</c:v>
                </c:pt>
                <c:pt idx="54">
                  <c:v>5.5407377985204311</c:v>
                </c:pt>
                <c:pt idx="55">
                  <c:v>5.5815371525808279</c:v>
                </c:pt>
                <c:pt idx="56">
                  <c:v>5.5931467476608843</c:v>
                </c:pt>
                <c:pt idx="57">
                  <c:v>5.6096203095423673</c:v>
                </c:pt>
                <c:pt idx="58">
                  <c:v>5.6297994009258421</c:v>
                </c:pt>
                <c:pt idx="59">
                  <c:v>5.6660818713450292</c:v>
                </c:pt>
                <c:pt idx="60">
                  <c:v>5.7146600617416903</c:v>
                </c:pt>
                <c:pt idx="61">
                  <c:v>5.7191469732453335</c:v>
                </c:pt>
                <c:pt idx="62">
                  <c:v>5.7270270270270274</c:v>
                </c:pt>
                <c:pt idx="63">
                  <c:v>5.777402186421174</c:v>
                </c:pt>
                <c:pt idx="64">
                  <c:v>5.7996616723054615</c:v>
                </c:pt>
                <c:pt idx="65">
                  <c:v>5.8001367885097652</c:v>
                </c:pt>
                <c:pt idx="66">
                  <c:v>5.8048115806130225</c:v>
                </c:pt>
                <c:pt idx="67">
                  <c:v>5.8577297001232367</c:v>
                </c:pt>
                <c:pt idx="68">
                  <c:v>5.8645399357219379</c:v>
                </c:pt>
                <c:pt idx="69">
                  <c:v>5.8687818253035644</c:v>
                </c:pt>
                <c:pt idx="70">
                  <c:v>5.9700294582248219</c:v>
                </c:pt>
                <c:pt idx="71">
                  <c:v>5.9822073734509145</c:v>
                </c:pt>
                <c:pt idx="72">
                  <c:v>6.0389410022216738</c:v>
                </c:pt>
                <c:pt idx="73">
                  <c:v>6.0519275399690562</c:v>
                </c:pt>
                <c:pt idx="74">
                  <c:v>6.0892448512585808</c:v>
                </c:pt>
                <c:pt idx="75">
                  <c:v>6.1096268491940826</c:v>
                </c:pt>
                <c:pt idx="76">
                  <c:v>6.2665420172431698</c:v>
                </c:pt>
                <c:pt idx="77">
                  <c:v>6.2759835079883182</c:v>
                </c:pt>
                <c:pt idx="78">
                  <c:v>6.2872034079821031</c:v>
                </c:pt>
                <c:pt idx="79">
                  <c:v>6.3330967741935487</c:v>
                </c:pt>
                <c:pt idx="80">
                  <c:v>6.3579752736116744</c:v>
                </c:pt>
                <c:pt idx="81">
                  <c:v>6.3791605084244756</c:v>
                </c:pt>
                <c:pt idx="82">
                  <c:v>6.4517194957777502</c:v>
                </c:pt>
                <c:pt idx="83">
                  <c:v>6.4616651881890759</c:v>
                </c:pt>
                <c:pt idx="84">
                  <c:v>6.5498787571194947</c:v>
                </c:pt>
                <c:pt idx="85">
                  <c:v>6.5627851401260049</c:v>
                </c:pt>
                <c:pt idx="86">
                  <c:v>6.5646317618944163</c:v>
                </c:pt>
                <c:pt idx="87">
                  <c:v>6.6065132659319783</c:v>
                </c:pt>
                <c:pt idx="88">
                  <c:v>6.6760875010436669</c:v>
                </c:pt>
                <c:pt idx="89">
                  <c:v>6.7021554539516659</c:v>
                </c:pt>
                <c:pt idx="90">
                  <c:v>6.7234507897934384</c:v>
                </c:pt>
                <c:pt idx="91">
                  <c:v>6.8188577811910909</c:v>
                </c:pt>
                <c:pt idx="92">
                  <c:v>6.8419940109212609</c:v>
                </c:pt>
                <c:pt idx="93">
                  <c:v>6.8634482758620692</c:v>
                </c:pt>
                <c:pt idx="94">
                  <c:v>6.87052</c:v>
                </c:pt>
                <c:pt idx="95">
                  <c:v>6.8877251780477584</c:v>
                </c:pt>
                <c:pt idx="96">
                  <c:v>6.8947734922047275</c:v>
                </c:pt>
                <c:pt idx="97">
                  <c:v>6.950458190148912</c:v>
                </c:pt>
                <c:pt idx="98">
                  <c:v>6.9685308705318967</c:v>
                </c:pt>
                <c:pt idx="99">
                  <c:v>6.9772429674448002</c:v>
                </c:pt>
                <c:pt idx="100">
                  <c:v>6.9974772502027207</c:v>
                </c:pt>
                <c:pt idx="101">
                  <c:v>7.0023287405394914</c:v>
                </c:pt>
                <c:pt idx="102">
                  <c:v>7.0106124713879447</c:v>
                </c:pt>
                <c:pt idx="103">
                  <c:v>7.0145889241278363</c:v>
                </c:pt>
                <c:pt idx="104">
                  <c:v>7.0662689664116201</c:v>
                </c:pt>
                <c:pt idx="105">
                  <c:v>7.0889522368956888</c:v>
                </c:pt>
                <c:pt idx="106">
                  <c:v>7.1096578424191694</c:v>
                </c:pt>
                <c:pt idx="107">
                  <c:v>7.1255790866975515</c:v>
                </c:pt>
                <c:pt idx="108">
                  <c:v>7.1450692109173382</c:v>
                </c:pt>
                <c:pt idx="109">
                  <c:v>7.1802740346506626</c:v>
                </c:pt>
                <c:pt idx="110">
                  <c:v>7.2132624070603883</c:v>
                </c:pt>
                <c:pt idx="111">
                  <c:v>7.216631782321687</c:v>
                </c:pt>
                <c:pt idx="112">
                  <c:v>7.2417544265709983</c:v>
                </c:pt>
                <c:pt idx="113">
                  <c:v>7.2477904808238058</c:v>
                </c:pt>
                <c:pt idx="114">
                  <c:v>7.3195143849787252</c:v>
                </c:pt>
                <c:pt idx="115">
                  <c:v>7.3292522955837338</c:v>
                </c:pt>
                <c:pt idx="116">
                  <c:v>7.3674714778455828</c:v>
                </c:pt>
                <c:pt idx="117">
                  <c:v>7.4994899115846749</c:v>
                </c:pt>
                <c:pt idx="118">
                  <c:v>7.5318864562118124</c:v>
                </c:pt>
                <c:pt idx="119">
                  <c:v>7.5929598413485371</c:v>
                </c:pt>
                <c:pt idx="120">
                  <c:v>7.6510906543926351</c:v>
                </c:pt>
                <c:pt idx="121">
                  <c:v>7.6647622558053818</c:v>
                </c:pt>
                <c:pt idx="122">
                  <c:v>7.6705873425405979</c:v>
                </c:pt>
                <c:pt idx="123">
                  <c:v>7.6913685648424828</c:v>
                </c:pt>
                <c:pt idx="124">
                  <c:v>7.7503097195630142</c:v>
                </c:pt>
                <c:pt idx="125">
                  <c:v>7.7518356265811068</c:v>
                </c:pt>
                <c:pt idx="126">
                  <c:v>7.7816406052325284</c:v>
                </c:pt>
                <c:pt idx="127">
                  <c:v>7.8483732351135664</c:v>
                </c:pt>
                <c:pt idx="128">
                  <c:v>7.8723311966841774</c:v>
                </c:pt>
                <c:pt idx="129">
                  <c:v>7.8779915736437474</c:v>
                </c:pt>
                <c:pt idx="130">
                  <c:v>7.9104083031430532</c:v>
                </c:pt>
                <c:pt idx="131">
                  <c:v>7.9435675373655537</c:v>
                </c:pt>
                <c:pt idx="132">
                  <c:v>7.9628841362126241</c:v>
                </c:pt>
                <c:pt idx="133">
                  <c:v>8.0159323687205326</c:v>
                </c:pt>
                <c:pt idx="134">
                  <c:v>8.1209202076185445</c:v>
                </c:pt>
                <c:pt idx="135">
                  <c:v>8.1518984120521178</c:v>
                </c:pt>
                <c:pt idx="136">
                  <c:v>8.1773774406517763</c:v>
                </c:pt>
                <c:pt idx="137">
                  <c:v>8.1869023471457556</c:v>
                </c:pt>
                <c:pt idx="138">
                  <c:v>8.2510371933910758</c:v>
                </c:pt>
                <c:pt idx="139">
                  <c:v>8.432047477744808</c:v>
                </c:pt>
                <c:pt idx="140">
                  <c:v>8.5021167029981353</c:v>
                </c:pt>
                <c:pt idx="141">
                  <c:v>8.6149565689467966</c:v>
                </c:pt>
                <c:pt idx="142">
                  <c:v>8.7661691542288551</c:v>
                </c:pt>
                <c:pt idx="143">
                  <c:v>8.8120669599959545</c:v>
                </c:pt>
                <c:pt idx="144">
                  <c:v>8.818432374294165</c:v>
                </c:pt>
                <c:pt idx="145">
                  <c:v>8.8856982927511901</c:v>
                </c:pt>
                <c:pt idx="146">
                  <c:v>8.9520795308920036</c:v>
                </c:pt>
                <c:pt idx="147">
                  <c:v>8.98118369006691</c:v>
                </c:pt>
                <c:pt idx="148">
                  <c:v>9.1441911740864441</c:v>
                </c:pt>
                <c:pt idx="149">
                  <c:v>9.1597659765976598</c:v>
                </c:pt>
                <c:pt idx="150">
                  <c:v>9.253033472803347</c:v>
                </c:pt>
                <c:pt idx="151">
                  <c:v>9.2927053266859101</c:v>
                </c:pt>
                <c:pt idx="152">
                  <c:v>9.2943856742289057</c:v>
                </c:pt>
                <c:pt idx="153">
                  <c:v>9.6827120822622099</c:v>
                </c:pt>
                <c:pt idx="154">
                  <c:v>9.710198431010614</c:v>
                </c:pt>
                <c:pt idx="155">
                  <c:v>9.7740054155384293</c:v>
                </c:pt>
                <c:pt idx="156">
                  <c:v>9.7799246317231923</c:v>
                </c:pt>
                <c:pt idx="157">
                  <c:v>9.8204052098408106</c:v>
                </c:pt>
                <c:pt idx="158">
                  <c:v>9.896448206018519</c:v>
                </c:pt>
                <c:pt idx="159">
                  <c:v>9.9836593216142617</c:v>
                </c:pt>
                <c:pt idx="160">
                  <c:v>10.22347475575596</c:v>
                </c:pt>
                <c:pt idx="161">
                  <c:v>10.42640922850364</c:v>
                </c:pt>
                <c:pt idx="162">
                  <c:v>10.439509519606608</c:v>
                </c:pt>
                <c:pt idx="163">
                  <c:v>10.451952635773655</c:v>
                </c:pt>
                <c:pt idx="164">
                  <c:v>10.4849395327875</c:v>
                </c:pt>
                <c:pt idx="165">
                  <c:v>10.650170955551557</c:v>
                </c:pt>
                <c:pt idx="166">
                  <c:v>10.687137585661571</c:v>
                </c:pt>
                <c:pt idx="167">
                  <c:v>10.725261108160737</c:v>
                </c:pt>
                <c:pt idx="168">
                  <c:v>10.808453548759378</c:v>
                </c:pt>
                <c:pt idx="169">
                  <c:v>10.861514105525421</c:v>
                </c:pt>
                <c:pt idx="170">
                  <c:v>10.908317143121472</c:v>
                </c:pt>
                <c:pt idx="171">
                  <c:v>10.970383275261325</c:v>
                </c:pt>
                <c:pt idx="172">
                  <c:v>11.015070716438673</c:v>
                </c:pt>
                <c:pt idx="173">
                  <c:v>11.180386673151752</c:v>
                </c:pt>
                <c:pt idx="174">
                  <c:v>11.189828639683926</c:v>
                </c:pt>
                <c:pt idx="175">
                  <c:v>11.236641447856401</c:v>
                </c:pt>
                <c:pt idx="176">
                  <c:v>11.502347417840376</c:v>
                </c:pt>
                <c:pt idx="177">
                  <c:v>11.597382545401073</c:v>
                </c:pt>
                <c:pt idx="178">
                  <c:v>12.403643223486412</c:v>
                </c:pt>
                <c:pt idx="179">
                  <c:v>12.603362911522634</c:v>
                </c:pt>
                <c:pt idx="180">
                  <c:v>12.6431380605776</c:v>
                </c:pt>
                <c:pt idx="181">
                  <c:v>12.737129253050293</c:v>
                </c:pt>
                <c:pt idx="182">
                  <c:v>12.835946924004825</c:v>
                </c:pt>
                <c:pt idx="183">
                  <c:v>13.082076195346458</c:v>
                </c:pt>
                <c:pt idx="184">
                  <c:v>13.285353535353535</c:v>
                </c:pt>
                <c:pt idx="185">
                  <c:v>13.44885164494103</c:v>
                </c:pt>
                <c:pt idx="186">
                  <c:v>13.754559009060673</c:v>
                </c:pt>
                <c:pt idx="187">
                  <c:v>14.292982096487632</c:v>
                </c:pt>
                <c:pt idx="188">
                  <c:v>14.639803234078183</c:v>
                </c:pt>
                <c:pt idx="189">
                  <c:v>15.789827754306142</c:v>
                </c:pt>
                <c:pt idx="190">
                  <c:v>16.128402903811253</c:v>
                </c:pt>
                <c:pt idx="191">
                  <c:v>23.356147855654271</c:v>
                </c:pt>
              </c:numCache>
            </c:numRef>
          </c:val>
        </c:ser>
        <c:dLbls>
          <c:showLegendKey val="0"/>
          <c:showVal val="0"/>
          <c:showCatName val="0"/>
          <c:showSerName val="0"/>
          <c:showPercent val="0"/>
          <c:showBubbleSize val="0"/>
        </c:dLbls>
        <c:gapWidth val="0"/>
        <c:overlap val="100"/>
        <c:axId val="548702760"/>
        <c:axId val="548800160"/>
      </c:barChart>
      <c:catAx>
        <c:axId val="548702760"/>
        <c:scaling>
          <c:orientation val="minMax"/>
        </c:scaling>
        <c:delete val="0"/>
        <c:axPos val="b"/>
        <c:numFmt formatCode="General" sourceLinked="1"/>
        <c:majorTickMark val="none"/>
        <c:minorTickMark val="none"/>
        <c:tickLblPos val="none"/>
        <c:crossAx val="548800160"/>
        <c:crosses val="autoZero"/>
        <c:auto val="1"/>
        <c:lblAlgn val="ctr"/>
        <c:lblOffset val="100"/>
        <c:noMultiLvlLbl val="0"/>
      </c:catAx>
      <c:valAx>
        <c:axId val="54880016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48702760"/>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11.015070716438673</c:v>
                </c:pt>
                <c:pt idx="1">
                  <c:v>7.3200906564054371</c:v>
                </c:pt>
                <c:pt idx="2">
                  <c:v>7.0490072541273019</c:v>
                </c:pt>
                <c:pt idx="3">
                  <c:v>9.5548744524057732</c:v>
                </c:pt>
                <c:pt idx="4">
                  <c:v>7.1331610228782383</c:v>
                </c:pt>
              </c:numCache>
            </c:numRef>
          </c:val>
        </c:ser>
        <c:dLbls>
          <c:showLegendKey val="0"/>
          <c:showVal val="0"/>
          <c:showCatName val="0"/>
          <c:showSerName val="0"/>
          <c:showPercent val="0"/>
          <c:showBubbleSize val="0"/>
        </c:dLbls>
        <c:gapWidth val="39"/>
        <c:overlap val="100"/>
        <c:axId val="548801336"/>
        <c:axId val="54880172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5.3299856406399684</c:v>
                </c:pt>
                <c:pt idx="1">
                  <c:v>5.3299856406399684</c:v>
                </c:pt>
                <c:pt idx="2">
                  <c:v>5.3299856406399684</c:v>
                </c:pt>
                <c:pt idx="3">
                  <c:v>5.3299856406399684</c:v>
                </c:pt>
                <c:pt idx="4">
                  <c:v>5.3299856406399684</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6.8912493351262434</c:v>
                </c:pt>
                <c:pt idx="1">
                  <c:v>6.8912493351262434</c:v>
                </c:pt>
                <c:pt idx="2">
                  <c:v>6.8912493351262434</c:v>
                </c:pt>
                <c:pt idx="3">
                  <c:v>6.8912493351262434</c:v>
                </c:pt>
                <c:pt idx="4">
                  <c:v>6.8912493351262434</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8.8136583135705067</c:v>
                </c:pt>
                <c:pt idx="1">
                  <c:v>8.8136583135705067</c:v>
                </c:pt>
                <c:pt idx="2">
                  <c:v>8.8136583135705067</c:v>
                </c:pt>
                <c:pt idx="3">
                  <c:v>8.8136583135705067</c:v>
                </c:pt>
                <c:pt idx="4">
                  <c:v>8.8136583135705067</c:v>
                </c:pt>
              </c:numCache>
            </c:numRef>
          </c:val>
          <c:smooth val="0"/>
        </c:ser>
        <c:dLbls>
          <c:showLegendKey val="0"/>
          <c:showVal val="0"/>
          <c:showCatName val="0"/>
          <c:showSerName val="0"/>
          <c:showPercent val="0"/>
          <c:showBubbleSize val="0"/>
        </c:dLbls>
        <c:marker val="1"/>
        <c:smooth val="0"/>
        <c:axId val="548801336"/>
        <c:axId val="548801728"/>
      </c:lineChart>
      <c:catAx>
        <c:axId val="54880133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8801728"/>
        <c:crosses val="autoZero"/>
        <c:auto val="1"/>
        <c:lblAlgn val="ctr"/>
        <c:lblOffset val="100"/>
        <c:noMultiLvlLbl val="0"/>
      </c:catAx>
      <c:valAx>
        <c:axId val="54880172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8801336"/>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11.015070716438673</c:v>
                </c:pt>
                <c:pt idx="1">
                  <c:v>7.5551671376880911</c:v>
                </c:pt>
                <c:pt idx="2">
                  <c:v>8.4350992156115154</c:v>
                </c:pt>
                <c:pt idx="3">
                  <c:v>6.9971561022261453</c:v>
                </c:pt>
              </c:numCache>
            </c:numRef>
          </c:val>
        </c:ser>
        <c:dLbls>
          <c:showLegendKey val="0"/>
          <c:showVal val="0"/>
          <c:showCatName val="0"/>
          <c:showSerName val="0"/>
          <c:showPercent val="0"/>
          <c:showBubbleSize val="0"/>
        </c:dLbls>
        <c:gapWidth val="39"/>
        <c:overlap val="100"/>
        <c:axId val="548802512"/>
        <c:axId val="54880290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5.3299856406399684</c:v>
                </c:pt>
                <c:pt idx="1">
                  <c:v>5.3299856406399684</c:v>
                </c:pt>
                <c:pt idx="2">
                  <c:v>5.3299856406399684</c:v>
                </c:pt>
                <c:pt idx="3">
                  <c:v>5.3299856406399684</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6.8912493351262434</c:v>
                </c:pt>
                <c:pt idx="1">
                  <c:v>6.8912493351262434</c:v>
                </c:pt>
                <c:pt idx="2">
                  <c:v>6.8912493351262434</c:v>
                </c:pt>
                <c:pt idx="3">
                  <c:v>6.8912493351262434</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8.8136583135705067</c:v>
                </c:pt>
                <c:pt idx="1">
                  <c:v>8.8136583135705067</c:v>
                </c:pt>
                <c:pt idx="2">
                  <c:v>8.8136583135705067</c:v>
                </c:pt>
                <c:pt idx="3">
                  <c:v>8.8136583135705067</c:v>
                </c:pt>
              </c:numCache>
            </c:numRef>
          </c:val>
          <c:smooth val="0"/>
        </c:ser>
        <c:dLbls>
          <c:showLegendKey val="0"/>
          <c:showVal val="0"/>
          <c:showCatName val="0"/>
          <c:showSerName val="0"/>
          <c:showPercent val="0"/>
          <c:showBubbleSize val="0"/>
        </c:dLbls>
        <c:marker val="1"/>
        <c:smooth val="0"/>
        <c:axId val="548802512"/>
        <c:axId val="548802904"/>
      </c:lineChart>
      <c:catAx>
        <c:axId val="54880251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8802904"/>
        <c:crosses val="autoZero"/>
        <c:auto val="1"/>
        <c:lblAlgn val="ctr"/>
        <c:lblOffset val="100"/>
        <c:noMultiLvlLbl val="0"/>
      </c:catAx>
      <c:valAx>
        <c:axId val="54880290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880251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topLeftCell="A8"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6" t="str">
        <f>VLOOKUP('Filtered Data'!D1,'Filtered Data'!L1:O6,3,FALSE)</f>
        <v>District</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row>
    <row r="2" spans="2:40"/>
    <row r="3" spans="2:40" ht="19.5" customHeight="1">
      <c r="B3" s="324" t="str">
        <f>Data!B3</f>
        <v>Speed of Processing</v>
      </c>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row>
    <row r="4" spans="2:40">
      <c r="D4" s="3"/>
      <c r="E4" s="3"/>
    </row>
    <row r="5" spans="2:40" ht="15.75" customHeight="1">
      <c r="B5" s="312" t="s">
        <v>335</v>
      </c>
      <c r="C5" s="312"/>
      <c r="D5" s="312"/>
      <c r="E5" s="312"/>
      <c r="J5" s="316" t="s">
        <v>6</v>
      </c>
      <c r="K5" s="316"/>
      <c r="L5" s="316"/>
      <c r="M5" s="316"/>
      <c r="N5" s="316"/>
      <c r="O5" s="316"/>
      <c r="P5" s="316"/>
      <c r="Q5" s="316"/>
      <c r="R5" s="316"/>
      <c r="S5" s="316"/>
      <c r="W5" s="291" t="s">
        <v>365</v>
      </c>
      <c r="X5" s="292"/>
      <c r="Y5" s="292"/>
      <c r="Z5" s="292"/>
      <c r="AA5" s="292"/>
      <c r="AB5" s="292"/>
      <c r="AC5" s="292"/>
      <c r="AD5" s="292"/>
      <c r="AE5" s="292"/>
      <c r="AF5" s="292"/>
      <c r="AG5" s="292"/>
      <c r="AH5" s="292"/>
      <c r="AI5" s="292"/>
      <c r="AJ5" s="292"/>
      <c r="AK5" s="292"/>
      <c r="AL5" s="292"/>
      <c r="AM5" s="293"/>
    </row>
    <row r="6" spans="2:40" ht="17.25" customHeight="1">
      <c r="J6" s="316"/>
      <c r="K6" s="316"/>
      <c r="L6" s="316"/>
      <c r="M6" s="316"/>
      <c r="N6" s="316"/>
      <c r="O6" s="316"/>
      <c r="P6" s="316"/>
      <c r="Q6" s="316"/>
      <c r="R6" s="316"/>
      <c r="S6" s="316"/>
      <c r="W6" s="294" t="s">
        <v>897</v>
      </c>
      <c r="X6" s="295"/>
      <c r="Y6" s="295"/>
      <c r="Z6" s="295"/>
      <c r="AA6" s="295"/>
      <c r="AB6" s="295"/>
      <c r="AC6" s="295"/>
      <c r="AD6" s="295"/>
      <c r="AE6" s="295"/>
      <c r="AF6" s="295"/>
      <c r="AG6" s="295"/>
      <c r="AH6" s="295"/>
      <c r="AI6" s="295"/>
      <c r="AJ6" s="295"/>
      <c r="AK6" s="295"/>
      <c r="AL6" s="295"/>
      <c r="AM6" s="296"/>
    </row>
    <row r="7" spans="2:40" ht="12.75" customHeight="1">
      <c r="W7" s="294"/>
      <c r="X7" s="295"/>
      <c r="Y7" s="295"/>
      <c r="Z7" s="295"/>
      <c r="AA7" s="295"/>
      <c r="AB7" s="295"/>
      <c r="AC7" s="295"/>
      <c r="AD7" s="295"/>
      <c r="AE7" s="295"/>
      <c r="AF7" s="295"/>
      <c r="AG7" s="295"/>
      <c r="AH7" s="295"/>
      <c r="AI7" s="295"/>
      <c r="AJ7" s="295"/>
      <c r="AK7" s="295"/>
      <c r="AL7" s="295"/>
      <c r="AM7" s="296"/>
    </row>
    <row r="8" spans="2:40" ht="12.75" customHeight="1">
      <c r="B8" s="317" t="str">
        <f>IF('Filtered Data'!D1="L","County:","Type of Authority:")</f>
        <v>Type of Authority:</v>
      </c>
      <c r="C8" s="318"/>
      <c r="D8" s="318"/>
      <c r="E8" s="318"/>
      <c r="F8" s="318"/>
      <c r="G8" s="318"/>
      <c r="H8" s="318"/>
      <c r="I8" s="318"/>
      <c r="J8" s="79" t="str">
        <f>IF('Filtered Data'!D1="L",'Filtered Data'!I3,VLOOKUP('Filtered Data'!D1,'Filtered Data'!L1:O5,3,FALSE))</f>
        <v>District</v>
      </c>
      <c r="K8" s="79"/>
      <c r="L8" s="79"/>
      <c r="M8" s="79"/>
      <c r="N8" s="79"/>
      <c r="O8" s="79"/>
      <c r="P8" s="79"/>
      <c r="Q8" s="79"/>
      <c r="R8" s="79"/>
      <c r="W8" s="294"/>
      <c r="X8" s="295"/>
      <c r="Y8" s="295"/>
      <c r="Z8" s="295"/>
      <c r="AA8" s="295"/>
      <c r="AB8" s="295"/>
      <c r="AC8" s="295"/>
      <c r="AD8" s="295"/>
      <c r="AE8" s="295"/>
      <c r="AF8" s="295"/>
      <c r="AG8" s="295"/>
      <c r="AH8" s="295"/>
      <c r="AI8" s="295"/>
      <c r="AJ8" s="295"/>
      <c r="AK8" s="295"/>
      <c r="AL8" s="295"/>
      <c r="AM8" s="296"/>
    </row>
    <row r="9" spans="2:40" ht="12.75" customHeight="1">
      <c r="B9" s="317" t="str">
        <f>IF('Filtered Data'!D1="L","Rural Classification:","Region:")</f>
        <v>Region:</v>
      </c>
      <c r="C9" s="318"/>
      <c r="D9" s="318"/>
      <c r="E9" s="318"/>
      <c r="F9" s="318"/>
      <c r="G9" s="318"/>
      <c r="H9" s="318"/>
      <c r="I9" s="318"/>
      <c r="J9" s="79" t="str">
        <f>IF('Filtered Data'!D1="L",'Filtered Data'!H3,'Filtered Data'!G3)</f>
        <v>North West</v>
      </c>
      <c r="K9" s="79"/>
      <c r="L9" s="79"/>
      <c r="M9" s="79"/>
      <c r="N9" s="79"/>
      <c r="O9" s="79"/>
      <c r="P9" s="79"/>
      <c r="Q9" s="79"/>
      <c r="R9" s="79"/>
      <c r="W9" s="294"/>
      <c r="X9" s="295"/>
      <c r="Y9" s="295"/>
      <c r="Z9" s="295"/>
      <c r="AA9" s="295"/>
      <c r="AB9" s="295"/>
      <c r="AC9" s="295"/>
      <c r="AD9" s="295"/>
      <c r="AE9" s="295"/>
      <c r="AF9" s="295"/>
      <c r="AG9" s="295"/>
      <c r="AH9" s="295"/>
      <c r="AI9" s="295"/>
      <c r="AJ9" s="295"/>
      <c r="AK9" s="295"/>
      <c r="AL9" s="295"/>
      <c r="AM9" s="296"/>
    </row>
    <row r="10" spans="2:40" ht="12.75" customHeight="1">
      <c r="B10" s="318" t="str">
        <f>IF('Filtered Data'!D1="L","",IF('Filtered Data'!D1="SC","Rural Classification:",IF('Filtered Data'!D1="UA","Rural Classification:","County:")))</f>
        <v>County:</v>
      </c>
      <c r="C10" s="318"/>
      <c r="D10" s="318"/>
      <c r="E10" s="318"/>
      <c r="F10" s="318"/>
      <c r="G10" s="318"/>
      <c r="H10" s="318"/>
      <c r="I10" s="318"/>
      <c r="J10" s="281" t="str">
        <f>IF('Filtered Data'!D1="L","",IF('Filtered Data'!D1="MD",'Filtered Data'!I3,IF('Filtered Data'!D1="SD",'Filtered Data'!I3,'Filtered Data'!H3)))</f>
        <v>Cumbria</v>
      </c>
      <c r="K10" s="281"/>
      <c r="L10" s="281"/>
      <c r="M10" s="281"/>
      <c r="N10" s="281"/>
      <c r="O10" s="281"/>
      <c r="P10" s="281"/>
      <c r="Q10" s="281"/>
      <c r="R10" s="281"/>
      <c r="W10" s="294"/>
      <c r="X10" s="295"/>
      <c r="Y10" s="295"/>
      <c r="Z10" s="295"/>
      <c r="AA10" s="295"/>
      <c r="AB10" s="295"/>
      <c r="AC10" s="295"/>
      <c r="AD10" s="295"/>
      <c r="AE10" s="295"/>
      <c r="AF10" s="295"/>
      <c r="AG10" s="295"/>
      <c r="AH10" s="295"/>
      <c r="AI10" s="295"/>
      <c r="AJ10" s="295"/>
      <c r="AK10" s="295"/>
      <c r="AL10" s="295"/>
      <c r="AM10" s="296"/>
    </row>
    <row r="11" spans="2:40" ht="12.75" customHeight="1">
      <c r="B11" s="318" t="str">
        <f>IF('Filtered Data'!D1="L","",IF('Filtered Data'!D1="SC","",IF('Filtered Data'!D1="UA","","Rural Classification:")))</f>
        <v>Rural Classification:</v>
      </c>
      <c r="C11" s="318"/>
      <c r="D11" s="318"/>
      <c r="E11" s="318"/>
      <c r="F11" s="318"/>
      <c r="G11" s="318"/>
      <c r="H11" s="318"/>
      <c r="I11" s="318"/>
      <c r="J11" s="79" t="str">
        <f>IF('Filtered Data'!D1="MD",'Filtered Data'!H3,IF('Filtered Data'!D1="SD",'Filtered Data'!H3,""))</f>
        <v>Rural-80</v>
      </c>
      <c r="K11" s="79"/>
      <c r="W11" s="300" t="s">
        <v>369</v>
      </c>
      <c r="X11" s="301"/>
      <c r="Y11" s="301"/>
      <c r="Z11" s="301"/>
      <c r="AA11" s="301"/>
      <c r="AB11" s="301"/>
      <c r="AC11" s="301"/>
      <c r="AD11" s="301"/>
      <c r="AE11" s="301"/>
      <c r="AF11" s="301"/>
      <c r="AG11" s="301"/>
      <c r="AH11" s="301"/>
      <c r="AI11" s="301"/>
      <c r="AJ11" s="301"/>
      <c r="AK11" s="301"/>
      <c r="AL11" s="301"/>
      <c r="AM11" s="302"/>
    </row>
    <row r="12" spans="2:40" ht="12.75" customHeight="1">
      <c r="W12" s="347" t="s">
        <v>902</v>
      </c>
      <c r="X12" s="348"/>
      <c r="Y12" s="348"/>
      <c r="Z12" s="348"/>
      <c r="AA12" s="348"/>
      <c r="AB12" s="348"/>
      <c r="AC12" s="348"/>
      <c r="AD12" s="348"/>
      <c r="AE12" s="348"/>
      <c r="AF12" s="348"/>
      <c r="AG12" s="348"/>
      <c r="AH12" s="348"/>
      <c r="AI12" s="348"/>
      <c r="AJ12" s="348"/>
      <c r="AK12" s="348"/>
      <c r="AL12" s="348"/>
      <c r="AM12" s="349"/>
    </row>
    <row r="13" spans="2:40" ht="12.75" customHeight="1">
      <c r="B13" s="25"/>
      <c r="C13" s="25"/>
      <c r="D13" s="25"/>
      <c r="E13" s="25"/>
      <c r="F13" s="25"/>
      <c r="G13" s="25"/>
      <c r="H13" s="25"/>
      <c r="I13" s="25"/>
      <c r="J13" s="3"/>
      <c r="K13" s="3"/>
      <c r="L13" s="3"/>
      <c r="M13" s="3"/>
      <c r="N13" s="3"/>
      <c r="O13" s="3"/>
      <c r="P13" s="3"/>
      <c r="Q13" s="3"/>
      <c r="R13" s="3"/>
      <c r="W13" s="320" t="s">
        <v>370</v>
      </c>
      <c r="X13" s="321"/>
      <c r="Y13" s="321"/>
      <c r="Z13" s="321"/>
      <c r="AA13" s="321"/>
      <c r="AB13" s="321"/>
      <c r="AC13" s="321"/>
      <c r="AD13" s="321"/>
      <c r="AE13" s="321"/>
      <c r="AF13" s="321"/>
      <c r="AG13" s="321"/>
      <c r="AH13" s="321"/>
      <c r="AI13" s="321"/>
      <c r="AJ13" s="321"/>
      <c r="AK13" s="321"/>
      <c r="AL13" s="321"/>
      <c r="AM13" s="322"/>
    </row>
    <row r="14" spans="2:40" ht="25.5" customHeight="1">
      <c r="B14" s="25"/>
      <c r="C14" s="25"/>
      <c r="D14" s="25"/>
      <c r="E14" s="25"/>
      <c r="F14" s="25"/>
      <c r="G14" s="25"/>
      <c r="H14" s="25"/>
      <c r="I14" s="25"/>
      <c r="J14" s="3"/>
      <c r="K14" s="3"/>
      <c r="L14" s="3"/>
      <c r="M14" s="3"/>
      <c r="N14" s="3"/>
      <c r="O14" s="3"/>
      <c r="P14" s="3"/>
      <c r="Q14" s="3"/>
      <c r="R14" s="3"/>
      <c r="W14" s="297" t="str">
        <f>HLOOKUP(W6,Data!4:6,3,FALSE)</f>
        <v>www.gov.uk</v>
      </c>
      <c r="X14" s="298"/>
      <c r="Y14" s="298"/>
      <c r="Z14" s="298"/>
      <c r="AA14" s="298"/>
      <c r="AB14" s="298"/>
      <c r="AC14" s="298"/>
      <c r="AD14" s="298"/>
      <c r="AE14" s="298"/>
      <c r="AF14" s="298"/>
      <c r="AG14" s="298"/>
      <c r="AH14" s="298"/>
      <c r="AI14" s="298"/>
      <c r="AJ14" s="298"/>
      <c r="AK14" s="298"/>
      <c r="AL14" s="298"/>
      <c r="AM14" s="299"/>
    </row>
    <row r="15" spans="2:40"/>
    <row r="16" spans="2:40">
      <c r="B16" s="305" t="str">
        <f>W6&amp;" - "&amp;W12</f>
        <v>Housing Benefit - Change of Circumstances - Year 2013/14</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7"/>
    </row>
    <row r="17" spans="2:42">
      <c r="B17" s="308"/>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1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4" t="s">
        <v>344</v>
      </c>
      <c r="F32" s="315"/>
      <c r="G32" s="315"/>
      <c r="H32" s="315"/>
      <c r="I32" s="315"/>
      <c r="J32" s="315"/>
      <c r="K32" s="313">
        <f>IF('Filtered Data'!$H$8="..",'Filtered Data'!O10,'Filtered Data'!O10/100)</f>
        <v>5.3299856406399684</v>
      </c>
      <c r="L32" s="313"/>
      <c r="M32" s="313"/>
      <c r="N32" s="328" t="s">
        <v>355</v>
      </c>
      <c r="O32" s="328"/>
      <c r="P32" s="328"/>
      <c r="Q32" s="328"/>
      <c r="R32" s="328"/>
      <c r="S32" s="328"/>
      <c r="T32" s="313">
        <f>IF('Filtered Data'!$H$8="..",'Filtered Data'!P10,'Filtered Data'!P10/100)</f>
        <v>6.8912493351262434</v>
      </c>
      <c r="U32" s="313"/>
      <c r="V32" s="313"/>
      <c r="W32" s="313"/>
      <c r="X32" s="311" t="s">
        <v>356</v>
      </c>
      <c r="Y32" s="311"/>
      <c r="Z32" s="311"/>
      <c r="AA32" s="311"/>
      <c r="AB32" s="311"/>
      <c r="AC32" s="313">
        <f>IF('Filtered Data'!$H$8="..",'Filtered Data'!Q10,'Filtered Data'!Q10/100)</f>
        <v>8.8136583135705067</v>
      </c>
      <c r="AD32" s="313"/>
      <c r="AE32" s="313"/>
      <c r="AF32" s="334" t="s">
        <v>345</v>
      </c>
      <c r="AG32" s="334"/>
      <c r="AH32" s="334"/>
      <c r="AI32" s="334"/>
      <c r="AJ32" s="334"/>
      <c r="AK32" s="334"/>
      <c r="AL32" s="334"/>
      <c r="AM32" s="10"/>
      <c r="AP32" s="85"/>
    </row>
    <row r="33" spans="2:16384">
      <c r="B33" s="4" t="str">
        <f>"The graph &amp; quartile information show data for all "&amp;V37&amp;" "&amp;VLOOKUP('Filtered Data'!D1,'Filtered Data'!L1:O6,3,FALSE)&amp;" councils in England."</f>
        <v>The graph &amp; quartile information show data for all 192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04">
        <f>IF(ISERROR(IF('Filtered Data'!$H$8="%.",(VLOOKUP(J5,'Filtered Data'!C:H,4,FALSE))/100,(VLOOKUP(J5,'Filtered Data'!C:H,4,FALSE)))),"",(IF('Filtered Data'!$H$8="%.",(VLOOKUP(J5,'Filtered Data'!C:H,4,FALSE))/100,(VLOOKUP(J5,'Filtered Data'!C:H,4,FALSE)))))</f>
        <v>11.015070716438673</v>
      </c>
      <c r="M35" s="304"/>
      <c r="N35" s="304"/>
      <c r="O35" s="304"/>
      <c r="P35" s="135"/>
      <c r="Q35" s="304" t="s">
        <v>357</v>
      </c>
      <c r="R35" s="304"/>
      <c r="S35" s="304"/>
      <c r="T35" s="304"/>
      <c r="U35" s="304"/>
      <c r="V35" s="304"/>
      <c r="W35" s="304"/>
      <c r="AP35" s="85"/>
    </row>
    <row r="36" spans="2:16384" ht="12.75" customHeight="1">
      <c r="B36" s="303" t="str">
        <f>'Filtered Data'!R8&amp;" Quartile"</f>
        <v>Bottom Quartile</v>
      </c>
      <c r="C36" s="303"/>
      <c r="D36" s="303"/>
      <c r="E36" s="303"/>
      <c r="F36" s="303"/>
      <c r="G36" s="303"/>
      <c r="H36" s="303"/>
      <c r="I36" s="303"/>
      <c r="J36" s="303"/>
      <c r="K36" s="303"/>
      <c r="L36" s="303"/>
      <c r="M36" s="303"/>
      <c r="N36" s="303"/>
      <c r="O36" s="303"/>
      <c r="P36" s="303"/>
      <c r="Q36" s="303"/>
      <c r="R36" s="303"/>
      <c r="S36" s="303"/>
      <c r="T36" s="303"/>
      <c r="U36" s="303"/>
      <c r="V36" s="303"/>
      <c r="W36" s="303"/>
      <c r="Z36" s="21" t="s">
        <v>361</v>
      </c>
      <c r="AB36" s="333" t="s">
        <v>363</v>
      </c>
      <c r="AC36" s="333"/>
      <c r="AD36" s="333"/>
      <c r="AE36" s="333"/>
      <c r="AF36" s="333"/>
      <c r="AG36" s="333"/>
      <c r="AH36" s="333"/>
      <c r="AI36" s="333"/>
      <c r="AJ36" s="333"/>
      <c r="AK36" s="333"/>
      <c r="AL36" s="333"/>
      <c r="AM36" s="154"/>
      <c r="AP36" s="85"/>
    </row>
    <row r="37" spans="2:16384" ht="12.75" customHeight="1">
      <c r="B37" s="136" t="str">
        <f>VLOOKUP('Filtered Data'!D1,'Filtered Data'!L1:O6,2,FALSE)</f>
        <v>Districts</v>
      </c>
      <c r="C37" s="136"/>
      <c r="D37" s="136"/>
      <c r="E37" s="136"/>
      <c r="F37" s="136"/>
      <c r="G37" s="136"/>
      <c r="H37" s="136"/>
      <c r="I37" s="136"/>
      <c r="J37" s="331" t="s">
        <v>807</v>
      </c>
      <c r="K37" s="137" t="str">
        <f>IF(Q37="","",IF('Filtered Data'!I8="D",IF($L$35&gt;=L37,"J","L"),IF('Filtered Data'!I8="A",IF($L$35&lt;=L37,"J","L"))))</f>
        <v>L</v>
      </c>
      <c r="L37" s="325">
        <f>'Filtered Data'!M9</f>
        <v>7.3200906564054371</v>
      </c>
      <c r="M37" s="325"/>
      <c r="N37" s="325"/>
      <c r="O37" s="325"/>
      <c r="P37" s="138"/>
      <c r="Q37" s="327">
        <f>VLOOKUP(J5,'Filtered Data'!C:I,7,FALSE)</f>
        <v>173</v>
      </c>
      <c r="R37" s="327"/>
      <c r="S37" s="139"/>
      <c r="T37" s="140" t="s">
        <v>358</v>
      </c>
      <c r="U37" s="141"/>
      <c r="V37" s="327">
        <f>COUNT('Filtered Data'!I11:I363)</f>
        <v>192</v>
      </c>
      <c r="W37" s="327"/>
      <c r="AB37" s="333"/>
      <c r="AC37" s="333"/>
      <c r="AD37" s="333"/>
      <c r="AE37" s="333"/>
      <c r="AF37" s="333"/>
      <c r="AG37" s="333"/>
      <c r="AH37" s="333"/>
      <c r="AI37" s="333"/>
      <c r="AJ37" s="333"/>
      <c r="AK37" s="333"/>
      <c r="AL37" s="333"/>
      <c r="AM37" s="154"/>
      <c r="AP37" s="85"/>
    </row>
    <row r="38" spans="2:16384">
      <c r="B38" s="136" t="str">
        <f>IF('Filtered Data'!D1="L","Family",IF('Filtered Data'!D1="SD",VLOOKUP(J5,classifications!C:J,6,FALSE),"Rural"))</f>
        <v>Rural-80</v>
      </c>
      <c r="C38" s="136"/>
      <c r="D38" s="136"/>
      <c r="E38" s="136"/>
      <c r="F38" s="136"/>
      <c r="G38" s="136"/>
      <c r="H38" s="136"/>
      <c r="I38" s="136"/>
      <c r="J38" s="332"/>
      <c r="K38" s="137" t="str">
        <f>IF(Q38="","",IF('Filtered Data'!I8="D",IF($L$35&gt;=L38,"J","L"),IF('Filtered Data'!I8="A",IF($L$35&lt;=L38,"J","L"))))</f>
        <v>L</v>
      </c>
      <c r="L38" s="325">
        <f>IF('Filtered Data'!D1="L",'Filtered Data'!AG9,'Filtered Data'!Y9)</f>
        <v>7.1331610228782383</v>
      </c>
      <c r="M38" s="325"/>
      <c r="N38" s="325"/>
      <c r="O38" s="325"/>
      <c r="P38" s="138"/>
      <c r="Q38" s="330">
        <f>IF(ISERROR(IF('Filtered Data'!D1="L",VLOOKUP(J5,'Filtered Data'!AF11:AH26,3,FALSE),VLOOKUP(J5,'Filtered Data'!$L$11:$Z$363,15,FALSE))),"",(IF('Filtered Data'!D1="L",VLOOKUP(J5,'Filtered Data'!AF11:AH26,3,FALSE),VLOOKUP(J5,'Filtered Data'!$L$11:$Z$363,15,FALSE))))</f>
        <v>42</v>
      </c>
      <c r="R38" s="330"/>
      <c r="S38" s="326" t="s">
        <v>358</v>
      </c>
      <c r="T38" s="325"/>
      <c r="U38" s="325"/>
      <c r="V38" s="327">
        <f>IF('Filtered Data'!D1="L",16,COUNT('Filtered Data'!Z:Z))</f>
        <v>47</v>
      </c>
      <c r="W38" s="327"/>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2"/>
      <c r="K39" s="137" t="str">
        <f>IF(Q39="","",IF('Filtered Data'!I8="D",IF($L$35&gt;=L39,"J","L"),IF('Filtered Data'!I8="A",IF($L$35&lt;=L39,"J","L"))))</f>
        <v>L</v>
      </c>
      <c r="L39" s="325">
        <f>IF('Filtered Data'!D1="L","",'Filtered Data'!AG9)</f>
        <v>7.0490072541273019</v>
      </c>
      <c r="M39" s="325"/>
      <c r="N39" s="325"/>
      <c r="O39" s="325"/>
      <c r="P39" s="138"/>
      <c r="Q39" s="327">
        <f>IF(ISERROR(IF('Filtered Data'!D1="L","",'Filtered Data'!AH11)),"",(IF('Filtered Data'!D1="L","",'Filtered Data'!AH11)))</f>
        <v>15</v>
      </c>
      <c r="R39" s="327"/>
      <c r="S39" s="139"/>
      <c r="T39" s="141" t="str">
        <f>IF(B39="","","out of")</f>
        <v>out of</v>
      </c>
      <c r="U39" s="141"/>
      <c r="V39" s="327">
        <f>IF('Filtered Data'!D1="L","",16)</f>
        <v>16</v>
      </c>
      <c r="W39" s="327"/>
      <c r="Z39" s="13" t="s">
        <v>362</v>
      </c>
      <c r="AB39" s="333" t="s">
        <v>364</v>
      </c>
      <c r="AC39" s="333"/>
      <c r="AD39" s="333"/>
      <c r="AE39" s="333"/>
      <c r="AF39" s="333"/>
      <c r="AG39" s="333"/>
      <c r="AH39" s="333"/>
      <c r="AI39" s="333"/>
      <c r="AJ39" s="333"/>
      <c r="AK39" s="333"/>
      <c r="AL39" s="333"/>
      <c r="AM39" s="333"/>
      <c r="AP39" s="85"/>
    </row>
    <row r="40" spans="2:16384" ht="12.75" customHeight="1">
      <c r="B40" s="136" t="str">
        <f>IF('Filtered Data'!D1="L","",IF('Filtered Data'!D1="SD",J10,"Regional"))</f>
        <v>Cumbria</v>
      </c>
      <c r="C40" s="136"/>
      <c r="D40" s="136"/>
      <c r="E40" s="136"/>
      <c r="F40" s="136"/>
      <c r="G40" s="136"/>
      <c r="H40" s="136"/>
      <c r="I40" s="136"/>
      <c r="J40" s="332"/>
      <c r="K40" s="137" t="str">
        <f>IF(Q40="","",IF('Filtered Data'!I8="D",IF($L$35&gt;=L40,"J","L"),IF('Filtered Data'!I8="A",IF($L$35&lt;=L40,"J","L"))))</f>
        <v>L</v>
      </c>
      <c r="L40" s="325">
        <f>IF('Filtered Data'!D1="L","",IF('Filtered Data'!D1="SD",'Filtered Data'!AJ9,'Filtered Data'!AQ9))</f>
        <v>9.5548744524057732</v>
      </c>
      <c r="M40" s="325"/>
      <c r="N40" s="325"/>
      <c r="O40" s="325"/>
      <c r="P40" s="138"/>
      <c r="Q40" s="327">
        <f>IF(ISERROR(IF('Filtered Data'!D1="L","",IF('Filtered Data'!D1="SD",VLOOKUP(J5,'Filtered Data'!L:AK,26,FALSE),(VLOOKUP(J5,'Filtered Data'!L:AR,33,FALSE))))),"",(IF('Filtered Data'!D1="L","",IF('Filtered Data'!D1="SD",VLOOKUP(J5,'Filtered Data'!L:AK,26,FALSE),(VLOOKUP(J5,'Filtered Data'!L:AR,33,FALSE))))))</f>
        <v>5</v>
      </c>
      <c r="R40" s="327"/>
      <c r="S40" s="325" t="str">
        <f>IF(B40="","","out of")</f>
        <v>out of</v>
      </c>
      <c r="T40" s="326"/>
      <c r="U40" s="326"/>
      <c r="V40" s="327">
        <f>IF('Filtered Data'!D1="L","",IF('Filtered Data'!D1="SD",COUNT('Filtered Data'!AK11:AK363),(COUNT('Filtered Data'!AQ11:AQ363))))</f>
        <v>5</v>
      </c>
      <c r="W40" s="327"/>
      <c r="AB40" s="333"/>
      <c r="AC40" s="333"/>
      <c r="AD40" s="333"/>
      <c r="AE40" s="333"/>
      <c r="AF40" s="333"/>
      <c r="AG40" s="333"/>
      <c r="AH40" s="333"/>
      <c r="AI40" s="333"/>
      <c r="AJ40" s="333"/>
      <c r="AK40" s="333"/>
      <c r="AL40" s="333"/>
      <c r="AM40" s="333"/>
      <c r="AP40" s="85"/>
    </row>
    <row r="41" spans="2:16384">
      <c r="B41" s="150"/>
      <c r="C41" s="150"/>
      <c r="D41" s="150"/>
      <c r="E41" s="150"/>
      <c r="F41" s="150"/>
      <c r="G41" s="150"/>
      <c r="H41" s="150"/>
      <c r="I41" s="150"/>
      <c r="J41" s="149"/>
      <c r="K41" s="151" t="str">
        <f>IF(B41="","",IF('Filtered Data'!D1="UA","",(IF($L$35&gt;=L41,"J","L"))))</f>
        <v/>
      </c>
      <c r="L41" s="345"/>
      <c r="M41" s="345"/>
      <c r="N41" s="345"/>
      <c r="O41" s="345"/>
      <c r="P41" s="152"/>
      <c r="Q41" s="335"/>
      <c r="R41" s="335"/>
      <c r="S41" s="329"/>
      <c r="T41" s="329"/>
      <c r="U41" s="329"/>
      <c r="V41" s="335"/>
      <c r="W41" s="33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1" t="s">
        <v>360</v>
      </c>
      <c r="C43" s="342"/>
      <c r="D43" s="342"/>
      <c r="E43" s="342"/>
      <c r="F43" s="342"/>
      <c r="G43" s="342"/>
      <c r="H43" s="342"/>
      <c r="I43" s="342"/>
      <c r="J43" s="342"/>
      <c r="K43" s="342"/>
      <c r="L43" s="342"/>
      <c r="M43" s="342"/>
      <c r="N43" s="342"/>
      <c r="O43" s="337" t="str">
        <f>W6&amp;" - "&amp;W12</f>
        <v>Housing Benefit - Change of Circumstances - Year 2013/14</v>
      </c>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c r="AP43" s="85"/>
    </row>
    <row r="44" spans="2:16384">
      <c r="B44" s="343"/>
      <c r="C44" s="344"/>
      <c r="D44" s="344"/>
      <c r="E44" s="344"/>
      <c r="F44" s="344"/>
      <c r="G44" s="344"/>
      <c r="H44" s="344"/>
      <c r="I44" s="344"/>
      <c r="J44" s="344"/>
      <c r="K44" s="344"/>
      <c r="L44" s="344"/>
      <c r="M44" s="344"/>
      <c r="N44" s="344"/>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4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19">
        <f>IF('Filtered Data'!$H$8="..",L35,L35*100)</f>
        <v>11.015070716438673</v>
      </c>
      <c r="F48" s="319"/>
      <c r="G48" s="319"/>
      <c r="H48" s="319"/>
      <c r="I48" s="6"/>
      <c r="J48" s="6"/>
      <c r="K48" s="277">
        <f>IF('Filtered Data'!$H$8="..",K$32,K$32*100)</f>
        <v>5.3299856406399684</v>
      </c>
      <c r="L48" s="277"/>
      <c r="M48" s="277">
        <f>IF('Filtered Data'!$H$8="..",T$32,T$32*100)</f>
        <v>6.8912493351262434</v>
      </c>
      <c r="N48" s="277"/>
      <c r="O48" s="277">
        <f>IF('Filtered Data'!$H$8="..",AC$32,AC$32*100)</f>
        <v>8.8136583135705067</v>
      </c>
      <c r="P48" s="27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19">
        <f>IF('Filtered Data'!$H$8="..",L37,L37*100)</f>
        <v>7.3200906564054371</v>
      </c>
      <c r="F49" s="319"/>
      <c r="G49" s="319"/>
      <c r="H49" s="319"/>
      <c r="I49" s="6"/>
      <c r="J49" s="6"/>
      <c r="K49" s="277">
        <f>IF('Filtered Data'!$H$8="..",K$32,K$32*100)</f>
        <v>5.3299856406399684</v>
      </c>
      <c r="L49" s="277"/>
      <c r="M49" s="277">
        <f>IF('Filtered Data'!$H$8="..",T$32,T$32*100)</f>
        <v>6.8912493351262434</v>
      </c>
      <c r="N49" s="277"/>
      <c r="O49" s="277">
        <f>IF('Filtered Data'!$H$8="..",AC$32,AC$32*100)</f>
        <v>8.8136583135705067</v>
      </c>
      <c r="P49" s="27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19">
        <f>IF('Filtered Data'!$H$8="..",L39,L39*100)</f>
        <v>7.0490072541273019</v>
      </c>
      <c r="F50" s="319"/>
      <c r="G50" s="319"/>
      <c r="H50" s="319"/>
      <c r="I50" s="6"/>
      <c r="J50" s="6"/>
      <c r="K50" s="277">
        <f>IF('Filtered Data'!$H$8="..",K$32,K$32*100)</f>
        <v>5.3299856406399684</v>
      </c>
      <c r="L50" s="277"/>
      <c r="M50" s="277">
        <f>IF('Filtered Data'!$H$8="..",T$32,T$32*100)</f>
        <v>6.8912493351262434</v>
      </c>
      <c r="N50" s="277"/>
      <c r="O50" s="277">
        <f>IF('Filtered Data'!$H$8="..",AC$32,AC$32*100)</f>
        <v>8.8136583135705067</v>
      </c>
      <c r="P50" s="27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319">
        <f>IF('Filtered Data'!$H$8="..",L40,L40*100)</f>
        <v>9.5548744524057732</v>
      </c>
      <c r="F51" s="319"/>
      <c r="G51" s="319"/>
      <c r="H51" s="319"/>
      <c r="I51" s="6"/>
      <c r="J51" s="6"/>
      <c r="K51" s="277">
        <f>IF('Filtered Data'!$H$8="..",K$32,K$32*100)</f>
        <v>5.3299856406399684</v>
      </c>
      <c r="L51" s="277"/>
      <c r="M51" s="277">
        <f>IF('Filtered Data'!$H$8="..",T$32,T$32*100)</f>
        <v>6.8912493351262434</v>
      </c>
      <c r="N51" s="277"/>
      <c r="O51" s="277">
        <f>IF('Filtered Data'!$H$8="..",AC$32,AC$32*100)</f>
        <v>8.8136583135705067</v>
      </c>
      <c r="P51" s="27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319">
        <f>IF('Filtered Data'!$H$8="..",L38,L38*100)</f>
        <v>7.1331610228782383</v>
      </c>
      <c r="F52" s="319"/>
      <c r="G52" s="319"/>
      <c r="H52" s="319"/>
      <c r="I52" s="6"/>
      <c r="J52" s="6"/>
      <c r="K52" s="277">
        <f>IF('Filtered Data'!$H$8="..",K$32,K$32*100)</f>
        <v>5.3299856406399684</v>
      </c>
      <c r="L52" s="277"/>
      <c r="M52" s="277">
        <f>IF('Filtered Data'!$H$8="..",T$32,T$32*100)</f>
        <v>6.8912493351262434</v>
      </c>
      <c r="N52" s="277"/>
      <c r="O52" s="277">
        <f>IF('Filtered Data'!$H$8="..",AC$32,AC$32*100)</f>
        <v>8.8136583135705067</v>
      </c>
      <c r="P52" s="27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1"/>
      <c r="F53" s="351"/>
      <c r="G53" s="351"/>
      <c r="H53" s="351"/>
      <c r="I53" s="6"/>
      <c r="J53" s="6"/>
      <c r="K53" s="277"/>
      <c r="L53" s="277"/>
      <c r="M53" s="277"/>
      <c r="N53" s="277"/>
      <c r="O53" s="277"/>
      <c r="P53" s="27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6" t="str">
        <f>B3</f>
        <v>Speed of Processing</v>
      </c>
      <c r="C59" s="346"/>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6"/>
      <c r="AP59" s="85"/>
    </row>
    <row r="60" spans="2:42">
      <c r="AP60" s="85"/>
    </row>
    <row r="61" spans="2:42" ht="12" customHeight="1">
      <c r="B61" s="1" t="str">
        <f>W6&amp;" - "&amp;W12</f>
        <v>Housing Benefit - Change of Circumstances - Year 2013/14</v>
      </c>
      <c r="AP61" s="85"/>
    </row>
    <row r="62" spans="2:42" ht="12" customHeight="1">
      <c r="AP62" s="85"/>
    </row>
    <row r="63" spans="2:42" ht="12" customHeight="1">
      <c r="B63" s="1" t="s">
        <v>366</v>
      </c>
      <c r="AP63" s="85"/>
    </row>
    <row r="64" spans="2:42" ht="12" customHeight="1">
      <c r="AP64" s="85"/>
    </row>
    <row r="65" spans="2:42" ht="12" customHeight="1">
      <c r="B65" s="289" t="s">
        <v>357</v>
      </c>
      <c r="C65" s="289"/>
      <c r="D65" s="289"/>
      <c r="E65" s="283" t="s">
        <v>334</v>
      </c>
      <c r="F65" s="283"/>
      <c r="G65" s="283"/>
      <c r="H65" s="283"/>
      <c r="I65" s="283"/>
      <c r="J65" s="283"/>
      <c r="K65" s="283"/>
      <c r="L65" s="283"/>
      <c r="M65" s="283"/>
      <c r="N65" s="283"/>
      <c r="O65" s="283"/>
      <c r="P65" s="283"/>
      <c r="Q65" s="283"/>
      <c r="R65" s="283"/>
      <c r="S65" s="283"/>
      <c r="T65" s="283"/>
      <c r="U65" s="289" t="s">
        <v>368</v>
      </c>
      <c r="V65" s="289"/>
      <c r="W65" s="289"/>
      <c r="X65" s="289"/>
      <c r="Y65" s="24"/>
      <c r="Z65" s="24"/>
      <c r="AA65" s="24"/>
      <c r="AB65" s="24"/>
      <c r="AC65" s="23"/>
      <c r="AD65" s="24"/>
      <c r="AE65" s="24"/>
      <c r="AF65" s="24"/>
      <c r="AG65" s="24"/>
      <c r="AH65" s="11"/>
      <c r="AI65" s="24"/>
      <c r="AJ65" s="24"/>
      <c r="AK65" s="24"/>
      <c r="AL65" s="24"/>
      <c r="AP65" s="85"/>
    </row>
    <row r="66" spans="2:42" ht="12" customHeight="1">
      <c r="B66" s="323">
        <v>1</v>
      </c>
      <c r="C66" s="280"/>
      <c r="D66" s="280"/>
      <c r="E66" s="281" t="str">
        <f>VLOOKUP(B66,'Filtered Data'!K:L,2,FALSE)</f>
        <v>Rushmoor</v>
      </c>
      <c r="F66" s="281"/>
      <c r="G66" s="281"/>
      <c r="H66" s="281"/>
      <c r="I66" s="281"/>
      <c r="J66" s="281"/>
      <c r="K66" s="281"/>
      <c r="L66" s="281"/>
      <c r="M66" s="281"/>
      <c r="N66" s="281"/>
      <c r="O66" s="281"/>
      <c r="P66" s="281"/>
      <c r="Q66" s="281"/>
      <c r="R66" s="281"/>
      <c r="S66" s="281"/>
      <c r="T66" s="281"/>
      <c r="U66" s="288">
        <f>IF('Filtered Data'!$H$8="%.",(VLOOKUP(B66,'Filtered Data'!K:M,3,FALSE))/100,VLOOKUP(B66,'Filtered Data'!K:M,3,FALSE))</f>
        <v>1.4250348135540771</v>
      </c>
      <c r="V66" s="288"/>
      <c r="W66" s="288"/>
      <c r="X66" s="288"/>
      <c r="Y66" s="184" t="str">
        <f>IF((VLOOKUP(E66,classifications!C:K,9,FALSE))="Sparse","S","")</f>
        <v/>
      </c>
      <c r="Z66" s="184"/>
      <c r="AA66" s="184"/>
      <c r="AB66" s="184"/>
      <c r="AC66" s="184"/>
      <c r="AD66" s="286"/>
      <c r="AE66" s="286"/>
      <c r="AF66" s="286"/>
      <c r="AG66" s="286"/>
      <c r="AH66" s="286"/>
      <c r="AI66" s="286"/>
      <c r="AJ66" s="286"/>
      <c r="AK66" s="286"/>
      <c r="AL66" s="286"/>
      <c r="AP66" s="85"/>
    </row>
    <row r="67" spans="2:42" ht="12" customHeight="1">
      <c r="B67" s="323">
        <v>2</v>
      </c>
      <c r="C67" s="280"/>
      <c r="D67" s="280"/>
      <c r="E67" s="281" t="str">
        <f>VLOOKUP(B67,'Filtered Data'!K:L,2,FALSE)</f>
        <v>Eastleigh</v>
      </c>
      <c r="F67" s="281"/>
      <c r="G67" s="281"/>
      <c r="H67" s="281"/>
      <c r="I67" s="281"/>
      <c r="J67" s="281"/>
      <c r="K67" s="281"/>
      <c r="L67" s="281"/>
      <c r="M67" s="281"/>
      <c r="N67" s="281"/>
      <c r="O67" s="281"/>
      <c r="P67" s="281"/>
      <c r="Q67" s="281"/>
      <c r="R67" s="281"/>
      <c r="S67" s="281"/>
      <c r="T67" s="281"/>
      <c r="U67" s="288">
        <f>IF('Filtered Data'!$H$8="%.",(VLOOKUP(B67,'Filtered Data'!K:M,3,FALSE))/100,VLOOKUP(B67,'Filtered Data'!K:M,3,FALSE))</f>
        <v>2.6180457895032907</v>
      </c>
      <c r="V67" s="288"/>
      <c r="W67" s="288"/>
      <c r="X67" s="288"/>
      <c r="Y67" s="184" t="str">
        <f>IF((VLOOKUP(E67,classifications!C:K,9,FALSE))="Sparse","S","")</f>
        <v/>
      </c>
      <c r="Z67" s="184"/>
      <c r="AA67" s="184"/>
      <c r="AB67" s="184"/>
      <c r="AC67" s="184"/>
      <c r="AD67" s="286"/>
      <c r="AE67" s="286"/>
      <c r="AF67" s="286"/>
      <c r="AG67" s="286"/>
      <c r="AH67" s="286"/>
      <c r="AI67" s="286"/>
      <c r="AJ67" s="286"/>
      <c r="AK67" s="286"/>
      <c r="AL67" s="286"/>
      <c r="AP67" s="85"/>
    </row>
    <row r="68" spans="2:42" ht="12" customHeight="1">
      <c r="B68" s="323">
        <v>3</v>
      </c>
      <c r="C68" s="280"/>
      <c r="D68" s="280"/>
      <c r="E68" s="281" t="str">
        <f>VLOOKUP(B68,'Filtered Data'!K:L,2,FALSE)</f>
        <v>Gedling</v>
      </c>
      <c r="F68" s="281"/>
      <c r="G68" s="281"/>
      <c r="H68" s="281"/>
      <c r="I68" s="281"/>
      <c r="J68" s="281"/>
      <c r="K68" s="281"/>
      <c r="L68" s="281"/>
      <c r="M68" s="281"/>
      <c r="N68" s="281"/>
      <c r="O68" s="281"/>
      <c r="P68" s="281"/>
      <c r="Q68" s="281"/>
      <c r="R68" s="281"/>
      <c r="S68" s="281"/>
      <c r="T68" s="281"/>
      <c r="U68" s="288">
        <f>IF('Filtered Data'!$H$8="%.",(VLOOKUP(B68,'Filtered Data'!K:M,3,FALSE))/100,VLOOKUP(B68,'Filtered Data'!K:M,3,FALSE))</f>
        <v>2.6425392560248553</v>
      </c>
      <c r="V68" s="288"/>
      <c r="W68" s="288"/>
      <c r="X68" s="288"/>
      <c r="Y68" s="184" t="str">
        <f>IF((VLOOKUP(E68,classifications!C:K,9,FALSE))="Sparse","S","")</f>
        <v/>
      </c>
      <c r="Z68" s="184"/>
      <c r="AA68" s="184"/>
      <c r="AB68" s="184"/>
      <c r="AC68" s="184"/>
      <c r="AD68" s="286"/>
      <c r="AE68" s="286"/>
      <c r="AF68" s="286"/>
      <c r="AG68" s="286"/>
      <c r="AH68" s="286"/>
      <c r="AI68" s="286"/>
      <c r="AJ68" s="286"/>
      <c r="AK68" s="286"/>
      <c r="AL68" s="286"/>
      <c r="AP68" s="85"/>
    </row>
    <row r="69" spans="2:42" ht="12" customHeight="1">
      <c r="B69" s="323">
        <v>4</v>
      </c>
      <c r="C69" s="280"/>
      <c r="D69" s="280"/>
      <c r="E69" s="281" t="str">
        <f>VLOOKUP(B69,'Filtered Data'!K:L,2,FALSE)</f>
        <v>Tendring</v>
      </c>
      <c r="F69" s="281"/>
      <c r="G69" s="281"/>
      <c r="H69" s="281"/>
      <c r="I69" s="281"/>
      <c r="J69" s="281"/>
      <c r="K69" s="281"/>
      <c r="L69" s="281"/>
      <c r="M69" s="281"/>
      <c r="N69" s="281"/>
      <c r="O69" s="281"/>
      <c r="P69" s="281"/>
      <c r="Q69" s="281"/>
      <c r="R69" s="281"/>
      <c r="S69" s="281"/>
      <c r="T69" s="281"/>
      <c r="U69" s="288">
        <f>IF('Filtered Data'!$H$8="%.",(VLOOKUP(B69,'Filtered Data'!K:M,3,FALSE))/100,VLOOKUP(B69,'Filtered Data'!K:M,3,FALSE))</f>
        <v>2.7058096415327566</v>
      </c>
      <c r="V69" s="288"/>
      <c r="W69" s="288"/>
      <c r="X69" s="288"/>
      <c r="Y69" s="184" t="str">
        <f>IF((VLOOKUP(E69,classifications!C:K,9,FALSE))="Sparse","S","")</f>
        <v/>
      </c>
      <c r="Z69" s="184"/>
      <c r="AA69" s="184"/>
      <c r="AB69" s="184"/>
      <c r="AC69" s="184"/>
      <c r="AD69" s="286"/>
      <c r="AE69" s="286"/>
      <c r="AF69" s="286"/>
      <c r="AG69" s="286"/>
      <c r="AH69" s="286"/>
      <c r="AI69" s="286"/>
      <c r="AJ69" s="286"/>
      <c r="AK69" s="286"/>
      <c r="AL69" s="286"/>
      <c r="AP69" s="85"/>
    </row>
    <row r="70" spans="2:42" ht="12" customHeight="1">
      <c r="B70" s="323">
        <v>5</v>
      </c>
      <c r="C70" s="280"/>
      <c r="D70" s="280"/>
      <c r="E70" s="281" t="str">
        <f>VLOOKUP(B70,'Filtered Data'!K:L,2,FALSE)</f>
        <v>Chiltern</v>
      </c>
      <c r="F70" s="281"/>
      <c r="G70" s="281"/>
      <c r="H70" s="281"/>
      <c r="I70" s="281"/>
      <c r="J70" s="281"/>
      <c r="K70" s="281"/>
      <c r="L70" s="281"/>
      <c r="M70" s="281"/>
      <c r="N70" s="281"/>
      <c r="O70" s="281"/>
      <c r="P70" s="281"/>
      <c r="Q70" s="281"/>
      <c r="R70" s="281"/>
      <c r="S70" s="281"/>
      <c r="T70" s="281"/>
      <c r="U70" s="288">
        <f>IF('Filtered Data'!$H$8="%.",(VLOOKUP(B70,'Filtered Data'!K:M,3,FALSE))/100,VLOOKUP(B70,'Filtered Data'!K:M,3,FALSE))</f>
        <v>2.7576582709326072</v>
      </c>
      <c r="V70" s="288"/>
      <c r="W70" s="288"/>
      <c r="X70" s="288"/>
      <c r="Y70" s="184" t="str">
        <f>IF((VLOOKUP(E70,classifications!C:K,9,FALSE))="Sparse","S","")</f>
        <v/>
      </c>
      <c r="Z70" s="184"/>
      <c r="AA70" s="184"/>
      <c r="AB70" s="184"/>
      <c r="AC70" s="184"/>
      <c r="AD70" s="286"/>
      <c r="AE70" s="286"/>
      <c r="AF70" s="286"/>
      <c r="AG70" s="286"/>
      <c r="AH70" s="286"/>
      <c r="AI70" s="286"/>
      <c r="AJ70" s="286"/>
      <c r="AK70" s="286"/>
      <c r="AL70" s="286"/>
      <c r="AP70" s="85"/>
    </row>
    <row r="71" spans="2:42" ht="12" customHeight="1">
      <c r="B71" s="323">
        <v>6</v>
      </c>
      <c r="C71" s="280"/>
      <c r="D71" s="280"/>
      <c r="E71" s="281" t="str">
        <f>VLOOKUP(B71,'Filtered Data'!K:L,2,FALSE)</f>
        <v>Wyre</v>
      </c>
      <c r="F71" s="281"/>
      <c r="G71" s="281"/>
      <c r="H71" s="281"/>
      <c r="I71" s="281"/>
      <c r="J71" s="281"/>
      <c r="K71" s="281"/>
      <c r="L71" s="281"/>
      <c r="M71" s="281"/>
      <c r="N71" s="281"/>
      <c r="O71" s="281"/>
      <c r="P71" s="281"/>
      <c r="Q71" s="281"/>
      <c r="R71" s="281"/>
      <c r="S71" s="281"/>
      <c r="T71" s="281"/>
      <c r="U71" s="288">
        <f>IF('Filtered Data'!$H$8="%.",(VLOOKUP(B71,'Filtered Data'!K:M,3,FALSE))/100,VLOOKUP(B71,'Filtered Data'!K:M,3,FALSE))</f>
        <v>2.8454072904329517</v>
      </c>
      <c r="V71" s="288"/>
      <c r="W71" s="288"/>
      <c r="X71" s="288"/>
      <c r="Y71" s="184" t="str">
        <f>IF((VLOOKUP(E71,classifications!C:K,9,FALSE))="Sparse","S","")</f>
        <v/>
      </c>
      <c r="Z71" s="184"/>
      <c r="AA71" s="184"/>
      <c r="AB71" s="184"/>
      <c r="AC71" s="184"/>
      <c r="AD71" s="286"/>
      <c r="AE71" s="286"/>
      <c r="AF71" s="286"/>
      <c r="AG71" s="286"/>
      <c r="AH71" s="286"/>
      <c r="AI71" s="286"/>
      <c r="AJ71" s="286"/>
      <c r="AK71" s="286"/>
      <c r="AL71" s="286"/>
      <c r="AP71" s="85"/>
    </row>
    <row r="72" spans="2:42" ht="12" customHeight="1">
      <c r="B72" s="323">
        <v>7</v>
      </c>
      <c r="C72" s="280"/>
      <c r="D72" s="280"/>
      <c r="E72" s="281" t="str">
        <f>VLOOKUP(B72,'Filtered Data'!K:L,2,FALSE)</f>
        <v>South Northamptonshire</v>
      </c>
      <c r="F72" s="281"/>
      <c r="G72" s="281"/>
      <c r="H72" s="281"/>
      <c r="I72" s="281"/>
      <c r="J72" s="281"/>
      <c r="K72" s="281"/>
      <c r="L72" s="281"/>
      <c r="M72" s="281"/>
      <c r="N72" s="281"/>
      <c r="O72" s="281"/>
      <c r="P72" s="281"/>
      <c r="Q72" s="281"/>
      <c r="R72" s="281"/>
      <c r="S72" s="281"/>
      <c r="T72" s="281"/>
      <c r="U72" s="288">
        <f>IF('Filtered Data'!$H$8="%.",(VLOOKUP(B72,'Filtered Data'!K:M,3,FALSE))/100,VLOOKUP(B72,'Filtered Data'!K:M,3,FALSE))</f>
        <v>2.9200943149069949</v>
      </c>
      <c r="V72" s="288"/>
      <c r="W72" s="288"/>
      <c r="X72" s="288"/>
      <c r="Y72" s="184" t="str">
        <f>IF((VLOOKUP(E72,classifications!C:K,9,FALSE))="Sparse","S","")</f>
        <v>S</v>
      </c>
      <c r="Z72" s="184"/>
      <c r="AA72" s="184"/>
      <c r="AB72" s="184"/>
      <c r="AC72" s="184"/>
      <c r="AD72" s="286"/>
      <c r="AE72" s="286"/>
      <c r="AF72" s="286"/>
      <c r="AG72" s="286"/>
      <c r="AH72" s="286"/>
      <c r="AI72" s="286"/>
      <c r="AJ72" s="286"/>
      <c r="AK72" s="286"/>
      <c r="AL72" s="286"/>
      <c r="AP72" s="85"/>
    </row>
    <row r="73" spans="2:42" ht="12" customHeight="1">
      <c r="B73" s="323">
        <v>8</v>
      </c>
      <c r="C73" s="280"/>
      <c r="D73" s="280"/>
      <c r="E73" s="281" t="str">
        <f>VLOOKUP(B73,'Filtered Data'!K:L,2,FALSE)</f>
        <v>Runnymede</v>
      </c>
      <c r="F73" s="281"/>
      <c r="G73" s="281"/>
      <c r="H73" s="281"/>
      <c r="I73" s="281"/>
      <c r="J73" s="281"/>
      <c r="K73" s="281"/>
      <c r="L73" s="281"/>
      <c r="M73" s="281"/>
      <c r="N73" s="281"/>
      <c r="O73" s="281"/>
      <c r="P73" s="281"/>
      <c r="Q73" s="281"/>
      <c r="R73" s="281"/>
      <c r="S73" s="281"/>
      <c r="T73" s="281"/>
      <c r="U73" s="288">
        <f>IF('Filtered Data'!$H$8="%.",(VLOOKUP(B73,'Filtered Data'!K:M,3,FALSE))/100,VLOOKUP(B73,'Filtered Data'!K:M,3,FALSE))</f>
        <v>2.9632132610774624</v>
      </c>
      <c r="V73" s="288"/>
      <c r="W73" s="288"/>
      <c r="X73" s="288"/>
      <c r="Y73" s="184" t="str">
        <f>IF((VLOOKUP(E73,classifications!C:K,9,FALSE))="Sparse","S","")</f>
        <v/>
      </c>
      <c r="Z73" s="184"/>
      <c r="AA73" s="184"/>
      <c r="AB73" s="184"/>
      <c r="AC73" s="184"/>
      <c r="AD73" s="286"/>
      <c r="AE73" s="286"/>
      <c r="AF73" s="286"/>
      <c r="AG73" s="286"/>
      <c r="AH73" s="286"/>
      <c r="AI73" s="286"/>
      <c r="AJ73" s="286"/>
      <c r="AK73" s="286"/>
      <c r="AL73" s="286"/>
      <c r="AP73" s="85"/>
    </row>
    <row r="74" spans="2:42" ht="12" customHeight="1">
      <c r="B74" s="323">
        <v>9</v>
      </c>
      <c r="C74" s="280"/>
      <c r="D74" s="280"/>
      <c r="E74" s="281" t="str">
        <f>VLOOKUP(B74,'Filtered Data'!K:L,2,FALSE)</f>
        <v>Cotswold</v>
      </c>
      <c r="F74" s="281"/>
      <c r="G74" s="281"/>
      <c r="H74" s="281"/>
      <c r="I74" s="281"/>
      <c r="J74" s="281"/>
      <c r="K74" s="281"/>
      <c r="L74" s="281"/>
      <c r="M74" s="281"/>
      <c r="N74" s="281"/>
      <c r="O74" s="281"/>
      <c r="P74" s="281"/>
      <c r="Q74" s="281"/>
      <c r="R74" s="281"/>
      <c r="S74" s="281"/>
      <c r="T74" s="281"/>
      <c r="U74" s="288">
        <f>IF('Filtered Data'!$H$8="%.",(VLOOKUP(B74,'Filtered Data'!K:M,3,FALSE))/100,VLOOKUP(B74,'Filtered Data'!K:M,3,FALSE))</f>
        <v>3.4104238618524332</v>
      </c>
      <c r="V74" s="288"/>
      <c r="W74" s="288"/>
      <c r="X74" s="288"/>
      <c r="Y74" s="184" t="str">
        <f>IF((VLOOKUP(E74,classifications!C:K,9,FALSE))="Sparse","S","")</f>
        <v>S</v>
      </c>
      <c r="Z74" s="184"/>
      <c r="AA74" s="184"/>
      <c r="AB74" s="184"/>
      <c r="AC74" s="184"/>
      <c r="AD74" s="286"/>
      <c r="AE74" s="286"/>
      <c r="AF74" s="286"/>
      <c r="AG74" s="286"/>
      <c r="AH74" s="286"/>
      <c r="AI74" s="286"/>
      <c r="AJ74" s="286"/>
      <c r="AK74" s="286"/>
      <c r="AL74" s="286"/>
      <c r="AP74" s="85"/>
    </row>
    <row r="75" spans="2:42" ht="12" customHeight="1">
      <c r="B75" s="323">
        <v>10</v>
      </c>
      <c r="C75" s="280"/>
      <c r="D75" s="280"/>
      <c r="E75" s="281" t="str">
        <f>VLOOKUP(B75,'Filtered Data'!K:L,2,FALSE)</f>
        <v>Rushcliffe</v>
      </c>
      <c r="F75" s="281"/>
      <c r="G75" s="281"/>
      <c r="H75" s="281"/>
      <c r="I75" s="281"/>
      <c r="J75" s="281"/>
      <c r="K75" s="281"/>
      <c r="L75" s="281"/>
      <c r="M75" s="281"/>
      <c r="N75" s="281"/>
      <c r="O75" s="281"/>
      <c r="P75" s="281"/>
      <c r="Q75" s="281"/>
      <c r="R75" s="281"/>
      <c r="S75" s="281"/>
      <c r="T75" s="281"/>
      <c r="U75" s="288">
        <f>IF('Filtered Data'!$H$8="%.",(VLOOKUP(B75,'Filtered Data'!K:M,3,FALSE))/100,VLOOKUP(B75,'Filtered Data'!K:M,3,FALSE))</f>
        <v>3.466943866943867</v>
      </c>
      <c r="V75" s="288"/>
      <c r="W75" s="288"/>
      <c r="X75" s="288"/>
      <c r="Y75" s="184" t="str">
        <f>IF((VLOOKUP(E75,classifications!C:K,9,FALSE))="Sparse","S","")</f>
        <v/>
      </c>
      <c r="Z75" s="184"/>
      <c r="AA75" s="184"/>
      <c r="AB75" s="184"/>
      <c r="AC75" s="184"/>
      <c r="AD75" s="286"/>
      <c r="AE75" s="286"/>
      <c r="AF75" s="286"/>
      <c r="AG75" s="286"/>
      <c r="AH75" s="286"/>
      <c r="AI75" s="286"/>
      <c r="AJ75" s="286"/>
      <c r="AK75" s="286"/>
      <c r="AL75" s="286"/>
      <c r="AP75" s="85"/>
    </row>
    <row r="76" spans="2:42" ht="12" customHeight="1">
      <c r="B76" s="323">
        <v>11</v>
      </c>
      <c r="C76" s="280"/>
      <c r="D76" s="280"/>
      <c r="E76" s="281" t="str">
        <f>VLOOKUP(B76,'Filtered Data'!K:L,2,FALSE)</f>
        <v>Derbyshire Dales</v>
      </c>
      <c r="F76" s="281"/>
      <c r="G76" s="281"/>
      <c r="H76" s="281"/>
      <c r="I76" s="281"/>
      <c r="J76" s="281"/>
      <c r="K76" s="281"/>
      <c r="L76" s="281"/>
      <c r="M76" s="281"/>
      <c r="N76" s="281"/>
      <c r="O76" s="281"/>
      <c r="P76" s="281"/>
      <c r="Q76" s="281"/>
      <c r="R76" s="281"/>
      <c r="S76" s="281"/>
      <c r="T76" s="281"/>
      <c r="U76" s="288">
        <f>IF('Filtered Data'!$H$8="%.",(VLOOKUP(B76,'Filtered Data'!K:M,3,FALSE))/100,VLOOKUP(B76,'Filtered Data'!K:M,3,FALSE))</f>
        <v>3.663800370932389</v>
      </c>
      <c r="V76" s="288"/>
      <c r="W76" s="288"/>
      <c r="X76" s="288"/>
      <c r="Y76" s="184" t="str">
        <f>IF((VLOOKUP(E76,classifications!C:K,9,FALSE))="Sparse","S","")</f>
        <v>S</v>
      </c>
      <c r="Z76" s="184"/>
      <c r="AA76" s="184"/>
      <c r="AB76" s="184"/>
      <c r="AC76" s="184"/>
      <c r="AD76" s="286"/>
      <c r="AE76" s="286"/>
      <c r="AF76" s="286"/>
      <c r="AG76" s="286"/>
      <c r="AH76" s="286"/>
      <c r="AI76" s="286"/>
      <c r="AJ76" s="286"/>
      <c r="AK76" s="286"/>
      <c r="AL76" s="286"/>
      <c r="AP76" s="85"/>
    </row>
    <row r="77" spans="2:42" ht="12" customHeight="1">
      <c r="B77" s="323">
        <v>12</v>
      </c>
      <c r="C77" s="280"/>
      <c r="D77" s="280"/>
      <c r="E77" s="281" t="str">
        <f>VLOOKUP(B77,'Filtered Data'!K:L,2,FALSE)</f>
        <v>Chelmsford</v>
      </c>
      <c r="F77" s="281"/>
      <c r="G77" s="281"/>
      <c r="H77" s="281"/>
      <c r="I77" s="281"/>
      <c r="J77" s="281"/>
      <c r="K77" s="281"/>
      <c r="L77" s="281"/>
      <c r="M77" s="281"/>
      <c r="N77" s="281"/>
      <c r="O77" s="281"/>
      <c r="P77" s="281"/>
      <c r="Q77" s="281"/>
      <c r="R77" s="281"/>
      <c r="S77" s="281"/>
      <c r="T77" s="281"/>
      <c r="U77" s="288">
        <f>IF('Filtered Data'!$H$8="%.",(VLOOKUP(B77,'Filtered Data'!K:M,3,FALSE))/100,VLOOKUP(B77,'Filtered Data'!K:M,3,FALSE))</f>
        <v>3.7566735498404356</v>
      </c>
      <c r="V77" s="288"/>
      <c r="W77" s="288"/>
      <c r="X77" s="288"/>
      <c r="Y77" s="184" t="str">
        <f>IF((VLOOKUP(E77,classifications!C:K,9,FALSE))="Sparse","S","")</f>
        <v/>
      </c>
      <c r="Z77" s="184"/>
      <c r="AA77" s="184"/>
      <c r="AB77" s="184"/>
      <c r="AC77" s="184"/>
      <c r="AD77" s="286"/>
      <c r="AE77" s="286"/>
      <c r="AF77" s="286"/>
      <c r="AG77" s="286"/>
      <c r="AH77" s="286"/>
      <c r="AI77" s="286"/>
      <c r="AJ77" s="286"/>
      <c r="AK77" s="286"/>
      <c r="AL77" s="286"/>
      <c r="AP77" s="85"/>
    </row>
    <row r="78" spans="2:42" ht="12" customHeight="1">
      <c r="B78" s="323">
        <v>13</v>
      </c>
      <c r="C78" s="280"/>
      <c r="D78" s="280"/>
      <c r="E78" s="281" t="str">
        <f>VLOOKUP(B78,'Filtered Data'!K:L,2,FALSE)</f>
        <v>South Kesteven</v>
      </c>
      <c r="F78" s="281"/>
      <c r="G78" s="281"/>
      <c r="H78" s="281"/>
      <c r="I78" s="281"/>
      <c r="J78" s="281"/>
      <c r="K78" s="281"/>
      <c r="L78" s="281"/>
      <c r="M78" s="281"/>
      <c r="N78" s="281"/>
      <c r="O78" s="281"/>
      <c r="P78" s="281"/>
      <c r="Q78" s="281"/>
      <c r="R78" s="281"/>
      <c r="S78" s="281"/>
      <c r="T78" s="281"/>
      <c r="U78" s="288">
        <f>IF('Filtered Data'!$H$8="%.",(VLOOKUP(B78,'Filtered Data'!K:M,3,FALSE))/100,VLOOKUP(B78,'Filtered Data'!K:M,3,FALSE))</f>
        <v>3.8215256477394579</v>
      </c>
      <c r="V78" s="288"/>
      <c r="W78" s="288"/>
      <c r="X78" s="288"/>
      <c r="Y78" s="184" t="str">
        <f>IF((VLOOKUP(E78,classifications!C:K,9,FALSE))="Sparse","S","")</f>
        <v>S</v>
      </c>
      <c r="Z78" s="184"/>
      <c r="AA78" s="184"/>
      <c r="AB78" s="184"/>
      <c r="AC78" s="184"/>
      <c r="AD78" s="286"/>
      <c r="AE78" s="286"/>
      <c r="AF78" s="286"/>
      <c r="AG78" s="286"/>
      <c r="AH78" s="286"/>
      <c r="AI78" s="286"/>
      <c r="AJ78" s="286"/>
      <c r="AK78" s="286"/>
      <c r="AL78" s="286"/>
      <c r="AP78" s="85"/>
    </row>
    <row r="79" spans="2:42" ht="12" customHeight="1">
      <c r="B79" s="323">
        <v>14</v>
      </c>
      <c r="C79" s="280"/>
      <c r="D79" s="280"/>
      <c r="E79" s="281" t="str">
        <f>VLOOKUP(B79,'Filtered Data'!K:L,2,FALSE)</f>
        <v>Winchester</v>
      </c>
      <c r="F79" s="281"/>
      <c r="G79" s="281"/>
      <c r="H79" s="281"/>
      <c r="I79" s="281"/>
      <c r="J79" s="281"/>
      <c r="K79" s="281"/>
      <c r="L79" s="281"/>
      <c r="M79" s="281"/>
      <c r="N79" s="281"/>
      <c r="O79" s="281"/>
      <c r="P79" s="281"/>
      <c r="Q79" s="281"/>
      <c r="R79" s="281"/>
      <c r="S79" s="281"/>
      <c r="T79" s="281"/>
      <c r="U79" s="288">
        <f>IF('Filtered Data'!$H$8="%.",(VLOOKUP(B79,'Filtered Data'!K:M,3,FALSE))/100,VLOOKUP(B79,'Filtered Data'!K:M,3,FALSE))</f>
        <v>3.8476451374986831</v>
      </c>
      <c r="V79" s="288"/>
      <c r="W79" s="288"/>
      <c r="X79" s="288"/>
      <c r="Y79" s="184" t="str">
        <f>IF((VLOOKUP(E79,classifications!C:K,9,FALSE))="Sparse","S","")</f>
        <v>S</v>
      </c>
      <c r="Z79" s="184"/>
      <c r="AA79" s="184"/>
      <c r="AB79" s="184"/>
      <c r="AC79" s="184"/>
      <c r="AD79" s="286"/>
      <c r="AE79" s="286"/>
      <c r="AF79" s="286"/>
      <c r="AG79" s="286"/>
      <c r="AH79" s="286"/>
      <c r="AI79" s="286"/>
      <c r="AJ79" s="286"/>
      <c r="AK79" s="286"/>
      <c r="AL79" s="286"/>
      <c r="AP79" s="85"/>
    </row>
    <row r="80" spans="2:42" ht="12" customHeight="1">
      <c r="B80" s="323">
        <v>15</v>
      </c>
      <c r="C80" s="280"/>
      <c r="D80" s="280"/>
      <c r="E80" s="281" t="str">
        <f>VLOOKUP(B80,'Filtered Data'!K:L,2,FALSE)</f>
        <v>South Staffordshire</v>
      </c>
      <c r="F80" s="281"/>
      <c r="G80" s="281"/>
      <c r="H80" s="281"/>
      <c r="I80" s="281"/>
      <c r="J80" s="281"/>
      <c r="K80" s="281"/>
      <c r="L80" s="281"/>
      <c r="M80" s="281"/>
      <c r="N80" s="281"/>
      <c r="O80" s="281"/>
      <c r="P80" s="281"/>
      <c r="Q80" s="281"/>
      <c r="R80" s="281"/>
      <c r="S80" s="281"/>
      <c r="T80" s="281"/>
      <c r="U80" s="288">
        <f>IF('Filtered Data'!$H$8="%.",(VLOOKUP(B80,'Filtered Data'!K:M,3,FALSE))/100,VLOOKUP(B80,'Filtered Data'!K:M,3,FALSE))</f>
        <v>3.8480672500516779</v>
      </c>
      <c r="V80" s="288"/>
      <c r="W80" s="288"/>
      <c r="X80" s="288"/>
      <c r="Y80" s="184" t="str">
        <f>IF((VLOOKUP(E80,classifications!C:K,9,FALSE))="Sparse","S","")</f>
        <v>S</v>
      </c>
      <c r="Z80" s="184"/>
      <c r="AA80" s="184"/>
      <c r="AB80" s="184"/>
      <c r="AC80" s="184"/>
      <c r="AD80" s="286"/>
      <c r="AE80" s="286"/>
      <c r="AF80" s="286"/>
      <c r="AG80" s="286"/>
      <c r="AH80" s="286"/>
      <c r="AI80" s="286"/>
      <c r="AJ80" s="286"/>
      <c r="AK80" s="286"/>
      <c r="AL80" s="286"/>
      <c r="AP80" s="85"/>
    </row>
    <row r="81" spans="1:42" ht="12" customHeight="1">
      <c r="B81" s="323">
        <v>16</v>
      </c>
      <c r="C81" s="280"/>
      <c r="D81" s="280"/>
      <c r="E81" s="281" t="str">
        <f>VLOOKUP(B81,'Filtered Data'!K:L,2,FALSE)</f>
        <v>West Oxfordshire</v>
      </c>
      <c r="F81" s="281"/>
      <c r="G81" s="281"/>
      <c r="H81" s="281"/>
      <c r="I81" s="281"/>
      <c r="J81" s="281"/>
      <c r="K81" s="281"/>
      <c r="L81" s="281"/>
      <c r="M81" s="281"/>
      <c r="N81" s="281"/>
      <c r="O81" s="281"/>
      <c r="P81" s="281"/>
      <c r="Q81" s="281"/>
      <c r="R81" s="281"/>
      <c r="S81" s="281"/>
      <c r="T81" s="281"/>
      <c r="U81" s="288">
        <f>IF('Filtered Data'!$H$8="%.",(VLOOKUP(B81,'Filtered Data'!K:M,3,FALSE))/100,VLOOKUP(B81,'Filtered Data'!K:M,3,FALSE))</f>
        <v>3.9666061198826323</v>
      </c>
      <c r="V81" s="288"/>
      <c r="W81" s="288"/>
      <c r="X81" s="288"/>
      <c r="Y81" s="184" t="str">
        <f>IF((VLOOKUP(E81,classifications!C:K,9,FALSE))="Sparse","S","")</f>
        <v>S</v>
      </c>
      <c r="Z81" s="184"/>
      <c r="AA81" s="184"/>
      <c r="AB81" s="184"/>
      <c r="AC81" s="184"/>
      <c r="AD81" s="286"/>
      <c r="AE81" s="286"/>
      <c r="AF81" s="286"/>
      <c r="AG81" s="286"/>
      <c r="AH81" s="286"/>
      <c r="AI81" s="286"/>
      <c r="AJ81" s="286"/>
      <c r="AK81" s="286"/>
      <c r="AL81" s="286"/>
      <c r="AP81" s="85"/>
    </row>
    <row r="82" spans="1:42" ht="12" customHeight="1">
      <c r="B82" s="323">
        <v>17</v>
      </c>
      <c r="C82" s="280"/>
      <c r="D82" s="280"/>
      <c r="E82" s="281" t="str">
        <f>VLOOKUP(B82,'Filtered Data'!K:L,2,FALSE)</f>
        <v>Cherwell</v>
      </c>
      <c r="F82" s="281"/>
      <c r="G82" s="281"/>
      <c r="H82" s="281"/>
      <c r="I82" s="281"/>
      <c r="J82" s="281"/>
      <c r="K82" s="281"/>
      <c r="L82" s="281"/>
      <c r="M82" s="281"/>
      <c r="N82" s="281"/>
      <c r="O82" s="281"/>
      <c r="P82" s="281"/>
      <c r="Q82" s="281"/>
      <c r="R82" s="281"/>
      <c r="S82" s="281"/>
      <c r="T82" s="281"/>
      <c r="U82" s="288">
        <f>IF('Filtered Data'!$H$8="%.",(VLOOKUP(B82,'Filtered Data'!K:M,3,FALSE))/100,VLOOKUP(B82,'Filtered Data'!K:M,3,FALSE))</f>
        <v>3.9783733188827037</v>
      </c>
      <c r="V82" s="288"/>
      <c r="W82" s="288"/>
      <c r="X82" s="288"/>
      <c r="Y82" s="184" t="str">
        <f>IF((VLOOKUP(E82,classifications!C:K,9,FALSE))="Sparse","S","")</f>
        <v>S</v>
      </c>
      <c r="Z82" s="184"/>
      <c r="AA82" s="184"/>
      <c r="AB82" s="184"/>
      <c r="AC82" s="184"/>
      <c r="AD82" s="286"/>
      <c r="AE82" s="286"/>
      <c r="AF82" s="286"/>
      <c r="AG82" s="286"/>
      <c r="AH82" s="286"/>
      <c r="AI82" s="286"/>
      <c r="AJ82" s="286"/>
      <c r="AK82" s="286"/>
      <c r="AL82" s="286"/>
      <c r="AP82" s="85"/>
    </row>
    <row r="83" spans="1:42" ht="12" customHeight="1">
      <c r="B83" s="323">
        <v>18</v>
      </c>
      <c r="C83" s="280"/>
      <c r="D83" s="280"/>
      <c r="E83" s="281" t="str">
        <f>VLOOKUP(B83,'Filtered Data'!K:L,2,FALSE)</f>
        <v>Daventry</v>
      </c>
      <c r="F83" s="281"/>
      <c r="G83" s="281"/>
      <c r="H83" s="281"/>
      <c r="I83" s="281"/>
      <c r="J83" s="281"/>
      <c r="K83" s="281"/>
      <c r="L83" s="281"/>
      <c r="M83" s="281"/>
      <c r="N83" s="281"/>
      <c r="O83" s="281"/>
      <c r="P83" s="281"/>
      <c r="Q83" s="281"/>
      <c r="R83" s="281"/>
      <c r="S83" s="281"/>
      <c r="T83" s="281"/>
      <c r="U83" s="288">
        <f>IF('Filtered Data'!$H$8="%.",(VLOOKUP(B83,'Filtered Data'!K:M,3,FALSE))/100,VLOOKUP(B83,'Filtered Data'!K:M,3,FALSE))</f>
        <v>4.0188679245283021</v>
      </c>
      <c r="V83" s="288"/>
      <c r="W83" s="288"/>
      <c r="X83" s="288"/>
      <c r="Y83" s="184" t="str">
        <f>IF((VLOOKUP(E83,classifications!C:K,9,FALSE))="Sparse","S","")</f>
        <v>S</v>
      </c>
      <c r="Z83" s="184"/>
      <c r="AA83" s="184"/>
      <c r="AB83" s="184"/>
      <c r="AC83" s="184"/>
      <c r="AD83" s="286"/>
      <c r="AE83" s="286"/>
      <c r="AF83" s="286"/>
      <c r="AG83" s="286"/>
      <c r="AH83" s="286"/>
      <c r="AI83" s="286"/>
      <c r="AJ83" s="286"/>
      <c r="AK83" s="286"/>
      <c r="AL83" s="286"/>
      <c r="AP83" s="85"/>
    </row>
    <row r="84" spans="1:42" ht="12" customHeight="1">
      <c r="B84" s="323">
        <v>19</v>
      </c>
      <c r="C84" s="280"/>
      <c r="D84" s="280"/>
      <c r="E84" s="281" t="str">
        <f>VLOOKUP(B84,'Filtered Data'!K:L,2,FALSE)</f>
        <v>New Forest</v>
      </c>
      <c r="F84" s="281"/>
      <c r="G84" s="281"/>
      <c r="H84" s="281"/>
      <c r="I84" s="281"/>
      <c r="J84" s="281"/>
      <c r="K84" s="281"/>
      <c r="L84" s="281"/>
      <c r="M84" s="281"/>
      <c r="N84" s="281"/>
      <c r="O84" s="281"/>
      <c r="P84" s="281"/>
      <c r="Q84" s="281"/>
      <c r="R84" s="281"/>
      <c r="S84" s="281"/>
      <c r="T84" s="281"/>
      <c r="U84" s="288">
        <f>IF('Filtered Data'!$H$8="%.",(VLOOKUP(B84,'Filtered Data'!K:M,3,FALSE))/100,VLOOKUP(B84,'Filtered Data'!K:M,3,FALSE))</f>
        <v>4.0396610336502929</v>
      </c>
      <c r="V84" s="288"/>
      <c r="W84" s="288"/>
      <c r="X84" s="288"/>
      <c r="Y84" s="184" t="str">
        <f>IF((VLOOKUP(E84,classifications!C:K,9,FALSE))="Sparse","S","")</f>
        <v>S</v>
      </c>
      <c r="Z84" s="184"/>
      <c r="AA84" s="184"/>
      <c r="AB84" s="184"/>
      <c r="AC84" s="184"/>
      <c r="AD84" s="286"/>
      <c r="AE84" s="286"/>
      <c r="AF84" s="286"/>
      <c r="AG84" s="286"/>
      <c r="AH84" s="286"/>
      <c r="AI84" s="286"/>
      <c r="AJ84" s="286"/>
      <c r="AK84" s="286"/>
      <c r="AL84" s="286"/>
      <c r="AP84" s="85"/>
    </row>
    <row r="85" spans="1:42" ht="12" customHeight="1">
      <c r="B85" s="323">
        <v>20</v>
      </c>
      <c r="C85" s="323"/>
      <c r="D85" s="323"/>
      <c r="E85" s="281" t="str">
        <f>VLOOKUP(B85,'Filtered Data'!K:L,2,FALSE)</f>
        <v>South Norfolk</v>
      </c>
      <c r="F85" s="281"/>
      <c r="G85" s="281"/>
      <c r="H85" s="281"/>
      <c r="I85" s="281"/>
      <c r="J85" s="281"/>
      <c r="K85" s="281"/>
      <c r="L85" s="281"/>
      <c r="M85" s="281"/>
      <c r="N85" s="281"/>
      <c r="O85" s="281"/>
      <c r="P85" s="281"/>
      <c r="Q85" s="281"/>
      <c r="R85" s="281"/>
      <c r="S85" s="281"/>
      <c r="T85" s="281"/>
      <c r="U85" s="288">
        <f>IF('Filtered Data'!$H$8="%.",(VLOOKUP(B85,'Filtered Data'!K:M,3,FALSE))/100,VLOOKUP(B85,'Filtered Data'!K:M,3,FALSE))</f>
        <v>4.0574549581500925</v>
      </c>
      <c r="V85" s="288"/>
      <c r="W85" s="288"/>
      <c r="X85" s="288"/>
      <c r="Y85" s="184" t="str">
        <f>IF((VLOOKUP(E85,classifications!C:K,9,FALSE))="Sparse","S","")</f>
        <v>S</v>
      </c>
      <c r="Z85" s="184"/>
      <c r="AA85" s="184"/>
      <c r="AB85" s="184"/>
      <c r="AC85" s="184"/>
      <c r="AD85" s="286"/>
      <c r="AE85" s="286"/>
      <c r="AF85" s="286"/>
      <c r="AG85" s="286"/>
      <c r="AH85" s="286"/>
      <c r="AI85" s="286"/>
      <c r="AJ85" s="286"/>
      <c r="AK85" s="286"/>
      <c r="AL85" s="286"/>
      <c r="AP85" s="85"/>
    </row>
    <row r="86" spans="1:42" ht="12" customHeight="1">
      <c r="A86" s="80"/>
      <c r="B86" s="352">
        <f>IF(Q37&lt;=MAX(B66:D85),"",Q37)</f>
        <v>173</v>
      </c>
      <c r="C86" s="352"/>
      <c r="D86" s="352"/>
      <c r="E86" s="282" t="str">
        <f>IF(B86="","",VLOOKUP(B86,'Filtered Data'!K:L,2,FALSE))</f>
        <v>Allerdale</v>
      </c>
      <c r="F86" s="282"/>
      <c r="G86" s="282"/>
      <c r="H86" s="282"/>
      <c r="I86" s="282"/>
      <c r="J86" s="282"/>
      <c r="K86" s="282"/>
      <c r="L86" s="282"/>
      <c r="M86" s="282"/>
      <c r="N86" s="282"/>
      <c r="O86" s="282"/>
      <c r="P86" s="282"/>
      <c r="Q86" s="282"/>
      <c r="R86" s="282"/>
      <c r="S86" s="282"/>
      <c r="T86" s="282"/>
      <c r="U86" s="290">
        <f>IF(B86="","",L35)</f>
        <v>11.015070716438673</v>
      </c>
      <c r="V86" s="290"/>
      <c r="W86" s="290"/>
      <c r="X86" s="290"/>
      <c r="Y86" s="184" t="str">
        <f>IF(B86="","",IF((VLOOKUP(E86,classifications!C:K,9,FALSE))="Sparse","S",""))</f>
        <v>S</v>
      </c>
      <c r="Z86" s="184"/>
      <c r="AA86" s="184"/>
      <c r="AB86" s="184"/>
      <c r="AC86" s="184"/>
      <c r="AD86" s="287"/>
      <c r="AE86" s="287"/>
      <c r="AF86" s="287"/>
      <c r="AG86" s="287"/>
      <c r="AH86" s="287"/>
      <c r="AI86" s="287"/>
      <c r="AJ86" s="287"/>
      <c r="AK86" s="287"/>
      <c r="AL86" s="287"/>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9" t="s">
        <v>357</v>
      </c>
      <c r="C91" s="289"/>
      <c r="D91" s="289"/>
      <c r="E91" s="283" t="s">
        <v>334</v>
      </c>
      <c r="F91" s="283"/>
      <c r="G91" s="283"/>
      <c r="H91" s="283"/>
      <c r="I91" s="283"/>
      <c r="J91" s="283"/>
      <c r="K91" s="283"/>
      <c r="L91" s="283"/>
      <c r="M91" s="283"/>
      <c r="N91" s="283"/>
      <c r="O91" s="289" t="s">
        <v>368</v>
      </c>
      <c r="P91" s="289"/>
      <c r="Q91" s="289"/>
      <c r="U91" s="289" t="str">
        <f>IF('Filtered Data'!D1="MD","",IF('Filtered Data'!D1="SC","","Rank"))</f>
        <v>Rank</v>
      </c>
      <c r="V91" s="289"/>
      <c r="W91" s="289"/>
      <c r="X91" s="283" t="str">
        <f>IF('Filtered Data'!D1="MD","",IF('Filtered Data'!D1="SC","","Authority"))</f>
        <v>Authority</v>
      </c>
      <c r="Y91" s="283"/>
      <c r="Z91" s="283"/>
      <c r="AA91" s="283"/>
      <c r="AB91" s="283"/>
      <c r="AC91" s="283"/>
      <c r="AD91" s="283"/>
      <c r="AE91" s="283"/>
      <c r="AF91" s="283"/>
      <c r="AG91" s="283"/>
      <c r="AH91" s="289" t="str">
        <f>IF('Filtered Data'!D1="MD","",IF('Filtered Data'!D1="SC","","Value"))</f>
        <v>Value</v>
      </c>
      <c r="AI91" s="289"/>
      <c r="AJ91" s="289"/>
      <c r="AP91" s="85"/>
    </row>
    <row r="92" spans="1:42" ht="12" customHeight="1">
      <c r="B92" s="284">
        <v>1</v>
      </c>
      <c r="C92" s="285"/>
      <c r="D92" s="285"/>
      <c r="E92" s="282" t="str">
        <f>IF(ISNA(VLOOKUP(B92,'Filtered Data'!AE:AF,2,FALSE)),"",(VLOOKUP(B92,'Filtered Data'!AE:AF,2,FALSE)))</f>
        <v>Sedgemoor</v>
      </c>
      <c r="F92" s="282"/>
      <c r="G92" s="282"/>
      <c r="H92" s="282"/>
      <c r="I92" s="282"/>
      <c r="J92" s="282"/>
      <c r="K92" s="282"/>
      <c r="L92" s="282"/>
      <c r="M92" s="282"/>
      <c r="N92" s="282"/>
      <c r="O92" s="278">
        <f>IF(E92="","",IF('Filtered Data'!$H$8="%.",(VLOOKUP(B92,'Filtered Data'!AE:AG,3,FALSE))/100,VLOOKUP(B92,'Filtered Data'!AE:AG,3,FALSE)))</f>
        <v>4.5784836987975046</v>
      </c>
      <c r="P92" s="278"/>
      <c r="Q92" s="278"/>
      <c r="R92" s="278"/>
      <c r="S92" s="185" t="str">
        <f>IF(E92="","",IF((VLOOKUP(E92,classifications!C:K,9,FALSE))="Sparse","S",""))</f>
        <v>S</v>
      </c>
      <c r="U92" s="279">
        <f>IF('Filtered Data'!$D$1="MD","",IF('Filtered Data'!$D$1="SC","",IF('Filtered Data'!$D$1="UA",'Filtered Data'!AS11,'Filtered Data'!AL11)))</f>
        <v>1</v>
      </c>
      <c r="V92" s="280"/>
      <c r="W92" s="280"/>
      <c r="X92" s="281" t="str">
        <f>IF(U92="","",IF('Filtered Data'!$D$1="UA",VLOOKUP(U92,'Filtered Data'!AS:AU,2,FALSE),VLOOKUP(U92,'Filtered Data'!AL:AN,2,FALSE)))</f>
        <v>Carlisle</v>
      </c>
      <c r="Y92" s="281"/>
      <c r="Z92" s="281"/>
      <c r="AA92" s="281"/>
      <c r="AB92" s="281"/>
      <c r="AC92" s="281"/>
      <c r="AD92" s="281"/>
      <c r="AE92" s="281"/>
      <c r="AF92" s="281"/>
      <c r="AG92" s="281"/>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8.1209202076185445</v>
      </c>
      <c r="AI92" s="278"/>
      <c r="AJ92" s="278"/>
      <c r="AK92" s="278"/>
      <c r="AL92" s="185" t="str">
        <f>IF(X92="","",IF((VLOOKUP(X92,classifications!C:K,9,FALSE))="Sparse","S",""))</f>
        <v>S</v>
      </c>
      <c r="AP92" s="85"/>
    </row>
    <row r="93" spans="1:42" ht="12" customHeight="1">
      <c r="B93" s="284">
        <v>2</v>
      </c>
      <c r="C93" s="285"/>
      <c r="D93" s="285"/>
      <c r="E93" s="282" t="str">
        <f>IF(ISNA(VLOOKUP(B93,'Filtered Data'!AE:AF,2,FALSE)),"",(VLOOKUP(B93,'Filtered Data'!AE:AF,2,FALSE)))</f>
        <v>Amber Valley</v>
      </c>
      <c r="F93" s="282"/>
      <c r="G93" s="282"/>
      <c r="H93" s="282"/>
      <c r="I93" s="282"/>
      <c r="J93" s="282"/>
      <c r="K93" s="282"/>
      <c r="L93" s="282"/>
      <c r="M93" s="282"/>
      <c r="N93" s="282"/>
      <c r="O93" s="278">
        <f>IF(E93="","",IF('Filtered Data'!$H$8="%.",(VLOOKUP(B93,'Filtered Data'!AE:AG,3,FALSE))/100,VLOOKUP(B93,'Filtered Data'!AE:AG,3,FALSE)))</f>
        <v>4.9852369852369849</v>
      </c>
      <c r="P93" s="278"/>
      <c r="Q93" s="278"/>
      <c r="R93" s="278"/>
      <c r="S93" s="185" t="str">
        <f>IF(E93="","",IF((VLOOKUP(E93,classifications!C:K,9,FALSE))="Sparse","S",""))</f>
        <v/>
      </c>
      <c r="U93" s="279">
        <f>IF('Filtered Data'!$D$1="MD","",IF('Filtered Data'!$D$1="SC","",IF('Filtered Data'!$D$1="UA",'Filtered Data'!AS12,'Filtered Data'!AL12)))</f>
        <v>2</v>
      </c>
      <c r="V93" s="280"/>
      <c r="W93" s="280"/>
      <c r="X93" s="281" t="str">
        <f>IF(U93="","",IF('Filtered Data'!$D$1="UA",VLOOKUP(U93,'Filtered Data'!AS:AU,2,FALSE),VLOOKUP(U93,'Filtered Data'!AL:AN,2,FALSE)))</f>
        <v>Eden</v>
      </c>
      <c r="Y93" s="281"/>
      <c r="Z93" s="281"/>
      <c r="AA93" s="281"/>
      <c r="AB93" s="281"/>
      <c r="AC93" s="281"/>
      <c r="AD93" s="281"/>
      <c r="AE93" s="281"/>
      <c r="AF93" s="281"/>
      <c r="AG93" s="281"/>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8.432047477744808</v>
      </c>
      <c r="AI93" s="278"/>
      <c r="AJ93" s="278"/>
      <c r="AK93" s="278"/>
      <c r="AL93" s="185" t="str">
        <f>IF(X93="","",IF((VLOOKUP(X93,classifications!C:K,9,FALSE))="Sparse","S",""))</f>
        <v>S</v>
      </c>
      <c r="AP93" s="85"/>
    </row>
    <row r="94" spans="1:42" ht="12" customHeight="1">
      <c r="B94" s="284">
        <v>3</v>
      </c>
      <c r="C94" s="285"/>
      <c r="D94" s="285"/>
      <c r="E94" s="282" t="str">
        <f>IF(ISNA(VLOOKUP(B94,'Filtered Data'!AE:AF,2,FALSE)),"",(VLOOKUP(B94,'Filtered Data'!AE:AF,2,FALSE)))</f>
        <v>North Devon</v>
      </c>
      <c r="F94" s="282"/>
      <c r="G94" s="282"/>
      <c r="H94" s="282"/>
      <c r="I94" s="282"/>
      <c r="J94" s="282"/>
      <c r="K94" s="282"/>
      <c r="L94" s="282"/>
      <c r="M94" s="282"/>
      <c r="N94" s="282"/>
      <c r="O94" s="278">
        <f>IF(E94="","",IF('Filtered Data'!$H$8="%.",(VLOOKUP(B94,'Filtered Data'!AE:AG,3,FALSE))/100,VLOOKUP(B94,'Filtered Data'!AE:AG,3,FALSE)))</f>
        <v>5.0284566454636757</v>
      </c>
      <c r="P94" s="278"/>
      <c r="Q94" s="278"/>
      <c r="R94" s="278"/>
      <c r="S94" s="185" t="str">
        <f>IF(E94="","",IF((VLOOKUP(E94,classifications!C:K,9,FALSE))="Sparse","S",""))</f>
        <v>S</v>
      </c>
      <c r="U94" s="279">
        <f>IF('Filtered Data'!$D$1="MD","",IF('Filtered Data'!$D$1="SC","",IF('Filtered Data'!$D$1="UA",'Filtered Data'!AS13,'Filtered Data'!AL13)))</f>
        <v>3</v>
      </c>
      <c r="V94" s="280"/>
      <c r="W94" s="280"/>
      <c r="X94" s="281" t="str">
        <f>IF(U94="","",IF('Filtered Data'!$D$1="UA",VLOOKUP(U94,'Filtered Data'!AS:AU,2,FALSE),VLOOKUP(U94,'Filtered Data'!AL:AN,2,FALSE)))</f>
        <v>South Lakeland</v>
      </c>
      <c r="Y94" s="281"/>
      <c r="Z94" s="281"/>
      <c r="AA94" s="281"/>
      <c r="AB94" s="281"/>
      <c r="AC94" s="281"/>
      <c r="AD94" s="281"/>
      <c r="AE94" s="281"/>
      <c r="AF94" s="281"/>
      <c r="AG94" s="281"/>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9.7799246317231923</v>
      </c>
      <c r="AI94" s="278"/>
      <c r="AJ94" s="278"/>
      <c r="AK94" s="278"/>
      <c r="AL94" s="185" t="str">
        <f>IF(X94="","",IF((VLOOKUP(X94,classifications!C:K,9,FALSE))="Sparse","S",""))</f>
        <v>S</v>
      </c>
      <c r="AP94" s="85"/>
    </row>
    <row r="95" spans="1:42" ht="12" customHeight="1">
      <c r="B95" s="284">
        <v>4</v>
      </c>
      <c r="C95" s="285"/>
      <c r="D95" s="285"/>
      <c r="E95" s="282" t="str">
        <f>IF(ISNA(VLOOKUP(B95,'Filtered Data'!AE:AF,2,FALSE)),"",(VLOOKUP(B95,'Filtered Data'!AE:AF,2,FALSE)))</f>
        <v>Fenland</v>
      </c>
      <c r="F95" s="282"/>
      <c r="G95" s="282"/>
      <c r="H95" s="282"/>
      <c r="I95" s="282"/>
      <c r="J95" s="282"/>
      <c r="K95" s="282"/>
      <c r="L95" s="282"/>
      <c r="M95" s="282"/>
      <c r="N95" s="282"/>
      <c r="O95" s="278">
        <f>IF(E95="","",IF('Filtered Data'!$H$8="%.",(VLOOKUP(B95,'Filtered Data'!AE:AG,3,FALSE))/100,VLOOKUP(B95,'Filtered Data'!AE:AG,3,FALSE)))</f>
        <v>5.6660818713450292</v>
      </c>
      <c r="P95" s="278"/>
      <c r="Q95" s="278"/>
      <c r="R95" s="278"/>
      <c r="S95" s="185" t="str">
        <f>IF(E95="","",IF((VLOOKUP(E95,classifications!C:K,9,FALSE))="Sparse","S",""))</f>
        <v>S</v>
      </c>
      <c r="U95" s="279">
        <f>IF('Filtered Data'!$D$1="MD","",IF('Filtered Data'!$D$1="SC","",IF('Filtered Data'!$D$1="UA",'Filtered Data'!AS14,'Filtered Data'!AL14)))</f>
        <v>4</v>
      </c>
      <c r="V95" s="280"/>
      <c r="W95" s="280"/>
      <c r="X95" s="281" t="str">
        <f>IF(U95="","",IF('Filtered Data'!$D$1="UA",VLOOKUP(U95,'Filtered Data'!AS:AU,2,FALSE),VLOOKUP(U95,'Filtered Data'!AL:AN,2,FALSE)))</f>
        <v>Copeland</v>
      </c>
      <c r="Y95" s="281"/>
      <c r="Z95" s="281"/>
      <c r="AA95" s="281"/>
      <c r="AB95" s="281"/>
      <c r="AC95" s="281"/>
      <c r="AD95" s="281"/>
      <c r="AE95" s="281"/>
      <c r="AF95" s="281"/>
      <c r="AG95" s="281"/>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10.42640922850364</v>
      </c>
      <c r="AI95" s="278"/>
      <c r="AJ95" s="278"/>
      <c r="AK95" s="278"/>
      <c r="AL95" s="185" t="str">
        <f>IF(X95="","",IF((VLOOKUP(X95,classifications!C:K,9,FALSE))="Sparse","S",""))</f>
        <v/>
      </c>
      <c r="AP95" s="85"/>
    </row>
    <row r="96" spans="1:42" ht="12" customHeight="1">
      <c r="B96" s="284">
        <v>5</v>
      </c>
      <c r="C96" s="285"/>
      <c r="D96" s="285"/>
      <c r="E96" s="282" t="str">
        <f>IF(ISNA(VLOOKUP(B96,'Filtered Data'!AE:AF,2,FALSE)),"",(VLOOKUP(B96,'Filtered Data'!AE:AF,2,FALSE)))</f>
        <v>Dover</v>
      </c>
      <c r="F96" s="282"/>
      <c r="G96" s="282"/>
      <c r="H96" s="282"/>
      <c r="I96" s="282"/>
      <c r="J96" s="282"/>
      <c r="K96" s="282"/>
      <c r="L96" s="282"/>
      <c r="M96" s="282"/>
      <c r="N96" s="282"/>
      <c r="O96" s="278">
        <f>IF(E96="","",IF('Filtered Data'!$H$8="%.",(VLOOKUP(B96,'Filtered Data'!AE:AG,3,FALSE))/100,VLOOKUP(B96,'Filtered Data'!AE:AG,3,FALSE)))</f>
        <v>6.0519275399690562</v>
      </c>
      <c r="P96" s="278"/>
      <c r="Q96" s="278"/>
      <c r="R96" s="278"/>
      <c r="S96" s="185" t="str">
        <f>IF(E96="","",IF((VLOOKUP(E96,classifications!C:K,9,FALSE))="Sparse","S",""))</f>
        <v>S</v>
      </c>
      <c r="U96" s="279">
        <f>IF('Filtered Data'!$D$1="MD","",IF('Filtered Data'!$D$1="SC","",IF('Filtered Data'!$D$1="UA",'Filtered Data'!AS15,'Filtered Data'!AL15)))</f>
        <v>5</v>
      </c>
      <c r="V96" s="280"/>
      <c r="W96" s="280"/>
      <c r="X96" s="281" t="str">
        <f>IF(U96="","",IF('Filtered Data'!$D$1="UA",VLOOKUP(U96,'Filtered Data'!AS:AU,2,FALSE),VLOOKUP(U96,'Filtered Data'!AL:AN,2,FALSE)))</f>
        <v>Allerdale</v>
      </c>
      <c r="Y96" s="281"/>
      <c r="Z96" s="281"/>
      <c r="AA96" s="281"/>
      <c r="AB96" s="281"/>
      <c r="AC96" s="281"/>
      <c r="AD96" s="281"/>
      <c r="AE96" s="281"/>
      <c r="AF96" s="281"/>
      <c r="AG96" s="281"/>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11.015070716438673</v>
      </c>
      <c r="AI96" s="278"/>
      <c r="AJ96" s="278"/>
      <c r="AK96" s="278"/>
      <c r="AL96" s="185" t="str">
        <f>IF(X96="","",IF((VLOOKUP(X96,classifications!C:K,9,FALSE))="Sparse","S",""))</f>
        <v>S</v>
      </c>
      <c r="AP96" s="85"/>
    </row>
    <row r="97" spans="2:42" ht="12" customHeight="1">
      <c r="B97" s="284">
        <v>6</v>
      </c>
      <c r="C97" s="285"/>
      <c r="D97" s="285"/>
      <c r="E97" s="282" t="str">
        <f>IF(ISNA(VLOOKUP(B97,'Filtered Data'!AE:AF,2,FALSE)),"",(VLOOKUP(B97,'Filtered Data'!AE:AF,2,FALSE)))</f>
        <v>Scarborough</v>
      </c>
      <c r="F97" s="282"/>
      <c r="G97" s="282"/>
      <c r="H97" s="282"/>
      <c r="I97" s="282"/>
      <c r="J97" s="282"/>
      <c r="K97" s="282"/>
      <c r="L97" s="282"/>
      <c r="M97" s="282"/>
      <c r="N97" s="282"/>
      <c r="O97" s="278">
        <f>IF(E97="","",IF('Filtered Data'!$H$8="%.",(VLOOKUP(B97,'Filtered Data'!AE:AG,3,FALSE))/100,VLOOKUP(B97,'Filtered Data'!AE:AG,3,FALSE)))</f>
        <v>6.3579752736116744</v>
      </c>
      <c r="P97" s="278"/>
      <c r="Q97" s="278"/>
      <c r="R97" s="278"/>
      <c r="S97" s="185" t="str">
        <f>IF(E97="","",IF((VLOOKUP(E97,classifications!C:K,9,FALSE))="Sparse","S",""))</f>
        <v>S</v>
      </c>
      <c r="U97" s="279" t="str">
        <f>IF('Filtered Data'!$D$1="MD","",IF('Filtered Data'!$D$1="SC","",IF('Filtered Data'!$D$1="UA",'Filtered Data'!AS16,'Filtered Data'!AL16)))</f>
        <v/>
      </c>
      <c r="V97" s="280"/>
      <c r="W97" s="280"/>
      <c r="X97" s="281" t="str">
        <f>IF(U97="","",IF('Filtered Data'!$D$1="UA",VLOOKUP(U97,'Filtered Data'!AS:AU,2,FALSE),VLOOKUP(U97,'Filtered Data'!AL:AN,2,FALSE)))</f>
        <v/>
      </c>
      <c r="Y97" s="281"/>
      <c r="Z97" s="281"/>
      <c r="AA97" s="281"/>
      <c r="AB97" s="281"/>
      <c r="AC97" s="281"/>
      <c r="AD97" s="281"/>
      <c r="AE97" s="281"/>
      <c r="AF97" s="281"/>
      <c r="AG97" s="281"/>
      <c r="AH97" s="278" t="str">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
      </c>
      <c r="AI97" s="278"/>
      <c r="AJ97" s="278"/>
      <c r="AK97" s="278"/>
      <c r="AL97" s="185" t="str">
        <f>IF(X97="","",IF((VLOOKUP(X97,classifications!C:K,9,FALSE))="Sparse","S",""))</f>
        <v/>
      </c>
      <c r="AP97" s="85"/>
    </row>
    <row r="98" spans="2:42" ht="12" customHeight="1">
      <c r="B98" s="284">
        <v>7</v>
      </c>
      <c r="C98" s="285"/>
      <c r="D98" s="285"/>
      <c r="E98" s="282" t="str">
        <f>IF(ISNA(VLOOKUP(B98,'Filtered Data'!AE:AF,2,FALSE)),"",(VLOOKUP(B98,'Filtered Data'!AE:AF,2,FALSE)))</f>
        <v>Swale</v>
      </c>
      <c r="F98" s="282"/>
      <c r="G98" s="282"/>
      <c r="H98" s="282"/>
      <c r="I98" s="282"/>
      <c r="J98" s="282"/>
      <c r="K98" s="282"/>
      <c r="L98" s="282"/>
      <c r="M98" s="282"/>
      <c r="N98" s="282"/>
      <c r="O98" s="278">
        <f>IF(E98="","",IF('Filtered Data'!$H$8="%.",(VLOOKUP(B98,'Filtered Data'!AE:AG,3,FALSE))/100,VLOOKUP(B98,'Filtered Data'!AE:AG,3,FALSE)))</f>
        <v>6.3791605084244756</v>
      </c>
      <c r="P98" s="278"/>
      <c r="Q98" s="278"/>
      <c r="R98" s="278"/>
      <c r="S98" s="185" t="str">
        <f>IF(E98="","",IF((VLOOKUP(E98,classifications!C:K,9,FALSE))="Sparse","S",""))</f>
        <v/>
      </c>
      <c r="U98" s="279" t="str">
        <f>IF('Filtered Data'!$D$1="MD","",IF('Filtered Data'!$D$1="SC","",IF('Filtered Data'!$D$1="UA",'Filtered Data'!AS17,'Filtered Data'!AL17)))</f>
        <v/>
      </c>
      <c r="V98" s="280"/>
      <c r="W98" s="280"/>
      <c r="X98" s="281" t="str">
        <f>IF(U98="","",IF('Filtered Data'!$D$1="UA",VLOOKUP(U98,'Filtered Data'!AS:AU,2,FALSE),VLOOKUP(U98,'Filtered Data'!AL:AN,2,FALSE)))</f>
        <v/>
      </c>
      <c r="Y98" s="281"/>
      <c r="Z98" s="281"/>
      <c r="AA98" s="281"/>
      <c r="AB98" s="281"/>
      <c r="AC98" s="281"/>
      <c r="AD98" s="281"/>
      <c r="AE98" s="281"/>
      <c r="AF98" s="281"/>
      <c r="AG98" s="281"/>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84">
        <v>8</v>
      </c>
      <c r="C99" s="285"/>
      <c r="D99" s="285"/>
      <c r="E99" s="282" t="str">
        <f>IF(ISNA(VLOOKUP(B99,'Filtered Data'!AE:AF,2,FALSE)),"",(VLOOKUP(B99,'Filtered Data'!AE:AF,2,FALSE)))</f>
        <v>West Lancashire</v>
      </c>
      <c r="F99" s="282"/>
      <c r="G99" s="282"/>
      <c r="H99" s="282"/>
      <c r="I99" s="282"/>
      <c r="J99" s="282"/>
      <c r="K99" s="282"/>
      <c r="L99" s="282"/>
      <c r="M99" s="282"/>
      <c r="N99" s="282"/>
      <c r="O99" s="278">
        <f>IF(E99="","",IF('Filtered Data'!$H$8="%.",(VLOOKUP(B99,'Filtered Data'!AE:AG,3,FALSE))/100,VLOOKUP(B99,'Filtered Data'!AE:AG,3,FALSE)))</f>
        <v>6.8877251780477584</v>
      </c>
      <c r="P99" s="278"/>
      <c r="Q99" s="278"/>
      <c r="R99" s="278"/>
      <c r="S99" s="185" t="str">
        <f>IF(E99="","",IF((VLOOKUP(E99,classifications!C:K,9,FALSE))="Sparse","S",""))</f>
        <v/>
      </c>
      <c r="U99" s="279" t="str">
        <f>IF('Filtered Data'!$D$1="MD","",IF('Filtered Data'!$D$1="SC","",IF('Filtered Data'!$D$1="UA",'Filtered Data'!AS18,'Filtered Data'!AL18)))</f>
        <v/>
      </c>
      <c r="V99" s="280"/>
      <c r="W99" s="280"/>
      <c r="X99" s="281" t="str">
        <f>IF(U99="","",IF('Filtered Data'!$D$1="UA",VLOOKUP(U99,'Filtered Data'!AS:AU,2,FALSE),VLOOKUP(U99,'Filtered Data'!AL:AN,2,FALSE)))</f>
        <v/>
      </c>
      <c r="Y99" s="281"/>
      <c r="Z99" s="281"/>
      <c r="AA99" s="281"/>
      <c r="AB99" s="281"/>
      <c r="AC99" s="281"/>
      <c r="AD99" s="281"/>
      <c r="AE99" s="281"/>
      <c r="AF99" s="281"/>
      <c r="AG99" s="281"/>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84">
        <v>9</v>
      </c>
      <c r="C100" s="285"/>
      <c r="D100" s="285"/>
      <c r="E100" s="282" t="str">
        <f>IF(ISNA(VLOOKUP(B100,'Filtered Data'!AE:AF,2,FALSE)),"",(VLOOKUP(B100,'Filtered Data'!AE:AF,2,FALSE)))</f>
        <v>North East Derbyshire</v>
      </c>
      <c r="F100" s="282"/>
      <c r="G100" s="282"/>
      <c r="H100" s="282"/>
      <c r="I100" s="282"/>
      <c r="J100" s="282"/>
      <c r="K100" s="282"/>
      <c r="L100" s="282"/>
      <c r="M100" s="282"/>
      <c r="N100" s="282"/>
      <c r="O100" s="278">
        <f>IF(E100="","",IF('Filtered Data'!$H$8="%.",(VLOOKUP(B100,'Filtered Data'!AE:AG,3,FALSE))/100,VLOOKUP(B100,'Filtered Data'!AE:AG,3,FALSE)))</f>
        <v>7.0662689664116201</v>
      </c>
      <c r="P100" s="278"/>
      <c r="Q100" s="278"/>
      <c r="R100" s="278"/>
      <c r="S100" s="185" t="str">
        <f>IF(E100="","",IF((VLOOKUP(E100,classifications!C:K,9,FALSE))="Sparse","S",""))</f>
        <v/>
      </c>
      <c r="U100" s="279" t="str">
        <f>IF('Filtered Data'!$D$1="MD","",IF('Filtered Data'!$D$1="SC","",IF('Filtered Data'!$D$1="UA",'Filtered Data'!AS19,'Filtered Data'!AL19)))</f>
        <v/>
      </c>
      <c r="V100" s="280"/>
      <c r="W100" s="280"/>
      <c r="X100" s="281" t="str">
        <f>IF(U100="","",IF('Filtered Data'!$D$1="UA",VLOOKUP(U100,'Filtered Data'!AS:AU,2,FALSE),VLOOKUP(U100,'Filtered Data'!AL:AN,2,FALSE)))</f>
        <v/>
      </c>
      <c r="Y100" s="281"/>
      <c r="Z100" s="281"/>
      <c r="AA100" s="281"/>
      <c r="AB100" s="281"/>
      <c r="AC100" s="281"/>
      <c r="AD100" s="281"/>
      <c r="AE100" s="281"/>
      <c r="AF100" s="281"/>
      <c r="AG100" s="281"/>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84">
        <v>10</v>
      </c>
      <c r="C101" s="285"/>
      <c r="D101" s="285"/>
      <c r="E101" s="282" t="str">
        <f>IF(ISNA(VLOOKUP(B101,'Filtered Data'!AE:AF,2,FALSE)),"",(VLOOKUP(B101,'Filtered Data'!AE:AF,2,FALSE)))</f>
        <v>Newark &amp; Sherwood</v>
      </c>
      <c r="F101" s="282"/>
      <c r="G101" s="282"/>
      <c r="H101" s="282"/>
      <c r="I101" s="282"/>
      <c r="J101" s="282"/>
      <c r="K101" s="282"/>
      <c r="L101" s="282"/>
      <c r="M101" s="282"/>
      <c r="N101" s="282"/>
      <c r="O101" s="278">
        <f>IF(E101="","",IF('Filtered Data'!$H$8="%.",(VLOOKUP(B101,'Filtered Data'!AE:AG,3,FALSE))/100,VLOOKUP(B101,'Filtered Data'!AE:AG,3,FALSE)))</f>
        <v>7.3292522955837338</v>
      </c>
      <c r="P101" s="278"/>
      <c r="Q101" s="278"/>
      <c r="R101" s="278"/>
      <c r="S101" s="185" t="str">
        <f>IF(E101="","",IF((VLOOKUP(E101,classifications!C:K,9,FALSE))="Sparse","S",""))</f>
        <v>S</v>
      </c>
      <c r="U101" s="279" t="str">
        <f>IF('Filtered Data'!$D$1="MD","",IF('Filtered Data'!$D$1="SC","",IF('Filtered Data'!$D$1="UA",'Filtered Data'!AS20,'Filtered Data'!AL20)))</f>
        <v/>
      </c>
      <c r="V101" s="280"/>
      <c r="W101" s="280"/>
      <c r="X101" s="281" t="str">
        <f>IF(U101="","",IF('Filtered Data'!$D$1="UA",VLOOKUP(U101,'Filtered Data'!AS:AU,2,FALSE),VLOOKUP(U101,'Filtered Data'!AL:AN,2,FALSE)))</f>
        <v/>
      </c>
      <c r="Y101" s="281"/>
      <c r="Z101" s="281"/>
      <c r="AA101" s="281"/>
      <c r="AB101" s="281"/>
      <c r="AC101" s="281"/>
      <c r="AD101" s="281"/>
      <c r="AE101" s="281"/>
      <c r="AF101" s="281"/>
      <c r="AG101" s="281"/>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84">
        <v>11</v>
      </c>
      <c r="C102" s="285"/>
      <c r="D102" s="285"/>
      <c r="E102" s="282" t="str">
        <f>IF(ISNA(VLOOKUP(B102,'Filtered Data'!AE:AF,2,FALSE)),"",(VLOOKUP(B102,'Filtered Data'!AE:AF,2,FALSE)))</f>
        <v>Bolsover</v>
      </c>
      <c r="F102" s="282"/>
      <c r="G102" s="282"/>
      <c r="H102" s="282"/>
      <c r="I102" s="282"/>
      <c r="J102" s="282"/>
      <c r="K102" s="282"/>
      <c r="L102" s="282"/>
      <c r="M102" s="282"/>
      <c r="N102" s="282"/>
      <c r="O102" s="278">
        <f>IF(E102="","",IF('Filtered Data'!$H$8="%.",(VLOOKUP(B102,'Filtered Data'!AE:AG,3,FALSE))/100,VLOOKUP(B102,'Filtered Data'!AE:AG,3,FALSE)))</f>
        <v>7.6647622558053818</v>
      </c>
      <c r="P102" s="278"/>
      <c r="Q102" s="278"/>
      <c r="R102" s="278"/>
      <c r="S102" s="185" t="str">
        <f>IF(E102="","",IF((VLOOKUP(E102,classifications!C:K,9,FALSE))="Sparse","S",""))</f>
        <v/>
      </c>
      <c r="U102" s="279" t="str">
        <f>IF('Filtered Data'!$D$1="MD","",IF('Filtered Data'!$D$1="SC","",IF('Filtered Data'!$D$1="UA",'Filtered Data'!AS21,'Filtered Data'!AL21)))</f>
        <v/>
      </c>
      <c r="V102" s="280"/>
      <c r="W102" s="280"/>
      <c r="X102" s="281" t="str">
        <f>IF(U102="","",IF('Filtered Data'!$D$1="UA",VLOOKUP(U102,'Filtered Data'!AS:AU,2,FALSE),VLOOKUP(U102,'Filtered Data'!AL:AN,2,FALSE)))</f>
        <v/>
      </c>
      <c r="Y102" s="281"/>
      <c r="Z102" s="281"/>
      <c r="AA102" s="281"/>
      <c r="AB102" s="281"/>
      <c r="AC102" s="281"/>
      <c r="AD102" s="281"/>
      <c r="AE102" s="281"/>
      <c r="AF102" s="281"/>
      <c r="AG102" s="281"/>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84">
        <v>12</v>
      </c>
      <c r="C103" s="284"/>
      <c r="D103" s="284"/>
      <c r="E103" s="282" t="str">
        <f>IF(ISNA(VLOOKUP(B103,'Filtered Data'!AE:AF,2,FALSE)),"",(VLOOKUP(B103,'Filtered Data'!AE:AF,2,FALSE)))</f>
        <v>Carlisle</v>
      </c>
      <c r="F103" s="282"/>
      <c r="G103" s="282"/>
      <c r="H103" s="282"/>
      <c r="I103" s="282"/>
      <c r="J103" s="282"/>
      <c r="K103" s="282"/>
      <c r="L103" s="282"/>
      <c r="M103" s="282"/>
      <c r="N103" s="282"/>
      <c r="O103" s="278">
        <f>IF(E103="","",IF('Filtered Data'!$H$8="%.",(VLOOKUP(B103,'Filtered Data'!AE:AG,3,FALSE))/100,VLOOKUP(B103,'Filtered Data'!AE:AG,3,FALSE)))</f>
        <v>8.1209202076185445</v>
      </c>
      <c r="P103" s="278"/>
      <c r="Q103" s="278"/>
      <c r="R103" s="278"/>
      <c r="S103" s="185" t="str">
        <f>IF(E103="","",IF((VLOOKUP(E103,classifications!C:K,9,FALSE))="Sparse","S",""))</f>
        <v>S</v>
      </c>
      <c r="U103" s="279" t="str">
        <f>IF('Filtered Data'!$D$1="MD","",IF('Filtered Data'!$D$1="SC","",IF('Filtered Data'!$D$1="UA",'Filtered Data'!AS22,'Filtered Data'!AL22)))</f>
        <v/>
      </c>
      <c r="V103" s="280"/>
      <c r="W103" s="280"/>
      <c r="X103" s="281" t="str">
        <f>IF(U103="","",IF('Filtered Data'!$D$1="UA",VLOOKUP(U103,'Filtered Data'!AS:AU,2,FALSE),VLOOKUP(U103,'Filtered Data'!AL:AN,2,FALSE)))</f>
        <v/>
      </c>
      <c r="Y103" s="281"/>
      <c r="Z103" s="281"/>
      <c r="AA103" s="281"/>
      <c r="AB103" s="281"/>
      <c r="AC103" s="281"/>
      <c r="AD103" s="281"/>
      <c r="AE103" s="281"/>
      <c r="AF103" s="281"/>
      <c r="AG103" s="281"/>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84">
        <v>13</v>
      </c>
      <c r="C104" s="285"/>
      <c r="D104" s="285"/>
      <c r="E104" s="282" t="str">
        <f>IF(ISNA(VLOOKUP(B104,'Filtered Data'!AE:AF,2,FALSE)),"",(VLOOKUP(B104,'Filtered Data'!AE:AF,2,FALSE)))</f>
        <v>Bassetlaw</v>
      </c>
      <c r="F104" s="282"/>
      <c r="G104" s="282"/>
      <c r="H104" s="282"/>
      <c r="I104" s="282"/>
      <c r="J104" s="282"/>
      <c r="K104" s="282"/>
      <c r="L104" s="282"/>
      <c r="M104" s="282"/>
      <c r="N104" s="282"/>
      <c r="O104" s="278">
        <f>IF(E104="","",IF('Filtered Data'!$H$8="%.",(VLOOKUP(B104,'Filtered Data'!AE:AG,3,FALSE))/100,VLOOKUP(B104,'Filtered Data'!AE:AG,3,FALSE)))</f>
        <v>8.1773774406517763</v>
      </c>
      <c r="P104" s="278"/>
      <c r="Q104" s="278"/>
      <c r="R104" s="278"/>
      <c r="S104" s="185" t="str">
        <f>IF(E104="","",IF((VLOOKUP(E104,classifications!C:K,9,FALSE))="Sparse","S",""))</f>
        <v>S</v>
      </c>
      <c r="U104" s="279" t="str">
        <f>IF('Filtered Data'!$D$1="MD","",IF('Filtered Data'!$D$1="SC","",IF('Filtered Data'!$D$1="UA",'Filtered Data'!AS23,'Filtered Data'!AL23)))</f>
        <v/>
      </c>
      <c r="V104" s="280"/>
      <c r="W104" s="280"/>
      <c r="X104" s="281" t="str">
        <f>IF(U104="","",IF('Filtered Data'!$D$1="UA",VLOOKUP(U104,'Filtered Data'!AS:AU,2,FALSE),VLOOKUP(U104,'Filtered Data'!AL:AN,2,FALSE)))</f>
        <v/>
      </c>
      <c r="Y104" s="281"/>
      <c r="Z104" s="281"/>
      <c r="AA104" s="281"/>
      <c r="AB104" s="281"/>
      <c r="AC104" s="281"/>
      <c r="AD104" s="281"/>
      <c r="AE104" s="281"/>
      <c r="AF104" s="281"/>
      <c r="AG104" s="281"/>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84">
        <v>14</v>
      </c>
      <c r="C105" s="285"/>
      <c r="D105" s="285"/>
      <c r="E105" s="282" t="str">
        <f>IF(ISNA(VLOOKUP(B105,'Filtered Data'!AE:AF,2,FALSE)),"",(VLOOKUP(B105,'Filtered Data'!AE:AF,2,FALSE)))</f>
        <v>Copeland</v>
      </c>
      <c r="F105" s="282"/>
      <c r="G105" s="282"/>
      <c r="H105" s="282"/>
      <c r="I105" s="282"/>
      <c r="J105" s="282"/>
      <c r="K105" s="282"/>
      <c r="L105" s="282"/>
      <c r="M105" s="282"/>
      <c r="N105" s="282"/>
      <c r="O105" s="278">
        <f>IF(E105="","",IF('Filtered Data'!$H$8="%.",(VLOOKUP(B105,'Filtered Data'!AE:AG,3,FALSE))/100,VLOOKUP(B105,'Filtered Data'!AE:AG,3,FALSE)))</f>
        <v>10.42640922850364</v>
      </c>
      <c r="P105" s="278"/>
      <c r="Q105" s="278"/>
      <c r="R105" s="278"/>
      <c r="S105" s="185" t="str">
        <f>IF(E105="","",IF((VLOOKUP(E105,classifications!C:K,9,FALSE))="Sparse","S",""))</f>
        <v/>
      </c>
      <c r="U105" s="279" t="str">
        <f>IF('Filtered Data'!$D$1="MD","",IF('Filtered Data'!$D$1="SC","",IF('Filtered Data'!$D$1="UA",'Filtered Data'!AS24,'Filtered Data'!AL24)))</f>
        <v/>
      </c>
      <c r="V105" s="280"/>
      <c r="W105" s="280"/>
      <c r="X105" s="281" t="str">
        <f>IF(U105="","",IF('Filtered Data'!$D$1="UA",VLOOKUP(U105,'Filtered Data'!AS:AU,2,FALSE),VLOOKUP(U105,'Filtered Data'!AL:AN,2,FALSE)))</f>
        <v/>
      </c>
      <c r="Y105" s="281"/>
      <c r="Z105" s="281"/>
      <c r="AA105" s="281"/>
      <c r="AB105" s="281"/>
      <c r="AC105" s="281"/>
      <c r="AD105" s="281"/>
      <c r="AE105" s="281"/>
      <c r="AF105" s="281"/>
      <c r="AG105" s="281"/>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84">
        <v>15</v>
      </c>
      <c r="C106" s="285"/>
      <c r="D106" s="285"/>
      <c r="E106" s="282" t="str">
        <f>IF(ISNA(VLOOKUP(B106,'Filtered Data'!AE:AF,2,FALSE)),"",(VLOOKUP(B106,'Filtered Data'!AE:AF,2,FALSE)))</f>
        <v>Allerdale</v>
      </c>
      <c r="F106" s="282"/>
      <c r="G106" s="282"/>
      <c r="H106" s="282"/>
      <c r="I106" s="282"/>
      <c r="J106" s="282"/>
      <c r="K106" s="282"/>
      <c r="L106" s="282"/>
      <c r="M106" s="282"/>
      <c r="N106" s="282"/>
      <c r="O106" s="278">
        <f>IF(E106="","",IF('Filtered Data'!$H$8="%.",(VLOOKUP(B106,'Filtered Data'!AE:AG,3,FALSE))/100,VLOOKUP(B106,'Filtered Data'!AE:AG,3,FALSE)))</f>
        <v>11.015070716438673</v>
      </c>
      <c r="P106" s="278"/>
      <c r="Q106" s="278"/>
      <c r="R106" s="278"/>
      <c r="S106" s="185" t="str">
        <f>IF(E106="","",IF((VLOOKUP(E106,classifications!C:K,9,FALSE))="Sparse","S",""))</f>
        <v>S</v>
      </c>
      <c r="U106" s="279" t="str">
        <f>IF('Filtered Data'!$D$1="MD","",IF('Filtered Data'!$D$1="SC","",IF('Filtered Data'!$D$1="UA",'Filtered Data'!AS25,'Filtered Data'!AL25)))</f>
        <v/>
      </c>
      <c r="V106" s="280"/>
      <c r="W106" s="280"/>
      <c r="X106" s="281" t="str">
        <f>IF(U106="","",IF('Filtered Data'!$D$1="UA",VLOOKUP(U106,'Filtered Data'!AS:AU,2,FALSE),VLOOKUP(U106,'Filtered Data'!AL:AN,2,FALSE)))</f>
        <v/>
      </c>
      <c r="Y106" s="281"/>
      <c r="Z106" s="281"/>
      <c r="AA106" s="281"/>
      <c r="AB106" s="281"/>
      <c r="AC106" s="281"/>
      <c r="AD106" s="281"/>
      <c r="AE106" s="281"/>
      <c r="AF106" s="281"/>
      <c r="AG106" s="281"/>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84">
        <v>16</v>
      </c>
      <c r="C107" s="285"/>
      <c r="D107" s="285"/>
      <c r="E107" s="282" t="str">
        <f>IF(ISNA(VLOOKUP(B107,'Filtered Data'!AE:AF,2,FALSE)),"",(VLOOKUP(B107,'Filtered Data'!AE:AF,2,FALSE)))</f>
        <v/>
      </c>
      <c r="F107" s="282"/>
      <c r="G107" s="282"/>
      <c r="H107" s="282"/>
      <c r="I107" s="282"/>
      <c r="J107" s="282"/>
      <c r="K107" s="282"/>
      <c r="L107" s="282"/>
      <c r="M107" s="282"/>
      <c r="N107" s="282"/>
      <c r="O107" s="278" t="str">
        <f>IF(E107="","",IF('Filtered Data'!$H$8="%.",(VLOOKUP(B107,'Filtered Data'!AE:AG,3,FALSE))/100,VLOOKUP(B107,'Filtered Data'!AE:AG,3,FALSE)))</f>
        <v/>
      </c>
      <c r="P107" s="278"/>
      <c r="Q107" s="278"/>
      <c r="R107" s="278"/>
      <c r="S107" s="185" t="str">
        <f>IF(E107="","",IF((VLOOKUP(E107,classifications!C:K,9,FALSE))="Sparse","S",""))</f>
        <v/>
      </c>
      <c r="U107" s="279" t="str">
        <f>IF('Filtered Data'!$D$1="MD","",IF('Filtered Data'!$D$1="SC","",IF('Filtered Data'!$D$1="UA",'Filtered Data'!AS26,'Filtered Data'!AL26)))</f>
        <v/>
      </c>
      <c r="V107" s="280"/>
      <c r="W107" s="280"/>
      <c r="X107" s="281" t="str">
        <f>IF(U107="","",IF('Filtered Data'!$D$1="UA",VLOOKUP(U107,'Filtered Data'!AS:AU,2,FALSE),VLOOKUP(U107,'Filtered Data'!AL:AN,2,FALSE)))</f>
        <v/>
      </c>
      <c r="Y107" s="281"/>
      <c r="Z107" s="281"/>
      <c r="AA107" s="281"/>
      <c r="AB107" s="281"/>
      <c r="AC107" s="281"/>
      <c r="AD107" s="281"/>
      <c r="AE107" s="281"/>
      <c r="AF107" s="281"/>
      <c r="AG107" s="281"/>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0"/>
      <c r="C108" s="280"/>
      <c r="D108" s="280"/>
      <c r="E108" s="283" t="s">
        <v>343</v>
      </c>
      <c r="F108" s="283"/>
      <c r="G108" s="283"/>
      <c r="H108" s="283"/>
      <c r="I108" s="283"/>
      <c r="J108" s="283"/>
      <c r="K108" s="283"/>
      <c r="L108" s="283"/>
      <c r="M108" s="283"/>
      <c r="N108" s="283"/>
      <c r="O108" s="350">
        <f>IF(ISERROR(AVERAGE(O92:O107)),"",AVERAGE(O92:O107))</f>
        <v>7.0490072541273028</v>
      </c>
      <c r="P108" s="350"/>
      <c r="Q108" s="350"/>
      <c r="R108" s="350"/>
      <c r="S108" s="185"/>
      <c r="U108" s="280"/>
      <c r="V108" s="280"/>
      <c r="W108" s="280"/>
      <c r="X108" s="24" t="str">
        <f>IF('Filtered Data'!D1="MD","",IF('Filtered Data'!D1="SC","","Average"))</f>
        <v>Average</v>
      </c>
      <c r="Y108" s="24"/>
      <c r="Z108" s="24"/>
      <c r="AA108" s="24"/>
      <c r="AB108" s="24"/>
      <c r="AC108" s="24"/>
      <c r="AD108" s="24"/>
      <c r="AE108" s="24"/>
      <c r="AF108" s="24"/>
      <c r="AG108" s="27"/>
      <c r="AH108" s="350">
        <f>L40</f>
        <v>9.5548744524057732</v>
      </c>
      <c r="AI108" s="350"/>
      <c r="AJ108" s="350"/>
      <c r="AK108" s="350"/>
      <c r="AP108" s="85"/>
    </row>
    <row r="109" spans="2:42" ht="12" customHeight="1">
      <c r="W109" s="22">
        <f>COUNT(U92:V107)</f>
        <v>5</v>
      </c>
    </row>
    <row r="110" spans="2:42" ht="19.5" customHeight="1">
      <c r="B110" s="346" t="str">
        <f>B3</f>
        <v>Speed of Processing</v>
      </c>
      <c r="C110" s="346"/>
      <c r="D110" s="346"/>
      <c r="E110" s="346"/>
      <c r="F110" s="346"/>
      <c r="G110" s="346"/>
      <c r="H110" s="346"/>
      <c r="I110" s="346"/>
      <c r="J110" s="346"/>
      <c r="K110" s="346"/>
      <c r="L110" s="346"/>
      <c r="M110" s="346"/>
      <c r="N110" s="346"/>
      <c r="O110" s="346"/>
      <c r="P110" s="346"/>
      <c r="Q110" s="346"/>
      <c r="R110" s="346"/>
      <c r="S110" s="346"/>
      <c r="T110" s="346"/>
      <c r="U110" s="346"/>
      <c r="V110" s="346"/>
      <c r="W110" s="346"/>
      <c r="X110" s="346"/>
      <c r="Y110" s="346"/>
      <c r="Z110" s="346"/>
      <c r="AA110" s="346"/>
      <c r="AB110" s="346"/>
      <c r="AC110" s="346"/>
      <c r="AD110" s="346"/>
      <c r="AE110" s="346"/>
      <c r="AF110" s="346"/>
      <c r="AG110" s="346"/>
      <c r="AH110" s="346"/>
      <c r="AI110" s="346"/>
      <c r="AJ110" s="346"/>
      <c r="AK110" s="346"/>
      <c r="AL110" s="346"/>
      <c r="AM110" s="346"/>
      <c r="AN110" s="346"/>
    </row>
    <row r="111" spans="2:42" ht="12" customHeight="1"/>
    <row r="112" spans="2:42" ht="12" customHeight="1">
      <c r="B112" s="283" t="s">
        <v>376</v>
      </c>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row>
    <row r="113" spans="2:40" ht="12" customHeight="1"/>
    <row r="114" spans="2:40" ht="12" customHeight="1">
      <c r="B114" s="305" t="str">
        <f>W6&amp;" - "&amp;W12</f>
        <v>Housing Benefit - Change of Circumstances - Year 2013/14</v>
      </c>
      <c r="C114" s="306"/>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F114" s="306"/>
      <c r="AG114" s="306"/>
      <c r="AH114" s="306"/>
      <c r="AI114" s="306"/>
      <c r="AJ114" s="306"/>
      <c r="AK114" s="306"/>
      <c r="AL114" s="306"/>
      <c r="AM114" s="306"/>
      <c r="AN114" s="26"/>
    </row>
    <row r="115" spans="2:40" ht="12" customHeight="1">
      <c r="B115" s="308"/>
      <c r="C115" s="309"/>
      <c r="D115" s="309"/>
      <c r="E115" s="309"/>
      <c r="F115" s="309"/>
      <c r="G115" s="309"/>
      <c r="H115" s="309"/>
      <c r="I115" s="309"/>
      <c r="J115" s="309"/>
      <c r="K115" s="309"/>
      <c r="L115" s="309"/>
      <c r="M115" s="309"/>
      <c r="N115" s="309"/>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76">
        <f>IF('Filtered Data'!H8="..",L35,L35*100)</f>
        <v>11.015070716438673</v>
      </c>
      <c r="H118" s="276"/>
      <c r="I118" s="276"/>
      <c r="J118" s="276"/>
      <c r="K118" s="276"/>
      <c r="L118" s="6"/>
      <c r="M118" s="277">
        <f>K$48</f>
        <v>5.3299856406399684</v>
      </c>
      <c r="N118" s="277"/>
      <c r="O118" s="277">
        <f>M$48</f>
        <v>6.8912493351262434</v>
      </c>
      <c r="P118" s="277"/>
      <c r="Q118" s="277">
        <f>O$48</f>
        <v>8.8136583135705067</v>
      </c>
      <c r="R118" s="27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6">
        <f>IF('Filtered Data'!H8="%%",(AVERAGEIF('Filtered Data'!AA$10:AA$500,$F119,'Filtered Data'!M$10:M$500))*100,(AVERAGEIF('Filtered Data'!AA$10:AA$500,$F119,'Filtered Data'!M$10:M$500)))</f>
        <v>7.5551671376880911</v>
      </c>
      <c r="H119" s="276"/>
      <c r="I119" s="276"/>
      <c r="J119" s="276"/>
      <c r="K119" s="276"/>
      <c r="L119" s="6"/>
      <c r="M119" s="277">
        <f>K$48</f>
        <v>5.3299856406399684</v>
      </c>
      <c r="N119" s="277"/>
      <c r="O119" s="277">
        <f>M$48</f>
        <v>6.8912493351262434</v>
      </c>
      <c r="P119" s="277"/>
      <c r="Q119" s="277">
        <f>O$48</f>
        <v>8.8136583135705067</v>
      </c>
      <c r="R119" s="27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6">
        <f>IF('Filtered Data'!H8="%%",(AVERAGEIF('Filtered Data'!AA$10:AA$500,$F120,'Filtered Data'!M$10:M$500))*100,(AVERAGEIF('Filtered Data'!AA$10:AA$500,$F120,'Filtered Data'!M$10:M$500)))</f>
        <v>8.4350992156115154</v>
      </c>
      <c r="H120" s="276"/>
      <c r="I120" s="276"/>
      <c r="J120" s="276"/>
      <c r="K120" s="276"/>
      <c r="L120" s="6"/>
      <c r="M120" s="277">
        <f>K$48</f>
        <v>5.3299856406399684</v>
      </c>
      <c r="N120" s="277"/>
      <c r="O120" s="277">
        <f>M$48</f>
        <v>6.8912493351262434</v>
      </c>
      <c r="P120" s="277"/>
      <c r="Q120" s="277">
        <f>O$48</f>
        <v>8.8136583135705067</v>
      </c>
      <c r="R120" s="27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6">
        <f>IF('Filtered Data'!H8="%%",(AVERAGEIF('Filtered Data'!AA$10:AA$500,$F121,'Filtered Data'!M$10:M$500))*100,(AVERAGEIF('Filtered Data'!AA$10:AA$500,$F121,'Filtered Data'!M$10:M$500)))</f>
        <v>6.9971561022261453</v>
      </c>
      <c r="H121" s="276"/>
      <c r="I121" s="276"/>
      <c r="J121" s="276"/>
      <c r="K121" s="276"/>
      <c r="L121" s="6"/>
      <c r="M121" s="277">
        <f>K$48</f>
        <v>5.3299856406399684</v>
      </c>
      <c r="N121" s="277"/>
      <c r="O121" s="277">
        <f>M$48</f>
        <v>6.8912493351262434</v>
      </c>
      <c r="P121" s="277"/>
      <c r="Q121" s="277">
        <f>O$48</f>
        <v>8.8136583135705067</v>
      </c>
      <c r="R121" s="27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6"/>
      <c r="H122" s="276"/>
      <c r="I122" s="276"/>
      <c r="J122" s="276"/>
      <c r="K122" s="276"/>
      <c r="L122" s="6"/>
      <c r="M122" s="277"/>
      <c r="N122" s="277"/>
      <c r="O122" s="277"/>
      <c r="P122" s="277"/>
      <c r="Q122" s="277"/>
      <c r="R122" s="27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6"/>
      <c r="H123" s="276"/>
      <c r="I123" s="276"/>
      <c r="J123" s="276"/>
      <c r="K123" s="276"/>
      <c r="L123" s="6"/>
      <c r="M123" s="277"/>
      <c r="N123" s="277"/>
      <c r="O123" s="277"/>
      <c r="P123" s="277"/>
      <c r="Q123" s="277"/>
      <c r="R123" s="27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6"/>
      <c r="H124" s="276"/>
      <c r="I124" s="276"/>
      <c r="J124" s="276"/>
      <c r="K124" s="276"/>
      <c r="L124" s="6"/>
      <c r="M124" s="277"/>
      <c r="N124" s="277"/>
      <c r="O124" s="277"/>
      <c r="P124" s="277"/>
      <c r="Q124" s="277"/>
      <c r="R124" s="27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Housing Benefit - Change of Circumstances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Year 2013/14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1.4250348135540771</v>
      </c>
      <c r="Q7" s="145">
        <f>IF(I8="A",MAX(N11:N363),MIN(N11:N363))</f>
        <v>23.356147855654271</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A</v>
      </c>
      <c r="K8" s="87"/>
      <c r="M8" s="147"/>
      <c r="N8" s="147"/>
      <c r="O8" s="147"/>
      <c r="P8" s="110" t="str">
        <f>D3</f>
        <v>Allerdale</v>
      </c>
      <c r="Q8" s="146">
        <f>VLOOKUP(D3,L11:N363,3,FALSE)</f>
        <v>11.015070716438673</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7.3200906564054371</v>
      </c>
      <c r="N9" s="123"/>
      <c r="O9" s="126" t="s">
        <v>344</v>
      </c>
      <c r="P9" s="126" t="s">
        <v>355</v>
      </c>
      <c r="Q9" s="126" t="s">
        <v>356</v>
      </c>
      <c r="R9" s="128" t="s">
        <v>408</v>
      </c>
      <c r="S9" s="53"/>
      <c r="T9" s="233" t="s">
        <v>828</v>
      </c>
      <c r="U9" s="234">
        <f>IF($H$8="%.",(AVERAGE(U11:U363))/100,(AVERAGE(U11:U363)))</f>
        <v>7.024393054445027</v>
      </c>
      <c r="V9" s="235"/>
      <c r="W9" s="235"/>
      <c r="X9" s="121" t="str">
        <f>"Lower Level Ranking for Authorites in "&amp;H3&amp;" &amp; are a "&amp;F3</f>
        <v>Lower Level Ranking for Authorites in Rural-80 &amp; are a SD</v>
      </c>
      <c r="Y9" s="123">
        <f>IF($H$8="%.",(AVERAGE(Y11:Y363))/100,(AVERAGE(Y11:Y363)))</f>
        <v>7.1331610228782383</v>
      </c>
      <c r="Z9" s="122"/>
      <c r="AA9" s="243" t="s">
        <v>384</v>
      </c>
      <c r="AB9" s="234">
        <f>IF($H$8="%.",(AVERAGE(AB11:AB363))/100,(AVERAGE(AB11:AB363)))</f>
        <v>7.5551671376880911</v>
      </c>
      <c r="AC9" s="244"/>
      <c r="AD9" s="244"/>
      <c r="AE9" s="54" t="s">
        <v>417</v>
      </c>
      <c r="AG9" s="123">
        <f>IF($H$8="%.",(AVERAGE(AG11:AG363))/100,(AVERAGE(AG11:AG363)))</f>
        <v>7.0490072541273019</v>
      </c>
      <c r="AI9" s="121" t="str">
        <f>"County Ranking &amp; Top Authorites in "&amp;I3&amp;" &amp; are a "&amp;F3</f>
        <v>County Ranking &amp; Top Authorites in Cumbria &amp; are a SD</v>
      </c>
      <c r="AJ9" s="123">
        <f>IF($H$8="%.",(AVERAGE(AJ11:AJ363))/100,(AVERAGE(AJ11:AJ363)))</f>
        <v>9.5548744524057732</v>
      </c>
      <c r="AK9" s="122"/>
      <c r="AL9" s="70"/>
      <c r="AM9" s="31"/>
      <c r="AN9" s="31"/>
      <c r="AP9" s="121" t="str">
        <f>"Regional Ranking in for "&amp;F3</f>
        <v>Regional Ranking in for SD</v>
      </c>
      <c r="AQ9" s="123">
        <f>IF($H$8="%.",(AVERAGE(AQ11:AQ363))/100,(AVERAGE(AQ11:AQ363)))</f>
        <v>8.0153843128349465</v>
      </c>
      <c r="AR9" s="122"/>
      <c r="AS9" s="122"/>
      <c r="AT9" s="122"/>
      <c r="AU9" s="122"/>
      <c r="AV9" s="49"/>
      <c r="AW9" s="115"/>
      <c r="AX9" s="178" t="str">
        <f>Profile!$W$6</f>
        <v>Housing Benefit - Change of Circumstances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5.3299856406399684</v>
      </c>
      <c r="P10" s="130">
        <f>QUARTILE(N:N,2)</f>
        <v>6.8912493351262434</v>
      </c>
      <c r="Q10" s="130">
        <f>IF(I8="A",QUARTILE(N:N,3),QUARTILE(N:N,1))</f>
        <v>8.8136583135705067</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Year 2013/14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8.2510371933910758</v>
      </c>
      <c r="G11" s="105"/>
      <c r="H11" s="60">
        <f>IF(D11=$D$1,HLOOKUP($D$6,$AX$10:$ZZ$363,ROW()-9,FALSE),"")</f>
        <v>8.2510371933910758</v>
      </c>
      <c r="I11" s="112">
        <f>IF(H11="","",IF($I$8="A",(RANK(H11,H$11:H$363,1)+COUNTIF(H$11:H11,H11)-1),(RANK(H11,H$11:H$363)+COUNTIF(H$11:H11,H11)-1)))</f>
        <v>139</v>
      </c>
      <c r="J11" s="58"/>
      <c r="K11" s="51">
        <v>1</v>
      </c>
      <c r="L11" s="59" t="str">
        <f>IF(K11="","",INDEX(C$11:C$363,MATCH(K11,I$11:I$363,0)))</f>
        <v>Rushmoor</v>
      </c>
      <c r="M11" s="153">
        <f>IF(L11="","",IF(VLOOKUP(L11,C:D,2,FALSE)=$F$3,VLOOKUP(L11,C:H,6,FALSE),""))</f>
        <v>1.4250348135540771</v>
      </c>
      <c r="N11" s="148">
        <f>IF(L11="","",IF($H$8="%%",M11*100,M11))</f>
        <v>1.4250348135540771</v>
      </c>
      <c r="O11" s="131">
        <f>IF(I$8="A",IF(N11&gt;=$P$7,IF(N11&lt;=$O$10,N11,""),""),IF(N11&lt;=$P$7,IF(N11&gt;=$O$10,N11,""),""))</f>
        <v>1.4250348135540771</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15</v>
      </c>
      <c r="AF11" s="69" t="str">
        <f>'Filtered Data'!D3</f>
        <v>Allerdale</v>
      </c>
      <c r="AG11" s="142">
        <f>VLOOKUP(Profile!$J$5,$C$11:$H$363,4,FALSE)</f>
        <v>11.015070716438673</v>
      </c>
      <c r="AH11" s="72">
        <f>AE11</f>
        <v>15</v>
      </c>
      <c r="AI11" s="61" t="str">
        <f>IF(L11="","",VLOOKUP($L11,classifications!$C:$J,8,FALSE))</f>
        <v>Hampshire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Carlisle</v>
      </c>
      <c r="AN11" s="31">
        <f>(VLOOKUP(AM11,L:M,2,FALSE))</f>
        <v>8.1209202076185445</v>
      </c>
      <c r="AP11" s="61" t="str">
        <f>IF(L11="","",VLOOKUP($L11,classifications!$C:$E,3,FALSE))</f>
        <v>South East</v>
      </c>
      <c r="AQ11" s="62" t="str">
        <f>IF(AP11=$G$3,$M11,"")</f>
        <v/>
      </c>
      <c r="AR11" s="57" t="str">
        <f>IF(AQ11="","",IF(I$8="A",(RANK(AQ11,AQ$11:AQ$363,1)+COUNTIF(AQ$11:AQ11,AQ11)-1),(RANK(AQ11,AQ$11:AQ$363)+COUNTIF(AQ$11:AQ11,AQ11)-1)))</f>
        <v/>
      </c>
      <c r="AS11" s="57">
        <v>1</v>
      </c>
      <c r="AT11" s="57" t="str">
        <f>IF(AS11="","",INDEX(L$11:L$363,MATCH(AS11,AR$11:AR$363,0)))</f>
        <v>Wyre</v>
      </c>
      <c r="AU11" s="62">
        <f>IF(AT11="","",VLOOKUP(AT11,L:M,2,FALSE))</f>
        <v>2.8454072904329517</v>
      </c>
      <c r="AX11" s="44">
        <f>HLOOKUP($AX$9&amp;$AX$10,Data!$A$1:$ZZ$2000,(MATCH($C11,Data!$A$1:$A$2000,0)),FALSE)</f>
        <v>8.2510371933910758</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11.015070716438673</v>
      </c>
      <c r="G12" s="105"/>
      <c r="H12" s="60">
        <f t="shared" ref="H12:H74" si="2">IF(D12=$D$1,HLOOKUP($D$6,$AX$10:$ZZ$363,ROW()-9,FALSE),"")</f>
        <v>11.015070716438673</v>
      </c>
      <c r="I12" s="112">
        <f>IF(H12="","",IF($I$8="A",(RANK(H12,H$11:H$363,1)+COUNTIF(H$11:H12,H12)-1),(RANK(H12,H$11:H$363)+COUNTIF(H$11:H12,H12)-1)))</f>
        <v>173</v>
      </c>
      <c r="J12" s="58"/>
      <c r="K12" s="51">
        <f>IF(K11="","",IF(K11+1&gt;(COUNT(H$11:H$363)),"",K11+1))</f>
        <v>2</v>
      </c>
      <c r="L12" s="59" t="str">
        <f>IF(K12="","",INDEX(C$11:C$363,MATCH(K12,I$11:I$363,0)))</f>
        <v>Eastleigh</v>
      </c>
      <c r="M12" s="153">
        <f>IF(L12="","",IF(VLOOKUP(L12,C:D,2,FALSE)=$F$3,VLOOKUP(L12,C:H,6,FALSE),""))</f>
        <v>2.6180457895032907</v>
      </c>
      <c r="N12" s="148">
        <f>IF(L12="","",IF($H$8="%%",M12*100,M12))</f>
        <v>2.6180457895032907</v>
      </c>
      <c r="O12" s="131">
        <f t="shared" ref="O12:O74" si="3">IF(I$8="A",IF(N12&gt;=$P$7,IF(N12&lt;=$O$10,N12,""),""),IF(N12&lt;=$P$7,IF(N12&gt;=$O$10,N12,""),""))</f>
        <v>2.6180457895032907</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Significant Rural</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Significant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13</v>
      </c>
      <c r="AF12" s="6" t="str">
        <f>VLOOKUP(Profile!$J$5,Families!$C:$R,2,FALSE)</f>
        <v>Bassetlaw</v>
      </c>
      <c r="AG12" s="143">
        <f>VLOOKUP(AF12,$C$11:$H$363,4,FALSE)</f>
        <v>8.1773774406517763</v>
      </c>
      <c r="AH12" s="72">
        <f>AE12</f>
        <v>13</v>
      </c>
      <c r="AI12" s="61" t="str">
        <f>IF(L12="","",VLOOKUP($L12,classifications!$C:$J,8,FALSE))</f>
        <v>Hampshire</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Eden</v>
      </c>
      <c r="AN12" s="31">
        <f t="shared" ref="AN12:AN75" si="9">(VLOOKUP(AM12,L:M,2,FALSE))</f>
        <v>8.432047477744808</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Hyndburn</v>
      </c>
      <c r="AU12" s="62">
        <f t="shared" ref="AU12:AU75" si="12">IF(AT12="","",VLOOKUP(AT12,L:M,2,FALSE))</f>
        <v>5.5407377985204311</v>
      </c>
      <c r="AX12" s="44">
        <f>HLOOKUP($AX$9&amp;$AX$10,Data!$A$1:$ZZ$2000,(MATCH($C12,Data!$A$1:$A$2000,0)),FALSE)</f>
        <v>11.015070716438673</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4.9852369852369849</v>
      </c>
      <c r="G13" s="105"/>
      <c r="H13" s="60">
        <f t="shared" si="2"/>
        <v>4.9852369852369849</v>
      </c>
      <c r="I13" s="112">
        <f>IF(H13="","",IF($I$8="A",(RANK(H13,H$11:H$363,1)+COUNTIF(H$11:H13,H13)-1),(RANK(H13,H$11:H$363)+COUNTIF(H$11:H13,H13)-1)))</f>
        <v>38</v>
      </c>
      <c r="J13" s="58"/>
      <c r="K13" s="51">
        <f t="shared" ref="K13:K76" si="13">IF(K12="","",IF(K12+1&gt;(COUNT(H$11:H$363)),"",K12+1))</f>
        <v>3</v>
      </c>
      <c r="L13" s="59" t="str">
        <f t="shared" ref="L13:L74" si="14">IF(K13="","",INDEX(C$11:C$363,MATCH(K13,I$11:I$363,0)))</f>
        <v>Gedling</v>
      </c>
      <c r="M13" s="153">
        <f>IF(L13="","",IF(VLOOKUP(L13,C:D,2,FALSE)=$F$3,VLOOKUP(L13,C:H,6,FALSE),""))</f>
        <v>2.6425392560248553</v>
      </c>
      <c r="N13" s="148">
        <f>IF(L13="","",IF($H$8="%%",M13*100,M13))</f>
        <v>2.6425392560248553</v>
      </c>
      <c r="O13" s="131">
        <f t="shared" si="3"/>
        <v>2.6425392560248553</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Large Urban</v>
      </c>
      <c r="Y13" s="49" t="str">
        <f t="shared" si="6"/>
        <v/>
      </c>
      <c r="Z13" s="57" t="str">
        <f>IF(Y13="","",IF(I$8="A",(RANK(Y13,Y$11:Y$363,1)+COUNTIF(Y$11:Y13,Y13)-1),(RANK(Y13,Y$11:Y$363)+COUNTIF(Y$11:Y13,Y13)-1)))</f>
        <v/>
      </c>
      <c r="AA13" s="245" t="str">
        <f>IF(L13="","",VLOOKUP($L13,classifications!C:I,7,FALSE))</f>
        <v>Significant Rural</v>
      </c>
      <c r="AB13" s="239" t="str">
        <f>IF(AA13=$J$3,M13,"")</f>
        <v/>
      </c>
      <c r="AC13" s="239" t="str">
        <f>IF(AB13="","",IF($I$8="A",(RANK(AB13,AB$11:AB$363)+COUNTIF(AB$11:AB13,AB13)-1),(RANK(AB13,AB$11:AB$363,1)+COUNTIF(AB$11:AB13,AB13)-1)))</f>
        <v/>
      </c>
      <c r="AD13" s="239"/>
      <c r="AE13" s="71">
        <f>IF(I$8="A",(RANK(AG13,AG$11:AG$363,1)+COUNTIF(AG$11:AG13,AG13)-1),(RANK(AG13,AG$11:AG$363)+COUNTIF(AG$11:AG13,AG13)-1))</f>
        <v>9</v>
      </c>
      <c r="AF13" s="6" t="str">
        <f>VLOOKUP(Profile!$J$5,Families!$C:$R,3,FALSE)</f>
        <v>North East Derbyshire</v>
      </c>
      <c r="AG13" s="143">
        <f>VLOOKUP(AF13,$C$11:$H$363,4,FALSE)</f>
        <v>7.0662689664116201</v>
      </c>
      <c r="AH13" s="72">
        <f t="shared" ref="AH13:AH26" si="18">AE13</f>
        <v>9</v>
      </c>
      <c r="AI13" s="61" t="str">
        <f>IF(L13="","",VLOOKUP($L13,classifications!$C:$J,8,FALSE))</f>
        <v>Nottinghamshire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South Lakeland</v>
      </c>
      <c r="AN13" s="31">
        <f t="shared" si="9"/>
        <v>9.7799246317231923</v>
      </c>
      <c r="AP13" s="61" t="str">
        <f>IF(L13="","",VLOOKUP($L13,classifications!$C:$E,3,FALSE))</f>
        <v>East Midlands</v>
      </c>
      <c r="AQ13" s="62" t="str">
        <f t="shared" si="10"/>
        <v/>
      </c>
      <c r="AR13" s="57" t="str">
        <f>IF(AQ13="","",IF(I$8="A",(RANK(AQ13,AQ$11:AQ$363,1)+COUNTIF(AQ$11:AQ13,AQ13)-1),(RANK(AQ13,AQ$11:AQ$363)+COUNTIF(AQ$11:AQ13,AQ13)-1)))</f>
        <v/>
      </c>
      <c r="AS13" s="52">
        <f>IF(AS12="","",IF(AS12+1&gt;(COUNT(AQ$11:AQ$363)),"",AS12+1))</f>
        <v>3</v>
      </c>
      <c r="AT13" s="57" t="str">
        <f t="shared" si="11"/>
        <v>Burnley</v>
      </c>
      <c r="AU13" s="62">
        <f t="shared" si="12"/>
        <v>5.8048115806130225</v>
      </c>
      <c r="AX13" s="44">
        <f>HLOOKUP($AX$9&amp;$AX$10,Data!$A$1:$ZZ$2000,(MATCH($C13,Data!$A$1:$A$2000,0)),FALSE)</f>
        <v>4.9852369852369849</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4.4851788224269873</v>
      </c>
      <c r="G14" s="105"/>
      <c r="H14" s="60">
        <f t="shared" si="2"/>
        <v>4.4851788224269873</v>
      </c>
      <c r="I14" s="112">
        <f>IF(H14="","",IF($I$8="A",(RANK(H14,H$11:H$363,1)+COUNTIF(H$11:H14,H14)-1),(RANK(H14,H$11:H$363)+COUNTIF(H$11:H14,H14)-1)))</f>
        <v>26</v>
      </c>
      <c r="J14" s="58"/>
      <c r="K14" s="51">
        <f t="shared" si="13"/>
        <v>4</v>
      </c>
      <c r="L14" s="59" t="str">
        <f t="shared" si="14"/>
        <v>Tendring</v>
      </c>
      <c r="M14" s="153">
        <f t="shared" ref="M14:M75" si="20">IF(L14="","",IF(VLOOKUP(L14,C:D,2,FALSE)=$F$3,VLOOKUP(L14,C:H,6,FALSE),""))</f>
        <v>2.7058096415327566</v>
      </c>
      <c r="N14" s="148">
        <f t="shared" ref="N14:N75" si="21">IF(L14="","",IF($H$8="%%",M14*100,M14))</f>
        <v>2.7058096415327566</v>
      </c>
      <c r="O14" s="131">
        <f t="shared" si="3"/>
        <v>2.7058096415327566</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Rural-50</v>
      </c>
      <c r="Y14" s="49" t="str">
        <f t="shared" si="6"/>
        <v/>
      </c>
      <c r="Z14" s="57" t="str">
        <f>IF(Y14="","",IF(I$8="A",(RANK(Y14,Y$11:Y$363,1)+COUNTIF(Y$11:Y14,Y14)-1),(RANK(Y14,Y$11:Y$363)+COUNTIF(Y$11:Y14,Y14)-1)))</f>
        <v/>
      </c>
      <c r="AA14" s="245" t="str">
        <f>IF(L14="","",VLOOKUP($L14,classifications!C:I,7,FALSE))</f>
        <v>Significant Rural</v>
      </c>
      <c r="AB14" s="239" t="str">
        <f t="shared" si="7"/>
        <v/>
      </c>
      <c r="AC14" s="239" t="str">
        <f>IF(AB14="","",IF($I$8="A",(RANK(AB14,AB$11:AB$363)+COUNTIF(AB$11:AB14,AB14)-1),(RANK(AB14,AB$11:AB$363,1)+COUNTIF(AB$11:AB14,AB14)-1)))</f>
        <v/>
      </c>
      <c r="AD14" s="239"/>
      <c r="AE14" s="71">
        <f>IF(I$8="A",(RANK(AG14,AG$11:AG$363,1)+COUNTIF(AG$11:AG14,AG14)-1),(RANK(AG14,AG$11:AG$363)+COUNTIF(AG$11:AG14,AG14)-1))</f>
        <v>5</v>
      </c>
      <c r="AF14" s="6" t="str">
        <f>VLOOKUP(Profile!$J$5,Families!$C:$R,4,FALSE)</f>
        <v>Dover</v>
      </c>
      <c r="AG14" s="143">
        <f t="shared" ref="AG14:AG26" si="22">VLOOKUP(AF14,$C$11:$H$363,4,FALSE)</f>
        <v>6.0519275399690562</v>
      </c>
      <c r="AH14" s="72">
        <f t="shared" si="18"/>
        <v>5</v>
      </c>
      <c r="AI14" s="61" t="str">
        <f>IF(L14="","",VLOOKUP($L14,classifications!$C:$J,8,FALSE))</f>
        <v>Essex</v>
      </c>
      <c r="AJ14" s="62" t="str">
        <f t="shared" si="0"/>
        <v/>
      </c>
      <c r="AK14" s="57" t="str">
        <f>IF(AJ14="","",IF(I$8="A",(RANK(AJ14,AJ$11:AJ$363,1)+COUNTIF(AJ$11:AJ14,AJ14)-1),(RANK(AJ14,AJ$11:AJ$363)+COUNTIF(AJ$11:AJ14,AJ14)-1)))</f>
        <v/>
      </c>
      <c r="AL14" s="52">
        <f t="shared" si="19"/>
        <v>4</v>
      </c>
      <c r="AM14" s="31" t="str">
        <f t="shared" si="8"/>
        <v>Copeland</v>
      </c>
      <c r="AN14" s="31">
        <f t="shared" si="9"/>
        <v>10.42640922850364</v>
      </c>
      <c r="AP14" s="61" t="str">
        <f>IF(L14="","",VLOOKUP($L14,classifications!$C:$E,3,FALSE))</f>
        <v>East of England</v>
      </c>
      <c r="AQ14" s="62" t="str">
        <f t="shared" si="10"/>
        <v/>
      </c>
      <c r="AR14" s="57" t="str">
        <f>IF(AQ14="","",IF(I$8="A",(RANK(AQ14,AQ$11:AQ$363,1)+COUNTIF(AQ$11:AQ14,AQ14)-1),(RANK(AQ14,AQ$11:AQ$363)+COUNTIF(AQ$11:AQ14,AQ14)-1)))</f>
        <v/>
      </c>
      <c r="AS14" s="52">
        <f t="shared" ref="AS14:AS75" si="23">IF(AS13="","",IF(AS13+1&gt;(COUNT(AQ$11:AQ$363)),"",AS13+1))</f>
        <v>4</v>
      </c>
      <c r="AT14" s="57" t="str">
        <f t="shared" si="11"/>
        <v>Rossendale</v>
      </c>
      <c r="AU14" s="62">
        <f t="shared" si="12"/>
        <v>6.3330967741935487</v>
      </c>
      <c r="AX14" s="44">
        <f>HLOOKUP($AX$9&amp;$AX$10,Data!$A$1:$ZZ$2000,(MATCH($C14,Data!$A$1:$A$2000,0)),FALSE)</f>
        <v>4.4851788224269873</v>
      </c>
      <c r="AY14" s="156"/>
      <c r="AZ14" s="44"/>
    </row>
    <row r="15" spans="1:735">
      <c r="A15" s="84" t="str">
        <f>$D$1&amp;5</f>
        <v>SD5</v>
      </c>
      <c r="B15" s="85" t="str">
        <f>IF(ISERROR(VLOOKUP(A15,classifications!A:C,3,FALSE)),0,VLOOKUP(A15,classifications!A:C,3,FALSE))</f>
        <v>Bassetlaw</v>
      </c>
      <c r="C15" s="31" t="s">
        <v>9</v>
      </c>
      <c r="D15" s="49" t="str">
        <f>VLOOKUP($C15,classifications!$C:$J,4,FALSE)</f>
        <v>SD</v>
      </c>
      <c r="E15" s="49">
        <f>VLOOKUP(C15,classifications!C:K,9,FALSE)</f>
        <v>0</v>
      </c>
      <c r="F15" s="59">
        <f t="shared" si="1"/>
        <v>14.292982096487632</v>
      </c>
      <c r="G15" s="105"/>
      <c r="H15" s="60">
        <f t="shared" si="2"/>
        <v>14.292982096487632</v>
      </c>
      <c r="I15" s="112">
        <f>IF(H15="","",IF($I$8="A",(RANK(H15,H$11:H$363,1)+COUNTIF(H$11:H15,H15)-1),(RANK(H15,H$11:H$363)+COUNTIF(H$11:H15,H15)-1)))</f>
        <v>188</v>
      </c>
      <c r="J15" s="58"/>
      <c r="K15" s="51">
        <f t="shared" si="13"/>
        <v>5</v>
      </c>
      <c r="L15" s="59" t="str">
        <f t="shared" si="14"/>
        <v>Chiltern</v>
      </c>
      <c r="M15" s="153">
        <f t="shared" si="20"/>
        <v>2.7576582709326072</v>
      </c>
      <c r="N15" s="148">
        <f t="shared" si="21"/>
        <v>2.7576582709326072</v>
      </c>
      <c r="O15" s="131">
        <f t="shared" si="3"/>
        <v>2.7576582709326072</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Significant Rural</v>
      </c>
      <c r="Y15" s="49" t="str">
        <f t="shared" si="6"/>
        <v/>
      </c>
      <c r="Z15" s="57" t="str">
        <f>IF(Y15="","",IF(I$8="A",(RANK(Y15,Y$11:Y$363,1)+COUNTIF(Y$11:Y15,Y15)-1),(RANK(Y15,Y$11:Y$363)+COUNTIF(Y$11:Y15,Y15)-1)))</f>
        <v/>
      </c>
      <c r="AA15" s="245" t="str">
        <f>IF(L15="","",VLOOKUP($L15,classifications!C:I,7,FALSE))</f>
        <v>Significant Rural</v>
      </c>
      <c r="AB15" s="239" t="str">
        <f t="shared" si="7"/>
        <v/>
      </c>
      <c r="AC15" s="239" t="str">
        <f>IF(AB15="","",IF($I$8="A",(RANK(AB15,AB$11:AB$363)+COUNTIF(AB$11:AB15,AB15)-1),(RANK(AB15,AB$11:AB$363,1)+COUNTIF(AB$11:AB15,AB15)-1)))</f>
        <v/>
      </c>
      <c r="AD15" s="239"/>
      <c r="AE15" s="71" t="e">
        <f>IF(I$8="A",(RANK(AG15,AG$11:AG$363,1)+COUNTIF(AG$11:AG15,AG15)-1),(RANK(AG15,AG$11:AG$363)+COUNTIF(AG$11:AG15,AG15)-1))</f>
        <v>#VALUE!</v>
      </c>
      <c r="AF15" s="6" t="str">
        <f>VLOOKUP(Profile!$J$5,Families!$C:$R,5,FALSE)</f>
        <v>Boston</v>
      </c>
      <c r="AG15" s="143" t="str">
        <f t="shared" si="22"/>
        <v/>
      </c>
      <c r="AH15" s="72" t="e">
        <f t="shared" si="18"/>
        <v>#VALUE!</v>
      </c>
      <c r="AI15" s="61" t="str">
        <f>IF(L15="","",VLOOKUP($L15,classifications!$C:$J,8,FALSE))</f>
        <v>Buckinghamshire</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Allerdale</v>
      </c>
      <c r="AN15" s="31">
        <f t="shared" si="9"/>
        <v>11.015070716438673</v>
      </c>
      <c r="AP15" s="61" t="str">
        <f>IF(L15="","",VLOOKUP($L15,classifications!$C:$E,3,FALSE))</f>
        <v>South East</v>
      </c>
      <c r="AQ15" s="62" t="str">
        <f t="shared" si="10"/>
        <v/>
      </c>
      <c r="AR15" s="57" t="str">
        <f>IF(AQ15="","",IF(I$8="A",(RANK(AQ15,AQ$11:AQ$363,1)+COUNTIF(AQ$11:AQ15,AQ15)-1),(RANK(AQ15,AQ$11:AQ$363)+COUNTIF(AQ$11:AQ15,AQ15)-1)))</f>
        <v/>
      </c>
      <c r="AS15" s="52">
        <f t="shared" si="23"/>
        <v>5</v>
      </c>
      <c r="AT15" s="57" t="str">
        <f t="shared" si="11"/>
        <v>Ribble Valley</v>
      </c>
      <c r="AU15" s="62">
        <f t="shared" si="12"/>
        <v>6.8634482758620692</v>
      </c>
      <c r="AX15" s="44">
        <f>HLOOKUP($AX$9&amp;$AX$10,Data!$A$1:$ZZ$2000,(MATCH($C15,Data!$A$1:$A$2000,0)),FALSE)</f>
        <v>14.292982096487632</v>
      </c>
      <c r="AY15" s="156"/>
      <c r="AZ15" s="44"/>
    </row>
    <row r="16" spans="1:735">
      <c r="A16" s="84" t="str">
        <f>$D$1&amp;6</f>
        <v>SD6</v>
      </c>
      <c r="B16" s="85" t="str">
        <f>IF(ISERROR(VLOOKUP(A16,classifications!A:C,3,FALSE)),0,VLOOKUP(A16,classifications!A:C,3,FALSE))</f>
        <v>Boston</v>
      </c>
      <c r="C16" s="31" t="s">
        <v>10</v>
      </c>
      <c r="D16" s="49" t="str">
        <f>VLOOKUP($C16,classifications!$C:$J,4,FALSE)</f>
        <v>SD</v>
      </c>
      <c r="E16" s="49" t="str">
        <f>VLOOKUP(C16,classifications!C:K,9,FALSE)</f>
        <v>Sparse</v>
      </c>
      <c r="F16" s="59" t="str">
        <f t="shared" si="1"/>
        <v/>
      </c>
      <c r="G16" s="105"/>
      <c r="H16" s="60" t="str">
        <f t="shared" si="2"/>
        <v/>
      </c>
      <c r="I16" s="112" t="str">
        <f>IF(H16="","",IF($I$8="A",(RANK(H16,H$11:H$363,1)+COUNTIF(H$11:H16,H16)-1),(RANK(H16,H$11:H$363)+COUNTIF(H$11:H16,H16)-1)))</f>
        <v/>
      </c>
      <c r="J16" s="58"/>
      <c r="K16" s="51">
        <f t="shared" si="13"/>
        <v>6</v>
      </c>
      <c r="L16" s="59" t="str">
        <f t="shared" si="14"/>
        <v>Wyre</v>
      </c>
      <c r="M16" s="153">
        <f t="shared" si="20"/>
        <v>2.8454072904329517</v>
      </c>
      <c r="N16" s="148">
        <f t="shared" si="21"/>
        <v>2.8454072904329517</v>
      </c>
      <c r="O16" s="131">
        <f t="shared" si="3"/>
        <v>2.8454072904329517</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Significant Rural</v>
      </c>
      <c r="Y16" s="49" t="str">
        <f t="shared" si="6"/>
        <v/>
      </c>
      <c r="Z16" s="57" t="str">
        <f>IF(Y16="","",IF(I$8="A",(RANK(Y16,Y$11:Y$363,1)+COUNTIF(Y$11:Y16,Y16)-1),(RANK(Y16,Y$11:Y$363)+COUNTIF(Y$11:Y16,Y16)-1)))</f>
        <v/>
      </c>
      <c r="AA16" s="245" t="str">
        <f>IF(L16="","",VLOOKUP($L16,classifications!C:I,7,FALSE))</f>
        <v>Significant Rural</v>
      </c>
      <c r="AB16" s="239" t="str">
        <f t="shared" si="7"/>
        <v/>
      </c>
      <c r="AC16" s="239" t="str">
        <f>IF(AB16="","",IF($I$8="A",(RANK(AB16,AB$11:AB$363)+COUNTIF(AB$11:AB16,AB16)-1),(RANK(AB16,AB$11:AB$363,1)+COUNTIF(AB$11:AB16,AB16)-1)))</f>
        <v/>
      </c>
      <c r="AD16" s="239"/>
      <c r="AE16" s="71">
        <f>IF(I$8="A",(RANK(AG16,AG$11:AG$363,1)+COUNTIF(AG$11:AG16,AG16)-1),(RANK(AG16,AG$11:AG$363)+COUNTIF(AG$11:AG16,AG16)-1))</f>
        <v>14</v>
      </c>
      <c r="AF16" s="6" t="str">
        <f>VLOOKUP(Profile!$J$5,Families!$C:$R,6,FALSE)</f>
        <v>Copeland</v>
      </c>
      <c r="AG16" s="143">
        <f t="shared" si="22"/>
        <v>10.42640922850364</v>
      </c>
      <c r="AH16" s="72">
        <f t="shared" si="18"/>
        <v>14</v>
      </c>
      <c r="AI16" s="61" t="str">
        <f>IF(L16="","",VLOOKUP($L16,classifications!$C:$J,8,FALSE))</f>
        <v>Lancashire</v>
      </c>
      <c r="AJ16" s="62" t="str">
        <f t="shared" si="0"/>
        <v/>
      </c>
      <c r="AK16" s="57" t="str">
        <f>IF(AJ16="","",IF(I$8="A",(RANK(AJ16,AJ$11:AJ$363,1)+COUNTIF(AJ$11:AJ16,AJ16)-1),(RANK(AJ16,AJ$11:AJ$363)+COUNTIF(AJ$11:AJ16,AJ16)-1)))</f>
        <v/>
      </c>
      <c r="AL16" s="52" t="str">
        <f t="shared" si="19"/>
        <v/>
      </c>
      <c r="AM16" s="31" t="str">
        <f t="shared" si="8"/>
        <v/>
      </c>
      <c r="AN16" s="31" t="str">
        <f t="shared" si="9"/>
        <v/>
      </c>
      <c r="AP16" s="61" t="str">
        <f>IF(L16="","",VLOOKUP($L16,classifications!$C:$E,3,FALSE))</f>
        <v>North West</v>
      </c>
      <c r="AQ16" s="62">
        <f t="shared" si="10"/>
        <v>2.8454072904329517</v>
      </c>
      <c r="AR16" s="57">
        <f>IF(AQ16="","",IF(I$8="A",(RANK(AQ16,AQ$11:AQ$363,1)+COUNTIF(AQ$11:AQ16,AQ16)-1),(RANK(AQ16,AQ$11:AQ$363)+COUNTIF(AQ$11:AQ16,AQ16)-1)))</f>
        <v>1</v>
      </c>
      <c r="AS16" s="52">
        <f t="shared" si="23"/>
        <v>6</v>
      </c>
      <c r="AT16" s="57" t="str">
        <f t="shared" si="11"/>
        <v>Pendle</v>
      </c>
      <c r="AU16" s="62">
        <f t="shared" si="12"/>
        <v>6.87052</v>
      </c>
      <c r="AX16" s="44" t="str">
        <f>HLOOKUP($AX$9&amp;$AX$10,Data!$A$1:$ZZ$2000,(MATCH($C16,Data!$A$1:$A$2000,0)),FALSE)</f>
        <v/>
      </c>
      <c r="AY16" s="156"/>
      <c r="AZ16" s="44"/>
    </row>
    <row r="17" spans="1:52">
      <c r="A17" s="84" t="str">
        <f>$D$1&amp;7</f>
        <v>SD7</v>
      </c>
      <c r="B17" s="85" t="str">
        <f>IF(ISERROR(VLOOKUP(A17,classifications!A:C,3,FALSE)),0,VLOOKUP(A17,classifications!A:C,3,FALSE))</f>
        <v>Braintree</v>
      </c>
      <c r="C17" s="31" t="s">
        <v>11</v>
      </c>
      <c r="D17" s="49" t="str">
        <f>VLOOKUP($C17,classifications!$C:$J,4,FALSE)</f>
        <v>SD</v>
      </c>
      <c r="E17" s="49" t="str">
        <f>VLOOKUP(C17,classifications!C:K,9,FALSE)</f>
        <v>Sparse</v>
      </c>
      <c r="F17" s="59">
        <f t="shared" si="1"/>
        <v>4.9856616376828287</v>
      </c>
      <c r="G17" s="105"/>
      <c r="H17" s="60">
        <f t="shared" si="2"/>
        <v>4.9856616376828287</v>
      </c>
      <c r="I17" s="112">
        <f>IF(H17="","",IF($I$8="A",(RANK(H17,H$11:H$363,1)+COUNTIF(H$11:H17,H17)-1),(RANK(H17,H$11:H$363)+COUNTIF(H$11:H17,H17)-1)))</f>
        <v>39</v>
      </c>
      <c r="J17" s="58"/>
      <c r="K17" s="51">
        <f t="shared" si="13"/>
        <v>7</v>
      </c>
      <c r="L17" s="59" t="str">
        <f t="shared" si="14"/>
        <v>South Northamptonshire</v>
      </c>
      <c r="M17" s="153">
        <f t="shared" si="20"/>
        <v>2.9200943149069949</v>
      </c>
      <c r="N17" s="148">
        <f t="shared" si="21"/>
        <v>2.9200943149069949</v>
      </c>
      <c r="O17" s="131">
        <f t="shared" si="3"/>
        <v>2.9200943149069949</v>
      </c>
      <c r="P17" s="131" t="str">
        <f t="shared" si="15"/>
        <v/>
      </c>
      <c r="Q17" s="131" t="str">
        <f t="shared" si="16"/>
        <v/>
      </c>
      <c r="R17" s="127" t="str">
        <f t="shared" si="17"/>
        <v/>
      </c>
      <c r="S17" s="60" t="str">
        <f t="shared" si="4"/>
        <v/>
      </c>
      <c r="T17" s="231" t="str">
        <f>IF(L17="","",VLOOKUP(L17,classifications!C:K,9,FALSE))</f>
        <v>Sparse</v>
      </c>
      <c r="U17" s="238">
        <f t="shared" si="5"/>
        <v>2.9200943149069949</v>
      </c>
      <c r="V17" s="239">
        <f>IF(U17="","",IF($I$8="A",(RANK(U17,U$11:U$363)+COUNTIF(U$11:U17,U17)-1),(RANK(U17,U$11:U$363,1)+COUNTIF(U$11:U17,U17)-1)))</f>
        <v>86</v>
      </c>
      <c r="W17" s="240"/>
      <c r="X17" s="61" t="str">
        <f>IF(L17="","",VLOOKUP($L17,classifications!$C:$J,6,FALSE))</f>
        <v>Rural-80</v>
      </c>
      <c r="Y17" s="49">
        <f t="shared" si="6"/>
        <v>2.9200943149069949</v>
      </c>
      <c r="Z17" s="57">
        <f>IF(Y17="","",IF(I$8="A",(RANK(Y17,Y$11:Y$363,1)+COUNTIF(Y$11:Y17,Y17)-1),(RANK(Y17,Y$11:Y$363)+COUNTIF(Y$11:Y17,Y17)-1)))</f>
        <v>1</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10</v>
      </c>
      <c r="AF17" s="6" t="str">
        <f>VLOOKUP(Profile!$J$5,Families!$C:$R,7,FALSE)</f>
        <v>Newark &amp; Sherwood</v>
      </c>
      <c r="AG17" s="143">
        <f t="shared" si="22"/>
        <v>7.3292522955837338</v>
      </c>
      <c r="AH17" s="72">
        <f t="shared" si="18"/>
        <v>10</v>
      </c>
      <c r="AI17" s="61" t="str">
        <f>IF(L17="","",VLOOKUP($L17,classifications!$C:$J,8,FALSE))</f>
        <v>Northamptonshire</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East Midlands</v>
      </c>
      <c r="AQ17" s="62" t="str">
        <f t="shared" si="10"/>
        <v/>
      </c>
      <c r="AR17" s="57" t="str">
        <f>IF(AQ17="","",IF(I$8="A",(RANK(AQ17,AQ$11:AQ$363,1)+COUNTIF(AQ$11:AQ17,AQ17)-1),(RANK(AQ17,AQ$11:AQ$363)+COUNTIF(AQ$11:AQ17,AQ17)-1)))</f>
        <v/>
      </c>
      <c r="AS17" s="52">
        <f t="shared" si="23"/>
        <v>7</v>
      </c>
      <c r="AT17" s="57" t="str">
        <f t="shared" si="11"/>
        <v>West Lancashire</v>
      </c>
      <c r="AU17" s="62">
        <f t="shared" si="12"/>
        <v>6.8877251780477584</v>
      </c>
      <c r="AX17" s="44">
        <f>HLOOKUP($AX$9&amp;$AX$10,Data!$A$1:$ZZ$2000,(MATCH($C17,Data!$A$1:$A$2000,0)),FALSE)</f>
        <v>4.9856616376828287</v>
      </c>
      <c r="AY17" s="156"/>
      <c r="AZ17" s="44"/>
    </row>
    <row r="18" spans="1:52">
      <c r="A18" s="84" t="str">
        <f>$D$1&amp;8</f>
        <v>SD8</v>
      </c>
      <c r="B18" s="85" t="str">
        <f>IF(ISERROR(VLOOKUP(A18,classifications!A:C,3,FALSE)),0,VLOOKUP(A18,classifications!A:C,3,FALSE))</f>
        <v>Breckland</v>
      </c>
      <c r="C18" s="31" t="s">
        <v>12</v>
      </c>
      <c r="D18" s="49" t="str">
        <f>VLOOKUP($C18,classifications!$C:$J,4,FALSE)</f>
        <v>SD</v>
      </c>
      <c r="E18" s="49" t="str">
        <f>VLOOKUP(C18,classifications!C:K,9,FALSE)</f>
        <v>Sparse</v>
      </c>
      <c r="F18" s="59">
        <f t="shared" si="1"/>
        <v>6.7021554539516659</v>
      </c>
      <c r="G18" s="105"/>
      <c r="H18" s="60">
        <f t="shared" si="2"/>
        <v>6.7021554539516659</v>
      </c>
      <c r="I18" s="112">
        <f>IF(H18="","",IF($I$8="A",(RANK(H18,H$11:H$363,1)+COUNTIF(H$11:H18,H18)-1),(RANK(H18,H$11:H$363)+COUNTIF(H$11:H18,H18)-1)))</f>
        <v>90</v>
      </c>
      <c r="J18" s="58"/>
      <c r="K18" s="51">
        <f t="shared" si="13"/>
        <v>8</v>
      </c>
      <c r="L18" s="59" t="str">
        <f t="shared" si="14"/>
        <v>Runnymede</v>
      </c>
      <c r="M18" s="153">
        <f t="shared" si="20"/>
        <v>2.9632132610774624</v>
      </c>
      <c r="N18" s="148">
        <f t="shared" si="21"/>
        <v>2.9632132610774624</v>
      </c>
      <c r="O18" s="131">
        <f t="shared" si="3"/>
        <v>2.9632132610774624</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Major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1</v>
      </c>
      <c r="AF18" s="6" t="str">
        <f>VLOOKUP(Profile!$J$5,Families!$C:$R,8,FALSE)</f>
        <v>Sedgemoor</v>
      </c>
      <c r="AG18" s="143">
        <f t="shared" si="22"/>
        <v>4.5784836987975046</v>
      </c>
      <c r="AH18" s="72">
        <f t="shared" si="18"/>
        <v>1</v>
      </c>
      <c r="AI18" s="61" t="str">
        <f>IF(L18="","",VLOOKUP($L18,classifications!$C:$J,8,FALSE))</f>
        <v>Surrey</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South East</v>
      </c>
      <c r="AQ18" s="62" t="str">
        <f t="shared" si="10"/>
        <v/>
      </c>
      <c r="AR18" s="57" t="str">
        <f>IF(AQ18="","",IF(I$8="A",(RANK(AQ18,AQ$11:AQ$363,1)+COUNTIF(AQ$11:AQ18,AQ18)-1),(RANK(AQ18,AQ$11:AQ$363)+COUNTIF(AQ$11:AQ18,AQ18)-1)))</f>
        <v/>
      </c>
      <c r="AS18" s="52">
        <f t="shared" si="23"/>
        <v>8</v>
      </c>
      <c r="AT18" s="57" t="str">
        <f t="shared" si="11"/>
        <v>Chorley</v>
      </c>
      <c r="AU18" s="62">
        <f t="shared" si="12"/>
        <v>7.0023287405394914</v>
      </c>
      <c r="AX18" s="44">
        <f>HLOOKUP($AX$9&amp;$AX$10,Data!$A$1:$ZZ$2000,(MATCH($C18,Data!$A$1:$A$2000,0)),FALSE)</f>
        <v>6.7021554539516659</v>
      </c>
      <c r="AY18" s="156"/>
      <c r="AZ18" s="44"/>
    </row>
    <row r="19" spans="1:52">
      <c r="A19" s="84" t="str">
        <f>$D$1&amp;9</f>
        <v>SD9</v>
      </c>
      <c r="B19" s="85" t="str">
        <f>IF(ISERROR(VLOOKUP(A19,classifications!A:C,3,FALSE)),0,VLOOKUP(A19,classifications!A:C,3,FALSE))</f>
        <v>Broadland</v>
      </c>
      <c r="C19" s="31" t="s">
        <v>341</v>
      </c>
      <c r="D19" s="49" t="str">
        <f>VLOOKUP($C19,classifications!$C:$J,4,FALSE)</f>
        <v>L</v>
      </c>
      <c r="E19" s="49">
        <f>VLOOKUP(C19,classifications!C:K,9,FALSE)</f>
        <v>0</v>
      </c>
      <c r="F19" s="59">
        <f t="shared" si="1"/>
        <v>10.89261861393009</v>
      </c>
      <c r="G19" s="105"/>
      <c r="H19" s="60" t="str">
        <f t="shared" si="2"/>
        <v/>
      </c>
      <c r="I19" s="112" t="str">
        <f>IF(H19="","",IF($I$8="A",(RANK(H19,H$11:H$363,1)+COUNTIF(H$11:H19,H19)-1),(RANK(H19,H$11:H$363)+COUNTIF(H$11:H19,H19)-1)))</f>
        <v/>
      </c>
      <c r="J19" s="58"/>
      <c r="K19" s="51">
        <f t="shared" si="13"/>
        <v>9</v>
      </c>
      <c r="L19" s="59" t="str">
        <f t="shared" si="14"/>
        <v>Cotswold</v>
      </c>
      <c r="M19" s="153">
        <f t="shared" si="20"/>
        <v>3.4104238618524332</v>
      </c>
      <c r="N19" s="148">
        <f t="shared" si="21"/>
        <v>3.4104238618524332</v>
      </c>
      <c r="O19" s="131">
        <f t="shared" si="3"/>
        <v>3.4104238618524332</v>
      </c>
      <c r="P19" s="131" t="str">
        <f t="shared" si="15"/>
        <v/>
      </c>
      <c r="Q19" s="131" t="str">
        <f t="shared" si="16"/>
        <v/>
      </c>
      <c r="R19" s="127" t="str">
        <f t="shared" si="17"/>
        <v/>
      </c>
      <c r="S19" s="60" t="str">
        <f t="shared" si="4"/>
        <v/>
      </c>
      <c r="T19" s="231" t="str">
        <f>IF(L19="","",VLOOKUP(L19,classifications!C:K,9,FALSE))</f>
        <v>Sparse</v>
      </c>
      <c r="U19" s="238">
        <f t="shared" si="5"/>
        <v>3.4104238618524332</v>
      </c>
      <c r="V19" s="239">
        <f>IF(U19="","",IF($I$8="A",(RANK(U19,U$11:U$363)+COUNTIF(U$11:U19,U19)-1),(RANK(U19,U$11:U$363,1)+COUNTIF(U$11:U19,U19)-1)))</f>
        <v>85</v>
      </c>
      <c r="W19" s="240"/>
      <c r="X19" s="61" t="str">
        <f>IF(L19="","",VLOOKUP($L19,classifications!$C:$J,6,FALSE))</f>
        <v>Rural-80</v>
      </c>
      <c r="Y19" s="49">
        <f t="shared" si="6"/>
        <v>3.4104238618524332</v>
      </c>
      <c r="Z19" s="57">
        <f>IF(Y19="","",IF(I$8="A",(RANK(Y19,Y$11:Y$363,1)+COUNTIF(Y$11:Y19,Y19)-1),(RANK(Y19,Y$11:Y$363)+COUNTIF(Y$11:Y19,Y19)-1)))</f>
        <v>2</v>
      </c>
      <c r="AA19" s="245" t="str">
        <f>IF(L19="","",VLOOKUP($L19,classifications!C:I,7,FALSE))</f>
        <v>Significant Rural</v>
      </c>
      <c r="AB19" s="239" t="str">
        <f t="shared" si="7"/>
        <v/>
      </c>
      <c r="AC19" s="239" t="str">
        <f>IF(AB19="","",IF($I$8="A",(RANK(AB19,AB$11:AB$363)+COUNTIF(AB$11:AB19,AB19)-1),(RANK(AB19,AB$11:AB$363,1)+COUNTIF(AB$11:AB19,AB19)-1)))</f>
        <v/>
      </c>
      <c r="AD19" s="239"/>
      <c r="AE19" s="71">
        <f>IF(I$8="A",(RANK(AG19,AG$11:AG$363,1)+COUNTIF(AG$11:AG19,AG19)-1),(RANK(AG19,AG$11:AG$363)+COUNTIF(AG$11:AG19,AG19)-1))</f>
        <v>3</v>
      </c>
      <c r="AF19" s="6" t="str">
        <f>VLOOKUP(Profile!$J$5,Families!$C:$R,9,FALSE)</f>
        <v>North Devon</v>
      </c>
      <c r="AG19" s="143">
        <f t="shared" si="22"/>
        <v>5.0284566454636757</v>
      </c>
      <c r="AH19" s="72">
        <f t="shared" si="18"/>
        <v>3</v>
      </c>
      <c r="AI19" s="61" t="str">
        <f>IF(L19="","",VLOOKUP($L19,classifications!$C:$J,8,FALSE))</f>
        <v>Gloucestershire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South West</v>
      </c>
      <c r="AQ19" s="62" t="str">
        <f t="shared" si="10"/>
        <v/>
      </c>
      <c r="AR19" s="57" t="str">
        <f>IF(AQ19="","",IF(I$8="A",(RANK(AQ19,AQ$11:AQ$363,1)+COUNTIF(AQ$11:AQ19,AQ19)-1),(RANK(AQ19,AQ$11:AQ$363)+COUNTIF(AQ$11:AQ19,AQ19)-1)))</f>
        <v/>
      </c>
      <c r="AS19" s="52">
        <f t="shared" si="23"/>
        <v>9</v>
      </c>
      <c r="AT19" s="57" t="str">
        <f t="shared" si="11"/>
        <v>Carlisle</v>
      </c>
      <c r="AU19" s="62">
        <f t="shared" si="12"/>
        <v>8.1209202076185445</v>
      </c>
      <c r="AX19" s="44">
        <f>HLOOKUP($AX$9&amp;$AX$10,Data!$A$1:$ZZ$2000,(MATCH($C19,Data!$A$1:$A$2000,0)),FALSE)</f>
        <v>10.89261861393009</v>
      </c>
      <c r="AY19" s="156"/>
      <c r="AZ19" s="44"/>
    </row>
    <row r="20" spans="1:52">
      <c r="A20" s="84" t="str">
        <f>$D$1&amp;10</f>
        <v>SD10</v>
      </c>
      <c r="B20" s="85" t="str">
        <f>IF(ISERROR(VLOOKUP(A20,classifications!A:C,3,FALSE)),0,VLOOKUP(A20,classifications!A:C,3,FALSE))</f>
        <v>Carlisle</v>
      </c>
      <c r="C20" s="31" t="s">
        <v>197</v>
      </c>
      <c r="D20" s="49" t="str">
        <f>VLOOKUP($C20,classifications!$C:$J,4,FALSE)</f>
        <v>L</v>
      </c>
      <c r="E20" s="49">
        <f>VLOOKUP(C20,classifications!C:K,9,FALSE)</f>
        <v>0</v>
      </c>
      <c r="F20" s="59">
        <f t="shared" si="1"/>
        <v>5.0376653248993675</v>
      </c>
      <c r="G20" s="105"/>
      <c r="H20" s="60" t="str">
        <f t="shared" si="2"/>
        <v/>
      </c>
      <c r="I20" s="112" t="str">
        <f>IF(H20="","",IF($I$8="A",(RANK(H20,H$11:H$363,1)+COUNTIF(H$11:H20,H20)-1),(RANK(H20,H$11:H$363)+COUNTIF(H$11:H20,H20)-1)))</f>
        <v/>
      </c>
      <c r="J20" s="58"/>
      <c r="K20" s="51">
        <f t="shared" si="13"/>
        <v>10</v>
      </c>
      <c r="L20" s="59" t="str">
        <f t="shared" si="14"/>
        <v>Rushcliffe</v>
      </c>
      <c r="M20" s="153">
        <f t="shared" si="20"/>
        <v>3.466943866943867</v>
      </c>
      <c r="N20" s="148">
        <f t="shared" si="21"/>
        <v>3.466943866943867</v>
      </c>
      <c r="O20" s="131">
        <f t="shared" si="3"/>
        <v>3.466943866943867</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Rural-50</v>
      </c>
      <c r="Y20" s="49" t="str">
        <f t="shared" si="6"/>
        <v/>
      </c>
      <c r="Z20" s="57" t="str">
        <f>IF(Y20="","",IF(I$8="A",(RANK(Y20,Y$11:Y$363,1)+COUNTIF(Y$11:Y20,Y20)-1),(RANK(Y20,Y$11:Y$363)+COUNTIF(Y$11:Y20,Y20)-1)))</f>
        <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12</v>
      </c>
      <c r="AF20" s="6" t="str">
        <f>VLOOKUP(Profile!$J$5,Families!$C:$R,10,FALSE)</f>
        <v>Carlisle</v>
      </c>
      <c r="AG20" s="143">
        <f t="shared" si="22"/>
        <v>8.1209202076185445</v>
      </c>
      <c r="AH20" s="72">
        <f t="shared" si="18"/>
        <v>12</v>
      </c>
      <c r="AI20" s="61" t="str">
        <f>IF(L20="","",VLOOKUP($L20,classifications!$C:$J,8,FALSE))</f>
        <v>Nottinghamshire</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East Midlands</v>
      </c>
      <c r="AQ20" s="62" t="str">
        <f t="shared" si="10"/>
        <v/>
      </c>
      <c r="AR20" s="57" t="str">
        <f>IF(AQ20="","",IF(I$8="A",(RANK(AQ20,AQ$11:AQ$363,1)+COUNTIF(AQ$11:AQ20,AQ20)-1),(RANK(AQ20,AQ$11:AQ$363)+COUNTIF(AQ$11:AQ20,AQ20)-1)))</f>
        <v/>
      </c>
      <c r="AS20" s="52">
        <f t="shared" si="23"/>
        <v>10</v>
      </c>
      <c r="AT20" s="57" t="str">
        <f t="shared" si="11"/>
        <v>Eden</v>
      </c>
      <c r="AU20" s="62">
        <f t="shared" si="12"/>
        <v>8.432047477744808</v>
      </c>
      <c r="AX20" s="44">
        <f>HLOOKUP($AX$9&amp;$AX$10,Data!$A$1:$ZZ$2000,(MATCH($C20,Data!$A$1:$A$2000,0)),FALSE)</f>
        <v>5.0376653248993675</v>
      </c>
      <c r="AY20" s="156"/>
      <c r="AZ20" s="44"/>
    </row>
    <row r="21" spans="1:52">
      <c r="A21" s="84" t="str">
        <f>$D$1&amp;11</f>
        <v>SD11</v>
      </c>
      <c r="B21" s="85" t="str">
        <f>IF(ISERROR(VLOOKUP(A21,classifications!A:C,3,FALSE)),0,VLOOKUP(A21,classifications!A:C,3,FALSE))</f>
        <v>Cherwell</v>
      </c>
      <c r="C21" s="31" t="s">
        <v>223</v>
      </c>
      <c r="D21" s="49" t="str">
        <f>VLOOKUP($C21,classifications!$C:$J,4,FALSE)</f>
        <v>MD</v>
      </c>
      <c r="E21" s="49">
        <f>VLOOKUP(C21,classifications!C:K,9,FALSE)</f>
        <v>0</v>
      </c>
      <c r="F21" s="59">
        <f t="shared" si="1"/>
        <v>8.8773828579743892</v>
      </c>
      <c r="G21" s="105"/>
      <c r="H21" s="60" t="str">
        <f t="shared" si="2"/>
        <v/>
      </c>
      <c r="I21" s="112" t="str">
        <f>IF(H21="","",IF($I$8="A",(RANK(H21,H$11:H$363,1)+COUNTIF(H$11:H21,H21)-1),(RANK(H21,H$11:H$363)+COUNTIF(H$11:H21,H21)-1)))</f>
        <v/>
      </c>
      <c r="J21" s="58"/>
      <c r="K21" s="51">
        <f t="shared" si="13"/>
        <v>11</v>
      </c>
      <c r="L21" s="59" t="str">
        <f t="shared" si="14"/>
        <v>Derbyshire Dales</v>
      </c>
      <c r="M21" s="153">
        <f t="shared" si="20"/>
        <v>3.663800370932389</v>
      </c>
      <c r="N21" s="148">
        <f t="shared" si="21"/>
        <v>3.663800370932389</v>
      </c>
      <c r="O21" s="131">
        <f t="shared" si="3"/>
        <v>3.663800370932389</v>
      </c>
      <c r="P21" s="131" t="str">
        <f t="shared" si="15"/>
        <v/>
      </c>
      <c r="Q21" s="131" t="str">
        <f t="shared" si="16"/>
        <v/>
      </c>
      <c r="R21" s="127" t="str">
        <f t="shared" si="17"/>
        <v/>
      </c>
      <c r="S21" s="60" t="str">
        <f t="shared" si="4"/>
        <v/>
      </c>
      <c r="T21" s="231" t="str">
        <f>IF(L21="","",VLOOKUP(L21,classifications!C:K,9,FALSE))</f>
        <v>Sparse</v>
      </c>
      <c r="U21" s="238">
        <f t="shared" si="5"/>
        <v>3.663800370932389</v>
      </c>
      <c r="V21" s="239">
        <f>IF(U21="","",IF($I$8="A",(RANK(U21,U$11:U$363)+COUNTIF(U$11:U21,U21)-1),(RANK(U21,U$11:U$363,1)+COUNTIF(U$11:U21,U21)-1)))</f>
        <v>84</v>
      </c>
      <c r="W21" s="240"/>
      <c r="X21" s="61" t="str">
        <f>IF(L21="","",VLOOKUP($L21,classifications!$C:$J,6,FALSE))</f>
        <v>Rural-80</v>
      </c>
      <c r="Y21" s="49">
        <f t="shared" si="6"/>
        <v>3.663800370932389</v>
      </c>
      <c r="Z21" s="57">
        <f>IF(Y21="","",IF(I$8="A",(RANK(Y21,Y$11:Y$363,1)+COUNTIF(Y$11:Y21,Y21)-1),(RANK(Y21,Y$11:Y$363)+COUNTIF(Y$11:Y21,Y21)-1)))</f>
        <v>3</v>
      </c>
      <c r="AA21" s="245" t="str">
        <f>IF(L21="","",VLOOKUP($L21,classifications!C:I,7,FALSE))</f>
        <v>Significant Rural</v>
      </c>
      <c r="AB21" s="239" t="str">
        <f t="shared" si="7"/>
        <v/>
      </c>
      <c r="AC21" s="239" t="str">
        <f>IF(AB21="","",IF($I$8="A",(RANK(AB21,AB$11:AB$363)+COUNTIF(AB$11:AB21,AB21)-1),(RANK(AB21,AB$11:AB$363,1)+COUNTIF(AB$11:AB21,AB21)-1)))</f>
        <v/>
      </c>
      <c r="AD21" s="239"/>
      <c r="AE21" s="71">
        <f>IF(I$8="A",(RANK(AG21,AG$11:AG$363,1)+COUNTIF(AG$11:AG21,AG21)-1),(RANK(AG21,AG$11:AG$363)+COUNTIF(AG$11:AG21,AG21)-1))</f>
        <v>4</v>
      </c>
      <c r="AF21" s="6" t="str">
        <f>VLOOKUP(Profile!$J$5,Families!$C:$R,11,FALSE)</f>
        <v>Fenland</v>
      </c>
      <c r="AG21" s="143">
        <f t="shared" si="22"/>
        <v>5.6660818713450292</v>
      </c>
      <c r="AH21" s="72">
        <f t="shared" si="18"/>
        <v>4</v>
      </c>
      <c r="AI21" s="61" t="str">
        <f>IF(L21="","",VLOOKUP($L21,classifications!$C:$J,8,FALSE))</f>
        <v>Derbyshire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East Midlands</v>
      </c>
      <c r="AQ21" s="62" t="str">
        <f t="shared" si="10"/>
        <v/>
      </c>
      <c r="AR21" s="57" t="str">
        <f>IF(AQ21="","",IF(I$8="A",(RANK(AQ21,AQ$11:AQ$363,1)+COUNTIF(AQ$11:AQ21,AQ21)-1),(RANK(AQ21,AQ$11:AQ$363)+COUNTIF(AQ$11:AQ21,AQ21)-1)))</f>
        <v/>
      </c>
      <c r="AS21" s="52">
        <f t="shared" si="23"/>
        <v>11</v>
      </c>
      <c r="AT21" s="57" t="str">
        <f t="shared" si="11"/>
        <v>South Ribble</v>
      </c>
      <c r="AU21" s="62">
        <f t="shared" si="12"/>
        <v>8.818432374294165</v>
      </c>
      <c r="AX21" s="44">
        <f>HLOOKUP($AX$9&amp;$AX$10,Data!$A$1:$ZZ$2000,(MATCH($C21,Data!$A$1:$A$2000,0)),FALSE)</f>
        <v>8.8773828579743892</v>
      </c>
      <c r="AY21" s="156"/>
      <c r="AZ21" s="44"/>
    </row>
    <row r="22" spans="1:52">
      <c r="A22" s="84" t="str">
        <f>$D$1&amp;12</f>
        <v>SD12</v>
      </c>
      <c r="B22" s="85" t="str">
        <f>IF(ISERROR(VLOOKUP(A22,classifications!A:C,3,FALSE)),0,VLOOKUP(A22,classifications!A:C,3,FALSE))</f>
        <v>Chichester</v>
      </c>
      <c r="C22" s="31" t="s">
        <v>13</v>
      </c>
      <c r="D22" s="49" t="str">
        <f>VLOOKUP($C22,classifications!$C:$J,4,FALSE)</f>
        <v>SD</v>
      </c>
      <c r="E22" s="49">
        <f>VLOOKUP(C22,classifications!C:K,9,FALSE)</f>
        <v>0</v>
      </c>
      <c r="F22" s="59" t="str">
        <f t="shared" si="1"/>
        <v/>
      </c>
      <c r="G22" s="105"/>
      <c r="H22" s="60" t="str">
        <f t="shared" si="2"/>
        <v/>
      </c>
      <c r="I22" s="112" t="str">
        <f>IF(H22="","",IF($I$8="A",(RANK(H22,H$11:H$363,1)+COUNTIF(H$11:H22,H22)-1),(RANK(H22,H$11:H$363)+COUNTIF(H$11:H22,H22)-1)))</f>
        <v/>
      </c>
      <c r="J22" s="58"/>
      <c r="K22" s="51">
        <f t="shared" si="13"/>
        <v>12</v>
      </c>
      <c r="L22" s="59" t="str">
        <f t="shared" si="14"/>
        <v>Chelmsford</v>
      </c>
      <c r="M22" s="153">
        <f t="shared" si="20"/>
        <v>3.7566735498404356</v>
      </c>
      <c r="N22" s="148">
        <f t="shared" si="21"/>
        <v>3.7566735498404356</v>
      </c>
      <c r="O22" s="131">
        <f t="shared" si="3"/>
        <v>3.7566735498404356</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Other Urban</v>
      </c>
      <c r="Y22" s="49" t="str">
        <f t="shared" si="6"/>
        <v/>
      </c>
      <c r="Z22" s="57" t="str">
        <f>IF(Y22="","",IF(I$8="A",(RANK(Y22,Y$11:Y$363,1)+COUNTIF(Y$11:Y22,Y22)-1),(RANK(Y22,Y$11:Y$363)+COUNTIF(Y$11:Y22,Y22)-1)))</f>
        <v/>
      </c>
      <c r="AA22" s="245" t="str">
        <f>IF(L22="","",VLOOKUP($L22,classifications!C:I,7,FALSE))</f>
        <v>Significant Rural</v>
      </c>
      <c r="AB22" s="239" t="str">
        <f t="shared" si="7"/>
        <v/>
      </c>
      <c r="AC22" s="239" t="str">
        <f>IF(AB22="","",IF($I$8="A",(RANK(AB22,AB$11:AB$363)+COUNTIF(AB$11:AB22,AB22)-1),(RANK(AB22,AB$11:AB$363,1)+COUNTIF(AB$11:AB22,AB22)-1)))</f>
        <v/>
      </c>
      <c r="AD22" s="239"/>
      <c r="AE22" s="71">
        <f>IF(I$8="A",(RANK(AG22,AG$11:AG$363,1)+COUNTIF(AG$11:AG22,AG22)-1),(RANK(AG22,AG$11:AG$363)+COUNTIF(AG$11:AG22,AG22)-1))</f>
        <v>11</v>
      </c>
      <c r="AF22" s="6" t="str">
        <f>VLOOKUP(Profile!$J$5,Families!$C:$R,12,FALSE)</f>
        <v>Bolsover</v>
      </c>
      <c r="AG22" s="143">
        <f t="shared" si="22"/>
        <v>7.6647622558053818</v>
      </c>
      <c r="AH22" s="72">
        <f t="shared" si="18"/>
        <v>11</v>
      </c>
      <c r="AI22" s="61" t="str">
        <f>IF(L22="","",VLOOKUP($L22,classifications!$C:$J,8,FALSE))</f>
        <v>Essex</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East of England</v>
      </c>
      <c r="AQ22" s="62" t="str">
        <f t="shared" si="10"/>
        <v/>
      </c>
      <c r="AR22" s="57" t="str">
        <f>IF(AQ22="","",IF(I$8="A",(RANK(AQ22,AQ$11:AQ$363,1)+COUNTIF(AQ$11:AQ22,AQ22)-1),(RANK(AQ22,AQ$11:AQ$363)+COUNTIF(AQ$11:AQ22,AQ22)-1)))</f>
        <v/>
      </c>
      <c r="AS22" s="52">
        <f t="shared" si="23"/>
        <v>12</v>
      </c>
      <c r="AT22" s="57" t="str">
        <f t="shared" si="11"/>
        <v>Lancaster</v>
      </c>
      <c r="AU22" s="62">
        <f t="shared" si="12"/>
        <v>9.1441911740864441</v>
      </c>
      <c r="AX22" s="44" t="str">
        <f>HLOOKUP($AX$9&amp;$AX$10,Data!$A$1:$ZZ$2000,(MATCH($C22,Data!$A$1:$A$2000,0)),FALSE)</f>
        <v/>
      </c>
      <c r="AY22" s="156"/>
      <c r="AZ22" s="44"/>
    </row>
    <row r="23" spans="1:52">
      <c r="A23" s="84" t="str">
        <f>$D$1&amp;13</f>
        <v>SD13</v>
      </c>
      <c r="B23" s="85" t="str">
        <f>IF(ISERROR(VLOOKUP(A23,classifications!A:C,3,FALSE)),0,VLOOKUP(A23,classifications!A:C,3,FALSE))</f>
        <v>Cotswold</v>
      </c>
      <c r="C23" s="31" t="s">
        <v>14</v>
      </c>
      <c r="D23" s="49" t="str">
        <f>VLOOKUP($C23,classifications!$C:$J,4,FALSE)</f>
        <v>SD</v>
      </c>
      <c r="E23" s="49">
        <f>VLOOKUP(C23,classifications!C:K,9,FALSE)</f>
        <v>0</v>
      </c>
      <c r="F23" s="59">
        <f t="shared" si="1"/>
        <v>9.7740054155384293</v>
      </c>
      <c r="G23" s="105"/>
      <c r="H23" s="60">
        <f t="shared" si="2"/>
        <v>9.7740054155384293</v>
      </c>
      <c r="I23" s="112">
        <f>IF(H23="","",IF($I$8="A",(RANK(H23,H$11:H$363,1)+COUNTIF(H$11:H23,H23)-1),(RANK(H23,H$11:H$363)+COUNTIF(H$11:H23,H23)-1)))</f>
        <v>156</v>
      </c>
      <c r="J23" s="58"/>
      <c r="K23" s="51">
        <f t="shared" si="13"/>
        <v>13</v>
      </c>
      <c r="L23" s="59" t="str">
        <f t="shared" si="14"/>
        <v>South Kesteven</v>
      </c>
      <c r="M23" s="153">
        <f t="shared" si="20"/>
        <v>3.8215256477394579</v>
      </c>
      <c r="N23" s="148">
        <f t="shared" si="21"/>
        <v>3.8215256477394579</v>
      </c>
      <c r="O23" s="131">
        <f t="shared" si="3"/>
        <v>3.8215256477394579</v>
      </c>
      <c r="P23" s="131" t="str">
        <f t="shared" si="15"/>
        <v/>
      </c>
      <c r="Q23" s="131" t="str">
        <f t="shared" si="16"/>
        <v/>
      </c>
      <c r="R23" s="127" t="str">
        <f t="shared" si="17"/>
        <v/>
      </c>
      <c r="S23" s="60" t="str">
        <f t="shared" si="4"/>
        <v/>
      </c>
      <c r="T23" s="231" t="str">
        <f>IF(L23="","",VLOOKUP(L23,classifications!C:K,9,FALSE))</f>
        <v>Sparse</v>
      </c>
      <c r="U23" s="238">
        <f t="shared" si="5"/>
        <v>3.8215256477394579</v>
      </c>
      <c r="V23" s="239">
        <f>IF(U23="","",IF($I$8="A",(RANK(U23,U$11:U$363)+COUNTIF(U$11:U23,U23)-1),(RANK(U23,U$11:U$363,1)+COUNTIF(U$11:U23,U23)-1)))</f>
        <v>83</v>
      </c>
      <c r="W23" s="240"/>
      <c r="X23" s="61" t="str">
        <f>IF(L23="","",VLOOKUP($L23,classifications!$C:$J,6,FALSE))</f>
        <v>Rural-50</v>
      </c>
      <c r="Y23" s="49" t="str">
        <f t="shared" si="6"/>
        <v/>
      </c>
      <c r="Z23" s="57" t="str">
        <f>IF(Y23="","",IF(I$8="A",(RANK(Y23,Y$11:Y$363,1)+COUNTIF(Y$11:Y23,Y23)-1),(RANK(Y23,Y$11:Y$363)+COUNTIF(Y$11:Y23,Y23)-1)))</f>
        <v/>
      </c>
      <c r="AA23" s="245" t="str">
        <f>IF(L23="","",VLOOKUP($L23,classifications!C:I,7,FALSE))</f>
        <v>Predominantly Rural</v>
      </c>
      <c r="AB23" s="239">
        <f t="shared" si="7"/>
        <v>3.8215256477394579</v>
      </c>
      <c r="AC23" s="239">
        <f>IF(AB23="","",IF($I$8="A",(RANK(AB23,AB$11:AB$363)+COUNTIF(AB$11:AB23,AB23)-1),(RANK(AB23,AB$11:AB$363,1)+COUNTIF(AB$11:AB23,AB23)-1)))</f>
        <v>57</v>
      </c>
      <c r="AD23" s="239"/>
      <c r="AE23" s="71">
        <f>IF(I$8="A",(RANK(AG23,AG$11:AG$363,1)+COUNTIF(AG$11:AG23,AG23)-1),(RANK(AG23,AG$11:AG$363)+COUNTIF(AG$11:AG23,AG23)-1))</f>
        <v>8</v>
      </c>
      <c r="AF23" s="6" t="str">
        <f>VLOOKUP(Profile!$J$5,Families!$C:$R,13,FALSE)</f>
        <v>West Lancashire</v>
      </c>
      <c r="AG23" s="143">
        <f t="shared" si="22"/>
        <v>6.8877251780477584</v>
      </c>
      <c r="AH23" s="72">
        <f t="shared" si="18"/>
        <v>8</v>
      </c>
      <c r="AI23" s="61" t="str">
        <f>IF(L23="","",VLOOKUP($L23,classifications!$C:$J,8,FALSE))</f>
        <v>Lincolnshire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East Midlands</v>
      </c>
      <c r="AQ23" s="62" t="str">
        <f t="shared" si="10"/>
        <v/>
      </c>
      <c r="AR23" s="57" t="str">
        <f>IF(AQ23="","",IF(I$8="A",(RANK(AQ23,AQ$11:AQ$363,1)+COUNTIF(AQ$11:AQ23,AQ23)-1),(RANK(AQ23,AQ$11:AQ$363)+COUNTIF(AQ$11:AQ23,AQ23)-1)))</f>
        <v/>
      </c>
      <c r="AS23" s="52">
        <f t="shared" si="23"/>
        <v>13</v>
      </c>
      <c r="AT23" s="57" t="str">
        <f t="shared" si="11"/>
        <v>Preston</v>
      </c>
      <c r="AU23" s="62">
        <f t="shared" si="12"/>
        <v>9.2943856742289057</v>
      </c>
      <c r="AX23" s="44">
        <f>HLOOKUP($AX$9&amp;$AX$10,Data!$A$1:$ZZ$2000,(MATCH($C23,Data!$A$1:$A$2000,0)),FALSE)</f>
        <v>9.7740054155384293</v>
      </c>
      <c r="AY23" s="156"/>
      <c r="AZ23" s="44"/>
    </row>
    <row r="24" spans="1:52">
      <c r="A24" s="84" t="str">
        <f>$D$1&amp;14</f>
        <v>SD14</v>
      </c>
      <c r="B24" s="85" t="str">
        <f>IF(ISERROR(VLOOKUP(A24,classifications!A:C,3,FALSE)),0,VLOOKUP(A24,classifications!A:C,3,FALSE))</f>
        <v>Craven</v>
      </c>
      <c r="C24" s="31" t="s">
        <v>346</v>
      </c>
      <c r="D24" s="49" t="str">
        <f>VLOOKUP($C24,classifications!$C:$J,4,FALSE)</f>
        <v>SD</v>
      </c>
      <c r="E24" s="49">
        <f>VLOOKUP(C24,classifications!C:K,9,FALSE)</f>
        <v>0</v>
      </c>
      <c r="F24" s="59">
        <f t="shared" si="1"/>
        <v>7.4994899115846749</v>
      </c>
      <c r="G24" s="105"/>
      <c r="H24" s="60">
        <f t="shared" si="2"/>
        <v>7.4994899115846749</v>
      </c>
      <c r="I24" s="112">
        <f>IF(H24="","",IF($I$8="A",(RANK(H24,H$11:H$363,1)+COUNTIF(H$11:H24,H24)-1),(RANK(H24,H$11:H$363)+COUNTIF(H$11:H24,H24)-1)))</f>
        <v>118</v>
      </c>
      <c r="J24" s="58"/>
      <c r="K24" s="51">
        <f t="shared" si="13"/>
        <v>14</v>
      </c>
      <c r="L24" s="59" t="str">
        <f t="shared" si="14"/>
        <v>Winchester</v>
      </c>
      <c r="M24" s="153">
        <f t="shared" si="20"/>
        <v>3.8476451374986831</v>
      </c>
      <c r="N24" s="148">
        <f t="shared" si="21"/>
        <v>3.8476451374986831</v>
      </c>
      <c r="O24" s="131">
        <f t="shared" si="3"/>
        <v>3.8476451374986831</v>
      </c>
      <c r="P24" s="131" t="str">
        <f t="shared" si="15"/>
        <v/>
      </c>
      <c r="Q24" s="131" t="str">
        <f t="shared" si="16"/>
        <v/>
      </c>
      <c r="R24" s="127" t="str">
        <f t="shared" si="17"/>
        <v/>
      </c>
      <c r="S24" s="60" t="str">
        <f t="shared" si="4"/>
        <v/>
      </c>
      <c r="T24" s="231" t="str">
        <f>IF(L24="","",VLOOKUP(L24,classifications!C:K,9,FALSE))</f>
        <v>Sparse</v>
      </c>
      <c r="U24" s="238">
        <f t="shared" si="5"/>
        <v>3.8476451374986831</v>
      </c>
      <c r="V24" s="239">
        <f>IF(U24="","",IF($I$8="A",(RANK(U24,U$11:U$363)+COUNTIF(U$11:U24,U24)-1),(RANK(U24,U$11:U$363,1)+COUNTIF(U$11:U24,U24)-1)))</f>
        <v>82</v>
      </c>
      <c r="W24" s="240"/>
      <c r="X24" s="61" t="str">
        <f>IF(L24="","",VLOOKUP($L24,classifications!$C:$J,6,FALSE))</f>
        <v>Rural-50</v>
      </c>
      <c r="Y24" s="49" t="str">
        <f t="shared" si="6"/>
        <v/>
      </c>
      <c r="Z24" s="57" t="str">
        <f>IF(Y24="","",IF(I$8="A",(RANK(Y24,Y$11:Y$363,1)+COUNTIF(Y$11:Y24,Y24)-1),(RANK(Y24,Y$11:Y$363)+COUNTIF(Y$11:Y24,Y24)-1)))</f>
        <v/>
      </c>
      <c r="AA24" s="245" t="str">
        <f>IF(L24="","",VLOOKUP($L24,classifications!C:I,7,FALSE))</f>
        <v>Significant Rural</v>
      </c>
      <c r="AB24" s="239" t="str">
        <f t="shared" si="7"/>
        <v/>
      </c>
      <c r="AC24" s="239" t="str">
        <f>IF(AB24="","",IF($I$8="A",(RANK(AB24,AB$11:AB$363)+COUNTIF(AB$11:AB24,AB24)-1),(RANK(AB24,AB$11:AB$363,1)+COUNTIF(AB$11:AB24,AB24)-1)))</f>
        <v/>
      </c>
      <c r="AD24" s="239"/>
      <c r="AE24" s="71">
        <f>IF(I$8="A",(RANK(AG24,AG$11:AG$363,1)+COUNTIF(AG$11:AG24,AG24)-1),(RANK(AG24,AG$11:AG$363)+COUNTIF(AG$11:AG24,AG24)-1))</f>
        <v>6</v>
      </c>
      <c r="AF24" s="6" t="str">
        <f>VLOOKUP(Profile!$J$5,Families!$C:$R,14,FALSE)</f>
        <v>Scarborough</v>
      </c>
      <c r="AG24" s="143">
        <f t="shared" si="22"/>
        <v>6.3579752736116744</v>
      </c>
      <c r="AH24" s="72">
        <f t="shared" si="18"/>
        <v>6</v>
      </c>
      <c r="AI24" s="61" t="str">
        <f>IF(L24="","",VLOOKUP($L24,classifications!$C:$J,8,FALSE))</f>
        <v>Hampshire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South East</v>
      </c>
      <c r="AQ24" s="62" t="str">
        <f t="shared" si="10"/>
        <v/>
      </c>
      <c r="AR24" s="57" t="str">
        <f>IF(AQ24="","",IF(I$8="A",(RANK(AQ24,AQ$11:AQ$363,1)+COUNTIF(AQ$11:AQ24,AQ24)-1),(RANK(AQ24,AQ$11:AQ$363)+COUNTIF(AQ$11:AQ24,AQ24)-1)))</f>
        <v/>
      </c>
      <c r="AS24" s="52">
        <f t="shared" si="23"/>
        <v>14</v>
      </c>
      <c r="AT24" s="57" t="str">
        <f t="shared" si="11"/>
        <v>South Lakeland</v>
      </c>
      <c r="AU24" s="62">
        <f t="shared" si="12"/>
        <v>9.7799246317231923</v>
      </c>
      <c r="AX24" s="44">
        <f>HLOOKUP($AX$9&amp;$AX$10,Data!$A$1:$ZZ$2000,(MATCH($C24,Data!$A$1:$A$2000,0)),FALSE)</f>
        <v>7.4994899115846749</v>
      </c>
      <c r="AY24" s="156"/>
      <c r="AZ24" s="44"/>
    </row>
    <row r="25" spans="1:52">
      <c r="A25" s="84" t="str">
        <f>$D$1&amp;15</f>
        <v>SD15</v>
      </c>
      <c r="B25" s="85" t="str">
        <f>IF(ISERROR(VLOOKUP(A25,classifications!A:C,3,FALSE)),0,VLOOKUP(A25,classifications!A:C,3,FALSE))</f>
        <v>Daventry</v>
      </c>
      <c r="C25" s="31" t="s">
        <v>15</v>
      </c>
      <c r="D25" s="49" t="str">
        <f>VLOOKUP($C25,classifications!$C:$J,4,FALSE)</f>
        <v>SD</v>
      </c>
      <c r="E25" s="49" t="str">
        <f>VLOOKUP(C25,classifications!C:K,9,FALSE)</f>
        <v>Sparse</v>
      </c>
      <c r="F25" s="59">
        <f t="shared" si="1"/>
        <v>8.1773774406517763</v>
      </c>
      <c r="G25" s="105"/>
      <c r="H25" s="60">
        <f t="shared" si="2"/>
        <v>8.1773774406517763</v>
      </c>
      <c r="I25" s="112">
        <f>IF(H25="","",IF($I$8="A",(RANK(H25,H$11:H$363,1)+COUNTIF(H$11:H25,H25)-1),(RANK(H25,H$11:H$363)+COUNTIF(H$11:H25,H25)-1)))</f>
        <v>137</v>
      </c>
      <c r="J25" s="58"/>
      <c r="K25" s="51">
        <f t="shared" si="13"/>
        <v>15</v>
      </c>
      <c r="L25" s="59" t="str">
        <f t="shared" si="14"/>
        <v>South Staffordshire</v>
      </c>
      <c r="M25" s="153">
        <f t="shared" si="20"/>
        <v>3.8480672500516779</v>
      </c>
      <c r="N25" s="148">
        <f t="shared" si="21"/>
        <v>3.8480672500516779</v>
      </c>
      <c r="O25" s="131">
        <f t="shared" si="3"/>
        <v>3.8480672500516779</v>
      </c>
      <c r="P25" s="131" t="str">
        <f t="shared" si="15"/>
        <v/>
      </c>
      <c r="Q25" s="131" t="str">
        <f t="shared" si="16"/>
        <v/>
      </c>
      <c r="R25" s="127" t="str">
        <f t="shared" si="17"/>
        <v/>
      </c>
      <c r="S25" s="60" t="str">
        <f t="shared" si="4"/>
        <v/>
      </c>
      <c r="T25" s="231" t="str">
        <f>IF(L25="","",VLOOKUP(L25,classifications!C:K,9,FALSE))</f>
        <v>Sparse</v>
      </c>
      <c r="U25" s="238">
        <f t="shared" si="5"/>
        <v>3.8480672500516779</v>
      </c>
      <c r="V25" s="239">
        <f>IF(U25="","",IF($I$8="A",(RANK(U25,U$11:U$363)+COUNTIF(U$11:U25,U25)-1),(RANK(U25,U$11:U$363,1)+COUNTIF(U$11:U25,U25)-1)))</f>
        <v>81</v>
      </c>
      <c r="W25" s="240"/>
      <c r="X25" s="61" t="str">
        <f>IF(L25="","",VLOOKUP($L25,classifications!$C:$J,6,FALSE))</f>
        <v>Significant Rural</v>
      </c>
      <c r="Y25" s="49" t="str">
        <f t="shared" si="6"/>
        <v/>
      </c>
      <c r="Z25" s="57" t="str">
        <f>IF(Y25="","",IF(I$8="A",(RANK(Y25,Y$11:Y$363,1)+COUNTIF(Y$11:Y25,Y25)-1),(RANK(Y25,Y$11:Y$363)+COUNTIF(Y$11:Y25,Y25)-1)))</f>
        <v/>
      </c>
      <c r="AA25" s="245" t="str">
        <f>IF(L25="","",VLOOKUP($L25,classifications!C:I,7,FALSE))</f>
        <v>Significant Rural</v>
      </c>
      <c r="AB25" s="239" t="str">
        <f t="shared" si="7"/>
        <v/>
      </c>
      <c r="AC25" s="239" t="str">
        <f>IF(AB25="","",IF($I$8="A",(RANK(AB25,AB$11:AB$363)+COUNTIF(AB$11:AB25,AB25)-1),(RANK(AB25,AB$11:AB$363,1)+COUNTIF(AB$11:AB25,AB25)-1)))</f>
        <v/>
      </c>
      <c r="AD25" s="239"/>
      <c r="AE25" s="71">
        <f>IF(I$8="A",(RANK(AG25,AG$11:AG$363,1)+COUNTIF(AG$11:AG25,AG25)-1),(RANK(AG25,AG$11:AG$363)+COUNTIF(AG$11:AG25,AG25)-1))</f>
        <v>2</v>
      </c>
      <c r="AF25" s="6" t="str">
        <f>VLOOKUP(Profile!$J$5,Families!$C:$R,15,FALSE)</f>
        <v>Amber Valley</v>
      </c>
      <c r="AG25" s="143">
        <f t="shared" si="22"/>
        <v>4.9852369852369849</v>
      </c>
      <c r="AH25" s="72">
        <f t="shared" si="18"/>
        <v>2</v>
      </c>
      <c r="AI25" s="61" t="str">
        <f>IF(L25="","",VLOOKUP($L25,classifications!$C:$J,8,FALSE))</f>
        <v>Staffordshire</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West Midlands</v>
      </c>
      <c r="AQ25" s="62" t="str">
        <f t="shared" si="10"/>
        <v/>
      </c>
      <c r="AR25" s="57" t="str">
        <f>IF(AQ25="","",IF(I$8="A",(RANK(AQ25,AQ$11:AQ$363,1)+COUNTIF(AQ$11:AQ25,AQ25)-1),(RANK(AQ25,AQ$11:AQ$363)+COUNTIF(AQ$11:AQ25,AQ25)-1)))</f>
        <v/>
      </c>
      <c r="AS25" s="52">
        <f t="shared" si="23"/>
        <v>15</v>
      </c>
      <c r="AT25" s="57" t="str">
        <f t="shared" si="11"/>
        <v>Copeland</v>
      </c>
      <c r="AU25" s="62">
        <f t="shared" si="12"/>
        <v>10.42640922850364</v>
      </c>
      <c r="AX25" s="44">
        <f>HLOOKUP($AX$9&amp;$AX$10,Data!$A$1:$ZZ$2000,(MATCH($C25,Data!$A$1:$A$2000,0)),FALSE)</f>
        <v>8.1773774406517763</v>
      </c>
      <c r="AY25" s="156"/>
      <c r="AZ25" s="44"/>
    </row>
    <row r="26" spans="1:52">
      <c r="A26" s="84" t="str">
        <f>$D$1&amp;16</f>
        <v>SD16</v>
      </c>
      <c r="B26" s="85" t="str">
        <f>IF(ISERROR(VLOOKUP(A26,classifications!A:C,3,FALSE)),0,VLOOKUP(A26,classifications!A:C,3,FALSE))</f>
        <v>Derbyshire Dales</v>
      </c>
      <c r="C26" s="31" t="s">
        <v>259</v>
      </c>
      <c r="D26" s="49" t="str">
        <f>VLOOKUP($C26,classifications!$C:$J,4,FALSE)</f>
        <v>UA</v>
      </c>
      <c r="E26" s="49">
        <f>VLOOKUP(C26,classifications!C:K,9,FALSE)</f>
        <v>0</v>
      </c>
      <c r="F26" s="59" t="str">
        <f t="shared" si="1"/>
        <v/>
      </c>
      <c r="G26" s="105"/>
      <c r="H26" s="60" t="str">
        <f t="shared" si="2"/>
        <v/>
      </c>
      <c r="I26" s="112" t="str">
        <f>IF(H26="","",IF($I$8="A",(RANK(H26,H$11:H$363,1)+COUNTIF(H$11:H26,H26)-1),(RANK(H26,H$11:H$363)+COUNTIF(H$11:H26,H26)-1)))</f>
        <v/>
      </c>
      <c r="J26" s="58"/>
      <c r="K26" s="51">
        <f t="shared" si="13"/>
        <v>16</v>
      </c>
      <c r="L26" s="59" t="str">
        <f t="shared" si="14"/>
        <v>West Oxfordshire</v>
      </c>
      <c r="M26" s="153">
        <f t="shared" si="20"/>
        <v>3.9666061198826323</v>
      </c>
      <c r="N26" s="148">
        <f t="shared" si="21"/>
        <v>3.9666061198826323</v>
      </c>
      <c r="O26" s="131">
        <f t="shared" si="3"/>
        <v>3.9666061198826323</v>
      </c>
      <c r="P26" s="131" t="str">
        <f t="shared" si="15"/>
        <v/>
      </c>
      <c r="Q26" s="131" t="str">
        <f t="shared" si="16"/>
        <v/>
      </c>
      <c r="R26" s="127" t="str">
        <f t="shared" si="17"/>
        <v/>
      </c>
      <c r="S26" s="60" t="str">
        <f t="shared" si="4"/>
        <v/>
      </c>
      <c r="T26" s="231" t="str">
        <f>IF(L26="","",VLOOKUP(L26,classifications!C:K,9,FALSE))</f>
        <v>Sparse</v>
      </c>
      <c r="U26" s="238">
        <f t="shared" si="5"/>
        <v>3.9666061198826323</v>
      </c>
      <c r="V26" s="239">
        <f>IF(U26="","",IF($I$8="A",(RANK(U26,U$11:U$363)+COUNTIF(U$11:U26,U26)-1),(RANK(U26,U$11:U$363,1)+COUNTIF(U$11:U26,U26)-1)))</f>
        <v>80</v>
      </c>
      <c r="W26" s="240"/>
      <c r="X26" s="61" t="str">
        <f>IF(L26="","",VLOOKUP($L26,classifications!$C:$J,6,FALSE))</f>
        <v>Rural-80</v>
      </c>
      <c r="Y26" s="49">
        <f t="shared" si="6"/>
        <v>3.9666061198826323</v>
      </c>
      <c r="Z26" s="57">
        <f>IF(Y26="","",IF(I$8="A",(RANK(Y26,Y$11:Y$363,1)+COUNTIF(Y$11:Y26,Y26)-1),(RANK(Y26,Y$11:Y$363)+COUNTIF(Y$11:Y26,Y26)-1)))</f>
        <v>4</v>
      </c>
      <c r="AA26" s="245" t="str">
        <f>IF(L26="","",VLOOKUP($L26,classifications!C:I,7,FALSE))</f>
        <v>Predominantly Rural</v>
      </c>
      <c r="AB26" s="239">
        <f t="shared" si="7"/>
        <v>3.9666061198826323</v>
      </c>
      <c r="AC26" s="239">
        <f>IF(AB26="","",IF($I$8="A",(RANK(AB26,AB$11:AB$363)+COUNTIF(AB$11:AB26,AB26)-1),(RANK(AB26,AB$11:AB$363,1)+COUNTIF(AB$11:AB26,AB26)-1)))</f>
        <v>56</v>
      </c>
      <c r="AD26" s="239"/>
      <c r="AE26" s="71">
        <f>IF(I$8="A",(RANK(AG26,AG$11:AG$363,1)+COUNTIF(AG$11:AG26,AG26)-1),(RANK(AG26,AG$11:AG$363)+COUNTIF(AG$11:AG26,AG26)-1))</f>
        <v>7</v>
      </c>
      <c r="AF26" s="6" t="str">
        <f>VLOOKUP(Profile!$J$5,Families!$C:$R,16,FALSE)</f>
        <v>Swale</v>
      </c>
      <c r="AG26" s="143">
        <f t="shared" si="22"/>
        <v>6.3791605084244756</v>
      </c>
      <c r="AH26" s="72">
        <f t="shared" si="18"/>
        <v>7</v>
      </c>
      <c r="AI26" s="61" t="str">
        <f>IF(L26="","",VLOOKUP($L26,classifications!$C:$J,8,FALSE))</f>
        <v>Oxfordshire</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South East</v>
      </c>
      <c r="AQ26" s="62" t="str">
        <f t="shared" si="10"/>
        <v/>
      </c>
      <c r="AR26" s="57" t="str">
        <f>IF(AQ26="","",IF(I$8="A",(RANK(AQ26,AQ$11:AQ$363,1)+COUNTIF(AQ$11:AQ26,AQ26)-1),(RANK(AQ26,AQ$11:AQ$363)+COUNTIF(AQ$11:AQ26,AQ26)-1)))</f>
        <v/>
      </c>
      <c r="AS26" s="52">
        <f t="shared" si="23"/>
        <v>16</v>
      </c>
      <c r="AT26" s="57" t="str">
        <f t="shared" si="11"/>
        <v>Allerdale</v>
      </c>
      <c r="AU26" s="62">
        <f t="shared" si="12"/>
        <v>11.015070716438673</v>
      </c>
      <c r="AX26" s="44" t="str">
        <f>HLOOKUP($AX$9&amp;$AX$10,Data!$A$1:$ZZ$2000,(MATCH($C26,Data!$A$1:$A$2000,0)),FALSE)</f>
        <v/>
      </c>
      <c r="AY26" s="156"/>
      <c r="AZ26" s="44"/>
    </row>
    <row r="27" spans="1:52">
      <c r="A27" s="84" t="str">
        <f>$D$1&amp;17</f>
        <v>SD17</v>
      </c>
      <c r="B27" s="85" t="str">
        <f>IF(ISERROR(VLOOKUP(A27,classifications!A:C,3,FALSE)),0,VLOOKUP(A27,classifications!A:C,3,FALSE))</f>
        <v>Dover</v>
      </c>
      <c r="C27" s="31" t="s">
        <v>260</v>
      </c>
      <c r="D27" s="49" t="str">
        <f>VLOOKUP($C27,classifications!$C:$J,4,FALSE)</f>
        <v>UA</v>
      </c>
      <c r="E27" s="49">
        <f>VLOOKUP(C27,classifications!C:K,9,FALSE)</f>
        <v>0</v>
      </c>
      <c r="F27" s="59">
        <f t="shared" si="1"/>
        <v>12.011673289809821</v>
      </c>
      <c r="G27" s="105"/>
      <c r="H27" s="60" t="str">
        <f t="shared" si="2"/>
        <v/>
      </c>
      <c r="I27" s="112" t="str">
        <f>IF(H27="","",IF($I$8="A",(RANK(H27,H$11:H$363,1)+COUNTIF(H$11:H27,H27)-1),(RANK(H27,H$11:H$363)+COUNTIF(H$11:H27,H27)-1)))</f>
        <v/>
      </c>
      <c r="J27" s="58"/>
      <c r="K27" s="51">
        <f t="shared" si="13"/>
        <v>17</v>
      </c>
      <c r="L27" s="59" t="str">
        <f>IF(K27="","",INDEX(C$11:C$363,MATCH(K27,I$11:I$363,0)))</f>
        <v>Cherwell</v>
      </c>
      <c r="M27" s="153">
        <f t="shared" si="20"/>
        <v>3.9783733188827037</v>
      </c>
      <c r="N27" s="148">
        <f t="shared" si="21"/>
        <v>3.9783733188827037</v>
      </c>
      <c r="O27" s="131">
        <f t="shared" si="3"/>
        <v>3.9783733188827037</v>
      </c>
      <c r="P27" s="131" t="str">
        <f t="shared" si="15"/>
        <v/>
      </c>
      <c r="Q27" s="131" t="str">
        <f t="shared" si="16"/>
        <v/>
      </c>
      <c r="R27" s="127" t="str">
        <f t="shared" si="17"/>
        <v/>
      </c>
      <c r="S27" s="60" t="str">
        <f t="shared" si="4"/>
        <v/>
      </c>
      <c r="T27" s="231" t="str">
        <f>IF(L27="","",VLOOKUP(L27,classifications!C:K,9,FALSE))</f>
        <v>Sparse</v>
      </c>
      <c r="U27" s="238">
        <f t="shared" si="5"/>
        <v>3.9783733188827037</v>
      </c>
      <c r="V27" s="239">
        <f>IF(U27="","",IF($I$8="A",(RANK(U27,U$11:U$363)+COUNTIF(U$11:U27,U27)-1),(RANK(U27,U$11:U$363,1)+COUNTIF(U$11:U27,U27)-1)))</f>
        <v>79</v>
      </c>
      <c r="W27" s="240"/>
      <c r="X27" s="61" t="str">
        <f>IF(L27="","",VLOOKUP($L27,classifications!$C:$J,6,FALSE))</f>
        <v>Significant Rural</v>
      </c>
      <c r="Y27" s="49" t="str">
        <f t="shared" si="6"/>
        <v/>
      </c>
      <c r="Z27" s="57" t="str">
        <f>IF(Y27="","",IF(I$8="A",(RANK(Y27,Y$11:Y$363,1)+COUNTIF(Y$11:Y27,Y27)-1),(RANK(Y27,Y$11:Y$363)+COUNTIF(Y$11:Y27,Y27)-1)))</f>
        <v/>
      </c>
      <c r="AA27" s="245" t="str">
        <f>IF(L27="","",VLOOKUP($L27,classifications!C:I,7,FALSE))</f>
        <v>Predominantly Rural</v>
      </c>
      <c r="AB27" s="239">
        <f t="shared" si="7"/>
        <v>3.9783733188827037</v>
      </c>
      <c r="AC27" s="239">
        <f>IF(AB27="","",IF($I$8="A",(RANK(AB27,AB$11:AB$363)+COUNTIF(AB$11:AB27,AB27)-1),(RANK(AB27,AB$11:AB$363,1)+COUNTIF(AB$11:AB27,AB27)-1)))</f>
        <v>55</v>
      </c>
      <c r="AD27" s="239"/>
      <c r="AE27" s="51"/>
      <c r="AF27" s="6"/>
      <c r="AG27" s="143"/>
      <c r="AH27" s="52"/>
      <c r="AI27" s="61" t="str">
        <f>IF(L27="","",VLOOKUP($L27,classifications!$C:$J,8,FALSE))</f>
        <v>Oxfordshire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South East</v>
      </c>
      <c r="AQ27" s="62" t="str">
        <f t="shared" si="10"/>
        <v/>
      </c>
      <c r="AR27" s="57" t="str">
        <f>IF(AQ27="","",IF(I$8="A",(RANK(AQ27,AQ$11:AQ$363,1)+COUNTIF(AQ$11:AQ27,AQ27)-1),(RANK(AQ27,AQ$11:AQ$363)+COUNTIF(AQ$11:AQ27,AQ27)-1)))</f>
        <v/>
      </c>
      <c r="AS27" s="52">
        <f t="shared" si="23"/>
        <v>17</v>
      </c>
      <c r="AT27" s="57" t="str">
        <f t="shared" si="11"/>
        <v>Fylde</v>
      </c>
      <c r="AU27" s="62">
        <f t="shared" si="12"/>
        <v>13.082076195346458</v>
      </c>
      <c r="AX27" s="44">
        <f>HLOOKUP($AX$9&amp;$AX$10,Data!$A$1:$ZZ$2000,(MATCH($C27,Data!$A$1:$A$2000,0)),FALSE)</f>
        <v>12.011673289809821</v>
      </c>
      <c r="AY27" s="156"/>
      <c r="AZ27" s="44"/>
    </row>
    <row r="28" spans="1:52">
      <c r="A28" s="84" t="str">
        <f>$D$1&amp;18</f>
        <v>SD18</v>
      </c>
      <c r="B28" s="85" t="str">
        <f>IF(ISERROR(VLOOKUP(A28,classifications!A:C,3,FALSE)),0,VLOOKUP(A28,classifications!A:C,3,FALSE))</f>
        <v>East Cambridgeshire</v>
      </c>
      <c r="C28" s="31" t="s">
        <v>198</v>
      </c>
      <c r="D28" s="49" t="str">
        <f>VLOOKUP($C28,classifications!$C:$J,4,FALSE)</f>
        <v>L</v>
      </c>
      <c r="E28" s="49">
        <f>VLOOKUP(C28,classifications!C:K,9,FALSE)</f>
        <v>0</v>
      </c>
      <c r="F28" s="59">
        <f t="shared" si="1"/>
        <v>14.919272830563841</v>
      </c>
      <c r="G28" s="105"/>
      <c r="H28" s="60" t="str">
        <f t="shared" si="2"/>
        <v/>
      </c>
      <c r="I28" s="112" t="str">
        <f>IF(H28="","",IF($I$8="A",(RANK(H28,H$11:H$363,1)+COUNTIF(H$11:H28,H28)-1),(RANK(H28,H$11:H$363)+COUNTIF(H$11:H28,H28)-1)))</f>
        <v/>
      </c>
      <c r="J28" s="58"/>
      <c r="K28" s="51">
        <f t="shared" si="13"/>
        <v>18</v>
      </c>
      <c r="L28" s="59" t="str">
        <f t="shared" si="14"/>
        <v>Daventry</v>
      </c>
      <c r="M28" s="153">
        <f t="shared" si="20"/>
        <v>4.0188679245283021</v>
      </c>
      <c r="N28" s="148">
        <f t="shared" si="21"/>
        <v>4.0188679245283021</v>
      </c>
      <c r="O28" s="131">
        <f t="shared" si="3"/>
        <v>4.0188679245283021</v>
      </c>
      <c r="P28" s="131" t="str">
        <f t="shared" si="15"/>
        <v/>
      </c>
      <c r="Q28" s="131" t="str">
        <f t="shared" si="16"/>
        <v/>
      </c>
      <c r="R28" s="127" t="str">
        <f t="shared" si="17"/>
        <v/>
      </c>
      <c r="S28" s="60" t="str">
        <f t="shared" si="4"/>
        <v/>
      </c>
      <c r="T28" s="231" t="str">
        <f>IF(L28="","",VLOOKUP(L28,classifications!C:K,9,FALSE))</f>
        <v>Sparse</v>
      </c>
      <c r="U28" s="238">
        <f t="shared" si="5"/>
        <v>4.0188679245283021</v>
      </c>
      <c r="V28" s="239">
        <f>IF(U28="","",IF($I$8="A",(RANK(U28,U$11:U$363)+COUNTIF(U$11:U28,U28)-1),(RANK(U28,U$11:U$363,1)+COUNTIF(U$11:U28,U28)-1)))</f>
        <v>78</v>
      </c>
      <c r="W28" s="240"/>
      <c r="X28" s="61" t="str">
        <f>IF(L28="","",VLOOKUP($L28,classifications!$C:$J,6,FALSE))</f>
        <v>Rural-80</v>
      </c>
      <c r="Y28" s="49">
        <f t="shared" si="6"/>
        <v>4.0188679245283021</v>
      </c>
      <c r="Z28" s="57">
        <f>IF(Y28="","",IF(I$8="A",(RANK(Y28,Y$11:Y$363,1)+COUNTIF(Y$11:Y28,Y28)-1),(RANK(Y28,Y$11:Y$363)+COUNTIF(Y$11:Y28,Y28)-1)))</f>
        <v>5</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Northamptonshire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East Midlands</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14.919272830563841</v>
      </c>
      <c r="AY28" s="156"/>
      <c r="AZ28" s="44"/>
    </row>
    <row r="29" spans="1:52">
      <c r="A29" s="84" t="str">
        <f>$D$1&amp;19</f>
        <v>SD19</v>
      </c>
      <c r="B29" s="85" t="str">
        <f>IF(ISERROR(VLOOKUP(A29,classifications!A:C,3,FALSE)),0,VLOOKUP(A29,classifications!A:C,3,FALSE))</f>
        <v>East Devon</v>
      </c>
      <c r="C29" s="31" t="s">
        <v>224</v>
      </c>
      <c r="D29" s="49" t="str">
        <f>VLOOKUP($C29,classifications!$C:$J,4,FALSE)</f>
        <v>MD</v>
      </c>
      <c r="E29" s="49">
        <f>VLOOKUP(C29,classifications!C:K,9,FALSE)</f>
        <v>0</v>
      </c>
      <c r="F29" s="59">
        <f t="shared" si="1"/>
        <v>5.741164241164241</v>
      </c>
      <c r="G29" s="105"/>
      <c r="H29" s="60" t="str">
        <f t="shared" si="2"/>
        <v/>
      </c>
      <c r="I29" s="112" t="str">
        <f>IF(H29="","",IF($I$8="A",(RANK(H29,H$11:H$363,1)+COUNTIF(H$11:H29,H29)-1),(RANK(H29,H$11:H$363)+COUNTIF(H$11:H29,H29)-1)))</f>
        <v/>
      </c>
      <c r="J29" s="58"/>
      <c r="K29" s="51">
        <f t="shared" si="13"/>
        <v>19</v>
      </c>
      <c r="L29" s="59" t="str">
        <f t="shared" si="14"/>
        <v>New Forest</v>
      </c>
      <c r="M29" s="153">
        <f t="shared" si="20"/>
        <v>4.0396610336502929</v>
      </c>
      <c r="N29" s="148">
        <f t="shared" si="21"/>
        <v>4.0396610336502929</v>
      </c>
      <c r="O29" s="131">
        <f t="shared" si="3"/>
        <v>4.0396610336502929</v>
      </c>
      <c r="P29" s="131" t="str">
        <f t="shared" si="15"/>
        <v/>
      </c>
      <c r="Q29" s="131" t="str">
        <f t="shared" si="16"/>
        <v/>
      </c>
      <c r="R29" s="127" t="str">
        <f t="shared" si="17"/>
        <v/>
      </c>
      <c r="S29" s="60" t="str">
        <f t="shared" si="4"/>
        <v/>
      </c>
      <c r="T29" s="231" t="str">
        <f>IF(L29="","",VLOOKUP(L29,classifications!C:K,9,FALSE))</f>
        <v>Sparse</v>
      </c>
      <c r="U29" s="238">
        <f t="shared" si="5"/>
        <v>4.0396610336502929</v>
      </c>
      <c r="V29" s="239">
        <f>IF(U29="","",IF($I$8="A",(RANK(U29,U$11:U$363)+COUNTIF(U$11:U29,U29)-1),(RANK(U29,U$11:U$363,1)+COUNTIF(U$11:U29,U29)-1)))</f>
        <v>77</v>
      </c>
      <c r="W29" s="240"/>
      <c r="X29" s="61" t="str">
        <f>IF(L29="","",VLOOKUP($L29,classifications!$C:$J,6,FALSE))</f>
        <v>Significant Rural</v>
      </c>
      <c r="Y29" s="49" t="str">
        <f t="shared" si="6"/>
        <v/>
      </c>
      <c r="Z29" s="57" t="str">
        <f>IF(Y29="","",IF(I$8="A",(RANK(Y29,Y$11:Y$363,1)+COUNTIF(Y$11:Y29,Y29)-1),(RANK(Y29,Y$11:Y$363)+COUNTIF(Y$11:Y29,Y29)-1)))</f>
        <v/>
      </c>
      <c r="AA29" s="245" t="str">
        <f>IF(L29="","",VLOOKUP($L29,classifications!C:I,7,FALSE))</f>
        <v>Significant Rural</v>
      </c>
      <c r="AB29" s="239" t="str">
        <f t="shared" si="7"/>
        <v/>
      </c>
      <c r="AC29" s="239" t="str">
        <f>IF(AB29="","",IF($I$8="A",(RANK(AB29,AB$11:AB$363)+COUNTIF(AB$11:AB29,AB29)-1),(RANK(AB29,AB$11:AB$363,1)+COUNTIF(AB$11:AB29,AB29)-1)))</f>
        <v/>
      </c>
      <c r="AD29" s="239"/>
      <c r="AE29" s="51"/>
      <c r="AF29" s="6"/>
      <c r="AG29" s="143"/>
      <c r="AH29" s="52"/>
      <c r="AI29" s="61" t="str">
        <f>IF(L29="","",VLOOKUP($L29,classifications!$C:$J,8,FALSE))</f>
        <v>Hampshire</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South East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5.741164241164241</v>
      </c>
      <c r="AY29" s="156"/>
      <c r="AZ29" s="44"/>
    </row>
    <row r="30" spans="1:52">
      <c r="A30" s="84" t="str">
        <f>$D$1&amp;20</f>
        <v>SD20</v>
      </c>
      <c r="B30" s="85" t="str">
        <f>IF(ISERROR(VLOOKUP(A30,classifications!A:C,3,FALSE)),0,VLOOKUP(A30,classifications!A:C,3,FALSE))</f>
        <v>East Hampshire</v>
      </c>
      <c r="C30" s="31" t="s">
        <v>16</v>
      </c>
      <c r="D30" s="49" t="str">
        <f>VLOOKUP($C30,classifications!$C:$J,4,FALSE)</f>
        <v>SD</v>
      </c>
      <c r="E30" s="49">
        <f>VLOOKUP(C30,classifications!C:K,9,FALSE)</f>
        <v>0</v>
      </c>
      <c r="F30" s="59">
        <f t="shared" si="1"/>
        <v>5.8001367885097652</v>
      </c>
      <c r="G30" s="105"/>
      <c r="H30" s="60">
        <f t="shared" si="2"/>
        <v>5.8001367885097652</v>
      </c>
      <c r="I30" s="112">
        <f>IF(H30="","",IF($I$8="A",(RANK(H30,H$11:H$363,1)+COUNTIF(H$11:H30,H30)-1),(RANK(H30,H$11:H$363)+COUNTIF(H$11:H30,H30)-1)))</f>
        <v>66</v>
      </c>
      <c r="J30" s="58"/>
      <c r="K30" s="51">
        <f t="shared" si="13"/>
        <v>20</v>
      </c>
      <c r="L30" s="59" t="str">
        <f t="shared" si="14"/>
        <v>South Norfolk</v>
      </c>
      <c r="M30" s="153">
        <f t="shared" si="20"/>
        <v>4.0574549581500925</v>
      </c>
      <c r="N30" s="148">
        <f t="shared" si="21"/>
        <v>4.0574549581500925</v>
      </c>
      <c r="O30" s="131">
        <f t="shared" si="3"/>
        <v>4.0574549581500925</v>
      </c>
      <c r="P30" s="131" t="str">
        <f t="shared" si="15"/>
        <v/>
      </c>
      <c r="Q30" s="131" t="str">
        <f t="shared" si="16"/>
        <v/>
      </c>
      <c r="R30" s="127" t="str">
        <f t="shared" si="17"/>
        <v/>
      </c>
      <c r="S30" s="60" t="str">
        <f t="shared" si="4"/>
        <v/>
      </c>
      <c r="T30" s="231" t="str">
        <f>IF(L30="","",VLOOKUP(L30,classifications!C:K,9,FALSE))</f>
        <v>Sparse</v>
      </c>
      <c r="U30" s="238">
        <f t="shared" si="5"/>
        <v>4.0574549581500925</v>
      </c>
      <c r="V30" s="239">
        <f>IF(U30="","",IF($I$8="A",(RANK(U30,U$11:U$363)+COUNTIF(U$11:U30,U30)-1),(RANK(U30,U$11:U$363,1)+COUNTIF(U$11:U30,U30)-1)))</f>
        <v>76</v>
      </c>
      <c r="W30" s="240"/>
      <c r="X30" s="61" t="str">
        <f>IF(L30="","",VLOOKUP($L30,classifications!$C:$J,6,FALSE))</f>
        <v>Rural-80</v>
      </c>
      <c r="Y30" s="49">
        <f t="shared" si="6"/>
        <v>4.0574549581500925</v>
      </c>
      <c r="Z30" s="57">
        <f>IF(Y30="","",IF(I$8="A",(RANK(Y30,Y$11:Y$363,1)+COUNTIF(Y$11:Y30,Y30)-1),(RANK(Y30,Y$11:Y$363)+COUNTIF(Y$11:Y30,Y30)-1)))</f>
        <v>6</v>
      </c>
      <c r="AA30" s="245" t="str">
        <f>IF(L30="","",VLOOKUP($L30,classifications!C:I,7,FALSE))</f>
        <v>Predominantly Rural</v>
      </c>
      <c r="AB30" s="239">
        <f t="shared" si="7"/>
        <v>4.0574549581500925</v>
      </c>
      <c r="AC30" s="239">
        <f>IF(AB30="","",IF($I$8="A",(RANK(AB30,AB$11:AB$363)+COUNTIF(AB$11:AB30,AB30)-1),(RANK(AB30,AB$11:AB$363,1)+COUNTIF(AB$11:AB30,AB30)-1)))</f>
        <v>54</v>
      </c>
      <c r="AD30" s="239"/>
      <c r="AE30" s="51"/>
      <c r="AF30" s="6"/>
      <c r="AG30" s="143"/>
      <c r="AH30" s="52"/>
      <c r="AI30" s="61" t="str">
        <f>IF(L30="","",VLOOKUP($L30,classifications!$C:$J,8,FALSE))</f>
        <v>Norfolk</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East of England</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5.8001367885097652</v>
      </c>
      <c r="AY30" s="156"/>
      <c r="AZ30" s="44"/>
    </row>
    <row r="31" spans="1:52">
      <c r="A31" s="84" t="str">
        <f>$D$1&amp;21</f>
        <v>SD21</v>
      </c>
      <c r="B31" s="85" t="str">
        <f>IF(ISERROR(VLOOKUP(A31,classifications!A:C,3,FALSE)),0,VLOOKUP(A31,classifications!A:C,3,FALSE))</f>
        <v>East Hertfordshire</v>
      </c>
      <c r="C31" s="31" t="s">
        <v>261</v>
      </c>
      <c r="D31" s="49" t="str">
        <f>VLOOKUP($C31,classifications!$C:$J,4,FALSE)</f>
        <v>UA</v>
      </c>
      <c r="E31" s="49">
        <f>VLOOKUP(C31,classifications!C:K,9,FALSE)</f>
        <v>0</v>
      </c>
      <c r="F31" s="59">
        <f t="shared" si="1"/>
        <v>9.7732179556517043</v>
      </c>
      <c r="G31" s="105"/>
      <c r="H31" s="60" t="str">
        <f t="shared" si="2"/>
        <v/>
      </c>
      <c r="I31" s="112" t="str">
        <f>IF(H31="","",IF($I$8="A",(RANK(H31,H$11:H$363,1)+COUNTIF(H$11:H31,H31)-1),(RANK(H31,H$11:H$363)+COUNTIF(H$11:H31,H31)-1)))</f>
        <v/>
      </c>
      <c r="J31" s="58"/>
      <c r="K31" s="51">
        <f t="shared" si="13"/>
        <v>21</v>
      </c>
      <c r="L31" s="59" t="str">
        <f t="shared" si="14"/>
        <v>Cheltenham</v>
      </c>
      <c r="M31" s="153">
        <f t="shared" si="20"/>
        <v>4.2235507109719759</v>
      </c>
      <c r="N31" s="148">
        <f t="shared" si="21"/>
        <v>4.2235507109719759</v>
      </c>
      <c r="O31" s="131">
        <f t="shared" si="3"/>
        <v>4.2235507109719759</v>
      </c>
      <c r="P31" s="131" t="str">
        <f t="shared" si="15"/>
        <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Other Urban</v>
      </c>
      <c r="Y31" s="49" t="str">
        <f t="shared" si="6"/>
        <v/>
      </c>
      <c r="Z31" s="57" t="str">
        <f>IF(Y31="","",IF(I$8="A",(RANK(Y31,Y$11:Y$363,1)+COUNTIF(Y$11:Y31,Y31)-1),(RANK(Y31,Y$11:Y$363)+COUNTIF(Y$11:Y31,Y31)-1)))</f>
        <v/>
      </c>
      <c r="AA31" s="245" t="str">
        <f>IF(L31="","",VLOOKUP($L31,classifications!C:I,7,FALSE))</f>
        <v>Significant Rural</v>
      </c>
      <c r="AB31" s="239" t="str">
        <f t="shared" si="7"/>
        <v/>
      </c>
      <c r="AC31" s="239" t="str">
        <f>IF(AB31="","",IF($I$8="A",(RANK(AB31,AB$11:AB$363)+COUNTIF(AB$11:AB31,AB31)-1),(RANK(AB31,AB$11:AB$363,1)+COUNTIF(AB$11:AB31,AB31)-1)))</f>
        <v/>
      </c>
      <c r="AD31" s="239"/>
      <c r="AE31" s="51"/>
      <c r="AF31" s="6"/>
      <c r="AG31" s="143"/>
      <c r="AH31" s="52"/>
      <c r="AI31" s="61" t="str">
        <f>IF(L31="","",VLOOKUP($L31,classifications!$C:$J,8,FALSE))</f>
        <v>Gloucestershire</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South West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9.7732179556517043</v>
      </c>
      <c r="AY31" s="156"/>
      <c r="AZ31" s="44"/>
    </row>
    <row r="32" spans="1:52">
      <c r="A32" s="84" t="str">
        <f>$D$1&amp;22</f>
        <v>SD22</v>
      </c>
      <c r="B32" s="85" t="str">
        <f>IF(ISERROR(VLOOKUP(A32,classifications!A:C,3,FALSE)),0,VLOOKUP(A32,classifications!A:C,3,FALSE))</f>
        <v>East Lindsey</v>
      </c>
      <c r="C32" s="31" t="s">
        <v>262</v>
      </c>
      <c r="D32" s="49" t="str">
        <f>VLOOKUP($C32,classifications!$C:$J,4,FALSE)</f>
        <v>UA</v>
      </c>
      <c r="E32" s="49">
        <f>VLOOKUP(C32,classifications!C:K,9,FALSE)</f>
        <v>0</v>
      </c>
      <c r="F32" s="59">
        <f t="shared" si="1"/>
        <v>18.453837885919722</v>
      </c>
      <c r="G32" s="105"/>
      <c r="H32" s="60" t="str">
        <f t="shared" si="2"/>
        <v/>
      </c>
      <c r="I32" s="112" t="str">
        <f>IF(H32="","",IF($I$8="A",(RANK(H32,H$11:H$363,1)+COUNTIF(H$11:H32,H32)-1),(RANK(H32,H$11:H$363)+COUNTIF(H$11:H32,H32)-1)))</f>
        <v/>
      </c>
      <c r="J32" s="58"/>
      <c r="K32" s="51">
        <f t="shared" si="13"/>
        <v>22</v>
      </c>
      <c r="L32" s="59" t="str">
        <f t="shared" si="14"/>
        <v>Taunton Deane</v>
      </c>
      <c r="M32" s="153">
        <f t="shared" si="20"/>
        <v>4.2906208198914157</v>
      </c>
      <c r="N32" s="148">
        <f t="shared" si="21"/>
        <v>4.2906208198914157</v>
      </c>
      <c r="O32" s="131">
        <f t="shared" si="3"/>
        <v>4.2906208198914157</v>
      </c>
      <c r="P32" s="131" t="str">
        <f t="shared" si="15"/>
        <v/>
      </c>
      <c r="Q32" s="131" t="str">
        <f t="shared" si="16"/>
        <v/>
      </c>
      <c r="R32" s="127" t="str">
        <f t="shared" si="17"/>
        <v/>
      </c>
      <c r="S32" s="60" t="str">
        <f t="shared" si="4"/>
        <v/>
      </c>
      <c r="T32" s="231" t="str">
        <f>IF(L32="","",VLOOKUP(L32,classifications!C:K,9,FALSE))</f>
        <v>Sparse</v>
      </c>
      <c r="U32" s="238">
        <f t="shared" si="5"/>
        <v>4.2906208198914157</v>
      </c>
      <c r="V32" s="239">
        <f>IF(U32="","",IF($I$8="A",(RANK(U32,U$11:U$363)+COUNTIF(U$11:U32,U32)-1),(RANK(U32,U$11:U$363,1)+COUNTIF(U$11:U32,U32)-1)))</f>
        <v>75</v>
      </c>
      <c r="W32" s="240"/>
      <c r="X32" s="61" t="str">
        <f>IF(L32="","",VLOOKUP($L32,classifications!$C:$J,6,FALSE))</f>
        <v>Significant Rural</v>
      </c>
      <c r="Y32" s="49" t="str">
        <f t="shared" si="6"/>
        <v/>
      </c>
      <c r="Z32" s="57" t="str">
        <f>IF(Y32="","",IF(I$8="A",(RANK(Y32,Y$11:Y$363,1)+COUNTIF(Y$11:Y32,Y32)-1),(RANK(Y32,Y$11:Y$363)+COUNTIF(Y$11:Y32,Y32)-1)))</f>
        <v/>
      </c>
      <c r="AA32" s="245" t="str">
        <f>IF(L32="","",VLOOKUP($L32,classifications!C:I,7,FALSE))</f>
        <v>Predominantly Rural</v>
      </c>
      <c r="AB32" s="239">
        <f t="shared" si="7"/>
        <v>4.2906208198914157</v>
      </c>
      <c r="AC32" s="239">
        <f>IF(AB32="","",IF($I$8="A",(RANK(AB32,AB$11:AB$363)+COUNTIF(AB$11:AB32,AB32)-1),(RANK(AB32,AB$11:AB$363,1)+COUNTIF(AB$11:AB32,AB32)-1)))</f>
        <v>53</v>
      </c>
      <c r="AD32" s="239"/>
      <c r="AE32" s="51"/>
      <c r="AG32" s="143"/>
      <c r="AH32" s="52"/>
      <c r="AI32" s="61" t="str">
        <f>IF(L32="","",VLOOKUP($L32,classifications!$C:$J,8,FALSE))</f>
        <v>Somerset</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South West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18.453837885919722</v>
      </c>
      <c r="AY32" s="156"/>
      <c r="AZ32" s="44"/>
    </row>
    <row r="33" spans="1:52">
      <c r="A33" s="84" t="str">
        <f>$D$1&amp;23</f>
        <v>SD23</v>
      </c>
      <c r="B33" s="85" t="str">
        <f>IF(ISERROR(VLOOKUP(A33,classifications!A:C,3,FALSE)),0,VLOOKUP(A33,classifications!A:C,3,FALSE))</f>
        <v>East Northamptonshire</v>
      </c>
      <c r="C33" s="31" t="s">
        <v>17</v>
      </c>
      <c r="D33" s="49" t="str">
        <f>VLOOKUP($C33,classifications!$C:$J,4,FALSE)</f>
        <v>SD</v>
      </c>
      <c r="E33" s="49">
        <f>VLOOKUP(C33,classifications!C:K,9,FALSE)</f>
        <v>0</v>
      </c>
      <c r="F33" s="59">
        <f t="shared" si="1"/>
        <v>7.6647622558053818</v>
      </c>
      <c r="G33" s="105"/>
      <c r="H33" s="60">
        <f t="shared" si="2"/>
        <v>7.6647622558053818</v>
      </c>
      <c r="I33" s="112">
        <f>IF(H33="","",IF($I$8="A",(RANK(H33,H$11:H$363,1)+COUNTIF(H$11:H33,H33)-1),(RANK(H33,H$11:H$363)+COUNTIF(H$11:H33,H33)-1)))</f>
        <v>122</v>
      </c>
      <c r="J33" s="58"/>
      <c r="K33" s="51">
        <f t="shared" si="13"/>
        <v>23</v>
      </c>
      <c r="L33" s="59" t="str">
        <f t="shared" si="14"/>
        <v>Braintree</v>
      </c>
      <c r="M33" s="153">
        <f t="shared" si="20"/>
        <v>4.3155514778163706</v>
      </c>
      <c r="N33" s="148">
        <f t="shared" si="21"/>
        <v>4.3155514778163706</v>
      </c>
      <c r="O33" s="131">
        <f t="shared" si="3"/>
        <v>4.3155514778163706</v>
      </c>
      <c r="P33" s="131" t="str">
        <f t="shared" si="15"/>
        <v/>
      </c>
      <c r="Q33" s="131" t="str">
        <f t="shared" si="16"/>
        <v/>
      </c>
      <c r="R33" s="127" t="str">
        <f t="shared" si="17"/>
        <v/>
      </c>
      <c r="S33" s="60" t="str">
        <f t="shared" si="4"/>
        <v/>
      </c>
      <c r="T33" s="231" t="str">
        <f>IF(L33="","",VLOOKUP(L33,classifications!C:K,9,FALSE))</f>
        <v>Sparse</v>
      </c>
      <c r="U33" s="238">
        <f t="shared" si="5"/>
        <v>4.3155514778163706</v>
      </c>
      <c r="V33" s="239">
        <f>IF(U33="","",IF($I$8="A",(RANK(U33,U$11:U$363)+COUNTIF(U$11:U33,U33)-1),(RANK(U33,U$11:U$363,1)+COUNTIF(U$11:U33,U33)-1)))</f>
        <v>74</v>
      </c>
      <c r="W33" s="240"/>
      <c r="X33" s="61" t="str">
        <f>IF(L33="","",VLOOKUP($L33,classifications!$C:$J,6,FALSE))</f>
        <v>Rural-50</v>
      </c>
      <c r="Y33" s="49" t="str">
        <f t="shared" si="6"/>
        <v/>
      </c>
      <c r="Z33" s="57" t="str">
        <f>IF(Y33="","",IF(I$8="A",(RANK(Y33,Y$11:Y$363,1)+COUNTIF(Y$11:Y33,Y33)-1),(RANK(Y33,Y$11:Y$363)+COUNTIF(Y$11:Y33,Y33)-1)))</f>
        <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Essex</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East of England</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7.6647622558053818</v>
      </c>
      <c r="AY33" s="156"/>
      <c r="AZ33" s="44"/>
    </row>
    <row r="34" spans="1:52">
      <c r="A34" s="84" t="str">
        <f>$D$1&amp;24</f>
        <v>SD24</v>
      </c>
      <c r="B34" s="85" t="str">
        <f>IF(ISERROR(VLOOKUP(A34,classifications!A:C,3,FALSE)),0,VLOOKUP(A34,classifications!A:C,3,FALSE))</f>
        <v>Eden</v>
      </c>
      <c r="C34" s="31" t="s">
        <v>225</v>
      </c>
      <c r="D34" s="49" t="str">
        <f>VLOOKUP($C34,classifications!$C:$J,4,FALSE)</f>
        <v>MD</v>
      </c>
      <c r="E34" s="49">
        <f>VLOOKUP(C34,classifications!C:K,9,FALSE)</f>
        <v>0</v>
      </c>
      <c r="F34" s="59">
        <f t="shared" si="1"/>
        <v>11.903168168168168</v>
      </c>
      <c r="G34" s="105"/>
      <c r="H34" s="60" t="str">
        <f t="shared" si="2"/>
        <v/>
      </c>
      <c r="I34" s="112" t="str">
        <f>IF(H34="","",IF($I$8="A",(RANK(H34,H$11:H$363,1)+COUNTIF(H$11:H34,H34)-1),(RANK(H34,H$11:H$363)+COUNTIF(H$11:H34,H34)-1)))</f>
        <v/>
      </c>
      <c r="J34" s="58"/>
      <c r="K34" s="51">
        <f t="shared" si="13"/>
        <v>24</v>
      </c>
      <c r="L34" s="59" t="str">
        <f t="shared" si="14"/>
        <v>St Edmundsbury</v>
      </c>
      <c r="M34" s="153">
        <f t="shared" si="20"/>
        <v>4.329063375168551</v>
      </c>
      <c r="N34" s="148">
        <f t="shared" si="21"/>
        <v>4.329063375168551</v>
      </c>
      <c r="O34" s="131">
        <f t="shared" si="3"/>
        <v>4.329063375168551</v>
      </c>
      <c r="P34" s="131" t="str">
        <f t="shared" si="15"/>
        <v/>
      </c>
      <c r="Q34" s="131" t="str">
        <f t="shared" si="16"/>
        <v/>
      </c>
      <c r="R34" s="127" t="str">
        <f t="shared" si="17"/>
        <v/>
      </c>
      <c r="S34" s="60" t="str">
        <f t="shared" si="4"/>
        <v/>
      </c>
      <c r="T34" s="231" t="str">
        <f>IF(L34="","",VLOOKUP(L34,classifications!C:K,9,FALSE))</f>
        <v>Sparse</v>
      </c>
      <c r="U34" s="238">
        <f t="shared" si="5"/>
        <v>4.329063375168551</v>
      </c>
      <c r="V34" s="239">
        <f>IF(U34="","",IF($I$8="A",(RANK(U34,U$11:U$363)+COUNTIF(U$11:U34,U34)-1),(RANK(U34,U$11:U$363,1)+COUNTIF(U$11:U34,U34)-1)))</f>
        <v>73</v>
      </c>
      <c r="W34" s="240"/>
      <c r="X34" s="61" t="str">
        <f>IF(L34="","",VLOOKUP($L34,classifications!$C:$J,6,FALSE))</f>
        <v>Rural-50</v>
      </c>
      <c r="Y34" s="49" t="str">
        <f t="shared" si="6"/>
        <v/>
      </c>
      <c r="Z34" s="57" t="str">
        <f>IF(Y34="","",IF(I$8="A",(RANK(Y34,Y$11:Y$363,1)+COUNTIF(Y$11:Y34,Y34)-1),(RANK(Y34,Y$11:Y$363)+COUNTIF(Y$11:Y34,Y34)-1)))</f>
        <v/>
      </c>
      <c r="AA34" s="245" t="str">
        <f>IF(L34="","",VLOOKUP($L34,classifications!C:I,7,FALSE))</f>
        <v>Predominantly Rural</v>
      </c>
      <c r="AB34" s="239">
        <f t="shared" si="7"/>
        <v>4.329063375168551</v>
      </c>
      <c r="AC34" s="239">
        <f>IF(AB34="","",IF($I$8="A",(RANK(AB34,AB$11:AB$363)+COUNTIF(AB$11:AB34,AB34)-1),(RANK(AB34,AB$11:AB$363,1)+COUNTIF(AB$11:AB34,AB34)-1)))</f>
        <v>52</v>
      </c>
      <c r="AD34" s="239"/>
      <c r="AE34" s="51"/>
      <c r="AG34" s="143"/>
      <c r="AH34" s="52"/>
      <c r="AI34" s="61" t="str">
        <f>IF(L34="","",VLOOKUP($L34,classifications!$C:$J,8,FALSE))</f>
        <v>Suffolk</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of England</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11.903168168168168</v>
      </c>
      <c r="AY34" s="156"/>
      <c r="AZ34" s="44"/>
    </row>
    <row r="35" spans="1:52">
      <c r="A35" s="84" t="str">
        <f>$D$1&amp;25</f>
        <v>SD25</v>
      </c>
      <c r="B35" s="85" t="str">
        <f>IF(ISERROR(VLOOKUP(A35,classifications!A:C,3,FALSE)),0,VLOOKUP(A35,classifications!A:C,3,FALSE))</f>
        <v>Fenland</v>
      </c>
      <c r="C35" s="31" t="s">
        <v>18</v>
      </c>
      <c r="D35" s="49" t="str">
        <f>VLOOKUP($C35,classifications!$C:$J,4,FALSE)</f>
        <v>SD</v>
      </c>
      <c r="E35" s="49" t="str">
        <f>VLOOKUP(C35,classifications!C:K,9,FALSE)</f>
        <v>Sparse</v>
      </c>
      <c r="F35" s="59" t="str">
        <f t="shared" si="1"/>
        <v/>
      </c>
      <c r="G35" s="105"/>
      <c r="H35" s="60" t="str">
        <f t="shared" si="2"/>
        <v/>
      </c>
      <c r="I35" s="112" t="str">
        <f>IF(H35="","",IF($I$8="A",(RANK(H35,H$11:H$363,1)+COUNTIF(H$11:H35,H35)-1),(RANK(H35,H$11:H$363)+COUNTIF(H$11:H35,H35)-1)))</f>
        <v/>
      </c>
      <c r="J35" s="58"/>
      <c r="K35" s="51">
        <f t="shared" si="13"/>
        <v>25</v>
      </c>
      <c r="L35" s="59" t="str">
        <f t="shared" si="14"/>
        <v>Shepway</v>
      </c>
      <c r="M35" s="153">
        <f t="shared" si="20"/>
        <v>4.3933456361267913</v>
      </c>
      <c r="N35" s="148">
        <f t="shared" si="21"/>
        <v>4.3933456361267913</v>
      </c>
      <c r="O35" s="131">
        <f t="shared" si="3"/>
        <v>4.3933456361267913</v>
      </c>
      <c r="P35" s="131" t="str">
        <f t="shared" si="15"/>
        <v/>
      </c>
      <c r="Q35" s="131" t="str">
        <f t="shared" si="16"/>
        <v/>
      </c>
      <c r="R35" s="127" t="str">
        <f t="shared" si="17"/>
        <v/>
      </c>
      <c r="S35" s="60" t="str">
        <f t="shared" si="4"/>
        <v/>
      </c>
      <c r="T35" s="231" t="str">
        <f>IF(L35="","",VLOOKUP(L35,classifications!C:K,9,FALSE))</f>
        <v>Sparse</v>
      </c>
      <c r="U35" s="238">
        <f t="shared" si="5"/>
        <v>4.3933456361267913</v>
      </c>
      <c r="V35" s="239">
        <f>IF(U35="","",IF($I$8="A",(RANK(U35,U$11:U$363)+COUNTIF(U$11:U35,U35)-1),(RANK(U35,U$11:U$363,1)+COUNTIF(U$11:U35,U35)-1)))</f>
        <v>72</v>
      </c>
      <c r="W35" s="240"/>
      <c r="X35" s="61" t="str">
        <f>IF(L35="","",VLOOKUP($L35,classifications!$C:$J,6,FALSE))</f>
        <v>Significant Rural</v>
      </c>
      <c r="Y35" s="49" t="str">
        <f t="shared" si="6"/>
        <v/>
      </c>
      <c r="Z35" s="57" t="str">
        <f>IF(Y35="","",IF(I$8="A",(RANK(Y35,Y$11:Y$363,1)+COUNTIF(Y$11:Y35,Y35)-1),(RANK(Y35,Y$11:Y$363)+COUNTIF(Y$11:Y35,Y35)-1)))</f>
        <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Kent</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South East</v>
      </c>
      <c r="AQ35" s="62" t="str">
        <f t="shared" si="10"/>
        <v/>
      </c>
      <c r="AR35" s="57" t="str">
        <f>IF(AQ35="","",IF(I$8="A",(RANK(AQ35,AQ$11:AQ$363,1)+COUNTIF(AQ$11:AQ35,AQ35)-1),(RANK(AQ35,AQ$11:AQ$363)+COUNTIF(AQ$11:AQ35,AQ35)-1)))</f>
        <v/>
      </c>
      <c r="AS35" s="52" t="str">
        <f t="shared" si="23"/>
        <v/>
      </c>
      <c r="AT35" s="57" t="str">
        <f t="shared" si="11"/>
        <v/>
      </c>
      <c r="AU35" s="62" t="str">
        <f t="shared" si="12"/>
        <v/>
      </c>
      <c r="AX35" s="44" t="str">
        <f>HLOOKUP($AX$9&amp;$AX$10,Data!$A$1:$ZZ$2000,(MATCH($C35,Data!$A$1:$A$2000,0)),FALSE)</f>
        <v/>
      </c>
      <c r="AY35" s="156"/>
      <c r="AZ35" s="44"/>
    </row>
    <row r="36" spans="1:52">
      <c r="A36" s="84" t="str">
        <f>$D$1&amp;26</f>
        <v>SD26</v>
      </c>
      <c r="B36" s="85" t="str">
        <f>IF(ISERROR(VLOOKUP(A36,classifications!A:C,3,FALSE)),0,VLOOKUP(A36,classifications!A:C,3,FALSE))</f>
        <v>Forest Heath</v>
      </c>
      <c r="C36" s="31" t="s">
        <v>263</v>
      </c>
      <c r="D36" s="49" t="str">
        <f>VLOOKUP($C36,classifications!$C:$J,4,FALSE)</f>
        <v>UA</v>
      </c>
      <c r="E36" s="49">
        <f>VLOOKUP(C36,classifications!C:K,9,FALSE)</f>
        <v>0</v>
      </c>
      <c r="F36" s="59">
        <f t="shared" si="1"/>
        <v>8.0313854387853052</v>
      </c>
      <c r="G36" s="105"/>
      <c r="H36" s="60" t="str">
        <f t="shared" si="2"/>
        <v/>
      </c>
      <c r="I36" s="112" t="str">
        <f>IF(H36="","",IF($I$8="A",(RANK(H36,H$11:H$363,1)+COUNTIF(H$11:H36,H36)-1),(RANK(H36,H$11:H$363)+COUNTIF(H$11:H36,H36)-1)))</f>
        <v/>
      </c>
      <c r="J36" s="58"/>
      <c r="K36" s="51">
        <f t="shared" si="13"/>
        <v>26</v>
      </c>
      <c r="L36" s="59" t="str">
        <f t="shared" si="14"/>
        <v>Arun</v>
      </c>
      <c r="M36" s="153">
        <f t="shared" si="20"/>
        <v>4.4851788224269873</v>
      </c>
      <c r="N36" s="148">
        <f t="shared" si="21"/>
        <v>4.4851788224269873</v>
      </c>
      <c r="O36" s="131">
        <f t="shared" si="3"/>
        <v>4.4851788224269873</v>
      </c>
      <c r="P36" s="131" t="str">
        <f t="shared" si="15"/>
        <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Large Urban</v>
      </c>
      <c r="Y36" s="49" t="str">
        <f t="shared" si="6"/>
        <v/>
      </c>
      <c r="Z36" s="57" t="str">
        <f>IF(Y36="","",IF(I$8="A",(RANK(Y36,Y$11:Y$363,1)+COUNTIF(Y$11:Y36,Y36)-1),(RANK(Y36,Y$11:Y$363)+COUNTIF(Y$11:Y36,Y36)-1)))</f>
        <v/>
      </c>
      <c r="AA36" s="245" t="str">
        <f>IF(L36="","",VLOOKUP($L36,classifications!C:I,7,FALSE))</f>
        <v>Significant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West Sussex</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South East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8.0313854387853052</v>
      </c>
      <c r="AY36" s="156"/>
      <c r="AZ36" s="44"/>
    </row>
    <row r="37" spans="1:52">
      <c r="A37" s="84" t="str">
        <f>$D$1&amp;27</f>
        <v>SD27</v>
      </c>
      <c r="B37" s="85" t="str">
        <f>IF(ISERROR(VLOOKUP(A37,classifications!A:C,3,FALSE)),0,VLOOKUP(A37,classifications!A:C,3,FALSE))</f>
        <v>Forest of Dean</v>
      </c>
      <c r="C37" s="31" t="s">
        <v>264</v>
      </c>
      <c r="D37" s="49" t="str">
        <f>VLOOKUP($C37,classifications!$C:$J,4,FALSE)</f>
        <v>UA</v>
      </c>
      <c r="E37" s="49">
        <f>VLOOKUP(C37,classifications!C:K,9,FALSE)</f>
        <v>0</v>
      </c>
      <c r="F37" s="59">
        <f t="shared" si="1"/>
        <v>6.947935713598306</v>
      </c>
      <c r="G37" s="105"/>
      <c r="H37" s="60" t="str">
        <f t="shared" si="2"/>
        <v/>
      </c>
      <c r="I37" s="112" t="str">
        <f>IF(H37="","",IF($I$8="A",(RANK(H37,H$11:H$363,1)+COUNTIF(H$11:H37,H37)-1),(RANK(H37,H$11:H$363)+COUNTIF(H$11:H37,H37)-1)))</f>
        <v/>
      </c>
      <c r="J37" s="58"/>
      <c r="K37" s="51">
        <f t="shared" si="13"/>
        <v>27</v>
      </c>
      <c r="L37" s="59" t="str">
        <f t="shared" si="14"/>
        <v>Sedgemoor</v>
      </c>
      <c r="M37" s="153">
        <f t="shared" si="20"/>
        <v>4.5784836987975046</v>
      </c>
      <c r="N37" s="148">
        <f t="shared" si="21"/>
        <v>4.5784836987975046</v>
      </c>
      <c r="O37" s="131">
        <f t="shared" si="3"/>
        <v>4.5784836987975046</v>
      </c>
      <c r="P37" s="131" t="str">
        <f t="shared" si="15"/>
        <v/>
      </c>
      <c r="Q37" s="131" t="str">
        <f t="shared" si="16"/>
        <v/>
      </c>
      <c r="R37" s="127" t="str">
        <f t="shared" si="17"/>
        <v/>
      </c>
      <c r="S37" s="60" t="str">
        <f t="shared" si="4"/>
        <v/>
      </c>
      <c r="T37" s="231" t="str">
        <f>IF(L37="","",VLOOKUP(L37,classifications!C:K,9,FALSE))</f>
        <v>Sparse</v>
      </c>
      <c r="U37" s="238">
        <f t="shared" si="5"/>
        <v>4.5784836987975046</v>
      </c>
      <c r="V37" s="239">
        <f>IF(U37="","",IF($I$8="A",(RANK(U37,U$11:U$363)+COUNTIF(U$11:U37,U37)-1),(RANK(U37,U$11:U$363,1)+COUNTIF(U$11:U37,U37)-1)))</f>
        <v>71</v>
      </c>
      <c r="W37" s="240"/>
      <c r="X37" s="61" t="str">
        <f>IF(L37="","",VLOOKUP($L37,classifications!$C:$J,6,FALSE))</f>
        <v>Rural-50</v>
      </c>
      <c r="Y37" s="49" t="str">
        <f t="shared" si="6"/>
        <v/>
      </c>
      <c r="Z37" s="57" t="str">
        <f>IF(Y37="","",IF(I$8="A",(RANK(Y37,Y$11:Y$363,1)+COUNTIF(Y$11:Y37,Y37)-1),(RANK(Y37,Y$11:Y$363)+COUNTIF(Y$11:Y37,Y37)-1)))</f>
        <v/>
      </c>
      <c r="AA37" s="245" t="str">
        <f>IF(L37="","",VLOOKUP($L37,classifications!C:I,7,FALSE))</f>
        <v>Predominantly Rural</v>
      </c>
      <c r="AB37" s="239">
        <f t="shared" si="7"/>
        <v>4.5784836987975046</v>
      </c>
      <c r="AC37" s="239">
        <f>IF(AB37="","",IF($I$8="A",(RANK(AB37,AB$11:AB$363)+COUNTIF(AB$11:AB37,AB37)-1),(RANK(AB37,AB$11:AB$363,1)+COUNTIF(AB$11:AB37,AB37)-1)))</f>
        <v>51</v>
      </c>
      <c r="AD37" s="239"/>
      <c r="AE37" s="51" t="str">
        <f t="shared" si="25"/>
        <v/>
      </c>
      <c r="AG37" s="143"/>
      <c r="AH37" s="52"/>
      <c r="AI37" s="61" t="str">
        <f>IF(L37="","",VLOOKUP($L37,classifications!$C:$J,8,FALSE))</f>
        <v>Somerset</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South West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6.947935713598306</v>
      </c>
      <c r="AY37" s="156"/>
      <c r="AZ37" s="44"/>
    </row>
    <row r="38" spans="1:52">
      <c r="A38" s="84" t="str">
        <f>$D$1&amp;28</f>
        <v>SD28</v>
      </c>
      <c r="B38" s="85" t="str">
        <f>IF(ISERROR(VLOOKUP(A38,classifications!A:C,3,FALSE)),0,VLOOKUP(A38,classifications!A:C,3,FALSE))</f>
        <v>Hambleton</v>
      </c>
      <c r="C38" s="31" t="s">
        <v>226</v>
      </c>
      <c r="D38" s="49" t="str">
        <f>VLOOKUP($C38,classifications!$C:$J,4,FALSE)</f>
        <v>MD</v>
      </c>
      <c r="E38" s="49">
        <f>VLOOKUP(C38,classifications!C:K,9,FALSE)</f>
        <v>0</v>
      </c>
      <c r="F38" s="59">
        <f t="shared" si="1"/>
        <v>15.281234524847427</v>
      </c>
      <c r="G38" s="105"/>
      <c r="H38" s="60" t="str">
        <f t="shared" si="2"/>
        <v/>
      </c>
      <c r="I38" s="112" t="str">
        <f>IF(H38="","",IF($I$8="A",(RANK(H38,H$11:H$363,1)+COUNTIF(H$11:H38,H38)-1),(RANK(H38,H$11:H$363)+COUNTIF(H$11:H38,H38)-1)))</f>
        <v/>
      </c>
      <c r="J38" s="58"/>
      <c r="K38" s="51">
        <f t="shared" si="13"/>
        <v>28</v>
      </c>
      <c r="L38" s="59" t="str">
        <f t="shared" si="14"/>
        <v>Redditch</v>
      </c>
      <c r="M38" s="153">
        <f t="shared" si="20"/>
        <v>4.591202399345633</v>
      </c>
      <c r="N38" s="148">
        <f t="shared" si="21"/>
        <v>4.591202399345633</v>
      </c>
      <c r="O38" s="131">
        <f t="shared" si="3"/>
        <v>4.591202399345633</v>
      </c>
      <c r="P38" s="131" t="str">
        <f t="shared" si="15"/>
        <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Other Urban</v>
      </c>
      <c r="Y38" s="49" t="str">
        <f t="shared" si="6"/>
        <v/>
      </c>
      <c r="Z38" s="57" t="str">
        <f>IF(Y38="","",IF(I$8="A",(RANK(Y38,Y$11:Y$363,1)+COUNTIF(Y$11:Y38,Y38)-1),(RANK(Y38,Y$11:Y$363)+COUNTIF(Y$11:Y38,Y38)-1)))</f>
        <v/>
      </c>
      <c r="AA38" s="245" t="str">
        <f>IF(L38="","",VLOOKUP($L38,classifications!C:I,7,FALSE))</f>
        <v>Significant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Worcestershire</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West Midlands</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15.281234524847427</v>
      </c>
      <c r="AY38" s="156"/>
      <c r="AZ38" s="44"/>
    </row>
    <row r="39" spans="1:52">
      <c r="A39" s="84" t="str">
        <f>$D$1&amp;29</f>
        <v>SD29</v>
      </c>
      <c r="B39" s="85" t="str">
        <f>IF(ISERROR(VLOOKUP(A39,classifications!A:C,3,FALSE)),0,VLOOKUP(A39,classifications!A:C,3,FALSE))</f>
        <v>Harborough</v>
      </c>
      <c r="C39" s="31" t="s">
        <v>19</v>
      </c>
      <c r="D39" s="49" t="str">
        <f>VLOOKUP($C39,classifications!$C:$J,4,FALSE)</f>
        <v>SD</v>
      </c>
      <c r="E39" s="49" t="str">
        <f>VLOOKUP(C39,classifications!C:K,9,FALSE)</f>
        <v>Sparse</v>
      </c>
      <c r="F39" s="59">
        <f t="shared" si="1"/>
        <v>4.3155514778163706</v>
      </c>
      <c r="G39" s="105"/>
      <c r="H39" s="60">
        <f t="shared" si="2"/>
        <v>4.3155514778163706</v>
      </c>
      <c r="I39" s="112">
        <f>IF(H39="","",IF($I$8="A",(RANK(H39,H$11:H$363,1)+COUNTIF(H$11:H39,H39)-1),(RANK(H39,H$11:H$363)+COUNTIF(H$11:H39,H39)-1)))</f>
        <v>23</v>
      </c>
      <c r="J39" s="58"/>
      <c r="K39" s="51">
        <f t="shared" si="13"/>
        <v>29</v>
      </c>
      <c r="L39" s="59" t="str">
        <f t="shared" si="14"/>
        <v>East Devon</v>
      </c>
      <c r="M39" s="153">
        <f t="shared" si="20"/>
        <v>4.6312603192074846</v>
      </c>
      <c r="N39" s="148">
        <f t="shared" si="21"/>
        <v>4.6312603192074846</v>
      </c>
      <c r="O39" s="131">
        <f t="shared" si="3"/>
        <v>4.6312603192074846</v>
      </c>
      <c r="P39" s="131" t="str">
        <f t="shared" si="15"/>
        <v/>
      </c>
      <c r="Q39" s="131" t="str">
        <f t="shared" si="16"/>
        <v/>
      </c>
      <c r="R39" s="127" t="str">
        <f t="shared" si="17"/>
        <v/>
      </c>
      <c r="S39" s="60" t="str">
        <f t="shared" si="4"/>
        <v/>
      </c>
      <c r="T39" s="231" t="str">
        <f>IF(L39="","",VLOOKUP(L39,classifications!C:K,9,FALSE))</f>
        <v>Sparse</v>
      </c>
      <c r="U39" s="238">
        <f t="shared" si="5"/>
        <v>4.6312603192074846</v>
      </c>
      <c r="V39" s="239">
        <f>IF(U39="","",IF($I$8="A",(RANK(U39,U$11:U$363)+COUNTIF(U$11:U39,U39)-1),(RANK(U39,U$11:U$363,1)+COUNTIF(U$11:U39,U39)-1)))</f>
        <v>70</v>
      </c>
      <c r="W39" s="240"/>
      <c r="X39" s="61" t="str">
        <f>IF(L39="","",VLOOKUP($L39,classifications!$C:$J,6,FALSE))</f>
        <v>Rural-50</v>
      </c>
      <c r="Y39" s="49" t="str">
        <f t="shared" si="6"/>
        <v/>
      </c>
      <c r="Z39" s="57" t="str">
        <f>IF(Y39="","",IF(I$8="A",(RANK(Y39,Y$11:Y$363,1)+COUNTIF(Y$11:Y39,Y39)-1),(RANK(Y39,Y$11:Y$363)+COUNTIF(Y$11:Y39,Y39)-1)))</f>
        <v/>
      </c>
      <c r="AA39" s="245" t="str">
        <f>IF(L39="","",VLOOKUP($L39,classifications!C:I,7,FALSE))</f>
        <v>Predominantly Rural</v>
      </c>
      <c r="AB39" s="239">
        <f t="shared" si="7"/>
        <v>4.6312603192074846</v>
      </c>
      <c r="AC39" s="239">
        <f>IF(AB39="","",IF($I$8="A",(RANK(AB39,AB$11:AB$363)+COUNTIF(AB$11:AB39,AB39)-1),(RANK(AB39,AB$11:AB$363,1)+COUNTIF(AB$11:AB39,AB39)-1)))</f>
        <v>50</v>
      </c>
      <c r="AD39" s="239"/>
      <c r="AE39" s="51" t="str">
        <f t="shared" si="25"/>
        <v/>
      </c>
      <c r="AG39" s="143"/>
      <c r="AH39" s="52"/>
      <c r="AI39" s="61" t="str">
        <f>IF(L39="","",VLOOKUP($L39,classifications!$C:$J,8,FALSE))</f>
        <v>Devon</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South West</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4.3155514778163706</v>
      </c>
      <c r="AY39" s="156"/>
      <c r="AZ39" s="44"/>
    </row>
    <row r="40" spans="1:52">
      <c r="A40" s="84" t="str">
        <f>$D$1&amp;30</f>
        <v>SD30</v>
      </c>
      <c r="B40" s="85" t="str">
        <f>IF(ISERROR(VLOOKUP(A40,classifications!A:C,3,FALSE)),0,VLOOKUP(A40,classifications!A:C,3,FALSE))</f>
        <v>Harrogate</v>
      </c>
      <c r="C40" s="31" t="s">
        <v>20</v>
      </c>
      <c r="D40" s="49" t="str">
        <f>VLOOKUP($C40,classifications!$C:$J,4,FALSE)</f>
        <v>SD</v>
      </c>
      <c r="E40" s="49" t="str">
        <f>VLOOKUP(C40,classifications!C:K,9,FALSE)</f>
        <v>Sparse</v>
      </c>
      <c r="F40" s="59" t="str">
        <f t="shared" si="1"/>
        <v/>
      </c>
      <c r="G40" s="105"/>
      <c r="H40" s="60" t="str">
        <f t="shared" si="2"/>
        <v/>
      </c>
      <c r="I40" s="112" t="str">
        <f>IF(H40="","",IF($I$8="A",(RANK(H40,H$11:H$363,1)+COUNTIF(H$11:H40,H40)-1),(RANK(H40,H$11:H$363)+COUNTIF(H$11:H40,H40)-1)))</f>
        <v/>
      </c>
      <c r="J40" s="58"/>
      <c r="K40" s="51">
        <f t="shared" si="13"/>
        <v>30</v>
      </c>
      <c r="L40" s="59" t="str">
        <f t="shared" si="14"/>
        <v>Forest Heath</v>
      </c>
      <c r="M40" s="153">
        <f t="shared" si="20"/>
        <v>4.6454097626511421</v>
      </c>
      <c r="N40" s="148">
        <f t="shared" si="21"/>
        <v>4.6454097626511421</v>
      </c>
      <c r="O40" s="131">
        <f t="shared" si="3"/>
        <v>4.6454097626511421</v>
      </c>
      <c r="P40" s="131" t="str">
        <f t="shared" si="15"/>
        <v/>
      </c>
      <c r="Q40" s="131" t="str">
        <f t="shared" si="16"/>
        <v/>
      </c>
      <c r="R40" s="127" t="str">
        <f t="shared" si="17"/>
        <v/>
      </c>
      <c r="S40" s="60" t="str">
        <f t="shared" si="4"/>
        <v/>
      </c>
      <c r="T40" s="231" t="str">
        <f>IF(L40="","",VLOOKUP(L40,classifications!C:K,9,FALSE))</f>
        <v>Sparse</v>
      </c>
      <c r="U40" s="238">
        <f t="shared" si="5"/>
        <v>4.6454097626511421</v>
      </c>
      <c r="V40" s="239">
        <f>IF(U40="","",IF($I$8="A",(RANK(U40,U$11:U$363)+COUNTIF(U$11:U40,U40)-1),(RANK(U40,U$11:U$363,1)+COUNTIF(U$11:U40,U40)-1)))</f>
        <v>69</v>
      </c>
      <c r="W40" s="240"/>
      <c r="X40" s="61" t="str">
        <f>IF(L40="","",VLOOKUP($L40,classifications!$C:$J,6,FALSE))</f>
        <v>Rural-80</v>
      </c>
      <c r="Y40" s="49">
        <f t="shared" si="6"/>
        <v>4.6454097626511421</v>
      </c>
      <c r="Z40" s="57">
        <f>IF(Y40="","",IF(I$8="A",(RANK(Y40,Y$11:Y$363,1)+COUNTIF(Y$11:Y40,Y40)-1),(RANK(Y40,Y$11:Y$363)+COUNTIF(Y$11:Y40,Y40)-1)))</f>
        <v>7</v>
      </c>
      <c r="AA40" s="245" t="str">
        <f>IF(L40="","",VLOOKUP($L40,classifications!C:I,7,FALSE))</f>
        <v>Predominantly Rural</v>
      </c>
      <c r="AB40" s="239">
        <f t="shared" si="7"/>
        <v>4.6454097626511421</v>
      </c>
      <c r="AC40" s="239">
        <f>IF(AB40="","",IF($I$8="A",(RANK(AB40,AB$11:AB$363)+COUNTIF(AB$11:AB40,AB40)-1),(RANK(AB40,AB$11:AB$363,1)+COUNTIF(AB$11:AB40,AB40)-1)))</f>
        <v>49</v>
      </c>
      <c r="AD40" s="239"/>
      <c r="AE40" s="51" t="str">
        <f t="shared" si="25"/>
        <v/>
      </c>
      <c r="AG40" s="143"/>
      <c r="AH40" s="52"/>
      <c r="AI40" s="61" t="str">
        <f>IF(L40="","",VLOOKUP($L40,classifications!$C:$J,8,FALSE))</f>
        <v>Suffolk</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East of England</v>
      </c>
      <c r="AQ40" s="62" t="str">
        <f t="shared" si="10"/>
        <v/>
      </c>
      <c r="AR40" s="57" t="str">
        <f>IF(AQ40="","",IF(I$8="A",(RANK(AQ40,AQ$11:AQ$363,1)+COUNTIF(AQ$11:AQ40,AQ40)-1),(RANK(AQ40,AQ$11:AQ$363)+COUNTIF(AQ$11:AQ40,AQ40)-1)))</f>
        <v/>
      </c>
      <c r="AS40" s="52" t="str">
        <f t="shared" si="23"/>
        <v/>
      </c>
      <c r="AT40" s="57" t="str">
        <f t="shared" si="11"/>
        <v/>
      </c>
      <c r="AU40" s="62" t="str">
        <f t="shared" si="12"/>
        <v/>
      </c>
      <c r="AX40" s="44" t="str">
        <f>HLOOKUP($AX$9&amp;$AX$10,Data!$A$1:$ZZ$2000,(MATCH($C40,Data!$A$1:$A$2000,0)),FALSE)</f>
        <v/>
      </c>
      <c r="AY40" s="156"/>
      <c r="AZ40" s="44"/>
    </row>
    <row r="41" spans="1:52">
      <c r="A41" s="84" t="str">
        <f>$D$1&amp;31</f>
        <v>SD31</v>
      </c>
      <c r="B41" s="85" t="str">
        <f>IF(ISERROR(VLOOKUP(A41,classifications!A:C,3,FALSE)),0,VLOOKUP(A41,classifications!A:C,3,FALSE))</f>
        <v>Hinckley &amp; Bosworth</v>
      </c>
      <c r="C41" s="31" t="s">
        <v>199</v>
      </c>
      <c r="D41" s="49" t="str">
        <f>VLOOKUP($C41,classifications!$C:$J,4,FALSE)</f>
        <v>L</v>
      </c>
      <c r="E41" s="49">
        <f>VLOOKUP(C41,classifications!C:K,9,FALSE)</f>
        <v>0</v>
      </c>
      <c r="F41" s="59">
        <f t="shared" si="1"/>
        <v>6.7520728150634843</v>
      </c>
      <c r="G41" s="105"/>
      <c r="H41" s="60" t="str">
        <f t="shared" si="2"/>
        <v/>
      </c>
      <c r="I41" s="112" t="str">
        <f>IF(H41="","",IF($I$8="A",(RANK(H41,H$11:H$363,1)+COUNTIF(H$11:H41,H41)-1),(RANK(H41,H$11:H$363)+COUNTIF(H$11:H41,H41)-1)))</f>
        <v/>
      </c>
      <c r="J41" s="58"/>
      <c r="K41" s="51">
        <f t="shared" si="13"/>
        <v>31</v>
      </c>
      <c r="L41" s="59" t="str">
        <f t="shared" si="14"/>
        <v>Torridge</v>
      </c>
      <c r="M41" s="153">
        <f t="shared" si="20"/>
        <v>4.7284090053459833</v>
      </c>
      <c r="N41" s="148">
        <f t="shared" si="21"/>
        <v>4.7284090053459833</v>
      </c>
      <c r="O41" s="131">
        <f t="shared" si="3"/>
        <v>4.7284090053459833</v>
      </c>
      <c r="P41" s="131" t="str">
        <f t="shared" si="15"/>
        <v/>
      </c>
      <c r="Q41" s="131" t="str">
        <f t="shared" si="16"/>
        <v/>
      </c>
      <c r="R41" s="127" t="str">
        <f t="shared" si="17"/>
        <v/>
      </c>
      <c r="S41" s="60" t="str">
        <f t="shared" si="4"/>
        <v/>
      </c>
      <c r="T41" s="231" t="str">
        <f>IF(L41="","",VLOOKUP(L41,classifications!C:K,9,FALSE))</f>
        <v>Sparse</v>
      </c>
      <c r="U41" s="238">
        <f t="shared" si="5"/>
        <v>4.7284090053459833</v>
      </c>
      <c r="V41" s="239">
        <f>IF(U41="","",IF($I$8="A",(RANK(U41,U$11:U$363)+COUNTIF(U$11:U41,U41)-1),(RANK(U41,U$11:U$363,1)+COUNTIF(U$11:U41,U41)-1)))</f>
        <v>68</v>
      </c>
      <c r="W41" s="240"/>
      <c r="X41" s="61" t="str">
        <f>IF(L41="","",VLOOKUP($L41,classifications!$C:$J,6,FALSE))</f>
        <v>Rural-80</v>
      </c>
      <c r="Y41" s="49">
        <f t="shared" si="6"/>
        <v>4.7284090053459833</v>
      </c>
      <c r="Z41" s="57">
        <f>IF(Y41="","",IF(I$8="A",(RANK(Y41,Y$11:Y$363,1)+COUNTIF(Y$11:Y41,Y41)-1),(RANK(Y41,Y$11:Y$363)+COUNTIF(Y$11:Y41,Y41)-1)))</f>
        <v>8</v>
      </c>
      <c r="AA41" s="245" t="str">
        <f>IF(L41="","",VLOOKUP($L41,classifications!C:I,7,FALSE))</f>
        <v>Predominantly Rural</v>
      </c>
      <c r="AB41" s="239">
        <f t="shared" si="7"/>
        <v>4.7284090053459833</v>
      </c>
      <c r="AC41" s="239">
        <f>IF(AB41="","",IF($I$8="A",(RANK(AB41,AB$11:AB$363)+COUNTIF(AB$11:AB41,AB41)-1),(RANK(AB41,AB$11:AB$363,1)+COUNTIF(AB$11:AB41,AB41)-1)))</f>
        <v>48</v>
      </c>
      <c r="AD41" s="239"/>
      <c r="AE41" s="51" t="str">
        <f t="shared" si="25"/>
        <v/>
      </c>
      <c r="AG41" s="143"/>
      <c r="AH41" s="52"/>
      <c r="AI41" s="61" t="str">
        <f>IF(L41="","",VLOOKUP($L41,classifications!$C:$J,8,FALSE))</f>
        <v>Devon</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West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6.7520728150634843</v>
      </c>
      <c r="AY41" s="156"/>
      <c r="AZ41" s="44"/>
    </row>
    <row r="42" spans="1:52">
      <c r="A42" s="84" t="str">
        <f>$D$1&amp;32</f>
        <v>SD32</v>
      </c>
      <c r="B42" s="85" t="str">
        <f>IF(ISERROR(VLOOKUP(A42,classifications!A:C,3,FALSE)),0,VLOOKUP(A42,classifications!A:C,3,FALSE))</f>
        <v>Horsham</v>
      </c>
      <c r="C42" s="31" t="s">
        <v>21</v>
      </c>
      <c r="D42" s="49" t="str">
        <f>VLOOKUP($C42,classifications!$C:$J,4,FALSE)</f>
        <v>SD</v>
      </c>
      <c r="E42" s="49">
        <f>VLOOKUP(C42,classifications!C:K,9,FALSE)</f>
        <v>0</v>
      </c>
      <c r="F42" s="59">
        <f t="shared" si="1"/>
        <v>7.6705873425405979</v>
      </c>
      <c r="G42" s="105"/>
      <c r="H42" s="60">
        <f t="shared" si="2"/>
        <v>7.6705873425405979</v>
      </c>
      <c r="I42" s="112">
        <f>IF(H42="","",IF($I$8="A",(RANK(H42,H$11:H$363,1)+COUNTIF(H$11:H42,H42)-1),(RANK(H42,H$11:H$363)+COUNTIF(H$11:H42,H42)-1)))</f>
        <v>123</v>
      </c>
      <c r="J42" s="58"/>
      <c r="K42" s="51">
        <f t="shared" si="13"/>
        <v>32</v>
      </c>
      <c r="L42" s="59" t="str">
        <f t="shared" si="14"/>
        <v>Wyre Forest</v>
      </c>
      <c r="M42" s="153">
        <f t="shared" si="20"/>
        <v>4.7471072541165995</v>
      </c>
      <c r="N42" s="148">
        <f t="shared" si="21"/>
        <v>4.7471072541165995</v>
      </c>
      <c r="O42" s="131">
        <f t="shared" si="3"/>
        <v>4.7471072541165995</v>
      </c>
      <c r="P42" s="131" t="str">
        <f t="shared" si="15"/>
        <v/>
      </c>
      <c r="Q42" s="131" t="str">
        <f t="shared" si="16"/>
        <v/>
      </c>
      <c r="R42" s="127" t="str">
        <f t="shared" si="17"/>
        <v/>
      </c>
      <c r="S42" s="60" t="str">
        <f t="shared" si="4"/>
        <v/>
      </c>
      <c r="T42" s="231" t="str">
        <f>IF(L42="","",VLOOKUP(L42,classifications!C:K,9,FALSE))</f>
        <v>Sparse</v>
      </c>
      <c r="U42" s="238">
        <f t="shared" si="5"/>
        <v>4.7471072541165995</v>
      </c>
      <c r="V42" s="239">
        <f>IF(U42="","",IF($I$8="A",(RANK(U42,U$11:U$363)+COUNTIF(U$11:U42,U42)-1),(RANK(U42,U$11:U$363,1)+COUNTIF(U$11:U42,U42)-1)))</f>
        <v>67</v>
      </c>
      <c r="W42" s="240"/>
      <c r="X42" s="61" t="str">
        <f>IF(L42="","",VLOOKUP($L42,classifications!$C:$J,6,FALSE))</f>
        <v>Significant Rural</v>
      </c>
      <c r="Y42" s="49" t="str">
        <f t="shared" si="6"/>
        <v/>
      </c>
      <c r="Z42" s="57" t="str">
        <f>IF(Y42="","",IF(I$8="A",(RANK(Y42,Y$11:Y$363,1)+COUNTIF(Y$11:Y42,Y42)-1),(RANK(Y42,Y$11:Y$363)+COUNTIF(Y$11:Y42,Y42)-1)))</f>
        <v/>
      </c>
      <c r="AA42" s="245" t="str">
        <f>IF(L42="","",VLOOKUP($L42,classifications!C:I,7,FALSE))</f>
        <v>Significant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Worcestershire</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West Midlands</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7.6705873425405979</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8.8255980810006207</v>
      </c>
      <c r="G43" s="105"/>
      <c r="H43" s="60" t="str">
        <f t="shared" si="2"/>
        <v/>
      </c>
      <c r="I43" s="112" t="str">
        <f>IF(H43="","",IF($I$8="A",(RANK(H43,H$11:H$363,1)+COUNTIF(H$11:H43,H43)-1),(RANK(H43,H$11:H$363)+COUNTIF(H$11:H43,H43)-1)))</f>
        <v/>
      </c>
      <c r="J43" s="58"/>
      <c r="K43" s="51">
        <f t="shared" si="13"/>
        <v>33</v>
      </c>
      <c r="L43" s="59" t="str">
        <f t="shared" si="14"/>
        <v>Canterbury</v>
      </c>
      <c r="M43" s="153">
        <f t="shared" si="20"/>
        <v>4.8117810489374149</v>
      </c>
      <c r="N43" s="148">
        <f t="shared" si="21"/>
        <v>4.8117810489374149</v>
      </c>
      <c r="O43" s="131">
        <f t="shared" si="3"/>
        <v>4.8117810489374149</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Other Urban</v>
      </c>
      <c r="Y43" s="49" t="str">
        <f t="shared" si="6"/>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Kent</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South East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8.8255980810006207</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11.279851095113846</v>
      </c>
      <c r="G44" s="105"/>
      <c r="H44" s="60" t="str">
        <f t="shared" si="2"/>
        <v/>
      </c>
      <c r="I44" s="112" t="str">
        <f>IF(H44="","",IF($I$8="A",(RANK(H44,H$11:H$363,1)+COUNTIF(H$11:H44,H44)-1),(RANK(H44,H$11:H$363)+COUNTIF(H$11:H44,H44)-1)))</f>
        <v/>
      </c>
      <c r="J44" s="58"/>
      <c r="K44" s="51">
        <f t="shared" si="13"/>
        <v>34</v>
      </c>
      <c r="L44" s="59" t="str">
        <f t="shared" si="14"/>
        <v>Gravesham</v>
      </c>
      <c r="M44" s="153">
        <f t="shared" si="20"/>
        <v>4.8138569604086845</v>
      </c>
      <c r="N44" s="148">
        <f t="shared" si="21"/>
        <v>4.8138569604086845</v>
      </c>
      <c r="O44" s="131">
        <f t="shared" si="3"/>
        <v>4.8138569604086845</v>
      </c>
      <c r="P44" s="131" t="str">
        <f t="shared" si="15"/>
        <v/>
      </c>
      <c r="Q44" s="131" t="str">
        <f t="shared" si="16"/>
        <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Major Urban</v>
      </c>
      <c r="Y44" s="49" t="str">
        <f t="shared" si="6"/>
        <v/>
      </c>
      <c r="Z44" s="57" t="str">
        <f>IF(Y44="","",IF(I$8="A",(RANK(Y44,Y$11:Y$363,1)+COUNTIF(Y$11:Y44,Y44)-1),(RANK(Y44,Y$11:Y$363)+COUNTIF(Y$11:Y44,Y44)-1)))</f>
        <v/>
      </c>
      <c r="AA44" s="245" t="str">
        <f>IF(L44="","",VLOOKUP($L44,classifications!C:I,7,FALSE))</f>
        <v>Significant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Kent</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South East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11.279851095113846</v>
      </c>
      <c r="AY44" s="156"/>
      <c r="AZ44" s="44"/>
    </row>
    <row r="45" spans="1:52">
      <c r="A45" s="84" t="str">
        <f>$D$1&amp;35</f>
        <v>SD35</v>
      </c>
      <c r="B45" s="85" t="str">
        <f>IF(ISERROR(VLOOKUP(A45,classifications!A:C,3,FALSE)),0,VLOOKUP(A45,classifications!A:C,3,FALSE))</f>
        <v>Maldon</v>
      </c>
      <c r="C45" s="31" t="s">
        <v>22</v>
      </c>
      <c r="D45" s="49" t="str">
        <f>VLOOKUP($C45,classifications!$C:$J,4,FALSE)</f>
        <v>SD</v>
      </c>
      <c r="E45" s="49" t="str">
        <f>VLOOKUP(C45,classifications!C:K,9,FALSE)</f>
        <v>Sparse</v>
      </c>
      <c r="F45" s="59">
        <f t="shared" si="1"/>
        <v>10.4849395327875</v>
      </c>
      <c r="G45" s="105"/>
      <c r="H45" s="60">
        <f t="shared" si="2"/>
        <v>10.4849395327875</v>
      </c>
      <c r="I45" s="112">
        <f>IF(H45="","",IF($I$8="A",(RANK(H45,H$11:H$363,1)+COUNTIF(H$11:H45,H45)-1),(RANK(H45,H$11:H$363)+COUNTIF(H$11:H45,H45)-1)))</f>
        <v>165</v>
      </c>
      <c r="J45" s="58"/>
      <c r="K45" s="51">
        <f t="shared" si="13"/>
        <v>35</v>
      </c>
      <c r="L45" s="59" t="str">
        <f t="shared" si="14"/>
        <v>Fareham</v>
      </c>
      <c r="M45" s="153">
        <f t="shared" si="20"/>
        <v>4.904138641459129</v>
      </c>
      <c r="N45" s="148">
        <f t="shared" si="21"/>
        <v>4.904138641459129</v>
      </c>
      <c r="O45" s="131">
        <f t="shared" si="3"/>
        <v>4.904138641459129</v>
      </c>
      <c r="P45" s="131" t="str">
        <f t="shared" si="15"/>
        <v/>
      </c>
      <c r="Q45" s="131" t="str">
        <f t="shared" si="16"/>
        <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Large Urban</v>
      </c>
      <c r="Y45" s="49" t="str">
        <f t="shared" si="6"/>
        <v/>
      </c>
      <c r="Z45" s="57" t="str">
        <f>IF(Y45="","",IF(I$8="A",(RANK(Y45,Y$11:Y$363,1)+COUNTIF(Y$11:Y45,Y45)-1),(RANK(Y45,Y$11:Y$363)+COUNTIF(Y$11:Y45,Y45)-1)))</f>
        <v/>
      </c>
      <c r="AA45" s="245" t="str">
        <f>IF(L45="","",VLOOKUP($L45,classifications!C:I,7,FALSE))</f>
        <v>Significant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Hampshire</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10.4849395327875</v>
      </c>
      <c r="AY45" s="156"/>
      <c r="AZ45" s="44"/>
    </row>
    <row r="46" spans="1:52">
      <c r="A46" s="84" t="str">
        <f>$D$1&amp;36</f>
        <v>SD36</v>
      </c>
      <c r="B46" s="85" t="str">
        <f>IF(ISERROR(VLOOKUP(A46,classifications!A:C,3,FALSE)),0,VLOOKUP(A46,classifications!A:C,3,FALSE))</f>
        <v>Malvern Hills</v>
      </c>
      <c r="C46" s="31" t="s">
        <v>200</v>
      </c>
      <c r="D46" s="49" t="str">
        <f>VLOOKUP($C46,classifications!$C:$J,4,FALSE)</f>
        <v>L</v>
      </c>
      <c r="E46" s="49">
        <f>VLOOKUP(C46,classifications!C:K,9,FALSE)</f>
        <v>0</v>
      </c>
      <c r="F46" s="59">
        <f t="shared" si="1"/>
        <v>11.544596124676879</v>
      </c>
      <c r="G46" s="105"/>
      <c r="H46" s="60" t="str">
        <f t="shared" si="2"/>
        <v/>
      </c>
      <c r="I46" s="112" t="str">
        <f>IF(H46="","",IF($I$8="A",(RANK(H46,H$11:H$363,1)+COUNTIF(H$11:H46,H46)-1),(RANK(H46,H$11:H$363)+COUNTIF(H$11:H46,H46)-1)))</f>
        <v/>
      </c>
      <c r="J46" s="58"/>
      <c r="K46" s="51">
        <f t="shared" si="13"/>
        <v>36</v>
      </c>
      <c r="L46" s="59" t="str">
        <f t="shared" si="14"/>
        <v>Mole Valley</v>
      </c>
      <c r="M46" s="153">
        <f t="shared" si="20"/>
        <v>4.9530446169675431</v>
      </c>
      <c r="N46" s="148">
        <f t="shared" si="21"/>
        <v>4.9530446169675431</v>
      </c>
      <c r="O46" s="131">
        <f t="shared" si="3"/>
        <v>4.9530446169675431</v>
      </c>
      <c r="P46" s="131" t="str">
        <f t="shared" si="15"/>
        <v/>
      </c>
      <c r="Q46" s="131" t="str">
        <f t="shared" si="16"/>
        <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Significant Rural</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Surrey</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South East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11.544596124676879</v>
      </c>
      <c r="AY46" s="156"/>
      <c r="AZ46" s="44"/>
    </row>
    <row r="47" spans="1:52">
      <c r="A47" s="84" t="str">
        <f>$D$1&amp;37</f>
        <v>SD37</v>
      </c>
      <c r="B47" s="85" t="str">
        <f>IF(ISERROR(VLOOKUP(A47,classifications!A:C,3,FALSE)),0,VLOOKUP(A47,classifications!A:C,3,FALSE))</f>
        <v>Melton</v>
      </c>
      <c r="C47" s="31" t="s">
        <v>23</v>
      </c>
      <c r="D47" s="49" t="str">
        <f>VLOOKUP($C47,classifications!$C:$J,4,FALSE)</f>
        <v>SD</v>
      </c>
      <c r="E47" s="49">
        <f>VLOOKUP(C47,classifications!C:K,9,FALSE)</f>
        <v>0</v>
      </c>
      <c r="F47" s="59">
        <f t="shared" si="1"/>
        <v>16.128402903811253</v>
      </c>
      <c r="G47" s="105"/>
      <c r="H47" s="60">
        <f t="shared" si="2"/>
        <v>16.128402903811253</v>
      </c>
      <c r="I47" s="112">
        <f>IF(H47="","",IF($I$8="A",(RANK(H47,H$11:H$363,1)+COUNTIF(H$11:H47,H47)-1),(RANK(H47,H$11:H$363)+COUNTIF(H$11:H47,H47)-1)))</f>
        <v>191</v>
      </c>
      <c r="J47" s="58"/>
      <c r="K47" s="51">
        <f t="shared" si="13"/>
        <v>37</v>
      </c>
      <c r="L47" s="59" t="str">
        <f t="shared" si="14"/>
        <v>North Kesteven</v>
      </c>
      <c r="M47" s="153">
        <f t="shared" si="20"/>
        <v>4.9679826270950498</v>
      </c>
      <c r="N47" s="148">
        <f t="shared" si="21"/>
        <v>4.9679826270950498</v>
      </c>
      <c r="O47" s="131">
        <f t="shared" si="3"/>
        <v>4.9679826270950498</v>
      </c>
      <c r="P47" s="131" t="str">
        <f t="shared" si="15"/>
        <v/>
      </c>
      <c r="Q47" s="131" t="str">
        <f t="shared" si="16"/>
        <v/>
      </c>
      <c r="R47" s="127" t="str">
        <f t="shared" si="17"/>
        <v/>
      </c>
      <c r="S47" s="60" t="str">
        <f t="shared" si="4"/>
        <v/>
      </c>
      <c r="T47" s="231" t="str">
        <f>IF(L47="","",VLOOKUP(L47,classifications!C:K,9,FALSE))</f>
        <v>Sparse</v>
      </c>
      <c r="U47" s="238">
        <f t="shared" si="26"/>
        <v>4.9679826270950498</v>
      </c>
      <c r="V47" s="239">
        <f>IF(U47="","",IF($I$8="A",(RANK(U47,U$11:U$363)+COUNTIF(U$11:U47,U47)-1),(RANK(U47,U$11:U$363,1)+COUNTIF(U$11:U47,U47)-1)))</f>
        <v>66</v>
      </c>
      <c r="W47" s="240"/>
      <c r="X47" s="61" t="str">
        <f>IF(L47="","",VLOOKUP($L47,classifications!$C:$J,6,FALSE))</f>
        <v>Rural-80</v>
      </c>
      <c r="Y47" s="49">
        <f t="shared" si="6"/>
        <v>4.9679826270950498</v>
      </c>
      <c r="Z47" s="57">
        <f>IF(Y47="","",IF(I$8="A",(RANK(Y47,Y$11:Y$363,1)+COUNTIF(Y$11:Y47,Y47)-1),(RANK(Y47,Y$11:Y$363)+COUNTIF(Y$11:Y47,Y47)-1)))</f>
        <v>9</v>
      </c>
      <c r="AA47" s="245" t="str">
        <f>IF(L47="","",VLOOKUP($L47,classifications!C:I,7,FALSE))</f>
        <v>Predominantly Rural</v>
      </c>
      <c r="AB47" s="239">
        <f t="shared" si="7"/>
        <v>4.9679826270950498</v>
      </c>
      <c r="AC47" s="239">
        <f>IF(AB47="","",IF($I$8="A",(RANK(AB47,AB$11:AB$363)+COUNTIF(AB$11:AB47,AB47)-1),(RANK(AB47,AB$11:AB$363,1)+COUNTIF(AB$11:AB47,AB47)-1)))</f>
        <v>47</v>
      </c>
      <c r="AD47" s="239"/>
      <c r="AE47" s="51" t="str">
        <f t="shared" si="25"/>
        <v/>
      </c>
      <c r="AG47" s="143"/>
      <c r="AH47" s="52"/>
      <c r="AI47" s="61" t="str">
        <f>IF(L47="","",VLOOKUP($L47,classifications!$C:$J,8,FALSE))</f>
        <v>Lincolnshire</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East Midlands</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16.128402903811253</v>
      </c>
      <c r="AY47" s="156"/>
      <c r="AZ47" s="44"/>
    </row>
    <row r="48" spans="1:52">
      <c r="A48" s="84" t="str">
        <f>$D$1&amp;38</f>
        <v>SD38</v>
      </c>
      <c r="B48" s="85" t="str">
        <f>IF(ISERROR(VLOOKUP(A48,classifications!A:C,3,FALSE)),0,VLOOKUP(A48,classifications!A:C,3,FALSE))</f>
        <v>Mendip</v>
      </c>
      <c r="C48" s="31" t="s">
        <v>24</v>
      </c>
      <c r="D48" s="49" t="str">
        <f>VLOOKUP($C48,classifications!$C:$J,4,FALSE)</f>
        <v>SD</v>
      </c>
      <c r="E48" s="49">
        <f>VLOOKUP(C48,classifications!C:K,9,FALSE)</f>
        <v>0</v>
      </c>
      <c r="F48" s="59">
        <f t="shared" si="1"/>
        <v>10.451952635773655</v>
      </c>
      <c r="G48" s="105"/>
      <c r="H48" s="60">
        <f t="shared" si="2"/>
        <v>10.451952635773655</v>
      </c>
      <c r="I48" s="112">
        <f>IF(H48="","",IF($I$8="A",(RANK(H48,H$11:H$363,1)+COUNTIF(H$11:H48,H48)-1),(RANK(H48,H$11:H$363)+COUNTIF(H$11:H48,H48)-1)))</f>
        <v>164</v>
      </c>
      <c r="J48" s="58"/>
      <c r="K48" s="51">
        <f t="shared" si="13"/>
        <v>38</v>
      </c>
      <c r="L48" s="59" t="str">
        <f t="shared" si="14"/>
        <v>Amber Valley</v>
      </c>
      <c r="M48" s="153">
        <f t="shared" si="20"/>
        <v>4.9852369852369849</v>
      </c>
      <c r="N48" s="148">
        <f t="shared" si="21"/>
        <v>4.9852369852369849</v>
      </c>
      <c r="O48" s="131">
        <f t="shared" si="3"/>
        <v>4.9852369852369849</v>
      </c>
      <c r="P48" s="131" t="str">
        <f t="shared" si="15"/>
        <v/>
      </c>
      <c r="Q48" s="131" t="str">
        <f t="shared" si="16"/>
        <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Significant Rural</v>
      </c>
      <c r="Y48" s="49" t="str">
        <f t="shared" si="6"/>
        <v/>
      </c>
      <c r="Z48" s="57" t="str">
        <f>IF(Y48="","",IF(I$8="A",(RANK(Y48,Y$11:Y$363,1)+COUNTIF(Y$11:Y48,Y48)-1),(RANK(Y48,Y$11:Y$363)+COUNTIF(Y$11:Y48,Y48)-1)))</f>
        <v/>
      </c>
      <c r="AA48" s="245" t="str">
        <f>IF(L48="","",VLOOKUP($L48,classifications!C:I,7,FALSE))</f>
        <v>Significant Rural</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Derbyshire</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East Midlands</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10.451952635773655</v>
      </c>
      <c r="AY48" s="156"/>
      <c r="AZ48" s="44"/>
    </row>
    <row r="49" spans="1:52">
      <c r="A49" s="84" t="str">
        <f>$D$1&amp;39</f>
        <v>SD39</v>
      </c>
      <c r="B49" s="85" t="str">
        <f>IF(ISERROR(VLOOKUP(A49,classifications!A:C,3,FALSE)),0,VLOOKUP(A49,classifications!A:C,3,FALSE))</f>
        <v>Mid Devon</v>
      </c>
      <c r="C49" s="31" t="s">
        <v>25</v>
      </c>
      <c r="D49" s="49" t="str">
        <f>VLOOKUP($C49,classifications!$C:$J,4,FALSE)</f>
        <v>SD</v>
      </c>
      <c r="E49" s="49">
        <f>VLOOKUP(C49,classifications!C:K,9,FALSE)</f>
        <v>0</v>
      </c>
      <c r="F49" s="59">
        <f t="shared" si="1"/>
        <v>7.9628841362126241</v>
      </c>
      <c r="G49" s="105"/>
      <c r="H49" s="60">
        <f t="shared" si="2"/>
        <v>7.9628841362126241</v>
      </c>
      <c r="I49" s="112">
        <f>IF(H49="","",IF($I$8="A",(RANK(H49,H$11:H$363,1)+COUNTIF(H$11:H49,H49)-1),(RANK(H49,H$11:H$363)+COUNTIF(H$11:H49,H49)-1)))</f>
        <v>133</v>
      </c>
      <c r="J49" s="58"/>
      <c r="K49" s="51">
        <f t="shared" si="13"/>
        <v>39</v>
      </c>
      <c r="L49" s="59" t="str">
        <f t="shared" si="14"/>
        <v>Aylesbury Vale</v>
      </c>
      <c r="M49" s="153">
        <f t="shared" si="20"/>
        <v>4.9856616376828287</v>
      </c>
      <c r="N49" s="148">
        <f t="shared" si="21"/>
        <v>4.9856616376828287</v>
      </c>
      <c r="O49" s="131">
        <f t="shared" si="3"/>
        <v>4.9856616376828287</v>
      </c>
      <c r="P49" s="131" t="str">
        <f t="shared" si="15"/>
        <v/>
      </c>
      <c r="Q49" s="131" t="str">
        <f t="shared" si="16"/>
        <v/>
      </c>
      <c r="R49" s="127" t="str">
        <f t="shared" si="17"/>
        <v/>
      </c>
      <c r="S49" s="60" t="str">
        <f t="shared" si="4"/>
        <v/>
      </c>
      <c r="T49" s="231" t="str">
        <f>IF(L49="","",VLOOKUP(L49,classifications!C:K,9,FALSE))</f>
        <v>Sparse</v>
      </c>
      <c r="U49" s="238">
        <f t="shared" si="26"/>
        <v>4.9856616376828287</v>
      </c>
      <c r="V49" s="239">
        <f>IF(U49="","",IF($I$8="A",(RANK(U49,U$11:U$363)+COUNTIF(U$11:U49,U49)-1),(RANK(U49,U$11:U$363,1)+COUNTIF(U$11:U49,U49)-1)))</f>
        <v>65</v>
      </c>
      <c r="W49" s="240"/>
      <c r="X49" s="61" t="str">
        <f>IF(L49="","",VLOOKUP($L49,classifications!$C:$J,6,FALSE))</f>
        <v>Rural-50</v>
      </c>
      <c r="Y49" s="49" t="str">
        <f t="shared" si="6"/>
        <v/>
      </c>
      <c r="Z49" s="57" t="str">
        <f>IF(Y49="","",IF(I$8="A",(RANK(Y49,Y$11:Y$363,1)+COUNTIF(Y$11:Y49,Y49)-1),(RANK(Y49,Y$11:Y$363)+COUNTIF(Y$11:Y49,Y49)-1)))</f>
        <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Buckinghamshire</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7.9628841362126241</v>
      </c>
      <c r="AY49" s="156"/>
      <c r="AZ49" s="44"/>
    </row>
    <row r="50" spans="1:52">
      <c r="A50" s="84" t="str">
        <f>$D$1&amp;40</f>
        <v>SD40</v>
      </c>
      <c r="B50" s="85" t="str">
        <f>IF(ISERROR(VLOOKUP(A50,classifications!A:C,3,FALSE)),0,VLOOKUP(A50,classifications!A:C,3,FALSE))</f>
        <v>Mid Suffolk</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North Devon</v>
      </c>
      <c r="M50" s="153">
        <f t="shared" si="20"/>
        <v>5.0284566454636757</v>
      </c>
      <c r="N50" s="148">
        <f t="shared" si="21"/>
        <v>5.0284566454636757</v>
      </c>
      <c r="O50" s="131">
        <f t="shared" si="3"/>
        <v>5.0284566454636757</v>
      </c>
      <c r="P50" s="131" t="str">
        <f t="shared" si="15"/>
        <v/>
      </c>
      <c r="Q50" s="131" t="str">
        <f t="shared" si="16"/>
        <v/>
      </c>
      <c r="R50" s="127" t="str">
        <f t="shared" si="17"/>
        <v/>
      </c>
      <c r="S50" s="60" t="str">
        <f t="shared" si="4"/>
        <v/>
      </c>
      <c r="T50" s="231" t="str">
        <f>IF(L50="","",VLOOKUP(L50,classifications!C:K,9,FALSE))</f>
        <v>Sparse</v>
      </c>
      <c r="U50" s="238">
        <f t="shared" si="26"/>
        <v>5.0284566454636757</v>
      </c>
      <c r="V50" s="239">
        <f>IF(U50="","",IF($I$8="A",(RANK(U50,U$11:U$363)+COUNTIF(U$11:U50,U50)-1),(RANK(U50,U$11:U$363,1)+COUNTIF(U$11:U50,U50)-1)))</f>
        <v>64</v>
      </c>
      <c r="W50" s="240"/>
      <c r="X50" s="61" t="str">
        <f>IF(L50="","",VLOOKUP($L50,classifications!$C:$J,6,FALSE))</f>
        <v>Rural-50</v>
      </c>
      <c r="Y50" s="49" t="str">
        <f t="shared" si="6"/>
        <v/>
      </c>
      <c r="Z50" s="57" t="str">
        <f>IF(Y50="","",IF(I$8="A",(RANK(Y50,Y$11:Y$363,1)+COUNTIF(Y$11:Y50,Y50)-1),(RANK(Y50,Y$11:Y$363)+COUNTIF(Y$11:Y50,Y50)-1)))</f>
        <v/>
      </c>
      <c r="AA50" s="245" t="str">
        <f>IF(L50="","",VLOOKUP($L50,classifications!C:I,7,FALSE))</f>
        <v>Predominantly Rural</v>
      </c>
      <c r="AB50" s="239">
        <f t="shared" si="7"/>
        <v>5.0284566454636757</v>
      </c>
      <c r="AC50" s="239">
        <f>IF(AB50="","",IF($I$8="A",(RANK(AB50,AB$11:AB$363)+COUNTIF(AB$11:AB50,AB50)-1),(RANK(AB50,AB$11:AB$363,1)+COUNTIF(AB$11:AB50,AB50)-1)))</f>
        <v>46</v>
      </c>
      <c r="AD50" s="239"/>
      <c r="AE50" s="51" t="str">
        <f t="shared" si="25"/>
        <v/>
      </c>
      <c r="AG50" s="143"/>
      <c r="AH50" s="52"/>
      <c r="AI50" s="61" t="str">
        <f>IF(L50="","",VLOOKUP($L50,classifications!$C:$J,8,FALSE))</f>
        <v>Devon</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South West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Sussex</v>
      </c>
      <c r="C51" s="31" t="s">
        <v>26</v>
      </c>
      <c r="D51" s="49" t="str">
        <f>VLOOKUP($C51,classifications!$C:$J,4,FALSE)</f>
        <v>SD</v>
      </c>
      <c r="E51" s="49">
        <f>VLOOKUP(C51,classifications!C:K,9,FALSE)</f>
        <v>0</v>
      </c>
      <c r="F51" s="59">
        <f t="shared" si="1"/>
        <v>5.8048115806130225</v>
      </c>
      <c r="G51" s="105"/>
      <c r="H51" s="60">
        <f t="shared" si="2"/>
        <v>5.8048115806130225</v>
      </c>
      <c r="I51" s="112">
        <f>IF(H51="","",IF($I$8="A",(RANK(H51,H$11:H$363,1)+COUNTIF(H$11:H51,H51)-1),(RANK(H51,H$11:H$363)+COUNTIF(H$11:H51,H51)-1)))</f>
        <v>67</v>
      </c>
      <c r="J51" s="58"/>
      <c r="K51" s="51">
        <f t="shared" si="13"/>
        <v>41</v>
      </c>
      <c r="L51" s="59" t="str">
        <f t="shared" si="14"/>
        <v>Cambridge</v>
      </c>
      <c r="M51" s="153">
        <f t="shared" si="20"/>
        <v>5.1213192343408318</v>
      </c>
      <c r="N51" s="148">
        <f t="shared" si="21"/>
        <v>5.1213192343408318</v>
      </c>
      <c r="O51" s="131">
        <f t="shared" si="3"/>
        <v>5.1213192343408318</v>
      </c>
      <c r="P51" s="131" t="str">
        <f t="shared" si="15"/>
        <v/>
      </c>
      <c r="Q51" s="131" t="str">
        <f t="shared" si="16"/>
        <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Other Urban</v>
      </c>
      <c r="Y51" s="49" t="str">
        <f t="shared" si="6"/>
        <v/>
      </c>
      <c r="Z51" s="57" t="str">
        <f>IF(Y51="","",IF(I$8="A",(RANK(Y51,Y$11:Y$363,1)+COUNTIF(Y$11:Y51,Y51)-1),(RANK(Y51,Y$11:Y$363)+COUNTIF(Y$11:Y51,Y51)-1)))</f>
        <v/>
      </c>
      <c r="AA51" s="245" t="str">
        <f>IF(L51="","",VLOOKUP($L51,classifications!C:I,7,FALSE))</f>
        <v>Predominantly Rural</v>
      </c>
      <c r="AB51" s="239">
        <f t="shared" si="7"/>
        <v>5.1213192343408318</v>
      </c>
      <c r="AC51" s="239">
        <f>IF(AB51="","",IF($I$8="A",(RANK(AB51,AB$11:AB$363)+COUNTIF(AB$11:AB51,AB51)-1),(RANK(AB51,AB$11:AB$363,1)+COUNTIF(AB$11:AB51,AB51)-1)))</f>
        <v>45</v>
      </c>
      <c r="AD51" s="239"/>
      <c r="AE51" s="51" t="str">
        <f t="shared" si="25"/>
        <v/>
      </c>
      <c r="AG51" s="143"/>
      <c r="AH51" s="52"/>
      <c r="AI51" s="61" t="str">
        <f>IF(L51="","",VLOOKUP($L51,classifications!$C:$J,8,FALSE))</f>
        <v>Cambridgeshire</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East of England</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5.8048115806130225</v>
      </c>
      <c r="AY51" s="156"/>
      <c r="AZ51" s="44"/>
    </row>
    <row r="52" spans="1:52">
      <c r="A52" s="84" t="str">
        <f>$D$1&amp;42</f>
        <v>SD42</v>
      </c>
      <c r="B52" s="85" t="str">
        <f>IF(ISERROR(VLOOKUP(A52,classifications!A:C,3,FALSE)),0,VLOOKUP(A52,classifications!A:C,3,FALSE))</f>
        <v>New Forest</v>
      </c>
      <c r="C52" s="31" t="s">
        <v>227</v>
      </c>
      <c r="D52" s="49" t="str">
        <f>VLOOKUP($C52,classifications!$C:$J,4,FALSE)</f>
        <v>MD</v>
      </c>
      <c r="E52" s="49">
        <f>VLOOKUP(C52,classifications!C:K,9,FALSE)</f>
        <v>0</v>
      </c>
      <c r="F52" s="59">
        <f t="shared" si="1"/>
        <v>6.4181349273301356</v>
      </c>
      <c r="G52" s="105"/>
      <c r="H52" s="60" t="str">
        <f t="shared" si="2"/>
        <v/>
      </c>
      <c r="I52" s="112" t="str">
        <f>IF(H52="","",IF($I$8="A",(RANK(H52,H$11:H$363,1)+COUNTIF(H$11:H52,H52)-1),(RANK(H52,H$11:H$363)+COUNTIF(H$11:H52,H52)-1)))</f>
        <v/>
      </c>
      <c r="J52" s="58"/>
      <c r="K52" s="51">
        <f t="shared" si="13"/>
        <v>42</v>
      </c>
      <c r="L52" s="59" t="str">
        <f t="shared" si="14"/>
        <v>Eastbourne</v>
      </c>
      <c r="M52" s="153">
        <f t="shared" si="20"/>
        <v>5.1304675716440427</v>
      </c>
      <c r="N52" s="148">
        <f t="shared" si="21"/>
        <v>5.1304675716440427</v>
      </c>
      <c r="O52" s="131">
        <f t="shared" si="3"/>
        <v>5.1304675716440427</v>
      </c>
      <c r="P52" s="131" t="str">
        <f t="shared" si="15"/>
        <v/>
      </c>
      <c r="Q52" s="131" t="str">
        <f t="shared" si="16"/>
        <v/>
      </c>
      <c r="R52" s="127" t="str">
        <f t="shared" si="17"/>
        <v/>
      </c>
      <c r="S52" s="60" t="str">
        <f t="shared" si="4"/>
        <v/>
      </c>
      <c r="T52" s="231">
        <f>IF(L52="","",VLOOKUP(L52,classifications!C:K,9,FALSE))</f>
        <v>0</v>
      </c>
      <c r="U52" s="238" t="str">
        <f t="shared" si="26"/>
        <v/>
      </c>
      <c r="V52" s="239" t="str">
        <f>IF(U52="","",IF($I$8="A",(RANK(U52,U$11:U$363)+COUNTIF(U$11:U52,U52)-1),(RANK(U52,U$11:U$363,1)+COUNTIF(U$11:U52,U52)-1)))</f>
        <v/>
      </c>
      <c r="W52" s="240"/>
      <c r="X52" s="61" t="str">
        <f>IF(L52="","",VLOOKUP($L52,classifications!$C:$J,6,FALSE))</f>
        <v>Other Urban</v>
      </c>
      <c r="Y52" s="49" t="str">
        <f t="shared" si="6"/>
        <v/>
      </c>
      <c r="Z52" s="57" t="str">
        <f>IF(Y52="","",IF(I$8="A",(RANK(Y52,Y$11:Y$363,1)+COUNTIF(Y$11:Y52,Y52)-1),(RANK(Y52,Y$11:Y$363)+COUNTIF(Y$11:Y52,Y52)-1)))</f>
        <v/>
      </c>
      <c r="AA52" s="245" t="str">
        <f>IF(L52="","",VLOOKUP($L52,classifications!C:I,7,FALSE))</f>
        <v>Significant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East Sussex</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South East</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6.4181349273301356</v>
      </c>
      <c r="AY52" s="156"/>
      <c r="AZ52" s="44"/>
    </row>
    <row r="53" spans="1:52">
      <c r="A53" s="84" t="str">
        <f>$D$1&amp;43</f>
        <v>SD43</v>
      </c>
      <c r="B53" s="85" t="str">
        <f>IF(ISERROR(VLOOKUP(A53,classifications!A:C,3,FALSE)),0,VLOOKUP(A53,classifications!A:C,3,FALSE))</f>
        <v>Newark &amp; Sherwood</v>
      </c>
      <c r="C53" s="31" t="s">
        <v>228</v>
      </c>
      <c r="D53" s="49" t="str">
        <f>VLOOKUP($C53,classifications!$C:$J,4,FALSE)</f>
        <v>MD</v>
      </c>
      <c r="E53" s="49">
        <f>VLOOKUP(C53,classifications!C:K,9,FALSE)</f>
        <v>0</v>
      </c>
      <c r="F53" s="59">
        <f t="shared" si="1"/>
        <v>10.476908108108107</v>
      </c>
      <c r="G53" s="105"/>
      <c r="H53" s="60" t="str">
        <f t="shared" si="2"/>
        <v/>
      </c>
      <c r="I53" s="112" t="str">
        <f>IF(H53="","",IF($I$8="A",(RANK(H53,H$11:H$363,1)+COUNTIF(H$11:H53,H53)-1),(RANK(H53,H$11:H$363)+COUNTIF(H$11:H53,H53)-1)))</f>
        <v/>
      </c>
      <c r="J53" s="58"/>
      <c r="K53" s="51">
        <f t="shared" si="13"/>
        <v>43</v>
      </c>
      <c r="L53" s="59" t="str">
        <f t="shared" si="14"/>
        <v>Teignbridge</v>
      </c>
      <c r="M53" s="153">
        <f t="shared" si="20"/>
        <v>5.1312144486936404</v>
      </c>
      <c r="N53" s="148">
        <f t="shared" si="21"/>
        <v>5.1312144486936404</v>
      </c>
      <c r="O53" s="131">
        <f t="shared" si="3"/>
        <v>5.1312144486936404</v>
      </c>
      <c r="P53" s="131" t="str">
        <f t="shared" si="15"/>
        <v/>
      </c>
      <c r="Q53" s="131" t="str">
        <f t="shared" si="16"/>
        <v/>
      </c>
      <c r="R53" s="127" t="str">
        <f t="shared" si="17"/>
        <v/>
      </c>
      <c r="S53" s="60" t="str">
        <f t="shared" si="4"/>
        <v/>
      </c>
      <c r="T53" s="231" t="str">
        <f>IF(L53="","",VLOOKUP(L53,classifications!C:K,9,FALSE))</f>
        <v>Sparse</v>
      </c>
      <c r="U53" s="238">
        <f t="shared" si="26"/>
        <v>5.1312144486936404</v>
      </c>
      <c r="V53" s="239">
        <f>IF(U53="","",IF($I$8="A",(RANK(U53,U$11:U$363)+COUNTIF(U$11:U53,U53)-1),(RANK(U53,U$11:U$363,1)+COUNTIF(U$11:U53,U53)-1)))</f>
        <v>63</v>
      </c>
      <c r="W53" s="240"/>
      <c r="X53" s="61" t="str">
        <f>IF(L53="","",VLOOKUP($L53,classifications!$C:$J,6,FALSE))</f>
        <v>Rural-80</v>
      </c>
      <c r="Y53" s="49">
        <f t="shared" si="6"/>
        <v>5.1312144486936404</v>
      </c>
      <c r="Z53" s="57">
        <f>IF(Y53="","",IF(I$8="A",(RANK(Y53,Y$11:Y$363,1)+COUNTIF(Y$11:Y53,Y53)-1),(RANK(Y53,Y$11:Y$363)+COUNTIF(Y$11:Y53,Y53)-1)))</f>
        <v>10</v>
      </c>
      <c r="AA53" s="245" t="str">
        <f>IF(L53="","",VLOOKUP($L53,classifications!C:I,7,FALSE))</f>
        <v>Predominantly Rural</v>
      </c>
      <c r="AB53" s="239">
        <f t="shared" si="7"/>
        <v>5.1312144486936404</v>
      </c>
      <c r="AC53" s="239">
        <f>IF(AB53="","",IF($I$8="A",(RANK(AB53,AB$11:AB$363)+COUNTIF(AB$11:AB53,AB53)-1),(RANK(AB53,AB$11:AB$363,1)+COUNTIF(AB$11:AB53,AB53)-1)))</f>
        <v>44</v>
      </c>
      <c r="AD53" s="239"/>
      <c r="AE53" s="51" t="str">
        <f t="shared" si="25"/>
        <v/>
      </c>
      <c r="AG53" s="143"/>
      <c r="AH53" s="52"/>
      <c r="AI53" s="61" t="str">
        <f>IF(L53="","",VLOOKUP($L53,classifications!$C:$J,8,FALSE))</f>
        <v>Devon</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South West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10.476908108108107</v>
      </c>
      <c r="AY53" s="156"/>
      <c r="AZ53" s="44"/>
    </row>
    <row r="54" spans="1:52">
      <c r="A54" s="84" t="str">
        <f>$D$1&amp;44</f>
        <v>SD44</v>
      </c>
      <c r="B54" s="85" t="str">
        <f>IF(ISERROR(VLOOKUP(A54,classifications!A:C,3,FALSE)),0,VLOOKUP(A54,classifications!A:C,3,FALSE))</f>
        <v>North Devon</v>
      </c>
      <c r="C54" s="31" t="s">
        <v>27</v>
      </c>
      <c r="D54" s="49" t="str">
        <f>VLOOKUP($C54,classifications!$C:$J,4,FALSE)</f>
        <v>SD</v>
      </c>
      <c r="E54" s="49">
        <f>VLOOKUP(C54,classifications!C:K,9,FALSE)</f>
        <v>0</v>
      </c>
      <c r="F54" s="59">
        <f t="shared" si="1"/>
        <v>5.1213192343408318</v>
      </c>
      <c r="G54" s="105"/>
      <c r="H54" s="60">
        <f t="shared" si="2"/>
        <v>5.1213192343408318</v>
      </c>
      <c r="I54" s="112">
        <f>IF(H54="","",IF($I$8="A",(RANK(H54,H$11:H$363,1)+COUNTIF(H$11:H54,H54)-1),(RANK(H54,H$11:H$363)+COUNTIF(H$11:H54,H54)-1)))</f>
        <v>41</v>
      </c>
      <c r="J54" s="58"/>
      <c r="K54" s="51">
        <f t="shared" si="13"/>
        <v>44</v>
      </c>
      <c r="L54" s="59" t="str">
        <f t="shared" si="14"/>
        <v>West Lindsey</v>
      </c>
      <c r="M54" s="153">
        <f t="shared" si="20"/>
        <v>5.1492880559769043</v>
      </c>
      <c r="N54" s="148">
        <f t="shared" si="21"/>
        <v>5.1492880559769043</v>
      </c>
      <c r="O54" s="131">
        <f t="shared" si="3"/>
        <v>5.1492880559769043</v>
      </c>
      <c r="P54" s="131" t="str">
        <f t="shared" si="15"/>
        <v/>
      </c>
      <c r="Q54" s="131" t="str">
        <f t="shared" si="16"/>
        <v/>
      </c>
      <c r="R54" s="127" t="str">
        <f t="shared" si="17"/>
        <v/>
      </c>
      <c r="S54" s="60" t="str">
        <f t="shared" si="4"/>
        <v/>
      </c>
      <c r="T54" s="231" t="str">
        <f>IF(L54="","",VLOOKUP(L54,classifications!C:K,9,FALSE))</f>
        <v>Sparse</v>
      </c>
      <c r="U54" s="238">
        <f t="shared" si="26"/>
        <v>5.1492880559769043</v>
      </c>
      <c r="V54" s="239">
        <f>IF(U54="","",IF($I$8="A",(RANK(U54,U$11:U$363)+COUNTIF(U$11:U54,U54)-1),(RANK(U54,U$11:U$363,1)+COUNTIF(U$11:U54,U54)-1)))</f>
        <v>62</v>
      </c>
      <c r="W54" s="240"/>
      <c r="X54" s="61" t="str">
        <f>IF(L54="","",VLOOKUP($L54,classifications!$C:$J,6,FALSE))</f>
        <v>Rural-80</v>
      </c>
      <c r="Y54" s="49">
        <f t="shared" si="6"/>
        <v>5.1492880559769043</v>
      </c>
      <c r="Z54" s="57">
        <f>IF(Y54="","",IF(I$8="A",(RANK(Y54,Y$11:Y$363,1)+COUNTIF(Y$11:Y54,Y54)-1),(RANK(Y54,Y$11:Y$363)+COUNTIF(Y$11:Y54,Y54)-1)))</f>
        <v>11</v>
      </c>
      <c r="AA54" s="245" t="str">
        <f>IF(L54="","",VLOOKUP($L54,classifications!C:I,7,FALSE))</f>
        <v>Predominantly Rural</v>
      </c>
      <c r="AB54" s="239">
        <f t="shared" si="7"/>
        <v>5.1492880559769043</v>
      </c>
      <c r="AC54" s="239">
        <f>IF(AB54="","",IF($I$8="A",(RANK(AB54,AB$11:AB$363)+COUNTIF(AB$11:AB54,AB54)-1),(RANK(AB54,AB$11:AB$363,1)+COUNTIF(AB$11:AB54,AB54)-1)))</f>
        <v>43</v>
      </c>
      <c r="AD54" s="239"/>
      <c r="AE54" s="51" t="str">
        <f t="shared" si="25"/>
        <v/>
      </c>
      <c r="AG54" s="143"/>
      <c r="AH54" s="52"/>
      <c r="AI54" s="61" t="str">
        <f>IF(L54="","",VLOOKUP($L54,classifications!$C:$J,8,FALSE))</f>
        <v>Lincolnshire</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East Midlands</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5.1213192343408318</v>
      </c>
      <c r="AY54" s="156"/>
      <c r="AZ54" s="44"/>
    </row>
    <row r="55" spans="1:52">
      <c r="A55" s="84" t="str">
        <f>$D$1&amp;45</f>
        <v>SD45</v>
      </c>
      <c r="B55" s="85" t="str">
        <f>IF(ISERROR(VLOOKUP(A55,classifications!A:C,3,FALSE)),0,VLOOKUP(A55,classifications!A:C,3,FALSE))</f>
        <v>North Dorset</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Guildford</v>
      </c>
      <c r="M55" s="153">
        <f t="shared" si="20"/>
        <v>5.157262484107151</v>
      </c>
      <c r="N55" s="148">
        <f t="shared" si="21"/>
        <v>5.157262484107151</v>
      </c>
      <c r="O55" s="131">
        <f t="shared" si="3"/>
        <v>5.157262484107151</v>
      </c>
      <c r="P55" s="131" t="str">
        <f t="shared" si="15"/>
        <v/>
      </c>
      <c r="Q55" s="131" t="str">
        <f t="shared" si="16"/>
        <v/>
      </c>
      <c r="R55" s="127" t="str">
        <f t="shared" si="17"/>
        <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Significant Rural</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Surrey</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Kesteven</v>
      </c>
      <c r="C56" s="31" t="s">
        <v>201</v>
      </c>
      <c r="D56" s="49" t="str">
        <f>VLOOKUP($C56,classifications!$C:$J,4,FALSE)</f>
        <v>L</v>
      </c>
      <c r="E56" s="49">
        <f>VLOOKUP(C56,classifications!C:K,9,FALSE)</f>
        <v>0</v>
      </c>
      <c r="F56" s="59">
        <f t="shared" si="1"/>
        <v>4.6777063833833701</v>
      </c>
      <c r="G56" s="105"/>
      <c r="H56" s="60" t="str">
        <f t="shared" si="2"/>
        <v/>
      </c>
      <c r="I56" s="112" t="str">
        <f>IF(H56="","",IF($I$8="A",(RANK(H56,H$11:H$363,1)+COUNTIF(H$11:H56,H56)-1),(RANK(H56,H$11:H$363)+COUNTIF(H$11:H56,H56)-1)))</f>
        <v/>
      </c>
      <c r="J56" s="58"/>
      <c r="K56" s="51">
        <f t="shared" si="13"/>
        <v>46</v>
      </c>
      <c r="L56" s="59" t="str">
        <f t="shared" si="14"/>
        <v>Selby</v>
      </c>
      <c r="M56" s="153">
        <f t="shared" si="20"/>
        <v>5.166774089590719</v>
      </c>
      <c r="N56" s="148">
        <f t="shared" si="21"/>
        <v>5.166774089590719</v>
      </c>
      <c r="O56" s="131">
        <f t="shared" si="3"/>
        <v>5.166774089590719</v>
      </c>
      <c r="P56" s="131" t="str">
        <f t="shared" si="15"/>
        <v/>
      </c>
      <c r="Q56" s="131" t="str">
        <f t="shared" si="16"/>
        <v/>
      </c>
      <c r="R56" s="127" t="str">
        <f t="shared" si="17"/>
        <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Rural-80</v>
      </c>
      <c r="Y56" s="49">
        <f t="shared" si="6"/>
        <v>5.166774089590719</v>
      </c>
      <c r="Z56" s="57">
        <f>IF(Y56="","",IF(I$8="A",(RANK(Y56,Y$11:Y$363,1)+COUNTIF(Y$11:Y56,Y56)-1),(RANK(Y56,Y$11:Y$363)+COUNTIF(Y$11:Y56,Y56)-1)))</f>
        <v>12</v>
      </c>
      <c r="AA56" s="245" t="str">
        <f>IF(L56="","",VLOOKUP($L56,classifications!C:I,7,FALSE))</f>
        <v>Predominantly Rural</v>
      </c>
      <c r="AB56" s="239">
        <f t="shared" si="7"/>
        <v>5.166774089590719</v>
      </c>
      <c r="AC56" s="239">
        <f>IF(AB56="","",IF($I$8="A",(RANK(AB56,AB$11:AB$363)+COUNTIF(AB$11:AB56,AB56)-1),(RANK(AB56,AB$11:AB$363,1)+COUNTIF(AB$11:AB56,AB56)-1)))</f>
        <v>42</v>
      </c>
      <c r="AD56" s="239"/>
      <c r="AE56" s="51" t="str">
        <f t="shared" si="25"/>
        <v/>
      </c>
      <c r="AG56" s="143"/>
      <c r="AH56" s="52"/>
      <c r="AI56" s="61" t="str">
        <f>IF(L56="","",VLOOKUP($L56,classifications!$C:$J,8,FALSE))</f>
        <v>North Yorkshire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Yorkshire &amp; Humberside</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4.6777063833833701</v>
      </c>
      <c r="AY56" s="156"/>
      <c r="AZ56" s="44"/>
    </row>
    <row r="57" spans="1:52">
      <c r="A57" s="84" t="str">
        <f>$D$1&amp;47</f>
        <v>SD47</v>
      </c>
      <c r="B57" s="85" t="str">
        <f>IF(ISERROR(VLOOKUP(A57,classifications!A:C,3,FALSE)),0,VLOOKUP(A57,classifications!A:C,3,FALSE))</f>
        <v>North Norfolk</v>
      </c>
      <c r="C57" s="31" t="s">
        <v>28</v>
      </c>
      <c r="D57" s="49" t="str">
        <f>VLOOKUP($C57,classifications!$C:$J,4,FALSE)</f>
        <v>SD</v>
      </c>
      <c r="E57" s="49">
        <f>VLOOKUP(C57,classifications!C:K,9,FALSE)</f>
        <v>0</v>
      </c>
      <c r="F57" s="59">
        <f t="shared" si="1"/>
        <v>5.9700294582248219</v>
      </c>
      <c r="G57" s="105"/>
      <c r="H57" s="60">
        <f t="shared" si="2"/>
        <v>5.9700294582248219</v>
      </c>
      <c r="I57" s="112">
        <f>IF(H57="","",IF($I$8="A",(RANK(H57,H$11:H$363,1)+COUNTIF(H$11:H57,H57)-1),(RANK(H57,H$11:H$363)+COUNTIF(H$11:H57,H57)-1)))</f>
        <v>71</v>
      </c>
      <c r="J57" s="58"/>
      <c r="K57" s="51">
        <f t="shared" si="13"/>
        <v>47</v>
      </c>
      <c r="L57" s="59" t="str">
        <f t="shared" si="14"/>
        <v>East Cambridgeshire</v>
      </c>
      <c r="M57" s="153">
        <f t="shared" si="20"/>
        <v>5.2753050063104752</v>
      </c>
      <c r="N57" s="148">
        <f t="shared" si="21"/>
        <v>5.2753050063104752</v>
      </c>
      <c r="O57" s="131">
        <f t="shared" si="3"/>
        <v>5.2753050063104752</v>
      </c>
      <c r="P57" s="131" t="str">
        <f t="shared" si="15"/>
        <v/>
      </c>
      <c r="Q57" s="131" t="str">
        <f t="shared" si="16"/>
        <v/>
      </c>
      <c r="R57" s="127" t="str">
        <f t="shared" si="17"/>
        <v/>
      </c>
      <c r="S57" s="60" t="str">
        <f t="shared" si="4"/>
        <v/>
      </c>
      <c r="T57" s="231" t="str">
        <f>IF(L57="","",VLOOKUP(L57,classifications!C:K,9,FALSE))</f>
        <v>Sparse</v>
      </c>
      <c r="U57" s="238">
        <f t="shared" si="26"/>
        <v>5.2753050063104752</v>
      </c>
      <c r="V57" s="239">
        <f>IF(U57="","",IF($I$8="A",(RANK(U57,U$11:U$363)+COUNTIF(U$11:U57,U57)-1),(RANK(U57,U$11:U$363,1)+COUNTIF(U$11:U57,U57)-1)))</f>
        <v>61</v>
      </c>
      <c r="W57" s="240"/>
      <c r="X57" s="61" t="str">
        <f>IF(L57="","",VLOOKUP($L57,classifications!$C:$J,6,FALSE))</f>
        <v>Rural-80</v>
      </c>
      <c r="Y57" s="49">
        <f t="shared" si="6"/>
        <v>5.2753050063104752</v>
      </c>
      <c r="Z57" s="57">
        <f>IF(Y57="","",IF(I$8="A",(RANK(Y57,Y$11:Y$363,1)+COUNTIF(Y$11:Y57,Y57)-1),(RANK(Y57,Y$11:Y$363)+COUNTIF(Y$11:Y57,Y57)-1)))</f>
        <v>13</v>
      </c>
      <c r="AA57" s="245" t="str">
        <f>IF(L57="","",VLOOKUP($L57,classifications!C:I,7,FALSE))</f>
        <v>Predominantly Rural</v>
      </c>
      <c r="AB57" s="239">
        <f t="shared" si="7"/>
        <v>5.2753050063104752</v>
      </c>
      <c r="AC57" s="239">
        <f>IF(AB57="","",IF($I$8="A",(RANK(AB57,AB$11:AB$363)+COUNTIF(AB$11:AB57,AB57)-1),(RANK(AB57,AB$11:AB$363,1)+COUNTIF(AB$11:AB57,AB57)-1)))</f>
        <v>41</v>
      </c>
      <c r="AD57" s="239"/>
      <c r="AE57" s="51" t="str">
        <f t="shared" si="25"/>
        <v/>
      </c>
      <c r="AG57" s="143"/>
      <c r="AH57" s="52"/>
      <c r="AI57" s="61" t="str">
        <f>IF(L57="","",VLOOKUP($L57,classifications!$C:$J,8,FALSE))</f>
        <v>Cambridgeshire</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East of England</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5.9700294582248219</v>
      </c>
      <c r="AY57" s="156"/>
      <c r="AZ57" s="44"/>
    </row>
    <row r="58" spans="1:52">
      <c r="A58" s="84" t="str">
        <f>$D$1&amp;48</f>
        <v>SD48</v>
      </c>
      <c r="B58" s="85" t="str">
        <f>IF(ISERROR(VLOOKUP(A58,classifications!A:C,3,FALSE)),0,VLOOKUP(A58,classifications!A:C,3,FALSE))</f>
        <v>North Warwickshire</v>
      </c>
      <c r="C58" s="31" t="s">
        <v>29</v>
      </c>
      <c r="D58" s="49" t="str">
        <f>VLOOKUP($C58,classifications!$C:$J,4,FALSE)</f>
        <v>SD</v>
      </c>
      <c r="E58" s="49">
        <f>VLOOKUP(C58,classifications!C:K,9,FALSE)</f>
        <v>0</v>
      </c>
      <c r="F58" s="59">
        <f t="shared" si="1"/>
        <v>4.8117810489374149</v>
      </c>
      <c r="G58" s="105"/>
      <c r="H58" s="60">
        <f t="shared" si="2"/>
        <v>4.8117810489374149</v>
      </c>
      <c r="I58" s="112">
        <f>IF(H58="","",IF($I$8="A",(RANK(H58,H$11:H$363,1)+COUNTIF(H$11:H58,H58)-1),(RANK(H58,H$11:H$363)+COUNTIF(H$11:H58,H58)-1)))</f>
        <v>33</v>
      </c>
      <c r="J58" s="58"/>
      <c r="K58" s="51">
        <f t="shared" si="13"/>
        <v>48</v>
      </c>
      <c r="L58" s="59" t="str">
        <f t="shared" si="14"/>
        <v>North Warwickshire</v>
      </c>
      <c r="M58" s="153">
        <f t="shared" si="20"/>
        <v>5.3113094690346925</v>
      </c>
      <c r="N58" s="148">
        <f t="shared" si="21"/>
        <v>5.3113094690346925</v>
      </c>
      <c r="O58" s="131">
        <f t="shared" si="3"/>
        <v>5.3113094690346925</v>
      </c>
      <c r="P58" s="131" t="str">
        <f t="shared" si="15"/>
        <v/>
      </c>
      <c r="Q58" s="131" t="str">
        <f t="shared" si="16"/>
        <v/>
      </c>
      <c r="R58" s="127" t="str">
        <f t="shared" si="17"/>
        <v/>
      </c>
      <c r="S58" s="60" t="str">
        <f t="shared" si="4"/>
        <v/>
      </c>
      <c r="T58" s="231" t="str">
        <f>IF(L58="","",VLOOKUP(L58,classifications!C:K,9,FALSE))</f>
        <v>Sparse</v>
      </c>
      <c r="U58" s="238">
        <f t="shared" si="26"/>
        <v>5.3113094690346925</v>
      </c>
      <c r="V58" s="239">
        <f>IF(U58="","",IF($I$8="A",(RANK(U58,U$11:U$363)+COUNTIF(U$11:U58,U58)-1),(RANK(U58,U$11:U$363,1)+COUNTIF(U$11:U58,U58)-1)))</f>
        <v>60</v>
      </c>
      <c r="W58" s="240"/>
      <c r="X58" s="61" t="str">
        <f>IF(L58="","",VLOOKUP($L58,classifications!$C:$J,6,FALSE))</f>
        <v>Rural-50</v>
      </c>
      <c r="Y58" s="49" t="str">
        <f t="shared" si="6"/>
        <v/>
      </c>
      <c r="Z58" s="57" t="str">
        <f>IF(Y58="","",IF(I$8="A",(RANK(Y58,Y$11:Y$363,1)+COUNTIF(Y$11:Y58,Y58)-1),(RANK(Y58,Y$11:Y$363)+COUNTIF(Y$11:Y58,Y58)-1)))</f>
        <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Warwickshire</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West Midlands</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4.8117810489374149</v>
      </c>
      <c r="AY58" s="156"/>
      <c r="AZ58" s="44"/>
    </row>
    <row r="59" spans="1:52">
      <c r="A59" s="84" t="str">
        <f>$D$1&amp;49</f>
        <v>SD49</v>
      </c>
      <c r="B59" s="85" t="str">
        <f>IF(ISERROR(VLOOKUP(A59,classifications!A:C,3,FALSE)),0,VLOOKUP(A59,classifications!A:C,3,FALSE))</f>
        <v>North West Leicestershire</v>
      </c>
      <c r="C59" s="31" t="s">
        <v>30</v>
      </c>
      <c r="D59" s="49" t="str">
        <f>VLOOKUP($C59,classifications!$C:$J,4,FALSE)</f>
        <v>SD</v>
      </c>
      <c r="E59" s="49" t="str">
        <f>VLOOKUP(C59,classifications!C:K,9,FALSE)</f>
        <v>Sparse</v>
      </c>
      <c r="F59" s="59">
        <f t="shared" si="1"/>
        <v>8.1209202076185445</v>
      </c>
      <c r="G59" s="105"/>
      <c r="H59" s="60">
        <f t="shared" si="2"/>
        <v>8.1209202076185445</v>
      </c>
      <c r="I59" s="112">
        <f>IF(H59="","",IF($I$8="A",(RANK(H59,H$11:H$363,1)+COUNTIF(H$11:H59,H59)-1),(RANK(H59,H$11:H$363)+COUNTIF(H$11:H59,H59)-1)))</f>
        <v>135</v>
      </c>
      <c r="J59" s="58"/>
      <c r="K59" s="51">
        <f t="shared" si="13"/>
        <v>49</v>
      </c>
      <c r="L59" s="59" t="str">
        <f t="shared" si="14"/>
        <v>High Peak</v>
      </c>
      <c r="M59" s="153">
        <f t="shared" si="20"/>
        <v>5.3362110311750603</v>
      </c>
      <c r="N59" s="148">
        <f t="shared" si="21"/>
        <v>5.3362110311750603</v>
      </c>
      <c r="O59" s="131" t="str">
        <f t="shared" si="3"/>
        <v/>
      </c>
      <c r="P59" s="131">
        <f t="shared" si="15"/>
        <v>5.3362110311750603</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Rural-50</v>
      </c>
      <c r="Y59" s="49" t="str">
        <f t="shared" si="6"/>
        <v/>
      </c>
      <c r="Z59" s="57" t="str">
        <f>IF(Y59="","",IF(I$8="A",(RANK(Y59,Y$11:Y$363,1)+COUNTIF(Y$11:Y59,Y59)-1),(RANK(Y59,Y$11:Y$363)+COUNTIF(Y$11:Y59,Y59)-1)))</f>
        <v/>
      </c>
      <c r="AA59" s="245" t="str">
        <f>IF(L59="","",VLOOKUP($L59,classifications!C:I,7,FALSE))</f>
        <v>Significant Rural</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Derbyshire</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East Midlands</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8.1209202076185445</v>
      </c>
      <c r="AY59" s="156"/>
      <c r="AZ59" s="44"/>
    </row>
    <row r="60" spans="1:52">
      <c r="A60" s="84" t="str">
        <f>$D$1&amp;50</f>
        <v>SD50</v>
      </c>
      <c r="B60" s="85" t="str">
        <f>IF(ISERROR(VLOOKUP(A60,classifications!A:C,3,FALSE)),0,VLOOKUP(A60,classifications!A:C,3,FALSE))</f>
        <v>Purbeck</v>
      </c>
      <c r="C60" s="31" t="s">
        <v>31</v>
      </c>
      <c r="D60" s="49" t="str">
        <f>VLOOKUP($C60,classifications!$C:$J,4,FALSE)</f>
        <v>SD</v>
      </c>
      <c r="E60" s="49">
        <f>VLOOKUP(C60,classifications!C:K,9,FALSE)</f>
        <v>0</v>
      </c>
      <c r="F60" s="59">
        <f t="shared" si="1"/>
        <v>6.8419940109212609</v>
      </c>
      <c r="G60" s="105"/>
      <c r="H60" s="60">
        <f t="shared" si="2"/>
        <v>6.8419940109212609</v>
      </c>
      <c r="I60" s="112">
        <f>IF(H60="","",IF($I$8="A",(RANK(H60,H$11:H$363,1)+COUNTIF(H$11:H60,H60)-1),(RANK(H60,H$11:H$363)+COUNTIF(H$11:H60,H60)-1)))</f>
        <v>93</v>
      </c>
      <c r="J60" s="58"/>
      <c r="K60" s="51">
        <f t="shared" si="13"/>
        <v>50</v>
      </c>
      <c r="L60" s="59" t="str">
        <f t="shared" si="14"/>
        <v>Lewes</v>
      </c>
      <c r="M60" s="153">
        <f t="shared" si="20"/>
        <v>5.341253584596477</v>
      </c>
      <c r="N60" s="148">
        <f t="shared" si="21"/>
        <v>5.341253584596477</v>
      </c>
      <c r="O60" s="131" t="str">
        <f t="shared" si="3"/>
        <v/>
      </c>
      <c r="P60" s="131">
        <f t="shared" si="15"/>
        <v>5.341253584596477</v>
      </c>
      <c r="Q60" s="131" t="str">
        <f t="shared" si="16"/>
        <v/>
      </c>
      <c r="R60" s="127" t="str">
        <f t="shared" si="17"/>
        <v/>
      </c>
      <c r="S60" s="60" t="str">
        <f t="shared" si="4"/>
        <v/>
      </c>
      <c r="T60" s="231" t="str">
        <f>IF(L60="","",VLOOKUP(L60,classifications!C:K,9,FALSE))</f>
        <v>Sparse</v>
      </c>
      <c r="U60" s="238">
        <f t="shared" si="26"/>
        <v>5.341253584596477</v>
      </c>
      <c r="V60" s="239">
        <f>IF(U60="","",IF($I$8="A",(RANK(U60,U$11:U$363)+COUNTIF(U$11:U60,U60)-1),(RANK(U60,U$11:U$363,1)+COUNTIF(U$11:U60,U60)-1)))</f>
        <v>59</v>
      </c>
      <c r="W60" s="240"/>
      <c r="X60" s="61" t="str">
        <f>IF(L60="","",VLOOKUP($L60,classifications!$C:$J,6,FALSE))</f>
        <v>Rural-50</v>
      </c>
      <c r="Y60" s="49" t="str">
        <f t="shared" si="6"/>
        <v/>
      </c>
      <c r="Z60" s="57" t="str">
        <f>IF(Y60="","",IF(I$8="A",(RANK(Y60,Y$11:Y$363,1)+COUNTIF(Y$11:Y60,Y60)-1),(RANK(Y60,Y$11:Y$363)+COUNTIF(Y$11:Y60,Y60)-1)))</f>
        <v/>
      </c>
      <c r="AA60" s="245" t="str">
        <f>IF(L60="","",VLOOKUP($L60,classifications!C:I,7,FALSE))</f>
        <v>Significant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East Sussex</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6.8419940109212609</v>
      </c>
      <c r="AY60" s="156"/>
      <c r="AZ60" s="44"/>
    </row>
    <row r="61" spans="1:52">
      <c r="A61" s="84" t="str">
        <f>$D$1&amp;51</f>
        <v>SD51</v>
      </c>
      <c r="B61" s="85" t="str">
        <f>IF(ISERROR(VLOOKUP(A61,classifications!A:C,3,FALSE)),0,VLOOKUP(A61,classifications!A:C,3,FALSE))</f>
        <v>Ribble Valley</v>
      </c>
      <c r="C61" s="31" t="s">
        <v>304</v>
      </c>
      <c r="D61" s="49" t="str">
        <f>VLOOKUP($C61,classifications!$C:$J,4,FALSE)</f>
        <v>UA</v>
      </c>
      <c r="E61" s="49">
        <f>VLOOKUP(C61,classifications!C:K,9,FALSE)</f>
        <v>0</v>
      </c>
      <c r="F61" s="59">
        <f t="shared" si="1"/>
        <v>19.152518463198074</v>
      </c>
      <c r="G61" s="105"/>
      <c r="H61" s="60" t="str">
        <f t="shared" si="2"/>
        <v/>
      </c>
      <c r="I61" s="112" t="str">
        <f>IF(H61="","",IF($I$8="A",(RANK(H61,H$11:H$363,1)+COUNTIF(H$11:H61,H61)-1),(RANK(H61,H$11:H$363)+COUNTIF(H$11:H61,H61)-1)))</f>
        <v/>
      </c>
      <c r="J61" s="58"/>
      <c r="K61" s="51">
        <f t="shared" si="13"/>
        <v>51</v>
      </c>
      <c r="L61" s="59" t="str">
        <f t="shared" si="14"/>
        <v>Chichester</v>
      </c>
      <c r="M61" s="153">
        <f t="shared" si="20"/>
        <v>5.3455858221201185</v>
      </c>
      <c r="N61" s="148">
        <f t="shared" si="21"/>
        <v>5.3455858221201185</v>
      </c>
      <c r="O61" s="131" t="str">
        <f t="shared" si="3"/>
        <v/>
      </c>
      <c r="P61" s="131">
        <f t="shared" si="15"/>
        <v>5.3455858221201185</v>
      </c>
      <c r="Q61" s="131" t="str">
        <f t="shared" si="16"/>
        <v/>
      </c>
      <c r="R61" s="127" t="str">
        <f t="shared" si="17"/>
        <v/>
      </c>
      <c r="S61" s="60" t="str">
        <f t="shared" si="4"/>
        <v/>
      </c>
      <c r="T61" s="231" t="str">
        <f>IF(L61="","",VLOOKUP(L61,classifications!C:K,9,FALSE))</f>
        <v>Sparse</v>
      </c>
      <c r="U61" s="238">
        <f t="shared" si="26"/>
        <v>5.3455858221201185</v>
      </c>
      <c r="V61" s="239">
        <f>IF(U61="","",IF($I$8="A",(RANK(U61,U$11:U$363)+COUNTIF(U$11:U61,U61)-1),(RANK(U61,U$11:U$363,1)+COUNTIF(U$11:U61,U61)-1)))</f>
        <v>58</v>
      </c>
      <c r="W61" s="240"/>
      <c r="X61" s="61" t="str">
        <f>IF(L61="","",VLOOKUP($L61,classifications!$C:$J,6,FALSE))</f>
        <v>Rural-80</v>
      </c>
      <c r="Y61" s="49">
        <f t="shared" si="6"/>
        <v>5.3455858221201185</v>
      </c>
      <c r="Z61" s="57">
        <f>IF(Y61="","",IF(I$8="A",(RANK(Y61,Y$11:Y$363,1)+COUNTIF(Y$11:Y61,Y61)-1),(RANK(Y61,Y$11:Y$363)+COUNTIF(Y$11:Y61,Y61)-1)))</f>
        <v>14</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West Sussex</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South East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19.152518463198074</v>
      </c>
      <c r="AY61" s="156"/>
      <c r="AZ61" s="44"/>
    </row>
    <row r="62" spans="1:52">
      <c r="A62" s="84" t="str">
        <f>$D$1&amp;52</f>
        <v>SD52</v>
      </c>
      <c r="B62" s="85" t="str">
        <f>IF(ISERROR(VLOOKUP(A62,classifications!A:C,3,FALSE)),0,VLOOKUP(A62,classifications!A:C,3,FALSE))</f>
        <v>Richmondshire</v>
      </c>
      <c r="C62" s="31" t="s">
        <v>32</v>
      </c>
      <c r="D62" s="49" t="str">
        <f>VLOOKUP($C62,classifications!$C:$J,4,FALSE)</f>
        <v>SD</v>
      </c>
      <c r="E62" s="49">
        <f>VLOOKUP(C62,classifications!C:K,9,FALSE)</f>
        <v>0</v>
      </c>
      <c r="F62" s="59">
        <f t="shared" si="1"/>
        <v>14.639803234078183</v>
      </c>
      <c r="G62" s="105"/>
      <c r="H62" s="60">
        <f t="shared" si="2"/>
        <v>14.639803234078183</v>
      </c>
      <c r="I62" s="112">
        <f>IF(H62="","",IF($I$8="A",(RANK(H62,H$11:H$363,1)+COUNTIF(H$11:H62,H62)-1),(RANK(H62,H$11:H$363)+COUNTIF(H$11:H62,H62)-1)))</f>
        <v>189</v>
      </c>
      <c r="J62" s="58"/>
      <c r="K62" s="51">
        <f t="shared" si="13"/>
        <v>52</v>
      </c>
      <c r="L62" s="59" t="str">
        <f t="shared" si="14"/>
        <v>Uttlesford</v>
      </c>
      <c r="M62" s="153">
        <f t="shared" si="20"/>
        <v>5.3466486120514558</v>
      </c>
      <c r="N62" s="148">
        <f t="shared" si="21"/>
        <v>5.3466486120514558</v>
      </c>
      <c r="O62" s="131" t="str">
        <f t="shared" si="3"/>
        <v/>
      </c>
      <c r="P62" s="131">
        <f t="shared" si="15"/>
        <v>5.3466486120514558</v>
      </c>
      <c r="Q62" s="131" t="str">
        <f t="shared" si="16"/>
        <v/>
      </c>
      <c r="R62" s="127" t="str">
        <f t="shared" si="17"/>
        <v/>
      </c>
      <c r="S62" s="60" t="str">
        <f t="shared" si="4"/>
        <v/>
      </c>
      <c r="T62" s="231" t="str">
        <f>IF(L62="","",VLOOKUP(L62,classifications!C:K,9,FALSE))</f>
        <v>Sparse</v>
      </c>
      <c r="U62" s="238">
        <f t="shared" si="26"/>
        <v>5.3466486120514558</v>
      </c>
      <c r="V62" s="239">
        <f>IF(U62="","",IF($I$8="A",(RANK(U62,U$11:U$363)+COUNTIF(U$11:U62,U62)-1),(RANK(U62,U$11:U$363,1)+COUNTIF(U$11:U62,U62)-1)))</f>
        <v>57</v>
      </c>
      <c r="W62" s="240"/>
      <c r="X62" s="61" t="str">
        <f>IF(L62="","",VLOOKUP($L62,classifications!$C:$J,6,FALSE))</f>
        <v>Rural-80</v>
      </c>
      <c r="Y62" s="49">
        <f t="shared" si="6"/>
        <v>5.3466486120514558</v>
      </c>
      <c r="Z62" s="57">
        <f>IF(Y62="","",IF(I$8="A",(RANK(Y62,Y$11:Y$363,1)+COUNTIF(Y$11:Y62,Y62)-1),(RANK(Y62,Y$11:Y$363)+COUNTIF(Y$11:Y62,Y62)-1)))</f>
        <v>15</v>
      </c>
      <c r="AA62" s="245" t="str">
        <f>IF(L62="","",VLOOKUP($L62,classifications!C:I,7,FALSE))</f>
        <v>Significant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Essex</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East of England</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14.639803234078183</v>
      </c>
      <c r="AY62" s="156"/>
      <c r="AZ62" s="44"/>
    </row>
    <row r="63" spans="1:52">
      <c r="A63" s="84" t="str">
        <f>$D$1&amp;53</f>
        <v>SD53</v>
      </c>
      <c r="B63" s="85" t="str">
        <f>IF(ISERROR(VLOOKUP(A63,classifications!A:C,3,FALSE)),0,VLOOKUP(A63,classifications!A:C,3,FALSE))</f>
        <v>Rother</v>
      </c>
      <c r="C63" s="31" t="s">
        <v>33</v>
      </c>
      <c r="D63" s="49" t="str">
        <f>VLOOKUP($C63,classifications!$C:$J,4,FALSE)</f>
        <v>SD</v>
      </c>
      <c r="E63" s="49">
        <f>VLOOKUP(C63,classifications!C:K,9,FALSE)</f>
        <v>0</v>
      </c>
      <c r="F63" s="59">
        <f t="shared" si="1"/>
        <v>3.7566735498404356</v>
      </c>
      <c r="G63" s="105"/>
      <c r="H63" s="60">
        <f t="shared" si="2"/>
        <v>3.7566735498404356</v>
      </c>
      <c r="I63" s="112">
        <f>IF(H63="","",IF($I$8="A",(RANK(H63,H$11:H$363,1)+COUNTIF(H$11:H63,H63)-1),(RANK(H63,H$11:H$363)+COUNTIF(H$11:H63,H63)-1)))</f>
        <v>12</v>
      </c>
      <c r="J63" s="58"/>
      <c r="K63" s="51">
        <f t="shared" si="13"/>
        <v>53</v>
      </c>
      <c r="L63" s="59" t="str">
        <f t="shared" si="14"/>
        <v>Vale of White Horse</v>
      </c>
      <c r="M63" s="153">
        <f t="shared" si="20"/>
        <v>5.4202515810688716</v>
      </c>
      <c r="N63" s="148">
        <f t="shared" si="21"/>
        <v>5.4202515810688716</v>
      </c>
      <c r="O63" s="131" t="str">
        <f t="shared" si="3"/>
        <v/>
      </c>
      <c r="P63" s="131">
        <f t="shared" si="15"/>
        <v>5.4202515810688716</v>
      </c>
      <c r="Q63" s="131" t="str">
        <f t="shared" si="16"/>
        <v/>
      </c>
      <c r="R63" s="127" t="str">
        <f t="shared" si="17"/>
        <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Rural-50</v>
      </c>
      <c r="Y63" s="49" t="str">
        <f t="shared" si="6"/>
        <v/>
      </c>
      <c r="Z63" s="57" t="str">
        <f>IF(Y63="","",IF(I$8="A",(RANK(Y63,Y$11:Y$363,1)+COUNTIF(Y$11:Y63,Y63)-1),(RANK(Y63,Y$11:Y$363)+COUNTIF(Y$11:Y63,Y63)-1)))</f>
        <v/>
      </c>
      <c r="AA63" s="245" t="str">
        <f>IF(L63="","",VLOOKUP($L63,classifications!C:I,7,FALSE))</f>
        <v>Predominantly Rural</v>
      </c>
      <c r="AB63" s="239">
        <f t="shared" si="7"/>
        <v>5.4202515810688716</v>
      </c>
      <c r="AC63" s="239">
        <f>IF(AB63="","",IF($I$8="A",(RANK(AB63,AB$11:AB$363)+COUNTIF(AB$11:AB63,AB63)-1),(RANK(AB63,AB$11:AB$363,1)+COUNTIF(AB$11:AB63,AB63)-1)))</f>
        <v>40</v>
      </c>
      <c r="AD63" s="239"/>
      <c r="AE63" s="51" t="str">
        <f t="shared" si="25"/>
        <v/>
      </c>
      <c r="AG63" s="143"/>
      <c r="AH63" s="52"/>
      <c r="AI63" s="61" t="str">
        <f>IF(L63="","",VLOOKUP($L63,classifications!$C:$J,8,FALSE))</f>
        <v>Oxfordshire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3.7566735498404356</v>
      </c>
      <c r="AY63" s="156"/>
      <c r="AZ63" s="44"/>
    </row>
    <row r="64" spans="1:52">
      <c r="A64" s="84" t="str">
        <f>$D$1&amp;54</f>
        <v>SD54</v>
      </c>
      <c r="B64" s="85" t="str">
        <f>IF(ISERROR(VLOOKUP(A64,classifications!A:C,3,FALSE)),0,VLOOKUP(A64,classifications!A:C,3,FALSE))</f>
        <v>Rugby</v>
      </c>
      <c r="C64" s="31" t="s">
        <v>34</v>
      </c>
      <c r="D64" s="49" t="str">
        <f>VLOOKUP($C64,classifications!$C:$J,4,FALSE)</f>
        <v>SD</v>
      </c>
      <c r="E64" s="49">
        <f>VLOOKUP(C64,classifications!C:K,9,FALSE)</f>
        <v>0</v>
      </c>
      <c r="F64" s="59">
        <f t="shared" si="1"/>
        <v>4.2235507109719759</v>
      </c>
      <c r="G64" s="105"/>
      <c r="H64" s="60">
        <f t="shared" si="2"/>
        <v>4.2235507109719759</v>
      </c>
      <c r="I64" s="112">
        <f>IF(H64="","",IF($I$8="A",(RANK(H64,H$11:H$363,1)+COUNTIF(H$11:H64,H64)-1),(RANK(H64,H$11:H$363)+COUNTIF(H$11:H64,H64)-1)))</f>
        <v>21</v>
      </c>
      <c r="J64" s="58"/>
      <c r="K64" s="51">
        <f t="shared" si="13"/>
        <v>54</v>
      </c>
      <c r="L64" s="59" t="str">
        <f t="shared" si="14"/>
        <v>Reigate &amp; Banstead</v>
      </c>
      <c r="M64" s="153">
        <f t="shared" si="20"/>
        <v>5.4934971404363484</v>
      </c>
      <c r="N64" s="148">
        <f t="shared" si="21"/>
        <v>5.4934971404363484</v>
      </c>
      <c r="O64" s="131" t="str">
        <f t="shared" si="3"/>
        <v/>
      </c>
      <c r="P64" s="131">
        <f t="shared" si="15"/>
        <v>5.4934971404363484</v>
      </c>
      <c r="Q64" s="131" t="str">
        <f t="shared" si="16"/>
        <v/>
      </c>
      <c r="R64" s="127" t="str">
        <f t="shared" si="17"/>
        <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Other Urban</v>
      </c>
      <c r="Y64" s="49" t="str">
        <f t="shared" si="6"/>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Surrey</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South East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4.2235507109719759</v>
      </c>
      <c r="AY64" s="156"/>
      <c r="AZ64" s="44"/>
    </row>
    <row r="65" spans="1:52">
      <c r="A65" s="84" t="str">
        <f>$D$1&amp;55</f>
        <v>SD55</v>
      </c>
      <c r="B65" s="85" t="str">
        <f>IF(ISERROR(VLOOKUP(A65,classifications!A:C,3,FALSE)),0,VLOOKUP(A65,classifications!A:C,3,FALSE))</f>
        <v>Ryedale</v>
      </c>
      <c r="C65" s="31" t="s">
        <v>35</v>
      </c>
      <c r="D65" s="49" t="str">
        <f>VLOOKUP($C65,classifications!$C:$J,4,FALSE)</f>
        <v>SD</v>
      </c>
      <c r="E65" s="49" t="str">
        <f>VLOOKUP(C65,classifications!C:K,9,FALSE)</f>
        <v>Sparse</v>
      </c>
      <c r="F65" s="59">
        <f t="shared" si="1"/>
        <v>3.9783733188827037</v>
      </c>
      <c r="G65" s="105"/>
      <c r="H65" s="60">
        <f t="shared" si="2"/>
        <v>3.9783733188827037</v>
      </c>
      <c r="I65" s="112">
        <f>IF(H65="","",IF($I$8="A",(RANK(H65,H$11:H$363,1)+COUNTIF(H$11:H65,H65)-1),(RANK(H65,H$11:H$363)+COUNTIF(H$11:H65,H65)-1)))</f>
        <v>17</v>
      </c>
      <c r="J65" s="58"/>
      <c r="K65" s="51">
        <f t="shared" si="13"/>
        <v>55</v>
      </c>
      <c r="L65" s="59" t="str">
        <f t="shared" si="14"/>
        <v>Hyndburn</v>
      </c>
      <c r="M65" s="153">
        <f t="shared" si="20"/>
        <v>5.5407377985204311</v>
      </c>
      <c r="N65" s="148">
        <f t="shared" si="21"/>
        <v>5.5407377985204311</v>
      </c>
      <c r="O65" s="131" t="str">
        <f t="shared" si="3"/>
        <v/>
      </c>
      <c r="P65" s="131">
        <f t="shared" si="15"/>
        <v>5.5407377985204311</v>
      </c>
      <c r="Q65" s="131" t="str">
        <f t="shared" si="16"/>
        <v/>
      </c>
      <c r="R65" s="127" t="str">
        <f t="shared" si="17"/>
        <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Other Urban</v>
      </c>
      <c r="Y65" s="49" t="str">
        <f t="shared" si="6"/>
        <v/>
      </c>
      <c r="Z65" s="57" t="str">
        <f>IF(Y65="","",IF(I$8="A",(RANK(Y65,Y$11:Y$363,1)+COUNTIF(Y$11:Y65,Y65)-1),(RANK(Y65,Y$11:Y$363)+COUNTIF(Y$11:Y65,Y65)-1)))</f>
        <v/>
      </c>
      <c r="AA65" s="245" t="str">
        <f>IF(L65="","",VLOOKUP($L65,classifications!C:I,7,FALSE))</f>
        <v>Significant Rural</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Lancashire</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North West</v>
      </c>
      <c r="AQ65" s="62">
        <f t="shared" si="10"/>
        <v>5.5407377985204311</v>
      </c>
      <c r="AR65" s="57">
        <f>IF(AQ65="","",IF(I$8="A",(RANK(AQ65,AQ$11:AQ$363,1)+COUNTIF(AQ$11:AQ65,AQ65)-1),(RANK(AQ65,AQ$11:AQ$363)+COUNTIF(AQ$11:AQ65,AQ65)-1)))</f>
        <v>2</v>
      </c>
      <c r="AS65" s="52" t="str">
        <f t="shared" si="23"/>
        <v/>
      </c>
      <c r="AT65" s="57" t="str">
        <f t="shared" si="11"/>
        <v/>
      </c>
      <c r="AU65" s="62" t="str">
        <f t="shared" si="12"/>
        <v/>
      </c>
      <c r="AX65" s="44">
        <f>HLOOKUP($AX$9&amp;$AX$10,Data!$A$1:$ZZ$2000,(MATCH($C65,Data!$A$1:$A$2000,0)),FALSE)</f>
        <v>3.9783733188827037</v>
      </c>
      <c r="AY65" s="156"/>
      <c r="AZ65" s="44"/>
    </row>
    <row r="66" spans="1:52">
      <c r="A66" s="84" t="str">
        <f>$D$1&amp;56</f>
        <v>SD56</v>
      </c>
      <c r="B66" s="85" t="str">
        <f>IF(ISERROR(VLOOKUP(A66,classifications!A:C,3,FALSE)),0,VLOOKUP(A66,classifications!A:C,3,FALSE))</f>
        <v>Scarborough</v>
      </c>
      <c r="C66" s="31" t="s">
        <v>305</v>
      </c>
      <c r="D66" s="49" t="str">
        <f>VLOOKUP($C66,classifications!$C:$J,4,FALSE)</f>
        <v>UA</v>
      </c>
      <c r="E66" s="49" t="str">
        <f>VLOOKUP(C66,classifications!C:K,9,FALSE)</f>
        <v>Sparse</v>
      </c>
      <c r="F66" s="59">
        <f t="shared" si="1"/>
        <v>9.7215530606334219</v>
      </c>
      <c r="G66" s="105"/>
      <c r="H66" s="60" t="str">
        <f t="shared" si="2"/>
        <v/>
      </c>
      <c r="I66" s="112" t="str">
        <f>IF(H66="","",IF($I$8="A",(RANK(H66,H$11:H$363,1)+COUNTIF(H$11:H66,H66)-1),(RANK(H66,H$11:H$363)+COUNTIF(H$11:H66,H66)-1)))</f>
        <v/>
      </c>
      <c r="J66" s="58"/>
      <c r="K66" s="51">
        <f t="shared" si="13"/>
        <v>56</v>
      </c>
      <c r="L66" s="59" t="str">
        <f t="shared" si="14"/>
        <v>Oadby &amp; Wigston</v>
      </c>
      <c r="M66" s="153">
        <f t="shared" si="20"/>
        <v>5.5815371525808279</v>
      </c>
      <c r="N66" s="148">
        <f t="shared" si="21"/>
        <v>5.5815371525808279</v>
      </c>
      <c r="O66" s="131" t="str">
        <f t="shared" si="3"/>
        <v/>
      </c>
      <c r="P66" s="131">
        <f t="shared" si="15"/>
        <v>5.5815371525808279</v>
      </c>
      <c r="Q66" s="131" t="str">
        <f t="shared" si="16"/>
        <v/>
      </c>
      <c r="R66" s="127" t="str">
        <f t="shared" si="17"/>
        <v/>
      </c>
      <c r="S66" s="60" t="str">
        <f t="shared" si="4"/>
        <v/>
      </c>
      <c r="T66" s="231">
        <f>IF(L66="","",VLOOKUP(L66,classifications!C:K,9,FALSE))</f>
        <v>0</v>
      </c>
      <c r="U66" s="238" t="str">
        <f t="shared" si="26"/>
        <v/>
      </c>
      <c r="V66" s="239" t="str">
        <f>IF(U66="","",IF($I$8="A",(RANK(U66,U$11:U$363)+COUNTIF(U$11:U66,U66)-1),(RANK(U66,U$11:U$363,1)+COUNTIF(U$11:U66,U66)-1)))</f>
        <v/>
      </c>
      <c r="W66" s="240"/>
      <c r="X66" s="61" t="str">
        <f>IF(L66="","",VLOOKUP($L66,classifications!$C:$J,6,FALSE))</f>
        <v>Large Urban</v>
      </c>
      <c r="Y66" s="49" t="str">
        <f t="shared" si="6"/>
        <v/>
      </c>
      <c r="Z66" s="57" t="str">
        <f>IF(Y66="","",IF(I$8="A",(RANK(Y66,Y$11:Y$363,1)+COUNTIF(Y$11:Y66,Y66)-1),(RANK(Y66,Y$11:Y$363)+COUNTIF(Y$11:Y66,Y66)-1)))</f>
        <v/>
      </c>
      <c r="AA66" s="245" t="str">
        <f>IF(L66="","",VLOOKUP($L66,classifications!C:I,7,FALSE))</f>
        <v>Significant Rural</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Leicestershire</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East Midlands</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9.7215530606334219</v>
      </c>
      <c r="AY66" s="156"/>
      <c r="AZ66" s="44"/>
    </row>
    <row r="67" spans="1:52">
      <c r="A67" s="84" t="str">
        <f>$D$1&amp;57</f>
        <v>SD57</v>
      </c>
      <c r="B67" s="85" t="str">
        <f>IF(ISERROR(VLOOKUP(A67,classifications!A:C,3,FALSE)),0,VLOOKUP(A67,classifications!A:C,3,FALSE))</f>
        <v>Sedgemoor</v>
      </c>
      <c r="C67" s="31" t="s">
        <v>822</v>
      </c>
      <c r="D67" s="49" t="str">
        <f>VLOOKUP($C67,classifications!$C:$J,4,FALSE)</f>
        <v>UA</v>
      </c>
      <c r="E67" s="49" t="str">
        <f>VLOOKUP(C67,classifications!C:K,9,FALSE)</f>
        <v>Sparse</v>
      </c>
      <c r="F67" s="59">
        <f t="shared" si="1"/>
        <v>12.129072959470749</v>
      </c>
      <c r="G67" s="105"/>
      <c r="H67" s="60" t="str">
        <f t="shared" si="2"/>
        <v/>
      </c>
      <c r="I67" s="112" t="str">
        <f>IF(H67="","",IF($I$8="A",(RANK(H67,H$11:H$363,1)+COUNTIF(H$11:H67,H67)-1),(RANK(H67,H$11:H$363)+COUNTIF(H$11:H67,H67)-1)))</f>
        <v/>
      </c>
      <c r="J67" s="58"/>
      <c r="K67" s="51">
        <f t="shared" si="13"/>
        <v>57</v>
      </c>
      <c r="L67" s="59" t="str">
        <f t="shared" si="14"/>
        <v>Thanet</v>
      </c>
      <c r="M67" s="153">
        <f t="shared" si="20"/>
        <v>5.5931467476608843</v>
      </c>
      <c r="N67" s="148">
        <f t="shared" si="21"/>
        <v>5.5931467476608843</v>
      </c>
      <c r="O67" s="131" t="str">
        <f t="shared" si="3"/>
        <v/>
      </c>
      <c r="P67" s="131">
        <f t="shared" si="15"/>
        <v>5.5931467476608843</v>
      </c>
      <c r="Q67" s="131" t="str">
        <f t="shared" si="16"/>
        <v/>
      </c>
      <c r="R67" s="127" t="str">
        <f t="shared" si="17"/>
        <v/>
      </c>
      <c r="S67" s="60" t="str">
        <f t="shared" si="4"/>
        <v/>
      </c>
      <c r="T67" s="231">
        <f>IF(L67="","",VLOOKUP(L67,classifications!C:K,9,FALSE))</f>
        <v>0</v>
      </c>
      <c r="U67" s="238" t="str">
        <f t="shared" si="26"/>
        <v/>
      </c>
      <c r="V67" s="239" t="str">
        <f>IF(U67="","",IF($I$8="A",(RANK(U67,U$11:U$363)+COUNTIF(U$11:U67,U67)-1),(RANK(U67,U$11:U$363,1)+COUNTIF(U$11:U67,U67)-1)))</f>
        <v/>
      </c>
      <c r="W67" s="240"/>
      <c r="X67" s="61" t="str">
        <f>IF(L67="","",VLOOKUP($L67,classifications!$C:$J,6,FALSE))</f>
        <v>Other Urban</v>
      </c>
      <c r="Y67" s="49" t="str">
        <f t="shared" si="6"/>
        <v/>
      </c>
      <c r="Z67" s="57" t="str">
        <f>IF(Y67="","",IF(I$8="A",(RANK(Y67,Y$11:Y$363,1)+COUNTIF(Y$11:Y67,Y67)-1),(RANK(Y67,Y$11:Y$363)+COUNTIF(Y$11:Y67,Y67)-1)))</f>
        <v/>
      </c>
      <c r="AA67" s="245" t="str">
        <f>IF(L67="","",VLOOKUP($L67,classifications!C:I,7,FALSE))</f>
        <v>Significant Rural</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Kent</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South East</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12.129072959470749</v>
      </c>
      <c r="AY67" s="156"/>
      <c r="AZ67" s="44"/>
    </row>
    <row r="68" spans="1:52">
      <c r="A68" s="84" t="str">
        <f>$D$1&amp;58</f>
        <v>SD58</v>
      </c>
      <c r="B68" s="85" t="str">
        <f>IF(ISERROR(VLOOKUP(A68,classifications!A:C,3,FALSE)),0,VLOOKUP(A68,classifications!A:C,3,FALSE))</f>
        <v>Sevenoaks</v>
      </c>
      <c r="C68" s="31" t="s">
        <v>36</v>
      </c>
      <c r="D68" s="49" t="str">
        <f>VLOOKUP($C68,classifications!$C:$J,4,FALSE)</f>
        <v>SD</v>
      </c>
      <c r="E68" s="49">
        <f>VLOOKUP(C68,classifications!C:K,9,FALSE)</f>
        <v>0</v>
      </c>
      <c r="F68" s="59">
        <f t="shared" si="1"/>
        <v>8.9520795308920036</v>
      </c>
      <c r="G68" s="105"/>
      <c r="H68" s="60">
        <f t="shared" si="2"/>
        <v>8.9520795308920036</v>
      </c>
      <c r="I68" s="112">
        <f>IF(H68="","",IF($I$8="A",(RANK(H68,H$11:H$363,1)+COUNTIF(H$11:H68,H68)-1),(RANK(H68,H$11:H$363)+COUNTIF(H$11:H68,H68)-1)))</f>
        <v>147</v>
      </c>
      <c r="J68" s="58"/>
      <c r="K68" s="51">
        <f t="shared" si="13"/>
        <v>58</v>
      </c>
      <c r="L68" s="59" t="str">
        <f t="shared" si="14"/>
        <v>East Hampshire</v>
      </c>
      <c r="M68" s="153">
        <f t="shared" si="20"/>
        <v>5.6096203095423673</v>
      </c>
      <c r="N68" s="148">
        <f t="shared" si="21"/>
        <v>5.6096203095423673</v>
      </c>
      <c r="O68" s="131" t="str">
        <f t="shared" si="3"/>
        <v/>
      </c>
      <c r="P68" s="131">
        <f t="shared" si="15"/>
        <v>5.6096203095423673</v>
      </c>
      <c r="Q68" s="131" t="str">
        <f t="shared" si="16"/>
        <v/>
      </c>
      <c r="R68" s="127" t="str">
        <f t="shared" si="17"/>
        <v/>
      </c>
      <c r="S68" s="60" t="str">
        <f t="shared" si="4"/>
        <v/>
      </c>
      <c r="T68" s="231" t="str">
        <f>IF(L68="","",VLOOKUP(L68,classifications!C:K,9,FALSE))</f>
        <v>Sparse</v>
      </c>
      <c r="U68" s="238">
        <f t="shared" si="26"/>
        <v>5.6096203095423673</v>
      </c>
      <c r="V68" s="239">
        <f>IF(U68="","",IF($I$8="A",(RANK(U68,U$11:U$363)+COUNTIF(U$11:U68,U68)-1),(RANK(U68,U$11:U$363,1)+COUNTIF(U$11:U68,U68)-1)))</f>
        <v>56</v>
      </c>
      <c r="W68" s="240"/>
      <c r="X68" s="61" t="str">
        <f>IF(L68="","",VLOOKUP($L68,classifications!$C:$J,6,FALSE))</f>
        <v>Rural-50</v>
      </c>
      <c r="Y68" s="49" t="str">
        <f t="shared" si="6"/>
        <v/>
      </c>
      <c r="Z68" s="57" t="str">
        <f>IF(Y68="","",IF(I$8="A",(RANK(Y68,Y$11:Y$363,1)+COUNTIF(Y$11:Y68,Y68)-1),(RANK(Y68,Y$11:Y$363)+COUNTIF(Y$11:Y68,Y68)-1)))</f>
        <v/>
      </c>
      <c r="AA68" s="245" t="str">
        <f>IF(L68="","",VLOOKUP($L68,classifications!C:I,7,FALSE))</f>
        <v>Significant Rural</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Hampshire</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South East</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8.9520795308920036</v>
      </c>
      <c r="AY68" s="156"/>
      <c r="AZ68" s="44"/>
    </row>
    <row r="69" spans="1:52">
      <c r="A69" s="84" t="str">
        <f>$D$1&amp;59</f>
        <v>SD59</v>
      </c>
      <c r="B69" s="85" t="str">
        <f>IF(ISERROR(VLOOKUP(A69,classifications!A:C,3,FALSE)),0,VLOOKUP(A69,classifications!A:C,3,FALSE))</f>
        <v>Shepway</v>
      </c>
      <c r="C69" s="31" t="s">
        <v>37</v>
      </c>
      <c r="D69" s="49" t="str">
        <f>VLOOKUP($C69,classifications!$C:$J,4,FALSE)</f>
        <v>SD</v>
      </c>
      <c r="E69" s="49" t="str">
        <f>VLOOKUP(C69,classifications!C:K,9,FALSE)</f>
        <v>Sparse</v>
      </c>
      <c r="F69" s="59">
        <f t="shared" si="1"/>
        <v>5.3455858221201185</v>
      </c>
      <c r="G69" s="105"/>
      <c r="H69" s="60">
        <f t="shared" si="2"/>
        <v>5.3455858221201185</v>
      </c>
      <c r="I69" s="112">
        <f>IF(H69="","",IF($I$8="A",(RANK(H69,H$11:H$363,1)+COUNTIF(H$11:H69,H69)-1),(RANK(H69,H$11:H$363)+COUNTIF(H$11:H69,H69)-1)))</f>
        <v>51</v>
      </c>
      <c r="J69" s="58"/>
      <c r="K69" s="51">
        <f t="shared" si="13"/>
        <v>59</v>
      </c>
      <c r="L69" s="59" t="str">
        <f t="shared" si="14"/>
        <v>Hertsmere</v>
      </c>
      <c r="M69" s="153">
        <f t="shared" si="20"/>
        <v>5.6297994009258421</v>
      </c>
      <c r="N69" s="148">
        <f t="shared" si="21"/>
        <v>5.6297994009258421</v>
      </c>
      <c r="O69" s="131" t="str">
        <f t="shared" si="3"/>
        <v/>
      </c>
      <c r="P69" s="131">
        <f t="shared" si="15"/>
        <v>5.6297994009258421</v>
      </c>
      <c r="Q69" s="131" t="str">
        <f t="shared" si="16"/>
        <v/>
      </c>
      <c r="R69" s="127" t="str">
        <f t="shared" si="17"/>
        <v/>
      </c>
      <c r="S69" s="60" t="str">
        <f t="shared" si="4"/>
        <v/>
      </c>
      <c r="T69" s="231">
        <f>IF(L69="","",VLOOKUP(L69,classifications!C:K,9,FALSE))</f>
        <v>0</v>
      </c>
      <c r="U69" s="238" t="str">
        <f t="shared" si="26"/>
        <v/>
      </c>
      <c r="V69" s="239" t="str">
        <f>IF(U69="","",IF($I$8="A",(RANK(U69,U$11:U$363)+COUNTIF(U$11:U69,U69)-1),(RANK(U69,U$11:U$363,1)+COUNTIF(U$11:U69,U69)-1)))</f>
        <v/>
      </c>
      <c r="W69" s="240"/>
      <c r="X69" s="61" t="str">
        <f>IF(L69="","",VLOOKUP($L69,classifications!$C:$J,6,FALSE))</f>
        <v>Significant Rural</v>
      </c>
      <c r="Y69" s="49" t="str">
        <f t="shared" si="6"/>
        <v/>
      </c>
      <c r="Z69" s="57" t="str">
        <f>IF(Y69="","",IF(I$8="A",(RANK(Y69,Y$11:Y$363,1)+COUNTIF(Y$11:Y69,Y69)-1),(RANK(Y69,Y$11:Y$363)+COUNTIF(Y$11:Y69,Y69)-1)))</f>
        <v/>
      </c>
      <c r="AA69" s="245" t="str">
        <f>IF(L69="","",VLOOKUP($L69,classifications!C:I,7,FALSE))</f>
        <v>Predominantly Urban</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Hertfordshire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East of England</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5.3455858221201185</v>
      </c>
      <c r="AY69" s="156"/>
      <c r="AZ69" s="44"/>
    </row>
    <row r="70" spans="1:52">
      <c r="A70" s="84" t="str">
        <f>$D$1&amp;60</f>
        <v>SD60</v>
      </c>
      <c r="B70" s="85" t="str">
        <f>IF(ISERROR(VLOOKUP(A70,classifications!A:C,3,FALSE)),0,VLOOKUP(A70,classifications!A:C,3,FALSE))</f>
        <v>South Cambridgeshire</v>
      </c>
      <c r="C70" s="31" t="s">
        <v>38</v>
      </c>
      <c r="D70" s="49" t="str">
        <f>VLOOKUP($C70,classifications!$C:$J,4,FALSE)</f>
        <v>SD</v>
      </c>
      <c r="E70" s="49">
        <f>VLOOKUP(C70,classifications!C:K,9,FALSE)</f>
        <v>0</v>
      </c>
      <c r="F70" s="59">
        <f t="shared" si="1"/>
        <v>2.7576582709326072</v>
      </c>
      <c r="G70" s="105"/>
      <c r="H70" s="60">
        <f t="shared" si="2"/>
        <v>2.7576582709326072</v>
      </c>
      <c r="I70" s="112">
        <f>IF(H70="","",IF($I$8="A",(RANK(H70,H$11:H$363,1)+COUNTIF(H$11:H70,H70)-1),(RANK(H70,H$11:H$363)+COUNTIF(H$11:H70,H70)-1)))</f>
        <v>5</v>
      </c>
      <c r="J70" s="58"/>
      <c r="K70" s="51">
        <f t="shared" si="13"/>
        <v>60</v>
      </c>
      <c r="L70" s="59" t="str">
        <f t="shared" si="14"/>
        <v>Fenland</v>
      </c>
      <c r="M70" s="153">
        <f t="shared" si="20"/>
        <v>5.6660818713450292</v>
      </c>
      <c r="N70" s="148">
        <f t="shared" si="21"/>
        <v>5.6660818713450292</v>
      </c>
      <c r="O70" s="131" t="str">
        <f t="shared" si="3"/>
        <v/>
      </c>
      <c r="P70" s="131">
        <f t="shared" si="15"/>
        <v>5.6660818713450292</v>
      </c>
      <c r="Q70" s="131" t="str">
        <f t="shared" si="16"/>
        <v/>
      </c>
      <c r="R70" s="127" t="str">
        <f t="shared" si="17"/>
        <v/>
      </c>
      <c r="S70" s="60" t="str">
        <f t="shared" si="4"/>
        <v/>
      </c>
      <c r="T70" s="231" t="str">
        <f>IF(L70="","",VLOOKUP(L70,classifications!C:K,9,FALSE))</f>
        <v>Sparse</v>
      </c>
      <c r="U70" s="238">
        <f t="shared" si="26"/>
        <v>5.6660818713450292</v>
      </c>
      <c r="V70" s="239">
        <f>IF(U70="","",IF($I$8="A",(RANK(U70,U$11:U$363)+COUNTIF(U$11:U70,U70)-1),(RANK(U70,U$11:U$363,1)+COUNTIF(U$11:U70,U70)-1)))</f>
        <v>55</v>
      </c>
      <c r="W70" s="240"/>
      <c r="X70" s="61" t="str">
        <f>IF(L70="","",VLOOKUP($L70,classifications!$C:$J,6,FALSE))</f>
        <v>Rural-80</v>
      </c>
      <c r="Y70" s="49">
        <f t="shared" si="6"/>
        <v>5.6660818713450292</v>
      </c>
      <c r="Z70" s="57">
        <f>IF(Y70="","",IF(I$8="A",(RANK(Y70,Y$11:Y$363,1)+COUNTIF(Y$11:Y70,Y70)-1),(RANK(Y70,Y$11:Y$363)+COUNTIF(Y$11:Y70,Y70)-1)))</f>
        <v>16</v>
      </c>
      <c r="AA70" s="245" t="str">
        <f>IF(L70="","",VLOOKUP($L70,classifications!C:I,7,FALSE))</f>
        <v>Predominantly Rural</v>
      </c>
      <c r="AB70" s="239">
        <f t="shared" si="7"/>
        <v>5.6660818713450292</v>
      </c>
      <c r="AC70" s="239">
        <f>IF(AB70="","",IF($I$8="A",(RANK(AB70,AB$11:AB$363)+COUNTIF(AB$11:AB70,AB70)-1),(RANK(AB70,AB$11:AB$363,1)+COUNTIF(AB$11:AB70,AB70)-1)))</f>
        <v>39</v>
      </c>
      <c r="AD70" s="239"/>
      <c r="AE70" s="51" t="str">
        <f t="shared" si="25"/>
        <v/>
      </c>
      <c r="AG70" s="143"/>
      <c r="AH70" s="52"/>
      <c r="AI70" s="61" t="str">
        <f>IF(L70="","",VLOOKUP($L70,classifications!$C:$J,8,FALSE))</f>
        <v>Cambridgeshire</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East of England</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2.7576582709326072</v>
      </c>
      <c r="AY70" s="156"/>
      <c r="AZ70" s="44"/>
    </row>
    <row r="71" spans="1:52">
      <c r="A71" s="84" t="str">
        <f>$D$1&amp;61</f>
        <v>SD61</v>
      </c>
      <c r="B71" s="85" t="str">
        <f>IF(ISERROR(VLOOKUP(A71,classifications!A:C,3,FALSE)),0,VLOOKUP(A71,classifications!A:C,3,FALSE))</f>
        <v>South Derbyshire</v>
      </c>
      <c r="C71" s="31" t="s">
        <v>39</v>
      </c>
      <c r="D71" s="49" t="str">
        <f>VLOOKUP($C71,classifications!$C:$J,4,FALSE)</f>
        <v>SD</v>
      </c>
      <c r="E71" s="49">
        <f>VLOOKUP(C71,classifications!C:K,9,FALSE)</f>
        <v>0</v>
      </c>
      <c r="F71" s="59">
        <f t="shared" si="1"/>
        <v>7.0023287405394914</v>
      </c>
      <c r="G71" s="105"/>
      <c r="H71" s="60">
        <f t="shared" si="2"/>
        <v>7.0023287405394914</v>
      </c>
      <c r="I71" s="112">
        <f>IF(H71="","",IF($I$8="A",(RANK(H71,H$11:H$363,1)+COUNTIF(H$11:H71,H71)-1),(RANK(H71,H$11:H$363)+COUNTIF(H$11:H71,H71)-1)))</f>
        <v>102</v>
      </c>
      <c r="J71" s="58"/>
      <c r="K71" s="51">
        <f t="shared" si="13"/>
        <v>61</v>
      </c>
      <c r="L71" s="59" t="str">
        <f t="shared" si="14"/>
        <v>Havant</v>
      </c>
      <c r="M71" s="153">
        <f t="shared" si="20"/>
        <v>5.7146600617416903</v>
      </c>
      <c r="N71" s="148">
        <f t="shared" si="21"/>
        <v>5.7146600617416903</v>
      </c>
      <c r="O71" s="131" t="str">
        <f t="shared" si="3"/>
        <v/>
      </c>
      <c r="P71" s="131">
        <f t="shared" si="15"/>
        <v>5.7146600617416903</v>
      </c>
      <c r="Q71" s="131" t="str">
        <f t="shared" si="16"/>
        <v/>
      </c>
      <c r="R71" s="127" t="str">
        <f t="shared" si="17"/>
        <v/>
      </c>
      <c r="S71" s="60" t="str">
        <f t="shared" si="4"/>
        <v/>
      </c>
      <c r="T71" s="231">
        <f>IF(L71="","",VLOOKUP(L71,classifications!C:K,9,FALSE))</f>
        <v>0</v>
      </c>
      <c r="U71" s="238" t="str">
        <f t="shared" si="26"/>
        <v/>
      </c>
      <c r="V71" s="239" t="str">
        <f>IF(U71="","",IF($I$8="A",(RANK(U71,U$11:U$363)+COUNTIF(U$11:U71,U71)-1),(RANK(U71,U$11:U$363,1)+COUNTIF(U$11:U71,U71)-1)))</f>
        <v/>
      </c>
      <c r="W71" s="240"/>
      <c r="X71" s="61" t="str">
        <f>IF(L71="","",VLOOKUP($L71,classifications!$C:$J,6,FALSE))</f>
        <v>Large Urban</v>
      </c>
      <c r="Y71" s="49" t="str">
        <f t="shared" si="6"/>
        <v/>
      </c>
      <c r="Z71" s="57" t="str">
        <f>IF(Y71="","",IF(I$8="A",(RANK(Y71,Y$11:Y$363,1)+COUNTIF(Y$11:Y71,Y71)-1),(RANK(Y71,Y$11:Y$363)+COUNTIF(Y$11:Y71,Y71)-1)))</f>
        <v/>
      </c>
      <c r="AA71" s="245" t="str">
        <f>IF(L71="","",VLOOKUP($L71,classifications!C:I,7,FALSE))</f>
        <v>Significant Rural</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Hampshire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South East</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7.0023287405394914</v>
      </c>
      <c r="AY71" s="156"/>
      <c r="AZ71" s="44"/>
    </row>
    <row r="72" spans="1:52">
      <c r="A72" s="84" t="str">
        <f>$D$1&amp;62</f>
        <v>SD62</v>
      </c>
      <c r="B72" s="85" t="str">
        <f>IF(ISERROR(VLOOKUP(A72,classifications!A:C,3,FALSE)),0,VLOOKUP(A72,classifications!A:C,3,FALSE))</f>
        <v>South Hams</v>
      </c>
      <c r="C72" s="31" t="s">
        <v>40</v>
      </c>
      <c r="D72" s="49" t="str">
        <f>VLOOKUP($C72,classifications!$C:$J,4,FALSE)</f>
        <v>SD</v>
      </c>
      <c r="E72" s="49">
        <f>VLOOKUP(C72,classifications!C:K,9,FALSE)</f>
        <v>0</v>
      </c>
      <c r="F72" s="59">
        <f t="shared" si="1"/>
        <v>7.1802740346506626</v>
      </c>
      <c r="G72" s="105"/>
      <c r="H72" s="60">
        <f t="shared" si="2"/>
        <v>7.1802740346506626</v>
      </c>
      <c r="I72" s="112">
        <f>IF(H72="","",IF($I$8="A",(RANK(H72,H$11:H$363,1)+COUNTIF(H$11:H72,H72)-1),(RANK(H72,H$11:H$363)+COUNTIF(H$11:H72,H72)-1)))</f>
        <v>110</v>
      </c>
      <c r="J72" s="58"/>
      <c r="K72" s="51">
        <f t="shared" si="13"/>
        <v>62</v>
      </c>
      <c r="L72" s="59" t="str">
        <f t="shared" si="14"/>
        <v>Harrogate</v>
      </c>
      <c r="M72" s="153">
        <f t="shared" si="20"/>
        <v>5.7191469732453335</v>
      </c>
      <c r="N72" s="148">
        <f t="shared" si="21"/>
        <v>5.7191469732453335</v>
      </c>
      <c r="O72" s="131" t="str">
        <f t="shared" si="3"/>
        <v/>
      </c>
      <c r="P72" s="131">
        <f t="shared" si="15"/>
        <v>5.7191469732453335</v>
      </c>
      <c r="Q72" s="131" t="str">
        <f t="shared" si="16"/>
        <v/>
      </c>
      <c r="R72" s="127" t="str">
        <f t="shared" si="17"/>
        <v/>
      </c>
      <c r="S72" s="60" t="str">
        <f t="shared" si="4"/>
        <v/>
      </c>
      <c r="T72" s="231" t="str">
        <f>IF(L72="","",VLOOKUP(L72,classifications!C:K,9,FALSE))</f>
        <v>Sparse</v>
      </c>
      <c r="U72" s="238">
        <f t="shared" si="26"/>
        <v>5.7191469732453335</v>
      </c>
      <c r="V72" s="239">
        <f>IF(U72="","",IF($I$8="A",(RANK(U72,U$11:U$363)+COUNTIF(U$11:U72,U72)-1),(RANK(U72,U$11:U$363,1)+COUNTIF(U$11:U72,U72)-1)))</f>
        <v>54</v>
      </c>
      <c r="W72" s="240"/>
      <c r="X72" s="61" t="str">
        <f>IF(L72="","",VLOOKUP($L72,classifications!$C:$J,6,FALSE))</f>
        <v>Significant Rural</v>
      </c>
      <c r="Y72" s="49" t="str">
        <f t="shared" si="6"/>
        <v/>
      </c>
      <c r="Z72" s="57" t="str">
        <f>IF(Y72="","",IF(I$8="A",(RANK(Y72,Y$11:Y$363,1)+COUNTIF(Y$11:Y72,Y72)-1),(RANK(Y72,Y$11:Y$363)+COUNTIF(Y$11:Y72,Y72)-1)))</f>
        <v/>
      </c>
      <c r="AA72" s="245" t="str">
        <f>IF(L72="","",VLOOKUP($L72,classifications!C:I,7,FALSE))</f>
        <v>Predominantly Rural</v>
      </c>
      <c r="AB72" s="239">
        <f t="shared" si="7"/>
        <v>5.7191469732453335</v>
      </c>
      <c r="AC72" s="239">
        <f>IF(AB72="","",IF($I$8="A",(RANK(AB72,AB$11:AB$363)+COUNTIF(AB$11:AB72,AB72)-1),(RANK(AB72,AB$11:AB$363,1)+COUNTIF(AB$11:AB72,AB72)-1)))</f>
        <v>38</v>
      </c>
      <c r="AD72" s="239"/>
      <c r="AE72" s="51" t="str">
        <f t="shared" si="25"/>
        <v/>
      </c>
      <c r="AG72" s="143"/>
      <c r="AH72" s="52"/>
      <c r="AI72" s="61" t="str">
        <f>IF(L72="","",VLOOKUP($L72,classifications!$C:$J,8,FALSE))</f>
        <v>North Yorkshire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Yorkshire &amp; Humberside</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7.1802740346506626</v>
      </c>
      <c r="AY72" s="156"/>
      <c r="AZ72" s="44"/>
    </row>
    <row r="73" spans="1:52">
      <c r="A73" s="84" t="str">
        <f>$D$1&amp;63</f>
        <v>SD63</v>
      </c>
      <c r="B73" s="85" t="str">
        <f>IF(ISERROR(VLOOKUP(A73,classifications!A:C,3,FALSE)),0,VLOOKUP(A73,classifications!A:C,3,FALSE))</f>
        <v>South Holland</v>
      </c>
      <c r="C73" s="31" t="s">
        <v>374</v>
      </c>
      <c r="D73" s="49" t="str">
        <f>VLOOKUP($C73,classifications!$C:$J,4,FALSE)</f>
        <v>L</v>
      </c>
      <c r="E73" s="49">
        <f>VLOOKUP(C73,classifications!C:K,9,FALSE)</f>
        <v>0</v>
      </c>
      <c r="F73" s="59">
        <f t="shared" si="1"/>
        <v>6.3472184896533186</v>
      </c>
      <c r="G73" s="105"/>
      <c r="H73" s="60" t="str">
        <f t="shared" si="2"/>
        <v/>
      </c>
      <c r="I73" s="112" t="str">
        <f>IF(H73="","",IF($I$8="A",(RANK(H73,H$11:H$363,1)+COUNTIF(H$11:H73,H73)-1),(RANK(H73,H$11:H$363)+COUNTIF(H$11:H73,H73)-1)))</f>
        <v/>
      </c>
      <c r="J73" s="58"/>
      <c r="K73" s="51">
        <f t="shared" si="13"/>
        <v>63</v>
      </c>
      <c r="L73" s="59" t="str">
        <f t="shared" si="14"/>
        <v>Corby</v>
      </c>
      <c r="M73" s="153">
        <f t="shared" si="20"/>
        <v>5.7270270270270274</v>
      </c>
      <c r="N73" s="148">
        <f t="shared" si="21"/>
        <v>5.7270270270270274</v>
      </c>
      <c r="O73" s="131" t="str">
        <f t="shared" si="3"/>
        <v/>
      </c>
      <c r="P73" s="131">
        <f t="shared" si="15"/>
        <v>5.7270270270270274</v>
      </c>
      <c r="Q73" s="131" t="str">
        <f t="shared" si="16"/>
        <v/>
      </c>
      <c r="R73" s="127" t="str">
        <f t="shared" si="17"/>
        <v/>
      </c>
      <c r="S73" s="60" t="str">
        <f t="shared" si="4"/>
        <v/>
      </c>
      <c r="T73" s="231">
        <f>IF(L73="","",VLOOKUP(L73,classifications!C:K,9,FALSE))</f>
        <v>0</v>
      </c>
      <c r="U73" s="238" t="str">
        <f t="shared" si="26"/>
        <v/>
      </c>
      <c r="V73" s="239" t="str">
        <f>IF(U73="","",IF($I$8="A",(RANK(U73,U$11:U$363)+COUNTIF(U$11:U73,U73)-1),(RANK(U73,U$11:U$363,1)+COUNTIF(U$11:U73,U73)-1)))</f>
        <v/>
      </c>
      <c r="W73" s="240"/>
      <c r="X73" s="61" t="str">
        <f>IF(L73="","",VLOOKUP($L73,classifications!$C:$J,6,FALSE))</f>
        <v>Other Urban</v>
      </c>
      <c r="Y73" s="49" t="str">
        <f t="shared" si="6"/>
        <v/>
      </c>
      <c r="Z73" s="57" t="str">
        <f>IF(Y73="","",IF(I$8="A",(RANK(Y73,Y$11:Y$363,1)+COUNTIF(Y$11:Y73,Y73)-1),(RANK(Y73,Y$11:Y$363)+COUNTIF(Y$11:Y73,Y73)-1)))</f>
        <v/>
      </c>
      <c r="AA73" s="245" t="str">
        <f>IF(L73="","",VLOOKUP($L73,classifications!C:I,7,FALSE))</f>
        <v>Significant Rural</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Northamptonshire</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East Midlands</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6.3472184896533186</v>
      </c>
      <c r="AY73" s="156"/>
      <c r="AZ73" s="44"/>
    </row>
    <row r="74" spans="1:52">
      <c r="A74" s="84" t="str">
        <f>$D$1&amp;64</f>
        <v>SD64</v>
      </c>
      <c r="B74" s="85" t="str">
        <f>IF(ISERROR(VLOOKUP(A74,classifications!A:C,3,FALSE)),0,VLOOKUP(A74,classifications!A:C,3,FALSE))</f>
        <v>South Kesteven</v>
      </c>
      <c r="C74" s="31" t="s">
        <v>280</v>
      </c>
      <c r="D74" s="49" t="str">
        <f>VLOOKUP($C74,classifications!$C:$J,4,FALSE)</f>
        <v>UA</v>
      </c>
      <c r="E74" s="49">
        <f>VLOOKUP(C74,classifications!C:K,9,FALSE)</f>
        <v>0</v>
      </c>
      <c r="F74" s="59">
        <f t="shared" si="1"/>
        <v>15.352243080645559</v>
      </c>
      <c r="G74" s="105"/>
      <c r="H74" s="60" t="str">
        <f t="shared" si="2"/>
        <v/>
      </c>
      <c r="I74" s="112" t="str">
        <f>IF(H74="","",IF($I$8="A",(RANK(H74,H$11:H$363,1)+COUNTIF(H$11:H74,H74)-1),(RANK(H74,H$11:H$363)+COUNTIF(H$11:H74,H74)-1)))</f>
        <v/>
      </c>
      <c r="J74" s="58"/>
      <c r="K74" s="51">
        <f t="shared" si="13"/>
        <v>64</v>
      </c>
      <c r="L74" s="59" t="str">
        <f t="shared" si="14"/>
        <v>Huntingdonshire</v>
      </c>
      <c r="M74" s="153">
        <f t="shared" si="20"/>
        <v>5.777402186421174</v>
      </c>
      <c r="N74" s="148">
        <f t="shared" si="21"/>
        <v>5.777402186421174</v>
      </c>
      <c r="O74" s="131" t="str">
        <f t="shared" si="3"/>
        <v/>
      </c>
      <c r="P74" s="131">
        <f t="shared" si="15"/>
        <v>5.777402186421174</v>
      </c>
      <c r="Q74" s="131" t="str">
        <f t="shared" si="16"/>
        <v/>
      </c>
      <c r="R74" s="127" t="str">
        <f t="shared" si="17"/>
        <v/>
      </c>
      <c r="S74" s="60" t="str">
        <f t="shared" si="4"/>
        <v/>
      </c>
      <c r="T74" s="231">
        <f>IF(L74="","",VLOOKUP(L74,classifications!C:K,9,FALSE))</f>
        <v>0</v>
      </c>
      <c r="U74" s="238" t="str">
        <f t="shared" si="26"/>
        <v/>
      </c>
      <c r="V74" s="239" t="str">
        <f>IF(U74="","",IF($I$8="A",(RANK(U74,U$11:U$363)+COUNTIF(U$11:U74,U74)-1),(RANK(U74,U$11:U$363,1)+COUNTIF(U$11:U74,U74)-1)))</f>
        <v/>
      </c>
      <c r="W74" s="240"/>
      <c r="X74" s="61" t="str">
        <f>IF(L74="","",VLOOKUP($L74,classifications!$C:$J,6,FALSE))</f>
        <v>Rural-80</v>
      </c>
      <c r="Y74" s="49">
        <f t="shared" si="6"/>
        <v>5.777402186421174</v>
      </c>
      <c r="Z74" s="57">
        <f>IF(Y74="","",IF(I$8="A",(RANK(Y74,Y$11:Y$363,1)+COUNTIF(Y$11:Y74,Y74)-1),(RANK(Y74,Y$11:Y$363)+COUNTIF(Y$11:Y74,Y74)-1)))</f>
        <v>17</v>
      </c>
      <c r="AA74" s="245" t="str">
        <f>IF(L74="","",VLOOKUP($L74,classifications!C:I,7,FALSE))</f>
        <v>Predominantly Rural</v>
      </c>
      <c r="AB74" s="239">
        <f t="shared" si="7"/>
        <v>5.777402186421174</v>
      </c>
      <c r="AC74" s="239">
        <f>IF(AB74="","",IF($I$8="A",(RANK(AB74,AB$11:AB$363)+COUNTIF(AB$11:AB74,AB74)-1),(RANK(AB74,AB$11:AB$363,1)+COUNTIF(AB$11:AB74,AB74)-1)))</f>
        <v>37</v>
      </c>
      <c r="AD74" s="239"/>
      <c r="AE74" s="51" t="str">
        <f t="shared" si="25"/>
        <v/>
      </c>
      <c r="AG74" s="143"/>
      <c r="AH74" s="52"/>
      <c r="AI74" s="61" t="str">
        <f>IF(L74="","",VLOOKUP($L74,classifications!$C:$J,8,FALSE))</f>
        <v>Cambridgeshire</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East of England</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15.352243080645559</v>
      </c>
      <c r="AY74" s="156"/>
      <c r="AZ74" s="44"/>
    </row>
    <row r="75" spans="1:52">
      <c r="A75" s="84" t="str">
        <f>$D$1&amp;65</f>
        <v>SD65</v>
      </c>
      <c r="B75" s="85" t="str">
        <f>IF(ISERROR(VLOOKUP(A75,classifications!A:C,3,FALSE)),0,VLOOKUP(A75,classifications!A:C,3,FALSE))</f>
        <v>South Lakeland</v>
      </c>
      <c r="C75" s="31" t="s">
        <v>41</v>
      </c>
      <c r="D75" s="49" t="str">
        <f>VLOOKUP($C75,classifications!$C:$J,4,FALSE)</f>
        <v>SD</v>
      </c>
      <c r="E75" s="49">
        <f>VLOOKUP(C75,classifications!C:K,9,FALSE)</f>
        <v>0</v>
      </c>
      <c r="F75" s="59">
        <f t="shared" ref="F75:F138" si="27">HLOOKUP($D$6,AX$10:ZX$363,ROW()-9,FALSE)</f>
        <v>11.236641447856401</v>
      </c>
      <c r="G75" s="105"/>
      <c r="H75" s="60">
        <f t="shared" ref="H75:H138" si="28">IF(D75=$D$1,HLOOKUP($D$6,$AX$10:$ZZ$363,ROW()-9,FALSE),"")</f>
        <v>11.236641447856401</v>
      </c>
      <c r="I75" s="112">
        <f>IF(H75="","",IF($I$8="A",(RANK(H75,H$11:H$363,1)+COUNTIF(H$11:H75,H75)-1),(RANK(H75,H$11:H$363)+COUNTIF(H$11:H75,H75)-1)))</f>
        <v>176</v>
      </c>
      <c r="J75" s="58"/>
      <c r="K75" s="51">
        <f t="shared" si="13"/>
        <v>65</v>
      </c>
      <c r="L75" s="59" t="str">
        <f t="shared" ref="L75:L138" si="29">IF(K75="","",INDEX(C$11:C$363,MATCH(K75,I$11:I$363,0)))</f>
        <v>Welwyn Hatfield</v>
      </c>
      <c r="M75" s="153">
        <f t="shared" si="20"/>
        <v>5.7996616723054615</v>
      </c>
      <c r="N75" s="148">
        <f t="shared" si="21"/>
        <v>5.7996616723054615</v>
      </c>
      <c r="O75" s="131" t="str">
        <f t="shared" ref="O75:O138" si="30">IF(I$8="A",IF(N75&gt;=$P$7,IF(N75&lt;=$O$10,N75,""),""),IF(N75&lt;=$P$7,IF(N75&gt;=$O$10,N75,""),""))</f>
        <v/>
      </c>
      <c r="P75" s="131">
        <f t="shared" si="15"/>
        <v>5.7996616723054615</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Other Urban</v>
      </c>
      <c r="Y75" s="49" t="str">
        <f t="shared" si="6"/>
        <v/>
      </c>
      <c r="Z75" s="57" t="str">
        <f>IF(Y75="","",IF(I$8="A",(RANK(Y75,Y$11:Y$363,1)+COUNTIF(Y$11:Y75,Y75)-1),(RANK(Y75,Y$11:Y$363)+COUNTIF(Y$11:Y75,Y75)-1)))</f>
        <v/>
      </c>
      <c r="AA75" s="245" t="str">
        <f>IF(L75="","",VLOOKUP($L75,classifications!C:I,7,FALSE))</f>
        <v>Predominantly Urban</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Hertfordshire</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East of England</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11.236641447856401</v>
      </c>
      <c r="AY75" s="156"/>
      <c r="AZ75" s="44"/>
    </row>
    <row r="76" spans="1:52">
      <c r="A76" s="84" t="str">
        <f>$D$1&amp;66</f>
        <v>SD66</v>
      </c>
      <c r="B76" s="85" t="str">
        <f>IF(ISERROR(VLOOKUP(A76,classifications!A:C,3,FALSE)),0,VLOOKUP(A76,classifications!A:C,3,FALSE))</f>
        <v>South Norfolk</v>
      </c>
      <c r="C76" s="31" t="s">
        <v>42</v>
      </c>
      <c r="D76" s="49" t="str">
        <f>VLOOKUP($C76,classifications!$C:$J,4,FALSE)</f>
        <v>SD</v>
      </c>
      <c r="E76" s="49">
        <f>VLOOKUP(C76,classifications!C:K,9,FALSE)</f>
        <v>0</v>
      </c>
      <c r="F76" s="59">
        <f t="shared" si="27"/>
        <v>10.42640922850364</v>
      </c>
      <c r="G76" s="105"/>
      <c r="H76" s="60">
        <f t="shared" si="28"/>
        <v>10.42640922850364</v>
      </c>
      <c r="I76" s="112">
        <f>IF(H76="","",IF($I$8="A",(RANK(H76,H$11:H$363,1)+COUNTIF(H$11:H76,H76)-1),(RANK(H76,H$11:H$363)+COUNTIF(H$11:H76,H76)-1)))</f>
        <v>162</v>
      </c>
      <c r="J76" s="58"/>
      <c r="K76" s="51">
        <f t="shared" si="13"/>
        <v>66</v>
      </c>
      <c r="L76" s="59" t="str">
        <f t="shared" si="29"/>
        <v>Blaby</v>
      </c>
      <c r="M76" s="153">
        <f t="shared" ref="M76:M139" si="33">IF(L76="","",IF(VLOOKUP(L76,C:D,2,FALSE)=$F$3,VLOOKUP(L76,C:H,6,FALSE),""))</f>
        <v>5.8001367885097652</v>
      </c>
      <c r="N76" s="148">
        <f t="shared" ref="N76:N139" si="34">IF(L76="","",IF($H$8="%%",M76*100,M76))</f>
        <v>5.8001367885097652</v>
      </c>
      <c r="O76" s="131" t="str">
        <f t="shared" si="30"/>
        <v/>
      </c>
      <c r="P76" s="131">
        <f t="shared" si="15"/>
        <v>5.8001367885097652</v>
      </c>
      <c r="Q76" s="131" t="str">
        <f t="shared" si="16"/>
        <v/>
      </c>
      <c r="R76" s="127" t="str">
        <f t="shared" si="17"/>
        <v/>
      </c>
      <c r="S76" s="60" t="str">
        <f t="shared" ref="S76:S139" si="35">IF(L76=D$3,"u","")</f>
        <v/>
      </c>
      <c r="T76" s="231">
        <f>IF(L76="","",VLOOKUP(L76,classifications!C:K,9,FALSE))</f>
        <v>0</v>
      </c>
      <c r="U76" s="238" t="str">
        <f t="shared" si="31"/>
        <v/>
      </c>
      <c r="V76" s="239" t="str">
        <f>IF(U76="","",IF($I$8="A",(RANK(U76,U$11:U$363)+COUNTIF(U$11:U76,U76)-1),(RANK(U76,U$11:U$363,1)+COUNTIF(U$11:U76,U76)-1)))</f>
        <v/>
      </c>
      <c r="W76" s="240"/>
      <c r="X76" s="61" t="str">
        <f>IF(L76="","",VLOOKUP($L76,classifications!$C:$J,6,FALSE))</f>
        <v>Large Urban</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Leicestershire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East Midlands</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10.42640922850364</v>
      </c>
      <c r="AY76" s="156"/>
      <c r="AZ76" s="44"/>
    </row>
    <row r="77" spans="1:52">
      <c r="A77" s="84" t="str">
        <f>$D$1&amp;67</f>
        <v>SD67</v>
      </c>
      <c r="B77" s="85" t="str">
        <f>IF(ISERROR(VLOOKUP(A77,classifications!A:C,3,FALSE)),0,VLOOKUP(A77,classifications!A:C,3,FALSE))</f>
        <v>South Northamptonshire</v>
      </c>
      <c r="C77" s="31" t="s">
        <v>43</v>
      </c>
      <c r="D77" s="49" t="str">
        <f>VLOOKUP($C77,classifications!$C:$J,4,FALSE)</f>
        <v>SD</v>
      </c>
      <c r="E77" s="49">
        <f>VLOOKUP(C77,classifications!C:K,9,FALSE)</f>
        <v>0</v>
      </c>
      <c r="F77" s="59">
        <f t="shared" si="27"/>
        <v>5.7270270270270274</v>
      </c>
      <c r="G77" s="105"/>
      <c r="H77" s="60">
        <f t="shared" si="28"/>
        <v>5.7270270270270274</v>
      </c>
      <c r="I77" s="112">
        <f>IF(H77="","",IF($I$8="A",(RANK(H77,H$11:H$363,1)+COUNTIF(H$11:H77,H77)-1),(RANK(H77,H$11:H$363)+COUNTIF(H$11:H77,H77)-1)))</f>
        <v>63</v>
      </c>
      <c r="J77" s="58"/>
      <c r="K77" s="51">
        <f t="shared" ref="K77:K140" si="43">IF(K76="","",IF(K76+1&gt;(COUNT(H$11:H$363)),"",K76+1))</f>
        <v>67</v>
      </c>
      <c r="L77" s="59" t="str">
        <f t="shared" si="29"/>
        <v>Burnley</v>
      </c>
      <c r="M77" s="153">
        <f t="shared" si="33"/>
        <v>5.8048115806130225</v>
      </c>
      <c r="N77" s="148">
        <f t="shared" si="34"/>
        <v>5.8048115806130225</v>
      </c>
      <c r="O77" s="131" t="str">
        <f t="shared" si="30"/>
        <v/>
      </c>
      <c r="P77" s="131">
        <f t="shared" ref="P77:P140" si="44">IF(I$8="A",IF(N77&gt;$O$10,IF(N77&lt;=$P$10,N77,""),""),IF(N77&lt;$O$10,IF(N77&gt;=$P$10,N77,""),""))</f>
        <v>5.8048115806130225</v>
      </c>
      <c r="Q77" s="131" t="str">
        <f t="shared" ref="Q77:Q140" si="45">IF(I$8="A",IF(N77&gt;$P$10,IF(N77&lt;=$Q$10,N77,""),""),IF(N77&lt;$P$10,IF(N77&gt;=$Q$10,N77,""),""))</f>
        <v/>
      </c>
      <c r="R77" s="127" t="str">
        <f t="shared" ref="R77:R140" si="46">IF(I$8="A",IF(N77&gt;$Q$10,N77,""),IF(N77&lt;$Q$10,N77,""))</f>
        <v/>
      </c>
      <c r="S77" s="60" t="str">
        <f t="shared" si="35"/>
        <v/>
      </c>
      <c r="T77" s="231">
        <f>IF(L77="","",VLOOKUP(L77,classifications!C:K,9,FALSE))</f>
        <v>0</v>
      </c>
      <c r="U77" s="238" t="str">
        <f t="shared" si="31"/>
        <v/>
      </c>
      <c r="V77" s="239" t="str">
        <f>IF(U77="","",IF($I$8="A",(RANK(U77,U$11:U$363)+COUNTIF(U$11:U77,U77)-1),(RANK(U77,U$11:U$363,1)+COUNTIF(U$11:U77,U77)-1)))</f>
        <v/>
      </c>
      <c r="W77" s="240"/>
      <c r="X77" s="61" t="str">
        <f>IF(L77="","",VLOOKUP($L77,classifications!$C:$J,6,FALSE))</f>
        <v>Other Urban</v>
      </c>
      <c r="Y77" s="49" t="str">
        <f t="shared" si="36"/>
        <v/>
      </c>
      <c r="Z77" s="57" t="str">
        <f>IF(Y77="","",IF(I$8="A",(RANK(Y77,Y$11:Y$363,1)+COUNTIF(Y$11:Y77,Y77)-1),(RANK(Y77,Y$11:Y$363)+COUNTIF(Y$11:Y77,Y77)-1)))</f>
        <v/>
      </c>
      <c r="AA77" s="245" t="str">
        <f>IF(L77="","",VLOOKUP($L77,classifications!C:I,7,FALSE))</f>
        <v>Significant Rural</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Lancashire</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North West</v>
      </c>
      <c r="AQ77" s="62">
        <f t="shared" si="39"/>
        <v>5.8048115806130225</v>
      </c>
      <c r="AR77" s="57">
        <f>IF(AQ77="","",IF(I$8="A",(RANK(AQ77,AQ$11:AQ$363,1)+COUNTIF(AQ$11:AQ77,AQ77)-1),(RANK(AQ77,AQ$11:AQ$363)+COUNTIF(AQ$11:AQ77,AQ77)-1)))</f>
        <v>3</v>
      </c>
      <c r="AS77" s="52" t="str">
        <f t="shared" si="40"/>
        <v/>
      </c>
      <c r="AT77" s="57" t="str">
        <f t="shared" si="41"/>
        <v/>
      </c>
      <c r="AU77" s="62" t="str">
        <f t="shared" si="42"/>
        <v/>
      </c>
      <c r="AX77" s="44">
        <f>HLOOKUP($AX$9&amp;$AX$10,Data!$A$1:$ZZ$2000,(MATCH($C77,Data!$A$1:$A$2000,0)),FALSE)</f>
        <v>5.7270270270270274</v>
      </c>
      <c r="AY77" s="156"/>
      <c r="AZ77" s="44"/>
    </row>
    <row r="78" spans="1:52">
      <c r="A78" s="84" t="str">
        <f>$D$1&amp;68</f>
        <v>SD68</v>
      </c>
      <c r="B78" s="85" t="str">
        <f>IF(ISERROR(VLOOKUP(A78,classifications!A:C,3,FALSE)),0,VLOOKUP(A78,classifications!A:C,3,FALSE))</f>
        <v>South Oxfordshire</v>
      </c>
      <c r="C78" s="31" t="s">
        <v>306</v>
      </c>
      <c r="D78" s="49" t="str">
        <f>VLOOKUP($C78,classifications!$C:$J,4,FALSE)</f>
        <v>UA</v>
      </c>
      <c r="E78" s="49" t="str">
        <f>VLOOKUP(C78,classifications!C:K,9,FALSE)</f>
        <v>Sparse</v>
      </c>
      <c r="F78" s="59">
        <f t="shared" si="27"/>
        <v>8.6026086465832048</v>
      </c>
      <c r="G78" s="105"/>
      <c r="H78" s="60" t="str">
        <f t="shared" si="28"/>
        <v/>
      </c>
      <c r="I78" s="112" t="str">
        <f>IF(H78="","",IF($I$8="A",(RANK(H78,H$11:H$363,1)+COUNTIF(H$11:H78,H78)-1),(RANK(H78,H$11:H$363)+COUNTIF(H$11:H78,H78)-1)))</f>
        <v/>
      </c>
      <c r="J78" s="58"/>
      <c r="K78" s="51">
        <f t="shared" si="43"/>
        <v>68</v>
      </c>
      <c r="L78" s="59" t="str">
        <f t="shared" si="29"/>
        <v>Waverley</v>
      </c>
      <c r="M78" s="153">
        <f t="shared" si="33"/>
        <v>5.8577297001232367</v>
      </c>
      <c r="N78" s="148">
        <f t="shared" si="34"/>
        <v>5.8577297001232367</v>
      </c>
      <c r="O78" s="131" t="str">
        <f t="shared" si="30"/>
        <v/>
      </c>
      <c r="P78" s="131">
        <f t="shared" si="44"/>
        <v>5.8577297001232367</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Rural-50</v>
      </c>
      <c r="Y78" s="49" t="str">
        <f t="shared" si="36"/>
        <v/>
      </c>
      <c r="Z78" s="57" t="str">
        <f>IF(Y78="","",IF(I$8="A",(RANK(Y78,Y$11:Y$363,1)+COUNTIF(Y$11:Y78,Y78)-1),(RANK(Y78,Y$11:Y$363)+COUNTIF(Y$11:Y78,Y78)-1)))</f>
        <v/>
      </c>
      <c r="AA78" s="245" t="str">
        <f>IF(L78="","",VLOOKUP($L78,classifications!C:I,7,FALSE))</f>
        <v>Predominantly Urban</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Surrey</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South East</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8.6026086465832048</v>
      </c>
      <c r="AY78" s="156"/>
      <c r="AZ78" s="44"/>
    </row>
    <row r="79" spans="1:52">
      <c r="A79" s="84" t="str">
        <f>$D$1&amp;69</f>
        <v>SD69</v>
      </c>
      <c r="B79" s="85" t="str">
        <f>IF(ISERROR(VLOOKUP(A79,classifications!A:C,3,FALSE)),0,VLOOKUP(A79,classifications!A:C,3,FALSE))</f>
        <v>South Somerset</v>
      </c>
      <c r="C79" s="31" t="s">
        <v>44</v>
      </c>
      <c r="D79" s="49" t="str">
        <f>VLOOKUP($C79,classifications!$C:$J,4,FALSE)</f>
        <v>SD</v>
      </c>
      <c r="E79" s="49" t="str">
        <f>VLOOKUP(C79,classifications!C:K,9,FALSE)</f>
        <v>Sparse</v>
      </c>
      <c r="F79" s="59">
        <f t="shared" si="27"/>
        <v>3.4104238618524332</v>
      </c>
      <c r="G79" s="105"/>
      <c r="H79" s="60">
        <f t="shared" si="28"/>
        <v>3.4104238618524332</v>
      </c>
      <c r="I79" s="112">
        <f>IF(H79="","",IF($I$8="A",(RANK(H79,H$11:H$363,1)+COUNTIF(H$11:H79,H79)-1),(RANK(H79,H$11:H$363)+COUNTIF(H$11:H79,H79)-1)))</f>
        <v>9</v>
      </c>
      <c r="J79" s="58"/>
      <c r="K79" s="51">
        <f t="shared" si="43"/>
        <v>69</v>
      </c>
      <c r="L79" s="59" t="str">
        <f t="shared" si="29"/>
        <v>West Somerset</v>
      </c>
      <c r="M79" s="153">
        <f t="shared" si="33"/>
        <v>5.8645399357219379</v>
      </c>
      <c r="N79" s="148">
        <f t="shared" si="34"/>
        <v>5.8645399357219379</v>
      </c>
      <c r="O79" s="131" t="str">
        <f t="shared" si="30"/>
        <v/>
      </c>
      <c r="P79" s="131">
        <f t="shared" si="44"/>
        <v>5.8645399357219379</v>
      </c>
      <c r="Q79" s="131" t="str">
        <f t="shared" si="45"/>
        <v/>
      </c>
      <c r="R79" s="127" t="str">
        <f t="shared" si="46"/>
        <v/>
      </c>
      <c r="S79" s="60" t="str">
        <f t="shared" si="35"/>
        <v/>
      </c>
      <c r="T79" s="231" t="str">
        <f>IF(L79="","",VLOOKUP(L79,classifications!C:K,9,FALSE))</f>
        <v>Sparse</v>
      </c>
      <c r="U79" s="238">
        <f t="shared" si="31"/>
        <v>5.8645399357219379</v>
      </c>
      <c r="V79" s="239">
        <f>IF(U79="","",IF($I$8="A",(RANK(U79,U$11:U$363)+COUNTIF(U$11:U79,U79)-1),(RANK(U79,U$11:U$363,1)+COUNTIF(U$11:U79,U79)-1)))</f>
        <v>53</v>
      </c>
      <c r="W79" s="240"/>
      <c r="X79" s="61" t="str">
        <f>IF(L79="","",VLOOKUP($L79,classifications!$C:$J,6,FALSE))</f>
        <v>Rural-80</v>
      </c>
      <c r="Y79" s="49">
        <f t="shared" si="36"/>
        <v>5.8645399357219379</v>
      </c>
      <c r="Z79" s="57">
        <f>IF(Y79="","",IF(I$8="A",(RANK(Y79,Y$11:Y$363,1)+COUNTIF(Y$11:Y79,Y79)-1),(RANK(Y79,Y$11:Y$363)+COUNTIF(Y$11:Y79,Y79)-1)))</f>
        <v>18</v>
      </c>
      <c r="AA79" s="245" t="str">
        <f>IF(L79="","",VLOOKUP($L79,classifications!C:I,7,FALSE))</f>
        <v>Predominantly Rural</v>
      </c>
      <c r="AB79" s="239">
        <f t="shared" si="37"/>
        <v>5.8645399357219379</v>
      </c>
      <c r="AC79" s="239">
        <f>IF(AB79="","",IF($I$8="A",(RANK(AB79,AB$11:AB$363)+COUNTIF(AB$11:AB79,AB79)-1),(RANK(AB79,AB$11:AB$363,1)+COUNTIF(AB$11:AB79,AB79)-1)))</f>
        <v>36</v>
      </c>
      <c r="AD79" s="239"/>
      <c r="AE79" s="51" t="str">
        <f t="shared" si="25"/>
        <v/>
      </c>
      <c r="AG79" s="143"/>
      <c r="AH79" s="52"/>
      <c r="AI79" s="61" t="str">
        <f>IF(L79="","",VLOOKUP($L79,classifications!$C:$J,8,FALSE))</f>
        <v>Somerset</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South West</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3.4104238618524332</v>
      </c>
      <c r="AY79" s="156"/>
      <c r="AZ79" s="44"/>
    </row>
    <row r="80" spans="1:52">
      <c r="A80" s="84" t="str">
        <f>$D$1&amp;70</f>
        <v>SD70</v>
      </c>
      <c r="B80" s="85" t="str">
        <f>IF(ISERROR(VLOOKUP(A80,classifications!A:C,3,FALSE)),0,VLOOKUP(A80,classifications!A:C,3,FALSE))</f>
        <v>South Staffordshire</v>
      </c>
      <c r="C80" s="31" t="s">
        <v>267</v>
      </c>
      <c r="D80" s="49" t="str">
        <f>VLOOKUP($C80,classifications!$C:$J,4,FALSE)</f>
        <v>UA</v>
      </c>
      <c r="E80" s="49" t="str">
        <f>VLOOKUP(C80,classifications!C:K,9,FALSE)</f>
        <v>Sparse</v>
      </c>
      <c r="F80" s="59">
        <f t="shared" si="27"/>
        <v>9.2709444302658266</v>
      </c>
      <c r="G80" s="105"/>
      <c r="H80" s="60" t="str">
        <f t="shared" si="28"/>
        <v/>
      </c>
      <c r="I80" s="112" t="str">
        <f>IF(H80="","",IF($I$8="A",(RANK(H80,H$11:H$363,1)+COUNTIF(H$11:H80,H80)-1),(RANK(H80,H$11:H$363)+COUNTIF(H$11:H80,H80)-1)))</f>
        <v/>
      </c>
      <c r="J80" s="58"/>
      <c r="K80" s="51">
        <f t="shared" si="43"/>
        <v>70</v>
      </c>
      <c r="L80" s="59" t="str">
        <f t="shared" si="29"/>
        <v>Staffordshire Moorlands</v>
      </c>
      <c r="M80" s="153">
        <f t="shared" si="33"/>
        <v>5.8687818253035644</v>
      </c>
      <c r="N80" s="148">
        <f t="shared" si="34"/>
        <v>5.8687818253035644</v>
      </c>
      <c r="O80" s="131" t="str">
        <f t="shared" si="30"/>
        <v/>
      </c>
      <c r="P80" s="131">
        <f t="shared" si="44"/>
        <v>5.8687818253035644</v>
      </c>
      <c r="Q80" s="131" t="str">
        <f t="shared" si="45"/>
        <v/>
      </c>
      <c r="R80" s="127" t="str">
        <f t="shared" si="46"/>
        <v/>
      </c>
      <c r="S80" s="60" t="str">
        <f t="shared" si="35"/>
        <v/>
      </c>
      <c r="T80" s="231">
        <f>IF(L80="","",VLOOKUP(L80,classifications!C:K,9,FALSE))</f>
        <v>0</v>
      </c>
      <c r="U80" s="238" t="str">
        <f t="shared" si="31"/>
        <v/>
      </c>
      <c r="V80" s="239" t="str">
        <f>IF(U80="","",IF($I$8="A",(RANK(U80,U$11:U$363)+COUNTIF(U$11:U80,U80)-1),(RANK(U80,U$11:U$363,1)+COUNTIF(U$11:U80,U80)-1)))</f>
        <v/>
      </c>
      <c r="W80" s="240"/>
      <c r="X80" s="61" t="str">
        <f>IF(L80="","",VLOOKUP($L80,classifications!$C:$J,6,FALSE))</f>
        <v>Rural-50</v>
      </c>
      <c r="Y80" s="49" t="str">
        <f t="shared" si="36"/>
        <v/>
      </c>
      <c r="Z80" s="57" t="str">
        <f>IF(Y80="","",IF(I$8="A",(RANK(Y80,Y$11:Y$363,1)+COUNTIF(Y$11:Y80,Y80)-1),(RANK(Y80,Y$11:Y$363)+COUNTIF(Y$11:Y80,Y80)-1)))</f>
        <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Staffordshire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West Midlands</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9.2709444302658266</v>
      </c>
      <c r="AY80" s="156"/>
      <c r="AZ80" s="44"/>
    </row>
    <row r="81" spans="1:52">
      <c r="A81" s="84" t="str">
        <f>$D$1&amp;71</f>
        <v>SD71</v>
      </c>
      <c r="B81" s="85" t="str">
        <f>IF(ISERROR(VLOOKUP(A81,classifications!A:C,3,FALSE)),0,VLOOKUP(A81,classifications!A:C,3,FALSE))</f>
        <v>St Edmundsbury</v>
      </c>
      <c r="C81" s="31" t="s">
        <v>229</v>
      </c>
      <c r="D81" s="49" t="str">
        <f>VLOOKUP($C81,classifications!$C:$J,4,FALSE)</f>
        <v>MD</v>
      </c>
      <c r="E81" s="49">
        <f>VLOOKUP(C81,classifications!C:K,9,FALSE)</f>
        <v>0</v>
      </c>
      <c r="F81" s="59">
        <f t="shared" si="27"/>
        <v>12.711334293470641</v>
      </c>
      <c r="G81" s="105"/>
      <c r="H81" s="60" t="str">
        <f t="shared" si="28"/>
        <v/>
      </c>
      <c r="I81" s="112" t="str">
        <f>IF(H81="","",IF($I$8="A",(RANK(H81,H$11:H$363,1)+COUNTIF(H$11:H81,H81)-1),(RANK(H81,H$11:H$363)+COUNTIF(H$11:H81,H81)-1)))</f>
        <v/>
      </c>
      <c r="J81" s="58"/>
      <c r="K81" s="51">
        <f t="shared" si="43"/>
        <v>71</v>
      </c>
      <c r="L81" s="59" t="str">
        <f t="shared" si="29"/>
        <v>Cannock Chase</v>
      </c>
      <c r="M81" s="153">
        <f t="shared" si="33"/>
        <v>5.9700294582248219</v>
      </c>
      <c r="N81" s="148">
        <f t="shared" si="34"/>
        <v>5.9700294582248219</v>
      </c>
      <c r="O81" s="131" t="str">
        <f t="shared" si="30"/>
        <v/>
      </c>
      <c r="P81" s="131">
        <f t="shared" si="44"/>
        <v>5.9700294582248219</v>
      </c>
      <c r="Q81" s="131" t="str">
        <f t="shared" si="45"/>
        <v/>
      </c>
      <c r="R81" s="127" t="str">
        <f t="shared" si="46"/>
        <v/>
      </c>
      <c r="S81" s="60" t="str">
        <f t="shared" si="35"/>
        <v/>
      </c>
      <c r="T81" s="231">
        <f>IF(L81="","",VLOOKUP(L81,classifications!C:K,9,FALSE))</f>
        <v>0</v>
      </c>
      <c r="U81" s="238" t="str">
        <f t="shared" si="31"/>
        <v/>
      </c>
      <c r="V81" s="239" t="str">
        <f>IF(U81="","",IF($I$8="A",(RANK(U81,U$11:U$363)+COUNTIF(U$11:U81,U81)-1),(RANK(U81,U$11:U$363,1)+COUNTIF(U$11:U81,U81)-1)))</f>
        <v/>
      </c>
      <c r="W81" s="240"/>
      <c r="X81" s="61" t="str">
        <f>IF(L81="","",VLOOKUP($L81,classifications!$C:$J,6,FALSE))</f>
        <v>Significant Rural</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Staffordshire</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West Midlands</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12.711334293470641</v>
      </c>
      <c r="AY81" s="156"/>
      <c r="AZ81" s="44"/>
    </row>
    <row r="82" spans="1:52">
      <c r="A82" s="84" t="str">
        <f>$D$1&amp;72</f>
        <v>SD72</v>
      </c>
      <c r="B82" s="85" t="str">
        <f>IF(ISERROR(VLOOKUP(A82,classifications!A:C,3,FALSE)),0,VLOOKUP(A82,classifications!A:C,3,FALSE))</f>
        <v>Stafford</v>
      </c>
      <c r="C82" s="31" t="s">
        <v>45</v>
      </c>
      <c r="D82" s="49" t="str">
        <f>VLOOKUP($C82,classifications!$C:$J,4,FALSE)</f>
        <v>SD</v>
      </c>
      <c r="E82" s="49" t="str">
        <f>VLOOKUP(C82,classifications!C:K,9,FALSE)</f>
        <v>Sparse</v>
      </c>
      <c r="F82" s="59">
        <f t="shared" si="27"/>
        <v>6.4517194957777502</v>
      </c>
      <c r="G82" s="105"/>
      <c r="H82" s="60">
        <f t="shared" si="28"/>
        <v>6.4517194957777502</v>
      </c>
      <c r="I82" s="112">
        <f>IF(H82="","",IF($I$8="A",(RANK(H82,H$11:H$363,1)+COUNTIF(H$11:H82,H82)-1),(RANK(H82,H$11:H$363)+COUNTIF(H$11:H82,H82)-1)))</f>
        <v>83</v>
      </c>
      <c r="J82" s="58"/>
      <c r="K82" s="51">
        <f t="shared" si="43"/>
        <v>72</v>
      </c>
      <c r="L82" s="59" t="str">
        <f t="shared" si="29"/>
        <v>Erewash</v>
      </c>
      <c r="M82" s="153">
        <f t="shared" si="33"/>
        <v>5.9822073734509145</v>
      </c>
      <c r="N82" s="148">
        <f t="shared" si="34"/>
        <v>5.9822073734509145</v>
      </c>
      <c r="O82" s="131" t="str">
        <f t="shared" si="30"/>
        <v/>
      </c>
      <c r="P82" s="131">
        <f t="shared" si="44"/>
        <v>5.9822073734509145</v>
      </c>
      <c r="Q82" s="131" t="str">
        <f t="shared" si="45"/>
        <v/>
      </c>
      <c r="R82" s="127" t="str">
        <f t="shared" si="46"/>
        <v/>
      </c>
      <c r="S82" s="60" t="str">
        <f t="shared" si="35"/>
        <v/>
      </c>
      <c r="T82" s="231">
        <f>IF(L82="","",VLOOKUP(L82,classifications!C:K,9,FALSE))</f>
        <v>0</v>
      </c>
      <c r="U82" s="238" t="str">
        <f t="shared" si="31"/>
        <v/>
      </c>
      <c r="V82" s="239" t="str">
        <f>IF(U82="","",IF($I$8="A",(RANK(U82,U$11:U$363)+COUNTIF(U$11:U82,U82)-1),(RANK(U82,U$11:U$363,1)+COUNTIF(U$11:U82,U82)-1)))</f>
        <v/>
      </c>
      <c r="W82" s="240"/>
      <c r="X82" s="61" t="str">
        <f>IF(L82="","",VLOOKUP($L82,classifications!$C:$J,6,FALSE))</f>
        <v>Large Urban</v>
      </c>
      <c r="Y82" s="49" t="str">
        <f t="shared" si="36"/>
        <v/>
      </c>
      <c r="Z82" s="57" t="str">
        <f>IF(Y82="","",IF(I$8="A",(RANK(Y82,Y$11:Y$363,1)+COUNTIF(Y$11:Y82,Y82)-1),(RANK(Y82,Y$11:Y$363)+COUNTIF(Y$11:Y82,Y82)-1)))</f>
        <v/>
      </c>
      <c r="AA82" s="245" t="str">
        <f>IF(L82="","",VLOOKUP($L82,classifications!C:I,7,FALSE))</f>
        <v>Significant Rural</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Derbyshire</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East Midlands</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6.4517194957777502</v>
      </c>
      <c r="AY82" s="156"/>
      <c r="AZ82" s="44"/>
    </row>
    <row r="83" spans="1:52">
      <c r="A83" s="84" t="str">
        <f>$D$1&amp;73</f>
        <v>SD73</v>
      </c>
      <c r="B83" s="85" t="str">
        <f>IF(ISERROR(VLOOKUP(A83,classifications!A:C,3,FALSE)),0,VLOOKUP(A83,classifications!A:C,3,FALSE))</f>
        <v>Stratford-on-Avon</v>
      </c>
      <c r="C83" s="31" t="s">
        <v>46</v>
      </c>
      <c r="D83" s="49" t="str">
        <f>VLOOKUP($C83,classifications!$C:$J,4,FALSE)</f>
        <v>SD</v>
      </c>
      <c r="E83" s="49">
        <f>VLOOKUP(C83,classifications!C:K,9,FALSE)</f>
        <v>0</v>
      </c>
      <c r="F83" s="59" t="str">
        <f t="shared" si="27"/>
        <v/>
      </c>
      <c r="G83" s="105"/>
      <c r="H83" s="60" t="str">
        <f t="shared" si="28"/>
        <v/>
      </c>
      <c r="I83" s="112" t="str">
        <f>IF(H83="","",IF($I$8="A",(RANK(H83,H$11:H$363,1)+COUNTIF(H$11:H83,H83)-1),(RANK(H83,H$11:H$363)+COUNTIF(H$11:H83,H83)-1)))</f>
        <v/>
      </c>
      <c r="J83" s="58"/>
      <c r="K83" s="51">
        <f t="shared" si="43"/>
        <v>73</v>
      </c>
      <c r="L83" s="59" t="str">
        <f t="shared" si="29"/>
        <v>Epping Forest</v>
      </c>
      <c r="M83" s="153">
        <f t="shared" si="33"/>
        <v>6.0389410022216738</v>
      </c>
      <c r="N83" s="148">
        <f t="shared" si="34"/>
        <v>6.0389410022216738</v>
      </c>
      <c r="O83" s="131" t="str">
        <f t="shared" si="30"/>
        <v/>
      </c>
      <c r="P83" s="131">
        <f t="shared" si="44"/>
        <v>6.0389410022216738</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Significant Rural</v>
      </c>
      <c r="Y83" s="49" t="str">
        <f t="shared" si="36"/>
        <v/>
      </c>
      <c r="Z83" s="57" t="str">
        <f>IF(Y83="","",IF(I$8="A",(RANK(Y83,Y$11:Y$363,1)+COUNTIF(Y$11:Y83,Y83)-1),(RANK(Y83,Y$11:Y$363)+COUNTIF(Y$11:Y83,Y83)-1)))</f>
        <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Essex</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of England</v>
      </c>
      <c r="AQ83" s="62" t="str">
        <f t="shared" si="39"/>
        <v/>
      </c>
      <c r="AR83" s="57" t="str">
        <f>IF(AQ83="","",IF(I$8="A",(RANK(AQ83,AQ$11:AQ$363,1)+COUNTIF(AQ$11:AQ83,AQ83)-1),(RANK(AQ83,AQ$11:AQ$363)+COUNTIF(AQ$11:AQ83,AQ83)-1)))</f>
        <v/>
      </c>
      <c r="AS83" s="52" t="str">
        <f t="shared" si="40"/>
        <v/>
      </c>
      <c r="AT83" s="57" t="str">
        <f t="shared" si="41"/>
        <v/>
      </c>
      <c r="AU83" s="62" t="str">
        <f t="shared" si="48"/>
        <v/>
      </c>
      <c r="AX83" s="44" t="str">
        <f>HLOOKUP($AX$9&amp;$AX$10,Data!$A$1:$ZZ$2000,(MATCH($C83,Data!$A$1:$A$2000,0)),FALSE)</f>
        <v/>
      </c>
      <c r="AY83" s="156"/>
      <c r="AZ83" s="44"/>
    </row>
    <row r="84" spans="1:52">
      <c r="A84" s="84" t="str">
        <f>$D$1&amp;74</f>
        <v>SD74</v>
      </c>
      <c r="B84" s="85" t="str">
        <f>IF(ISERROR(VLOOKUP(A84,classifications!A:C,3,FALSE)),0,VLOOKUP(A84,classifications!A:C,3,FALSE))</f>
        <v>Stroud</v>
      </c>
      <c r="C84" s="31" t="s">
        <v>202</v>
      </c>
      <c r="D84" s="49" t="str">
        <f>VLOOKUP($C84,classifications!$C:$J,4,FALSE)</f>
        <v>L</v>
      </c>
      <c r="E84" s="49">
        <f>VLOOKUP(C84,classifications!C:K,9,FALSE)</f>
        <v>0</v>
      </c>
      <c r="F84" s="59" t="str">
        <f t="shared" si="27"/>
        <v/>
      </c>
      <c r="G84" s="105"/>
      <c r="H84" s="60" t="str">
        <f t="shared" si="28"/>
        <v/>
      </c>
      <c r="I84" s="112" t="str">
        <f>IF(H84="","",IF($I$8="A",(RANK(H84,H$11:H$363,1)+COUNTIF(H$11:H84,H84)-1),(RANK(H84,H$11:H$363)+COUNTIF(H$11:H84,H84)-1)))</f>
        <v/>
      </c>
      <c r="J84" s="58"/>
      <c r="K84" s="51">
        <f t="shared" si="43"/>
        <v>74</v>
      </c>
      <c r="L84" s="59" t="str">
        <f t="shared" si="29"/>
        <v>Dover</v>
      </c>
      <c r="M84" s="153">
        <f t="shared" si="33"/>
        <v>6.0519275399690562</v>
      </c>
      <c r="N84" s="148">
        <f t="shared" si="34"/>
        <v>6.0519275399690562</v>
      </c>
      <c r="O84" s="131" t="str">
        <f t="shared" si="30"/>
        <v/>
      </c>
      <c r="P84" s="131">
        <f t="shared" si="44"/>
        <v>6.0519275399690562</v>
      </c>
      <c r="Q84" s="131" t="str">
        <f t="shared" si="45"/>
        <v/>
      </c>
      <c r="R84" s="127" t="str">
        <f t="shared" si="46"/>
        <v/>
      </c>
      <c r="S84" s="60" t="str">
        <f t="shared" si="35"/>
        <v/>
      </c>
      <c r="T84" s="231" t="str">
        <f>IF(L84="","",VLOOKUP(L84,classifications!C:K,9,FALSE))</f>
        <v>Sparse</v>
      </c>
      <c r="U84" s="238">
        <f t="shared" si="31"/>
        <v>6.0519275399690562</v>
      </c>
      <c r="V84" s="239">
        <f>IF(U84="","",IF($I$8="A",(RANK(U84,U$11:U$363)+COUNTIF(U$11:U84,U84)-1),(RANK(U84,U$11:U$363,1)+COUNTIF(U$11:U84,U84)-1)))</f>
        <v>52</v>
      </c>
      <c r="W84" s="240"/>
      <c r="X84" s="61" t="str">
        <f>IF(L84="","",VLOOKUP($L84,classifications!$C:$J,6,FALSE))</f>
        <v>Rural-50</v>
      </c>
      <c r="Y84" s="49" t="str">
        <f t="shared" si="36"/>
        <v/>
      </c>
      <c r="Z84" s="57" t="str">
        <f>IF(Y84="","",IF(I$8="A",(RANK(Y84,Y$11:Y$363,1)+COUNTIF(Y$11:Y84,Y84)-1),(RANK(Y84,Y$11:Y$363)+COUNTIF(Y$11:Y84,Y84)-1)))</f>
        <v/>
      </c>
      <c r="AA84" s="245" t="str">
        <f>IF(L84="","",VLOOKUP($L84,classifications!C:I,7,FALSE))</f>
        <v>Significant Rural</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Kent</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South East</v>
      </c>
      <c r="AQ84" s="62" t="str">
        <f t="shared" si="39"/>
        <v/>
      </c>
      <c r="AR84" s="57" t="str">
        <f>IF(AQ84="","",IF(I$8="A",(RANK(AQ84,AQ$11:AQ$363,1)+COUNTIF(AQ$11:AQ84,AQ84)-1),(RANK(AQ84,AQ$11:AQ$363)+COUNTIF(AQ$11:AQ84,AQ84)-1)))</f>
        <v/>
      </c>
      <c r="AS84" s="52" t="str">
        <f t="shared" si="40"/>
        <v/>
      </c>
      <c r="AT84" s="57" t="str">
        <f t="shared" si="41"/>
        <v/>
      </c>
      <c r="AU84" s="62" t="str">
        <f t="shared" si="48"/>
        <v/>
      </c>
      <c r="AX84" s="44" t="str">
        <f>HLOOKUP($AX$9&amp;$AX$10,Data!$A$1:$ZZ$2000,(MATCH($C84,Data!$A$1:$A$2000,0)),FALSE)</f>
        <v/>
      </c>
      <c r="AY84" s="156"/>
      <c r="AZ84" s="44"/>
    </row>
    <row r="85" spans="1:52">
      <c r="A85" s="84" t="str">
        <f>$D$1&amp;75</f>
        <v>SD75</v>
      </c>
      <c r="B85" s="85" t="str">
        <f>IF(ISERROR(VLOOKUP(A85,classifications!A:C,3,FALSE)),0,VLOOKUP(A85,classifications!A:C,3,FALSE))</f>
        <v>Suffolk Coastal</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Tunbridge Wells</v>
      </c>
      <c r="M85" s="153">
        <f t="shared" si="33"/>
        <v>6.0892448512585808</v>
      </c>
      <c r="N85" s="148">
        <f t="shared" si="34"/>
        <v>6.0892448512585808</v>
      </c>
      <c r="O85" s="131" t="str">
        <f t="shared" si="30"/>
        <v/>
      </c>
      <c r="P85" s="131">
        <f t="shared" si="44"/>
        <v>6.0892448512585808</v>
      </c>
      <c r="Q85" s="131" t="str">
        <f t="shared" si="45"/>
        <v/>
      </c>
      <c r="R85" s="127" t="str">
        <f t="shared" si="46"/>
        <v/>
      </c>
      <c r="S85" s="60" t="str">
        <f t="shared" si="35"/>
        <v/>
      </c>
      <c r="T85" s="231" t="str">
        <f>IF(L85="","",VLOOKUP(L85,classifications!C:K,9,FALSE))</f>
        <v>Sparse</v>
      </c>
      <c r="U85" s="238">
        <f t="shared" si="31"/>
        <v>6.0892448512585808</v>
      </c>
      <c r="V85" s="239">
        <f>IF(U85="","",IF($I$8="A",(RANK(U85,U$11:U$363)+COUNTIF(U$11:U85,U85)-1),(RANK(U85,U$11:U$363,1)+COUNTIF(U$11:U85,U85)-1)))</f>
        <v>51</v>
      </c>
      <c r="W85" s="240"/>
      <c r="X85" s="61" t="str">
        <f>IF(L85="","",VLOOKUP($L85,classifications!$C:$J,6,FALSE))</f>
        <v>Significant Rural</v>
      </c>
      <c r="Y85" s="49" t="str">
        <f t="shared" si="36"/>
        <v/>
      </c>
      <c r="Z85" s="57" t="str">
        <f>IF(Y85="","",IF(I$8="A",(RANK(Y85,Y$11:Y$363,1)+COUNTIF(Y$11:Y85,Y85)-1),(RANK(Y85,Y$11:Y$363)+COUNTIF(Y$11:Y85,Y85)-1)))</f>
        <v/>
      </c>
      <c r="AA85" s="245" t="str">
        <f>IF(L85="","",VLOOKUP($L85,classifications!C:I,7,FALSE))</f>
        <v>Significant Rural</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Kent</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East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Tandridge</v>
      </c>
      <c r="C86" s="31" t="s">
        <v>47</v>
      </c>
      <c r="D86" s="49" t="str">
        <f>VLOOKUP($C86,classifications!$C:$J,4,FALSE)</f>
        <v>SD</v>
      </c>
      <c r="E86" s="49">
        <f>VLOOKUP(C86,classifications!C:K,9,FALSE)</f>
        <v>0</v>
      </c>
      <c r="F86" s="59">
        <f t="shared" si="27"/>
        <v>9.9836593216142617</v>
      </c>
      <c r="G86" s="105"/>
      <c r="H86" s="60">
        <f t="shared" si="28"/>
        <v>9.9836593216142617</v>
      </c>
      <c r="I86" s="112">
        <f>IF(H86="","",IF($I$8="A",(RANK(H86,H$11:H$363,1)+COUNTIF(H$11:H86,H86)-1),(RANK(H86,H$11:H$363)+COUNTIF(H$11:H86,H86)-1)))</f>
        <v>160</v>
      </c>
      <c r="J86" s="58"/>
      <c r="K86" s="51">
        <f t="shared" si="43"/>
        <v>76</v>
      </c>
      <c r="L86" s="59" t="str">
        <f t="shared" si="29"/>
        <v>Kettering</v>
      </c>
      <c r="M86" s="153">
        <f t="shared" si="33"/>
        <v>6.1096268491940826</v>
      </c>
      <c r="N86" s="148">
        <f t="shared" si="34"/>
        <v>6.1096268491940826</v>
      </c>
      <c r="O86" s="131" t="str">
        <f t="shared" si="30"/>
        <v/>
      </c>
      <c r="P86" s="131">
        <f t="shared" si="44"/>
        <v>6.1096268491940826</v>
      </c>
      <c r="Q86" s="131" t="str">
        <f t="shared" si="45"/>
        <v/>
      </c>
      <c r="R86" s="127" t="str">
        <f t="shared" si="46"/>
        <v/>
      </c>
      <c r="S86" s="60" t="str">
        <f t="shared" si="35"/>
        <v/>
      </c>
      <c r="T86" s="231">
        <f>IF(L86="","",VLOOKUP(L86,classifications!C:K,9,FALSE))</f>
        <v>0</v>
      </c>
      <c r="U86" s="238" t="str">
        <f t="shared" si="31"/>
        <v/>
      </c>
      <c r="V86" s="239" t="str">
        <f>IF(U86="","",IF($I$8="A",(RANK(U86,U$11:U$363)+COUNTIF(U$11:U86,U86)-1),(RANK(U86,U$11:U$363,1)+COUNTIF(U$11:U86,U86)-1)))</f>
        <v/>
      </c>
      <c r="W86" s="240"/>
      <c r="X86" s="61" t="str">
        <f>IF(L86="","",VLOOKUP($L86,classifications!$C:$J,6,FALSE))</f>
        <v>Significant Rural</v>
      </c>
      <c r="Y86" s="49" t="str">
        <f t="shared" si="36"/>
        <v/>
      </c>
      <c r="Z86" s="57" t="str">
        <f>IF(Y86="","",IF(I$8="A",(RANK(Y86,Y$11:Y$363,1)+COUNTIF(Y$11:Y86,Y86)-1),(RANK(Y86,Y$11:Y$363)+COUNTIF(Y$11:Y86,Y86)-1)))</f>
        <v/>
      </c>
      <c r="AA86" s="245" t="str">
        <f>IF(L86="","",VLOOKUP($L86,classifications!C:I,7,FALSE))</f>
        <v>Significant Rural</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Northamptonshire</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East Midlands</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9.9836593216142617</v>
      </c>
      <c r="AY86" s="156"/>
      <c r="AZ86" s="44"/>
    </row>
    <row r="87" spans="1:52">
      <c r="A87" s="84" t="str">
        <f>$D$1&amp;77</f>
        <v>SD77</v>
      </c>
      <c r="B87" s="85" t="str">
        <f>IF(ISERROR(VLOOKUP(A87,classifications!A:C,3,FALSE)),0,VLOOKUP(A87,classifications!A:C,3,FALSE))</f>
        <v>Taunton Deane</v>
      </c>
      <c r="C87" s="31" t="s">
        <v>265</v>
      </c>
      <c r="D87" s="49" t="str">
        <f>VLOOKUP($C87,classifications!$C:$J,4,FALSE)</f>
        <v>UA</v>
      </c>
      <c r="E87" s="49">
        <f>VLOOKUP(C87,classifications!C:K,9,FALSE)</f>
        <v>0</v>
      </c>
      <c r="F87" s="59">
        <f t="shared" si="27"/>
        <v>3.6665713332380001</v>
      </c>
      <c r="G87" s="105"/>
      <c r="H87" s="60" t="str">
        <f t="shared" si="28"/>
        <v/>
      </c>
      <c r="I87" s="112" t="str">
        <f>IF(H87="","",IF($I$8="A",(RANK(H87,H$11:H$363,1)+COUNTIF(H$11:H87,H87)-1),(RANK(H87,H$11:H$363)+COUNTIF(H$11:H87,H87)-1)))</f>
        <v/>
      </c>
      <c r="J87" s="58"/>
      <c r="K87" s="51">
        <f t="shared" si="43"/>
        <v>77</v>
      </c>
      <c r="L87" s="59" t="str">
        <f t="shared" si="29"/>
        <v>Stroud</v>
      </c>
      <c r="M87" s="153">
        <f t="shared" si="33"/>
        <v>6.2665420172431698</v>
      </c>
      <c r="N87" s="148">
        <f t="shared" si="34"/>
        <v>6.2665420172431698</v>
      </c>
      <c r="O87" s="131" t="str">
        <f t="shared" si="30"/>
        <v/>
      </c>
      <c r="P87" s="131">
        <f t="shared" si="44"/>
        <v>6.2665420172431698</v>
      </c>
      <c r="Q87" s="131" t="str">
        <f t="shared" si="45"/>
        <v/>
      </c>
      <c r="R87" s="127" t="str">
        <f t="shared" si="46"/>
        <v/>
      </c>
      <c r="S87" s="60" t="str">
        <f t="shared" si="35"/>
        <v/>
      </c>
      <c r="T87" s="231" t="str">
        <f>IF(L87="","",VLOOKUP(L87,classifications!C:K,9,FALSE))</f>
        <v>Sparse</v>
      </c>
      <c r="U87" s="238">
        <f t="shared" si="31"/>
        <v>6.2665420172431698</v>
      </c>
      <c r="V87" s="239">
        <f>IF(U87="","",IF($I$8="A",(RANK(U87,U$11:U$363)+COUNTIF(U$11:U87,U87)-1),(RANK(U87,U$11:U$363,1)+COUNTIF(U$11:U87,U87)-1)))</f>
        <v>50</v>
      </c>
      <c r="W87" s="240"/>
      <c r="X87" s="61" t="str">
        <f>IF(L87="","",VLOOKUP($L87,classifications!$C:$J,6,FALSE))</f>
        <v>Rural-50</v>
      </c>
      <c r="Y87" s="49" t="str">
        <f t="shared" si="36"/>
        <v/>
      </c>
      <c r="Z87" s="57" t="str">
        <f>IF(Y87="","",IF(I$8="A",(RANK(Y87,Y$11:Y$363,1)+COUNTIF(Y$11:Y87,Y87)-1),(RANK(Y87,Y$11:Y$363)+COUNTIF(Y$11:Y87,Y87)-1)))</f>
        <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Gloucestershire</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South West</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3.6665713332380001</v>
      </c>
      <c r="AY87" s="156"/>
      <c r="AZ87" s="44"/>
    </row>
    <row r="88" spans="1:52">
      <c r="A88" s="84" t="str">
        <f>$D$1&amp;78</f>
        <v>SD78</v>
      </c>
      <c r="B88" s="85" t="str">
        <f>IF(ISERROR(VLOOKUP(A88,classifications!A:C,3,FALSE)),0,VLOOKUP(A88,classifications!A:C,3,FALSE))</f>
        <v>Teignbridge</v>
      </c>
      <c r="C88" s="31" t="s">
        <v>48</v>
      </c>
      <c r="D88" s="49" t="str">
        <f>VLOOKUP($C88,classifications!$C:$J,4,FALSE)</f>
        <v>SD</v>
      </c>
      <c r="E88" s="49">
        <f>VLOOKUP(C88,classifications!C:K,9,FALSE)</f>
        <v>0</v>
      </c>
      <c r="F88" s="59">
        <f t="shared" si="27"/>
        <v>11.502347417840376</v>
      </c>
      <c r="G88" s="105"/>
      <c r="H88" s="60">
        <f t="shared" si="28"/>
        <v>11.502347417840376</v>
      </c>
      <c r="I88" s="112">
        <f>IF(H88="","",IF($I$8="A",(RANK(H88,H$11:H$363,1)+COUNTIF(H$11:H88,H88)-1),(RANK(H88,H$11:H$363)+COUNTIF(H$11:H88,H88)-1)))</f>
        <v>177</v>
      </c>
      <c r="J88" s="58"/>
      <c r="K88" s="51">
        <f t="shared" si="43"/>
        <v>78</v>
      </c>
      <c r="L88" s="59" t="str">
        <f t="shared" si="29"/>
        <v>Malvern Hills</v>
      </c>
      <c r="M88" s="153">
        <f t="shared" si="33"/>
        <v>6.2759835079883182</v>
      </c>
      <c r="N88" s="148">
        <f t="shared" si="34"/>
        <v>6.2759835079883182</v>
      </c>
      <c r="O88" s="131" t="str">
        <f t="shared" si="30"/>
        <v/>
      </c>
      <c r="P88" s="131">
        <f t="shared" si="44"/>
        <v>6.2759835079883182</v>
      </c>
      <c r="Q88" s="131" t="str">
        <f t="shared" si="45"/>
        <v/>
      </c>
      <c r="R88" s="127" t="str">
        <f t="shared" si="46"/>
        <v/>
      </c>
      <c r="S88" s="60" t="str">
        <f t="shared" si="35"/>
        <v/>
      </c>
      <c r="T88" s="231" t="str">
        <f>IF(L88="","",VLOOKUP(L88,classifications!C:K,9,FALSE))</f>
        <v>Sparse</v>
      </c>
      <c r="U88" s="238">
        <f t="shared" si="31"/>
        <v>6.2759835079883182</v>
      </c>
      <c r="V88" s="239">
        <f>IF(U88="","",IF($I$8="A",(RANK(U88,U$11:U$363)+COUNTIF(U$11:U88,U88)-1),(RANK(U88,U$11:U$363,1)+COUNTIF(U$11:U88,U88)-1)))</f>
        <v>49</v>
      </c>
      <c r="W88" s="240"/>
      <c r="X88" s="61" t="str">
        <f>IF(L88="","",VLOOKUP($L88,classifications!$C:$J,6,FALSE))</f>
        <v>Rural-50</v>
      </c>
      <c r="Y88" s="49" t="str">
        <f t="shared" si="36"/>
        <v/>
      </c>
      <c r="Z88" s="57" t="str">
        <f>IF(Y88="","",IF(I$8="A",(RANK(Y88,Y$11:Y$363,1)+COUNTIF(Y$11:Y88,Y88)-1),(RANK(Y88,Y$11:Y$363)+COUNTIF(Y$11:Y88,Y88)-1)))</f>
        <v/>
      </c>
      <c r="AA88" s="245" t="str">
        <f>IF(L88="","",VLOOKUP($L88,classifications!C:I,7,FALSE))</f>
        <v>Significant Rural</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Worcestershire</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West Midlands</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11.502347417840376</v>
      </c>
      <c r="AY88" s="156"/>
      <c r="AZ88" s="44"/>
    </row>
    <row r="89" spans="1:52">
      <c r="A89" s="84" t="str">
        <f>$D$1&amp;79</f>
        <v>SD79</v>
      </c>
      <c r="B89" s="85" t="str">
        <f>IF(ISERROR(VLOOKUP(A89,classifications!A:C,3,FALSE)),0,VLOOKUP(A89,classifications!A:C,3,FALSE))</f>
        <v>Tewkesbury</v>
      </c>
      <c r="C89" s="31" t="s">
        <v>49</v>
      </c>
      <c r="D89" s="49" t="str">
        <f>VLOOKUP($C89,classifications!$C:$J,4,FALSE)</f>
        <v>SD</v>
      </c>
      <c r="E89" s="49" t="str">
        <f>VLOOKUP(C89,classifications!C:K,9,FALSE)</f>
        <v>Sparse</v>
      </c>
      <c r="F89" s="59">
        <f t="shared" si="27"/>
        <v>4.0188679245283021</v>
      </c>
      <c r="G89" s="105"/>
      <c r="H89" s="60">
        <f t="shared" si="28"/>
        <v>4.0188679245283021</v>
      </c>
      <c r="I89" s="112">
        <f>IF(H89="","",IF($I$8="A",(RANK(H89,H$11:H$363,1)+COUNTIF(H$11:H89,H89)-1),(RANK(H89,H$11:H$363)+COUNTIF(H$11:H89,H89)-1)))</f>
        <v>18</v>
      </c>
      <c r="J89" s="58"/>
      <c r="K89" s="51">
        <f t="shared" si="43"/>
        <v>79</v>
      </c>
      <c r="L89" s="59" t="str">
        <f t="shared" si="29"/>
        <v>South Somerset</v>
      </c>
      <c r="M89" s="153">
        <f t="shared" si="33"/>
        <v>6.2872034079821031</v>
      </c>
      <c r="N89" s="148">
        <f t="shared" si="34"/>
        <v>6.2872034079821031</v>
      </c>
      <c r="O89" s="131" t="str">
        <f t="shared" si="30"/>
        <v/>
      </c>
      <c r="P89" s="131">
        <f t="shared" si="44"/>
        <v>6.2872034079821031</v>
      </c>
      <c r="Q89" s="131" t="str">
        <f t="shared" si="45"/>
        <v/>
      </c>
      <c r="R89" s="127" t="str">
        <f t="shared" si="46"/>
        <v/>
      </c>
      <c r="S89" s="60" t="str">
        <f t="shared" si="35"/>
        <v/>
      </c>
      <c r="T89" s="231" t="str">
        <f>IF(L89="","",VLOOKUP(L89,classifications!C:K,9,FALSE))</f>
        <v>Sparse</v>
      </c>
      <c r="U89" s="238">
        <f t="shared" si="31"/>
        <v>6.2872034079821031</v>
      </c>
      <c r="V89" s="239">
        <f>IF(U89="","",IF($I$8="A",(RANK(U89,U$11:U$363)+COUNTIF(U$11:U89,U89)-1),(RANK(U89,U$11:U$363,1)+COUNTIF(U$11:U89,U89)-1)))</f>
        <v>48</v>
      </c>
      <c r="W89" s="240"/>
      <c r="X89" s="61" t="str">
        <f>IF(L89="","",VLOOKUP($L89,classifications!$C:$J,6,FALSE))</f>
        <v>Rural-50</v>
      </c>
      <c r="Y89" s="49" t="str">
        <f t="shared" si="36"/>
        <v/>
      </c>
      <c r="Z89" s="57" t="str">
        <f>IF(Y89="","",IF(I$8="A",(RANK(Y89,Y$11:Y$363,1)+COUNTIF(Y$11:Y89,Y89)-1),(RANK(Y89,Y$11:Y$363)+COUNTIF(Y$11:Y89,Y89)-1)))</f>
        <v/>
      </c>
      <c r="AA89" s="245" t="str">
        <f>IF(L89="","",VLOOKUP($L89,classifications!C:I,7,FALSE))</f>
        <v>Predominantly Rural</v>
      </c>
      <c r="AB89" s="239">
        <f t="shared" si="37"/>
        <v>6.2872034079821031</v>
      </c>
      <c r="AC89" s="239">
        <f>IF(AB89="","",IF($I$8="A",(RANK(AB89,AB$11:AB$363)+COUNTIF(AB$11:AB89,AB89)-1),(RANK(AB89,AB$11:AB$363,1)+COUNTIF(AB$11:AB89,AB89)-1)))</f>
        <v>35</v>
      </c>
      <c r="AD89" s="239"/>
      <c r="AE89" s="51" t="str">
        <f t="shared" si="25"/>
        <v/>
      </c>
      <c r="AG89" s="143"/>
      <c r="AH89" s="52"/>
      <c r="AI89" s="61" t="str">
        <f>IF(L89="","",VLOOKUP($L89,classifications!$C:$J,8,FALSE))</f>
        <v>Somerset</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South West</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4.0188679245283021</v>
      </c>
      <c r="AY89" s="156"/>
      <c r="AZ89" s="44"/>
    </row>
    <row r="90" spans="1:52">
      <c r="A90" s="84" t="str">
        <f>$D$1&amp;80</f>
        <v>SD80</v>
      </c>
      <c r="B90" s="85" t="str">
        <f>IF(ISERROR(VLOOKUP(A90,classifications!A:C,3,FALSE)),0,VLOOKUP(A90,classifications!A:C,3,FALSE))</f>
        <v>Torridge</v>
      </c>
      <c r="C90" s="31" t="s">
        <v>266</v>
      </c>
      <c r="D90" s="49" t="str">
        <f>VLOOKUP($C90,classifications!$C:$J,4,FALSE)</f>
        <v>UA</v>
      </c>
      <c r="E90" s="49">
        <f>VLOOKUP(C90,classifications!C:K,9,FALSE)</f>
        <v>0</v>
      </c>
      <c r="F90" s="59">
        <f t="shared" si="27"/>
        <v>20.723388814757591</v>
      </c>
      <c r="G90" s="105"/>
      <c r="H90" s="60" t="str">
        <f t="shared" si="28"/>
        <v/>
      </c>
      <c r="I90" s="112" t="str">
        <f>IF(H90="","",IF($I$8="A",(RANK(H90,H$11:H$363,1)+COUNTIF(H$11:H90,H90)-1),(RANK(H90,H$11:H$363)+COUNTIF(H$11:H90,H90)-1)))</f>
        <v/>
      </c>
      <c r="J90" s="58"/>
      <c r="K90" s="51">
        <f t="shared" si="43"/>
        <v>80</v>
      </c>
      <c r="L90" s="59" t="str">
        <f t="shared" si="29"/>
        <v>Rossendale</v>
      </c>
      <c r="M90" s="153">
        <f t="shared" si="33"/>
        <v>6.3330967741935487</v>
      </c>
      <c r="N90" s="148">
        <f t="shared" si="34"/>
        <v>6.3330967741935487</v>
      </c>
      <c r="O90" s="131" t="str">
        <f t="shared" si="30"/>
        <v/>
      </c>
      <c r="P90" s="131">
        <f t="shared" si="44"/>
        <v>6.3330967741935487</v>
      </c>
      <c r="Q90" s="131" t="str">
        <f t="shared" si="45"/>
        <v/>
      </c>
      <c r="R90" s="127" t="str">
        <f t="shared" si="46"/>
        <v/>
      </c>
      <c r="S90" s="60" t="str">
        <f t="shared" si="35"/>
        <v/>
      </c>
      <c r="T90" s="231">
        <f>IF(L90="","",VLOOKUP(L90,classifications!C:K,9,FALSE))</f>
        <v>0</v>
      </c>
      <c r="U90" s="238" t="str">
        <f t="shared" si="31"/>
        <v/>
      </c>
      <c r="V90" s="239" t="str">
        <f>IF(U90="","",IF($I$8="A",(RANK(U90,U$11:U$363)+COUNTIF(U$11:U90,U90)-1),(RANK(U90,U$11:U$363,1)+COUNTIF(U$11:U90,U90)-1)))</f>
        <v/>
      </c>
      <c r="W90" s="240"/>
      <c r="X90" s="61" t="str">
        <f>IF(L90="","",VLOOKUP($L90,classifications!$C:$J,6,FALSE))</f>
        <v>Other Urban</v>
      </c>
      <c r="Y90" s="49" t="str">
        <f t="shared" si="36"/>
        <v/>
      </c>
      <c r="Z90" s="57" t="str">
        <f>IF(Y90="","",IF(I$8="A",(RANK(Y90,Y$11:Y$363,1)+COUNTIF(Y$11:Y90,Y90)-1),(RANK(Y90,Y$11:Y$363)+COUNTIF(Y$11:Y90,Y90)-1)))</f>
        <v/>
      </c>
      <c r="AA90" s="245" t="str">
        <f>IF(L90="","",VLOOKUP($L90,classifications!C:I,7,FALSE))</f>
        <v>Significant Rural</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Lancashire</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North West</v>
      </c>
      <c r="AQ90" s="62">
        <f t="shared" si="39"/>
        <v>6.3330967741935487</v>
      </c>
      <c r="AR90" s="57">
        <f>IF(AQ90="","",IF(I$8="A",(RANK(AQ90,AQ$11:AQ$363,1)+COUNTIF(AQ$11:AQ90,AQ90)-1),(RANK(AQ90,AQ$11:AQ$363)+COUNTIF(AQ$11:AQ90,AQ90)-1)))</f>
        <v>4</v>
      </c>
      <c r="AS90" s="52" t="str">
        <f t="shared" si="40"/>
        <v/>
      </c>
      <c r="AT90" s="57" t="str">
        <f t="shared" si="41"/>
        <v/>
      </c>
      <c r="AU90" s="62" t="str">
        <f t="shared" si="48"/>
        <v/>
      </c>
      <c r="AX90" s="44">
        <f>HLOOKUP($AX$9&amp;$AX$10,Data!$A$1:$ZZ$2000,(MATCH($C90,Data!$A$1:$A$2000,0)),FALSE)</f>
        <v>20.723388814757591</v>
      </c>
      <c r="AY90" s="156"/>
      <c r="AZ90" s="44"/>
    </row>
    <row r="91" spans="1:52">
      <c r="A91" s="84" t="str">
        <f>$D$1&amp;81</f>
        <v>SD81</v>
      </c>
      <c r="B91" s="85" t="str">
        <f>IF(ISERROR(VLOOKUP(A91,classifications!A:C,3,FALSE)),0,VLOOKUP(A91,classifications!A:C,3,FALSE))</f>
        <v>Tunbridge Wells</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Scarborough</v>
      </c>
      <c r="M91" s="153">
        <f t="shared" si="33"/>
        <v>6.3579752736116744</v>
      </c>
      <c r="N91" s="148">
        <f t="shared" si="34"/>
        <v>6.3579752736116744</v>
      </c>
      <c r="O91" s="131" t="str">
        <f t="shared" si="30"/>
        <v/>
      </c>
      <c r="P91" s="131">
        <f t="shared" si="44"/>
        <v>6.3579752736116744</v>
      </c>
      <c r="Q91" s="131" t="str">
        <f t="shared" si="45"/>
        <v/>
      </c>
      <c r="R91" s="127" t="str">
        <f t="shared" si="46"/>
        <v/>
      </c>
      <c r="S91" s="60" t="str">
        <f t="shared" si="35"/>
        <v/>
      </c>
      <c r="T91" s="231" t="str">
        <f>IF(L91="","",VLOOKUP(L91,classifications!C:K,9,FALSE))</f>
        <v>Sparse</v>
      </c>
      <c r="U91" s="238">
        <f t="shared" si="31"/>
        <v>6.3579752736116744</v>
      </c>
      <c r="V91" s="239">
        <f>IF(U91="","",IF($I$8="A",(RANK(U91,U$11:U$363)+COUNTIF(U$11:U91,U91)-1),(RANK(U91,U$11:U$363,1)+COUNTIF(U$11:U91,U91)-1)))</f>
        <v>47</v>
      </c>
      <c r="W91" s="240"/>
      <c r="X91" s="61" t="str">
        <f>IF(L91="","",VLOOKUP($L91,classifications!$C:$J,6,FALSE))</f>
        <v>Significant Rural</v>
      </c>
      <c r="Y91" s="49" t="str">
        <f t="shared" si="36"/>
        <v/>
      </c>
      <c r="Z91" s="57" t="str">
        <f>IF(Y91="","",IF(I$8="A",(RANK(Y91,Y$11:Y$363,1)+COUNTIF(Y$11:Y91,Y91)-1),(RANK(Y91,Y$11:Y$363)+COUNTIF(Y$11:Y91,Y91)-1)))</f>
        <v/>
      </c>
      <c r="AA91" s="245" t="str">
        <f>IF(L91="","",VLOOKUP($L91,classifications!C:I,7,FALSE))</f>
        <v>Predominantly Rural</v>
      </c>
      <c r="AB91" s="239">
        <f t="shared" si="37"/>
        <v>6.3579752736116744</v>
      </c>
      <c r="AC91" s="239">
        <f>IF(AB91="","",IF($I$8="A",(RANK(AB91,AB$11:AB$363)+COUNTIF(AB$11:AB91,AB91)-1),(RANK(AB91,AB$11:AB$363,1)+COUNTIF(AB$11:AB91,AB91)-1)))</f>
        <v>34</v>
      </c>
      <c r="AD91" s="239"/>
      <c r="AE91" s="51" t="str">
        <f t="shared" si="25"/>
        <v/>
      </c>
      <c r="AG91" s="143"/>
      <c r="AH91" s="52"/>
      <c r="AI91" s="61" t="str">
        <f>IF(L91="","",VLOOKUP($L91,classifications!$C:$J,8,FALSE))</f>
        <v>North Yorkshire</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Yorkshire &amp; Humberside</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Uttlesford</v>
      </c>
      <c r="C92" s="31" t="s">
        <v>50</v>
      </c>
      <c r="D92" s="49" t="str">
        <f>VLOOKUP($C92,classifications!$C:$J,4,FALSE)</f>
        <v>SD</v>
      </c>
      <c r="E92" s="49" t="str">
        <f>VLOOKUP(C92,classifications!C:K,9,FALSE)</f>
        <v>Sparse</v>
      </c>
      <c r="F92" s="59">
        <f t="shared" si="27"/>
        <v>3.663800370932389</v>
      </c>
      <c r="G92" s="105"/>
      <c r="H92" s="60">
        <f t="shared" si="28"/>
        <v>3.663800370932389</v>
      </c>
      <c r="I92" s="112">
        <f>IF(H92="","",IF($I$8="A",(RANK(H92,H$11:H$363,1)+COUNTIF(H$11:H92,H92)-1),(RANK(H92,H$11:H$363)+COUNTIF(H$11:H92,H92)-1)))</f>
        <v>11</v>
      </c>
      <c r="J92" s="58"/>
      <c r="K92" s="51">
        <f t="shared" si="43"/>
        <v>82</v>
      </c>
      <c r="L92" s="59" t="str">
        <f t="shared" si="29"/>
        <v>Swale</v>
      </c>
      <c r="M92" s="153">
        <f t="shared" si="33"/>
        <v>6.3791605084244756</v>
      </c>
      <c r="N92" s="148">
        <f t="shared" si="34"/>
        <v>6.3791605084244756</v>
      </c>
      <c r="O92" s="131" t="str">
        <f t="shared" si="30"/>
        <v/>
      </c>
      <c r="P92" s="131">
        <f t="shared" si="44"/>
        <v>6.3791605084244756</v>
      </c>
      <c r="Q92" s="131" t="str">
        <f t="shared" si="45"/>
        <v/>
      </c>
      <c r="R92" s="127" t="str">
        <f t="shared" si="46"/>
        <v/>
      </c>
      <c r="S92" s="60" t="str">
        <f t="shared" si="35"/>
        <v/>
      </c>
      <c r="T92" s="231">
        <f>IF(L92="","",VLOOKUP(L92,classifications!C:K,9,FALSE))</f>
        <v>0</v>
      </c>
      <c r="U92" s="238" t="str">
        <f t="shared" si="31"/>
        <v/>
      </c>
      <c r="V92" s="239" t="str">
        <f>IF(U92="","",IF($I$8="A",(RANK(U92,U$11:U$363)+COUNTIF(U$11:U92,U92)-1),(RANK(U92,U$11:U$363,1)+COUNTIF(U$11:U92,U92)-1)))</f>
        <v/>
      </c>
      <c r="W92" s="240"/>
      <c r="X92" s="61" t="str">
        <f>IF(L92="","",VLOOKUP($L92,classifications!$C:$J,6,FALSE))</f>
        <v>Significant Rural</v>
      </c>
      <c r="Y92" s="49" t="str">
        <f t="shared" si="36"/>
        <v/>
      </c>
      <c r="Z92" s="57" t="str">
        <f>IF(Y92="","",IF(I$8="A",(RANK(Y92,Y$11:Y$363,1)+COUNTIF(Y$11:Y92,Y92)-1),(RANK(Y92,Y$11:Y$363)+COUNTIF(Y$11:Y92,Y92)-1)))</f>
        <v/>
      </c>
      <c r="AA92" s="245" t="str">
        <f>IF(L92="","",VLOOKUP($L92,classifications!C:I,7,FALSE))</f>
        <v>Significant Rural</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Kent</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South East</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3.663800370932389</v>
      </c>
      <c r="AY92" s="156"/>
      <c r="AZ92" s="44"/>
    </row>
    <row r="93" spans="1:52">
      <c r="A93" s="84" t="str">
        <f>$D$1&amp;83</f>
        <v>SD83</v>
      </c>
      <c r="B93" s="85" t="str">
        <f>IF(ISERROR(VLOOKUP(A93,classifications!A:C,3,FALSE)),0,VLOOKUP(A93,classifications!A:C,3,FALSE))</f>
        <v>Waveney</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Craven</v>
      </c>
      <c r="M93" s="153">
        <f t="shared" si="33"/>
        <v>6.4517194957777502</v>
      </c>
      <c r="N93" s="148">
        <f t="shared" si="34"/>
        <v>6.4517194957777502</v>
      </c>
      <c r="O93" s="131" t="str">
        <f t="shared" si="30"/>
        <v/>
      </c>
      <c r="P93" s="131">
        <f t="shared" si="44"/>
        <v>6.4517194957777502</v>
      </c>
      <c r="Q93" s="131" t="str">
        <f t="shared" si="45"/>
        <v/>
      </c>
      <c r="R93" s="127" t="str">
        <f t="shared" si="46"/>
        <v/>
      </c>
      <c r="S93" s="60" t="str">
        <f t="shared" si="35"/>
        <v/>
      </c>
      <c r="T93" s="231" t="str">
        <f>IF(L93="","",VLOOKUP(L93,classifications!C:K,9,FALSE))</f>
        <v>Sparse</v>
      </c>
      <c r="U93" s="238">
        <f t="shared" si="31"/>
        <v>6.4517194957777502</v>
      </c>
      <c r="V93" s="239">
        <f>IF(U93="","",IF($I$8="A",(RANK(U93,U$11:U$363)+COUNTIF(U$11:U93,U93)-1),(RANK(U93,U$11:U$363,1)+COUNTIF(U$11:U93,U93)-1)))</f>
        <v>46</v>
      </c>
      <c r="W93" s="240"/>
      <c r="X93" s="61" t="str">
        <f>IF(L93="","",VLOOKUP($L93,classifications!$C:$J,6,FALSE))</f>
        <v>Rural-80</v>
      </c>
      <c r="Y93" s="49">
        <f t="shared" si="36"/>
        <v>6.4517194957777502</v>
      </c>
      <c r="Z93" s="57">
        <f>IF(Y93="","",IF(I$8="A",(RANK(Y93,Y$11:Y$363,1)+COUNTIF(Y$11:Y93,Y93)-1),(RANK(Y93,Y$11:Y$363)+COUNTIF(Y$11:Y93,Y93)-1)))</f>
        <v>19</v>
      </c>
      <c r="AA93" s="245" t="str">
        <f>IF(L93="","",VLOOKUP($L93,classifications!C:I,7,FALSE))</f>
        <v>Predominantly Rural</v>
      </c>
      <c r="AB93" s="239">
        <f t="shared" si="37"/>
        <v>6.4517194957777502</v>
      </c>
      <c r="AC93" s="239">
        <f>IF(AB93="","",IF($I$8="A",(RANK(AB93,AB$11:AB$363)+COUNTIF(AB$11:AB93,AB93)-1),(RANK(AB93,AB$11:AB$363,1)+COUNTIF(AB$11:AB93,AB93)-1)))</f>
        <v>33</v>
      </c>
      <c r="AD93" s="239"/>
      <c r="AE93" s="51" t="str">
        <f t="shared" si="25"/>
        <v/>
      </c>
      <c r="AG93" s="143"/>
      <c r="AH93" s="52"/>
      <c r="AI93" s="61" t="str">
        <f>IF(L93="","",VLOOKUP($L93,classifications!$C:$J,8,FALSE))</f>
        <v>North Yorkshire</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Yorkshire &amp; Humberside</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Wealden</v>
      </c>
      <c r="C94" s="31" t="s">
        <v>230</v>
      </c>
      <c r="D94" s="49" t="str">
        <f>VLOOKUP($C94,classifications!$C:$J,4,FALSE)</f>
        <v>MD</v>
      </c>
      <c r="E94" s="49">
        <f>VLOOKUP(C94,classifications!C:K,9,FALSE)</f>
        <v>0</v>
      </c>
      <c r="F94" s="59">
        <f t="shared" si="27"/>
        <v>9.1697849545842711</v>
      </c>
      <c r="G94" s="105"/>
      <c r="H94" s="60" t="str">
        <f t="shared" si="28"/>
        <v/>
      </c>
      <c r="I94" s="112" t="str">
        <f>IF(H94="","",IF($I$8="A",(RANK(H94,H$11:H$363,1)+COUNTIF(H$11:H94,H94)-1),(RANK(H94,H$11:H$363)+COUNTIF(H$11:H94,H94)-1)))</f>
        <v/>
      </c>
      <c r="J94" s="58"/>
      <c r="K94" s="51">
        <f t="shared" si="43"/>
        <v>84</v>
      </c>
      <c r="L94" s="59" t="str">
        <f t="shared" si="29"/>
        <v>Forest of Dean</v>
      </c>
      <c r="M94" s="153">
        <f t="shared" si="33"/>
        <v>6.4616651881890759</v>
      </c>
      <c r="N94" s="148">
        <f t="shared" si="34"/>
        <v>6.4616651881890759</v>
      </c>
      <c r="O94" s="131" t="str">
        <f t="shared" si="30"/>
        <v/>
      </c>
      <c r="P94" s="131">
        <f t="shared" si="44"/>
        <v>6.4616651881890759</v>
      </c>
      <c r="Q94" s="131" t="str">
        <f t="shared" si="45"/>
        <v/>
      </c>
      <c r="R94" s="127" t="str">
        <f t="shared" si="46"/>
        <v/>
      </c>
      <c r="S94" s="60" t="str">
        <f t="shared" si="35"/>
        <v/>
      </c>
      <c r="T94" s="231" t="str">
        <f>IF(L94="","",VLOOKUP(L94,classifications!C:K,9,FALSE))</f>
        <v>Sparse</v>
      </c>
      <c r="U94" s="238">
        <f t="shared" si="31"/>
        <v>6.4616651881890759</v>
      </c>
      <c r="V94" s="239">
        <f>IF(U94="","",IF($I$8="A",(RANK(U94,U$11:U$363)+COUNTIF(U$11:U94,U94)-1),(RANK(U94,U$11:U$363,1)+COUNTIF(U$11:U94,U94)-1)))</f>
        <v>45</v>
      </c>
      <c r="W94" s="240"/>
      <c r="X94" s="61" t="str">
        <f>IF(L94="","",VLOOKUP($L94,classifications!$C:$J,6,FALSE))</f>
        <v>Rural-80</v>
      </c>
      <c r="Y94" s="49">
        <f t="shared" si="36"/>
        <v>6.4616651881890759</v>
      </c>
      <c r="Z94" s="57">
        <f>IF(Y94="","",IF(I$8="A",(RANK(Y94,Y$11:Y$363,1)+COUNTIF(Y$11:Y94,Y94)-1),(RANK(Y94,Y$11:Y$363)+COUNTIF(Y$11:Y94,Y94)-1)))</f>
        <v>20</v>
      </c>
      <c r="AA94" s="245" t="str">
        <f>IF(L94="","",VLOOKUP($L94,classifications!C:I,7,FALSE))</f>
        <v>Significant Rural</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Gloucestershire</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South West</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9.1697849545842711</v>
      </c>
      <c r="AY94" s="156"/>
      <c r="AZ94" s="44"/>
    </row>
    <row r="95" spans="1:52">
      <c r="A95" s="84" t="str">
        <f>$D$1&amp;85</f>
        <v>SD85</v>
      </c>
      <c r="B95" s="85" t="str">
        <f>IF(ISERROR(VLOOKUP(A95,classifications!A:C,3,FALSE)),0,VLOOKUP(A95,classifications!A:C,3,FALSE))</f>
        <v>West Devon</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Wychavon</v>
      </c>
      <c r="M95" s="153">
        <f t="shared" si="33"/>
        <v>6.5498787571194947</v>
      </c>
      <c r="N95" s="148">
        <f t="shared" si="34"/>
        <v>6.5498787571194947</v>
      </c>
      <c r="O95" s="131" t="str">
        <f t="shared" si="30"/>
        <v/>
      </c>
      <c r="P95" s="131">
        <f t="shared" si="44"/>
        <v>6.5498787571194947</v>
      </c>
      <c r="Q95" s="131" t="str">
        <f t="shared" si="45"/>
        <v/>
      </c>
      <c r="R95" s="127" t="str">
        <f t="shared" si="46"/>
        <v/>
      </c>
      <c r="S95" s="60" t="str">
        <f t="shared" si="35"/>
        <v/>
      </c>
      <c r="T95" s="231" t="str">
        <f>IF(L95="","",VLOOKUP(L95,classifications!C:K,9,FALSE))</f>
        <v>Sparse</v>
      </c>
      <c r="U95" s="238">
        <f t="shared" si="31"/>
        <v>6.5498787571194947</v>
      </c>
      <c r="V95" s="239">
        <f>IF(U95="","",IF($I$8="A",(RANK(U95,U$11:U$363)+COUNTIF(U$11:U95,U95)-1),(RANK(U95,U$11:U$363,1)+COUNTIF(U$11:U95,U95)-1)))</f>
        <v>44</v>
      </c>
      <c r="W95" s="240"/>
      <c r="X95" s="61" t="str">
        <f>IF(L95="","",VLOOKUP($L95,classifications!$C:$J,6,FALSE))</f>
        <v>Rural-80</v>
      </c>
      <c r="Y95" s="49">
        <f t="shared" si="36"/>
        <v>6.5498787571194947</v>
      </c>
      <c r="Z95" s="57">
        <f>IF(Y95="","",IF(I$8="A",(RANK(Y95,Y$11:Y$363,1)+COUNTIF(Y$11:Y95,Y95)-1),(RANK(Y95,Y$11:Y$363)+COUNTIF(Y$11:Y95,Y95)-1)))</f>
        <v>21</v>
      </c>
      <c r="AA95" s="245" t="str">
        <f>IF(L95="","",VLOOKUP($L95,classifications!C:I,7,FALSE))</f>
        <v>Significant Rural</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Worcestershire</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West Midlands</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West Dorset</v>
      </c>
      <c r="C96" s="31" t="s">
        <v>51</v>
      </c>
      <c r="D96" s="49" t="str">
        <f>VLOOKUP($C96,classifications!$C:$J,4,FALSE)</f>
        <v>SD</v>
      </c>
      <c r="E96" s="49" t="str">
        <f>VLOOKUP(C96,classifications!C:K,9,FALSE)</f>
        <v>Sparse</v>
      </c>
      <c r="F96" s="59">
        <f t="shared" si="27"/>
        <v>6.0519275399690562</v>
      </c>
      <c r="G96" s="105"/>
      <c r="H96" s="60">
        <f t="shared" si="28"/>
        <v>6.0519275399690562</v>
      </c>
      <c r="I96" s="112">
        <f>IF(H96="","",IF($I$8="A",(RANK(H96,H$11:H$363,1)+COUNTIF(H$11:H96,H96)-1),(RANK(H96,H$11:H$363)+COUNTIF(H$11:H96,H96)-1)))</f>
        <v>74</v>
      </c>
      <c r="J96" s="58"/>
      <c r="K96" s="51">
        <f t="shared" si="43"/>
        <v>86</v>
      </c>
      <c r="L96" s="59" t="str">
        <f t="shared" si="29"/>
        <v>Tandridge</v>
      </c>
      <c r="M96" s="153">
        <f t="shared" si="33"/>
        <v>6.5627851401260049</v>
      </c>
      <c r="N96" s="148">
        <f t="shared" si="34"/>
        <v>6.5627851401260049</v>
      </c>
      <c r="O96" s="131" t="str">
        <f t="shared" si="30"/>
        <v/>
      </c>
      <c r="P96" s="131">
        <f t="shared" si="44"/>
        <v>6.5627851401260049</v>
      </c>
      <c r="Q96" s="131" t="str">
        <f t="shared" si="45"/>
        <v/>
      </c>
      <c r="R96" s="127" t="str">
        <f t="shared" si="46"/>
        <v/>
      </c>
      <c r="S96" s="60" t="str">
        <f t="shared" si="35"/>
        <v/>
      </c>
      <c r="T96" s="231" t="str">
        <f>IF(L96="","",VLOOKUP(L96,classifications!C:K,9,FALSE))</f>
        <v>Sparse</v>
      </c>
      <c r="U96" s="238">
        <f t="shared" si="31"/>
        <v>6.5627851401260049</v>
      </c>
      <c r="V96" s="239">
        <f>IF(U96="","",IF($I$8="A",(RANK(U96,U$11:U$363)+COUNTIF(U$11:U96,U96)-1),(RANK(U96,U$11:U$363,1)+COUNTIF(U$11:U96,U96)-1)))</f>
        <v>43</v>
      </c>
      <c r="W96" s="240"/>
      <c r="X96" s="61" t="str">
        <f>IF(L96="","",VLOOKUP($L96,classifications!$C:$J,6,FALSE))</f>
        <v>Rural-50</v>
      </c>
      <c r="Y96" s="49" t="str">
        <f t="shared" si="36"/>
        <v/>
      </c>
      <c r="Z96" s="57" t="str">
        <f>IF(Y96="","",IF(I$8="A",(RANK(Y96,Y$11:Y$363,1)+COUNTIF(Y$11:Y96,Y96)-1),(RANK(Y96,Y$11:Y$363)+COUNTIF(Y$11:Y96,Y96)-1)))</f>
        <v/>
      </c>
      <c r="AA96" s="245" t="str">
        <f>IF(L96="","",VLOOKUP($L96,classifications!C:I,7,FALSE))</f>
        <v>Predominantly Urban</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Surrey</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South East</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6.0519275399690562</v>
      </c>
      <c r="AY96" s="156"/>
      <c r="AZ96" s="44"/>
    </row>
    <row r="97" spans="1:52">
      <c r="A97" s="84" t="str">
        <f>$D$1&amp;87</f>
        <v>SD87</v>
      </c>
      <c r="B97" s="85" t="str">
        <f>IF(ISERROR(VLOOKUP(A97,classifications!A:C,3,FALSE)),0,VLOOKUP(A97,classifications!A:C,3,FALSE))</f>
        <v>West Lindsey</v>
      </c>
      <c r="C97" s="31" t="s">
        <v>231</v>
      </c>
      <c r="D97" s="49" t="str">
        <f>VLOOKUP($C97,classifications!$C:$J,4,FALSE)</f>
        <v>MD</v>
      </c>
      <c r="E97" s="49">
        <f>VLOOKUP(C97,classifications!C:K,9,FALSE)</f>
        <v>0</v>
      </c>
      <c r="F97" s="59">
        <f t="shared" si="27"/>
        <v>13.637372905319841</v>
      </c>
      <c r="G97" s="105"/>
      <c r="H97" s="60" t="str">
        <f t="shared" si="28"/>
        <v/>
      </c>
      <c r="I97" s="112" t="str">
        <f>IF(H97="","",IF($I$8="A",(RANK(H97,H$11:H$363,1)+COUNTIF(H$11:H97,H97)-1),(RANK(H97,H$11:H$363)+COUNTIF(H$11:H97,H97)-1)))</f>
        <v/>
      </c>
      <c r="J97" s="58"/>
      <c r="K97" s="51">
        <f t="shared" si="43"/>
        <v>87</v>
      </c>
      <c r="L97" s="59" t="str">
        <f t="shared" si="29"/>
        <v>Gosport</v>
      </c>
      <c r="M97" s="153">
        <f t="shared" si="33"/>
        <v>6.5646317618944163</v>
      </c>
      <c r="N97" s="148">
        <f t="shared" si="34"/>
        <v>6.5646317618944163</v>
      </c>
      <c r="O97" s="131" t="str">
        <f t="shared" si="30"/>
        <v/>
      </c>
      <c r="P97" s="131">
        <f t="shared" si="44"/>
        <v>6.5646317618944163</v>
      </c>
      <c r="Q97" s="131" t="str">
        <f t="shared" si="45"/>
        <v/>
      </c>
      <c r="R97" s="127" t="str">
        <f t="shared" si="46"/>
        <v/>
      </c>
      <c r="S97" s="60" t="str">
        <f t="shared" si="35"/>
        <v/>
      </c>
      <c r="T97" s="231">
        <f>IF(L97="","",VLOOKUP(L97,classifications!C:K,9,FALSE))</f>
        <v>0</v>
      </c>
      <c r="U97" s="238" t="str">
        <f t="shared" si="31"/>
        <v/>
      </c>
      <c r="V97" s="239" t="str">
        <f>IF(U97="","",IF($I$8="A",(RANK(U97,U$11:U$363)+COUNTIF(U$11:U97,U97)-1),(RANK(U97,U$11:U$363,1)+COUNTIF(U$11:U97,U97)-1)))</f>
        <v/>
      </c>
      <c r="W97" s="240"/>
      <c r="X97" s="61" t="str">
        <f>IF(L97="","",VLOOKUP($L97,classifications!$C:$J,6,FALSE))</f>
        <v>Large Urban</v>
      </c>
      <c r="Y97" s="49" t="str">
        <f t="shared" si="36"/>
        <v/>
      </c>
      <c r="Z97" s="57" t="str">
        <f>IF(Y97="","",IF(I$8="A",(RANK(Y97,Y$11:Y$363,1)+COUNTIF(Y$11:Y97,Y97)-1),(RANK(Y97,Y$11:Y$363)+COUNTIF(Y$11:Y97,Y97)-1)))</f>
        <v/>
      </c>
      <c r="AA97" s="245" t="str">
        <f>IF(L97="","",VLOOKUP($L97,classifications!C:I,7,FALSE))</f>
        <v>Significant Rural</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Hampshire</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South East</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13.637372905319841</v>
      </c>
      <c r="AY97" s="156"/>
      <c r="AZ97" s="44"/>
    </row>
    <row r="98" spans="1:52">
      <c r="A98" s="84" t="str">
        <f>$D$1&amp;88</f>
        <v>SD88</v>
      </c>
      <c r="B98" s="85" t="str">
        <f>IF(ISERROR(VLOOKUP(A98,classifications!A:C,3,FALSE)),0,VLOOKUP(A98,classifications!A:C,3,FALSE))</f>
        <v>West Oxfordshire</v>
      </c>
      <c r="C98" s="31" t="s">
        <v>203</v>
      </c>
      <c r="D98" s="49" t="str">
        <f>VLOOKUP($C98,classifications!$C:$J,4,FALSE)</f>
        <v>L</v>
      </c>
      <c r="E98" s="49">
        <f>VLOOKUP(C98,classifications!C:K,9,FALSE)</f>
        <v>0</v>
      </c>
      <c r="F98" s="59">
        <f t="shared" si="27"/>
        <v>9.6764120815905201</v>
      </c>
      <c r="G98" s="105"/>
      <c r="H98" s="60" t="str">
        <f t="shared" si="28"/>
        <v/>
      </c>
      <c r="I98" s="112" t="str">
        <f>IF(H98="","",IF($I$8="A",(RANK(H98,H$11:H$363,1)+COUNTIF(H$11:H98,H98)-1),(RANK(H98,H$11:H$363)+COUNTIF(H$11:H98,H98)-1)))</f>
        <v/>
      </c>
      <c r="J98" s="58"/>
      <c r="K98" s="51">
        <f t="shared" si="43"/>
        <v>88</v>
      </c>
      <c r="L98" s="59" t="str">
        <f t="shared" si="29"/>
        <v>Ipswich</v>
      </c>
      <c r="M98" s="153">
        <f t="shared" si="33"/>
        <v>6.6065132659319783</v>
      </c>
      <c r="N98" s="148">
        <f t="shared" si="34"/>
        <v>6.6065132659319783</v>
      </c>
      <c r="O98" s="131" t="str">
        <f t="shared" si="30"/>
        <v/>
      </c>
      <c r="P98" s="131">
        <f t="shared" si="44"/>
        <v>6.6065132659319783</v>
      </c>
      <c r="Q98" s="131" t="str">
        <f t="shared" si="45"/>
        <v/>
      </c>
      <c r="R98" s="127" t="str">
        <f t="shared" si="46"/>
        <v/>
      </c>
      <c r="S98" s="60" t="str">
        <f t="shared" si="35"/>
        <v/>
      </c>
      <c r="T98" s="231">
        <f>IF(L98="","",VLOOKUP(L98,classifications!C:K,9,FALSE))</f>
        <v>0</v>
      </c>
      <c r="U98" s="238" t="str">
        <f t="shared" si="31"/>
        <v/>
      </c>
      <c r="V98" s="239" t="str">
        <f>IF(U98="","",IF($I$8="A",(RANK(U98,U$11:U$363)+COUNTIF(U$11:U98,U98)-1),(RANK(U98,U$11:U$363,1)+COUNTIF(U$11:U98,U98)-1)))</f>
        <v/>
      </c>
      <c r="W98" s="240"/>
      <c r="X98" s="61" t="str">
        <f>IF(L98="","",VLOOKUP($L98,classifications!$C:$J,6,FALSE))</f>
        <v>Other Urban</v>
      </c>
      <c r="Y98" s="49" t="str">
        <f t="shared" si="36"/>
        <v/>
      </c>
      <c r="Z98" s="57" t="str">
        <f>IF(Y98="","",IF(I$8="A",(RANK(Y98,Y$11:Y$363,1)+COUNTIF(Y$11:Y98,Y98)-1),(RANK(Y98,Y$11:Y$363)+COUNTIF(Y$11:Y98,Y98)-1)))</f>
        <v/>
      </c>
      <c r="AA98" s="245" t="str">
        <f>IF(L98="","",VLOOKUP($L98,classifications!C:I,7,FALSE))</f>
        <v>Predominantly Rural</v>
      </c>
      <c r="AB98" s="239">
        <f t="shared" si="37"/>
        <v>6.6065132659319783</v>
      </c>
      <c r="AC98" s="239">
        <f>IF(AB98="","",IF($I$8="A",(RANK(AB98,AB$11:AB$363)+COUNTIF(AB$11:AB98,AB98)-1),(RANK(AB98,AB$11:AB$363,1)+COUNTIF(AB$11:AB98,AB98)-1)))</f>
        <v>32</v>
      </c>
      <c r="AD98" s="239"/>
      <c r="AE98" s="51" t="str">
        <f t="shared" si="25"/>
        <v/>
      </c>
      <c r="AG98" s="143"/>
      <c r="AH98" s="52"/>
      <c r="AI98" s="61" t="str">
        <f>IF(L98="","",VLOOKUP($L98,classifications!$C:$J,8,FALSE))</f>
        <v>Suffolk</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East of England</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9.6764120815905201</v>
      </c>
      <c r="AY98" s="156"/>
      <c r="AZ98" s="44"/>
    </row>
    <row r="99" spans="1:52">
      <c r="A99" s="84" t="str">
        <f>$D$1&amp;89</f>
        <v>SD89</v>
      </c>
      <c r="B99" s="85" t="str">
        <f>IF(ISERROR(VLOOKUP(A99,classifications!A:C,3,FALSE)),0,VLOOKUP(A99,classifications!A:C,3,FALSE))</f>
        <v>West Somerset</v>
      </c>
      <c r="C99" s="31" t="s">
        <v>52</v>
      </c>
      <c r="D99" s="49" t="str">
        <f>VLOOKUP($C99,classifications!$C:$J,4,FALSE)</f>
        <v>SD</v>
      </c>
      <c r="E99" s="49" t="str">
        <f>VLOOKUP(C99,classifications!C:K,9,FALSE)</f>
        <v>Sparse</v>
      </c>
      <c r="F99" s="59">
        <f t="shared" si="27"/>
        <v>5.2753050063104752</v>
      </c>
      <c r="G99" s="105"/>
      <c r="H99" s="60">
        <f t="shared" si="28"/>
        <v>5.2753050063104752</v>
      </c>
      <c r="I99" s="112">
        <f>IF(H99="","",IF($I$8="A",(RANK(H99,H$11:H$363,1)+COUNTIF(H$11:H99,H99)-1),(RANK(H99,H$11:H$363)+COUNTIF(H$11:H99,H99)-1)))</f>
        <v>47</v>
      </c>
      <c r="J99" s="58"/>
      <c r="K99" s="51">
        <f t="shared" si="43"/>
        <v>89</v>
      </c>
      <c r="L99" s="59" t="str">
        <f t="shared" si="29"/>
        <v>Maidstone</v>
      </c>
      <c r="M99" s="153">
        <f t="shared" si="33"/>
        <v>6.6760875010436669</v>
      </c>
      <c r="N99" s="148">
        <f t="shared" si="34"/>
        <v>6.6760875010436669</v>
      </c>
      <c r="O99" s="131" t="str">
        <f t="shared" si="30"/>
        <v/>
      </c>
      <c r="P99" s="131">
        <f t="shared" si="44"/>
        <v>6.6760875010436669</v>
      </c>
      <c r="Q99" s="131" t="str">
        <f t="shared" si="45"/>
        <v/>
      </c>
      <c r="R99" s="127" t="str">
        <f t="shared" si="46"/>
        <v/>
      </c>
      <c r="S99" s="60" t="str">
        <f t="shared" si="35"/>
        <v/>
      </c>
      <c r="T99" s="231">
        <f>IF(L99="","",VLOOKUP(L99,classifications!C:K,9,FALSE))</f>
        <v>0</v>
      </c>
      <c r="U99" s="238" t="str">
        <f t="shared" si="31"/>
        <v/>
      </c>
      <c r="V99" s="239" t="str">
        <f>IF(U99="","",IF($I$8="A",(RANK(U99,U$11:U$363)+COUNTIF(U$11:U99,U99)-1),(RANK(U99,U$11:U$363,1)+COUNTIF(U$11:U99,U99)-1)))</f>
        <v/>
      </c>
      <c r="W99" s="240"/>
      <c r="X99" s="61" t="str">
        <f>IF(L99="","",VLOOKUP($L99,classifications!$C:$J,6,FALSE))</f>
        <v>Significant Rural</v>
      </c>
      <c r="Y99" s="49" t="str">
        <f t="shared" si="36"/>
        <v/>
      </c>
      <c r="Z99" s="57" t="str">
        <f>IF(Y99="","",IF(I$8="A",(RANK(Y99,Y$11:Y$363,1)+COUNTIF(Y$11:Y99,Y99)-1),(RANK(Y99,Y$11:Y$363)+COUNTIF(Y$11:Y99,Y99)-1)))</f>
        <v/>
      </c>
      <c r="AA99" s="245" t="str">
        <f>IF(L99="","",VLOOKUP($L99,classifications!C:I,7,FALSE))</f>
        <v>Significant Rural</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Kent</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East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5.2753050063104752</v>
      </c>
      <c r="AY99" s="156"/>
      <c r="AZ99" s="44"/>
    </row>
    <row r="100" spans="1:52">
      <c r="A100" s="84" t="str">
        <f>$D$1&amp;90</f>
        <v>SD90</v>
      </c>
      <c r="B100" s="85" t="str">
        <f>IF(ISERROR(VLOOKUP(A100,classifications!A:C,3,FALSE)),0,VLOOKUP(A100,classifications!A:C,3,FALSE))</f>
        <v>Winchester</v>
      </c>
      <c r="C100" s="31" t="s">
        <v>53</v>
      </c>
      <c r="D100" s="49" t="str">
        <f>VLOOKUP($C100,classifications!$C:$J,4,FALSE)</f>
        <v>SD</v>
      </c>
      <c r="E100" s="49" t="str">
        <f>VLOOKUP(C100,classifications!C:K,9,FALSE)</f>
        <v>Sparse</v>
      </c>
      <c r="F100" s="59">
        <f t="shared" si="27"/>
        <v>4.6312603192074846</v>
      </c>
      <c r="G100" s="105"/>
      <c r="H100" s="60">
        <f t="shared" si="28"/>
        <v>4.6312603192074846</v>
      </c>
      <c r="I100" s="112">
        <f>IF(H100="","",IF($I$8="A",(RANK(H100,H$11:H$363,1)+COUNTIF(H$11:H100,H100)-1),(RANK(H100,H$11:H$363)+COUNTIF(H$11:H100,H100)-1)))</f>
        <v>29</v>
      </c>
      <c r="J100" s="58"/>
      <c r="K100" s="51">
        <f t="shared" si="43"/>
        <v>90</v>
      </c>
      <c r="L100" s="59" t="str">
        <f t="shared" si="29"/>
        <v>Babergh</v>
      </c>
      <c r="M100" s="153">
        <f t="shared" si="33"/>
        <v>6.7021554539516659</v>
      </c>
      <c r="N100" s="148">
        <f t="shared" si="34"/>
        <v>6.7021554539516659</v>
      </c>
      <c r="O100" s="131" t="str">
        <f t="shared" si="30"/>
        <v/>
      </c>
      <c r="P100" s="131">
        <f t="shared" si="44"/>
        <v>6.7021554539516659</v>
      </c>
      <c r="Q100" s="131" t="str">
        <f t="shared" si="45"/>
        <v/>
      </c>
      <c r="R100" s="127" t="str">
        <f t="shared" si="46"/>
        <v/>
      </c>
      <c r="S100" s="60" t="str">
        <f t="shared" si="35"/>
        <v/>
      </c>
      <c r="T100" s="231" t="str">
        <f>IF(L100="","",VLOOKUP(L100,classifications!C:K,9,FALSE))</f>
        <v>Sparse</v>
      </c>
      <c r="U100" s="238">
        <f t="shared" si="31"/>
        <v>6.7021554539516659</v>
      </c>
      <c r="V100" s="239">
        <f>IF(U100="","",IF($I$8="A",(RANK(U100,U$11:U$363)+COUNTIF(U$11:U100,U100)-1),(RANK(U100,U$11:U$363,1)+COUNTIF(U$11:U100,U100)-1)))</f>
        <v>42</v>
      </c>
      <c r="W100" s="240"/>
      <c r="X100" s="61" t="str">
        <f>IF(L100="","",VLOOKUP($L100,classifications!$C:$J,6,FALSE))</f>
        <v>Rural-80</v>
      </c>
      <c r="Y100" s="49">
        <f t="shared" si="36"/>
        <v>6.7021554539516659</v>
      </c>
      <c r="Z100" s="57">
        <f>IF(Y100="","",IF(I$8="A",(RANK(Y100,Y$11:Y$363,1)+COUNTIF(Y$11:Y100,Y100)-1),(RANK(Y100,Y$11:Y$363)+COUNTIF(Y$11:Y100,Y100)-1)))</f>
        <v>22</v>
      </c>
      <c r="AA100" s="245" t="str">
        <f>IF(L100="","",VLOOKUP($L100,classifications!C:I,7,FALSE))</f>
        <v>Predominantly Rural</v>
      </c>
      <c r="AB100" s="239">
        <f t="shared" si="37"/>
        <v>6.7021554539516659</v>
      </c>
      <c r="AC100" s="239">
        <f>IF(AB100="","",IF($I$8="A",(RANK(AB100,AB$11:AB$363)+COUNTIF(AB$11:AB100,AB100)-1),(RANK(AB100,AB$11:AB$363,1)+COUNTIF(AB$11:AB100,AB100)-1)))</f>
        <v>31</v>
      </c>
      <c r="AD100" s="239"/>
      <c r="AE100" s="51" t="str">
        <f t="shared" si="50"/>
        <v/>
      </c>
      <c r="AG100" s="143"/>
      <c r="AH100" s="52"/>
      <c r="AI100" s="61" t="str">
        <f>IF(L100="","",VLOOKUP($L100,classifications!$C:$J,8,FALSE))</f>
        <v>Suffolk</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East of England</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4.6312603192074846</v>
      </c>
      <c r="AY100" s="156"/>
      <c r="AZ100" s="44"/>
    </row>
    <row r="101" spans="1:52">
      <c r="A101" s="84" t="str">
        <f>$D$1&amp;91</f>
        <v>SD91</v>
      </c>
      <c r="B101" s="85" t="str">
        <f>IF(ISERROR(VLOOKUP(A101,classifications!A:C,3,FALSE)),0,VLOOKUP(A101,classifications!A:C,3,FALSE))</f>
        <v>Wychavon</v>
      </c>
      <c r="C101" s="31" t="s">
        <v>54</v>
      </c>
      <c r="D101" s="49" t="str">
        <f>VLOOKUP($C101,classifications!$C:$J,4,FALSE)</f>
        <v>SD</v>
      </c>
      <c r="E101" s="49">
        <f>VLOOKUP(C101,classifications!C:K,9,FALSE)</f>
        <v>0</v>
      </c>
      <c r="F101" s="59">
        <f t="shared" si="27"/>
        <v>7.5929598413485371</v>
      </c>
      <c r="G101" s="105"/>
      <c r="H101" s="60">
        <f t="shared" si="28"/>
        <v>7.5929598413485371</v>
      </c>
      <c r="I101" s="112">
        <f>IF(H101="","",IF($I$8="A",(RANK(H101,H$11:H$363,1)+COUNTIF(H$11:H101,H101)-1),(RANK(H101,H$11:H$363)+COUNTIF(H$11:H101,H101)-1)))</f>
        <v>120</v>
      </c>
      <c r="J101" s="58"/>
      <c r="K101" s="51">
        <f t="shared" si="43"/>
        <v>91</v>
      </c>
      <c r="L101" s="59" t="str">
        <f t="shared" si="29"/>
        <v>Mid Devon</v>
      </c>
      <c r="M101" s="153">
        <f t="shared" si="33"/>
        <v>6.7234507897934384</v>
      </c>
      <c r="N101" s="148">
        <f t="shared" si="34"/>
        <v>6.7234507897934384</v>
      </c>
      <c r="O101" s="131" t="str">
        <f t="shared" si="30"/>
        <v/>
      </c>
      <c r="P101" s="131">
        <f t="shared" si="44"/>
        <v>6.7234507897934384</v>
      </c>
      <c r="Q101" s="131" t="str">
        <f t="shared" si="45"/>
        <v/>
      </c>
      <c r="R101" s="127" t="str">
        <f t="shared" si="46"/>
        <v/>
      </c>
      <c r="S101" s="60" t="str">
        <f t="shared" si="35"/>
        <v/>
      </c>
      <c r="T101" s="231" t="str">
        <f>IF(L101="","",VLOOKUP(L101,classifications!C:K,9,FALSE))</f>
        <v>Sparse</v>
      </c>
      <c r="U101" s="238">
        <f t="shared" si="31"/>
        <v>6.7234507897934384</v>
      </c>
      <c r="V101" s="239">
        <f>IF(U101="","",IF($I$8="A",(RANK(U101,U$11:U$363)+COUNTIF(U$11:U101,U101)-1),(RANK(U101,U$11:U$363,1)+COUNTIF(U$11:U101,U101)-1)))</f>
        <v>41</v>
      </c>
      <c r="W101" s="240"/>
      <c r="X101" s="61" t="str">
        <f>IF(L101="","",VLOOKUP($L101,classifications!$C:$J,6,FALSE))</f>
        <v>Rural-80</v>
      </c>
      <c r="Y101" s="49">
        <f t="shared" si="36"/>
        <v>6.7234507897934384</v>
      </c>
      <c r="Z101" s="57">
        <f>IF(Y101="","",IF(I$8="A",(RANK(Y101,Y$11:Y$363,1)+COUNTIF(Y$11:Y101,Y101)-1),(RANK(Y101,Y$11:Y$363)+COUNTIF(Y$11:Y101,Y101)-1)))</f>
        <v>23</v>
      </c>
      <c r="AA101" s="245" t="str">
        <f>IF(L101="","",VLOOKUP($L101,classifications!C:I,7,FALSE))</f>
        <v>Predominantly Rural</v>
      </c>
      <c r="AB101" s="239">
        <f t="shared" si="37"/>
        <v>6.7234507897934384</v>
      </c>
      <c r="AC101" s="239">
        <f>IF(AB101="","",IF($I$8="A",(RANK(AB101,AB$11:AB$363)+COUNTIF(AB$11:AB101,AB101)-1),(RANK(AB101,AB$11:AB$363,1)+COUNTIF(AB$11:AB101,AB101)-1)))</f>
        <v>30</v>
      </c>
      <c r="AD101" s="239"/>
      <c r="AE101" s="51" t="str">
        <f t="shared" si="50"/>
        <v/>
      </c>
      <c r="AG101" s="143"/>
      <c r="AH101" s="52"/>
      <c r="AI101" s="61" t="str">
        <f>IF(L101="","",VLOOKUP($L101,classifications!$C:$J,8,FALSE))</f>
        <v>Devon</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South West</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7.5929598413485371</v>
      </c>
      <c r="AY101" s="156"/>
      <c r="AZ101" s="44"/>
    </row>
    <row r="102" spans="1:52">
      <c r="A102" s="84" t="str">
        <f>$D$1&amp;92</f>
        <v>SD92</v>
      </c>
      <c r="B102" s="85" t="str">
        <f>IF(ISERROR(VLOOKUP(A102,classifications!A:C,3,FALSE)),0,VLOOKUP(A102,classifications!A:C,3,FALSE))</f>
        <v>Wyre Forest</v>
      </c>
      <c r="C102" s="31" t="s">
        <v>55</v>
      </c>
      <c r="D102" s="49" t="str">
        <f>VLOOKUP($C102,classifications!$C:$J,4,FALSE)</f>
        <v>SD</v>
      </c>
      <c r="E102" s="49" t="str">
        <f>VLOOKUP(C102,classifications!C:K,9,FALSE)</f>
        <v>Sparse</v>
      </c>
      <c r="F102" s="59">
        <f t="shared" si="27"/>
        <v>5.6096203095423673</v>
      </c>
      <c r="G102" s="105"/>
      <c r="H102" s="60">
        <f t="shared" si="28"/>
        <v>5.6096203095423673</v>
      </c>
      <c r="I102" s="112">
        <f>IF(H102="","",IF($I$8="A",(RANK(H102,H$11:H$363,1)+COUNTIF(H$11:H102,H102)-1),(RANK(H102,H$11:H$363)+COUNTIF(H$11:H102,H102)-1)))</f>
        <v>58</v>
      </c>
      <c r="J102" s="58"/>
      <c r="K102" s="51">
        <f t="shared" si="43"/>
        <v>92</v>
      </c>
      <c r="L102" s="59" t="str">
        <f t="shared" si="29"/>
        <v>North Hertfordshire</v>
      </c>
      <c r="M102" s="153">
        <f t="shared" si="33"/>
        <v>6.8188577811910909</v>
      </c>
      <c r="N102" s="148">
        <f t="shared" si="34"/>
        <v>6.8188577811910909</v>
      </c>
      <c r="O102" s="131" t="str">
        <f t="shared" si="30"/>
        <v/>
      </c>
      <c r="P102" s="131">
        <f t="shared" si="44"/>
        <v>6.8188577811910909</v>
      </c>
      <c r="Q102" s="131" t="str">
        <f t="shared" si="45"/>
        <v/>
      </c>
      <c r="R102" s="127" t="str">
        <f t="shared" si="46"/>
        <v/>
      </c>
      <c r="S102" s="60" t="str">
        <f t="shared" si="35"/>
        <v/>
      </c>
      <c r="T102" s="231">
        <f>IF(L102="","",VLOOKUP(L102,classifications!C:K,9,FALSE))</f>
        <v>0</v>
      </c>
      <c r="U102" s="238" t="str">
        <f t="shared" si="31"/>
        <v/>
      </c>
      <c r="V102" s="239" t="str">
        <f>IF(U102="","",IF($I$8="A",(RANK(U102,U$11:U$363)+COUNTIF(U$11:U102,U102)-1),(RANK(U102,U$11:U$363,1)+COUNTIF(U$11:U102,U102)-1)))</f>
        <v/>
      </c>
      <c r="W102" s="240"/>
      <c r="X102" s="61" t="str">
        <f>IF(L102="","",VLOOKUP($L102,classifications!$C:$J,6,FALSE))</f>
        <v>Significant Rural</v>
      </c>
      <c r="Y102" s="49" t="str">
        <f t="shared" si="36"/>
        <v/>
      </c>
      <c r="Z102" s="57" t="str">
        <f>IF(Y102="","",IF(I$8="A",(RANK(Y102,Y$11:Y$363,1)+COUNTIF(Y$11:Y102,Y102)-1),(RANK(Y102,Y$11:Y$363)+COUNTIF(Y$11:Y102,Y102)-1)))</f>
        <v/>
      </c>
      <c r="AA102" s="245" t="str">
        <f>IF(L102="","",VLOOKUP($L102,classifications!C:I,7,FALSE))</f>
        <v>Predominantly Urban</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Hertfordshire</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East of England</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5.6096203095423673</v>
      </c>
      <c r="AY102" s="156"/>
      <c r="AZ102" s="44"/>
    </row>
    <row r="103" spans="1:52">
      <c r="A103" s="84" t="str">
        <f>$D$1&amp;93</f>
        <v>SD93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7.7503097195630142</v>
      </c>
      <c r="G103" s="105"/>
      <c r="H103" s="60">
        <f t="shared" si="28"/>
        <v>7.7503097195630142</v>
      </c>
      <c r="I103" s="112">
        <f>IF(H103="","",IF($I$8="A",(RANK(H103,H$11:H$363,1)+COUNTIF(H$11:H103,H103)-1),(RANK(H103,H$11:H$363)+COUNTIF(H$11:H103,H103)-1)))</f>
        <v>125</v>
      </c>
      <c r="J103" s="58"/>
      <c r="K103" s="51">
        <f t="shared" si="43"/>
        <v>93</v>
      </c>
      <c r="L103" s="59" t="str">
        <f t="shared" si="29"/>
        <v>Castle Point</v>
      </c>
      <c r="M103" s="153">
        <f t="shared" si="33"/>
        <v>6.8419940109212609</v>
      </c>
      <c r="N103" s="148">
        <f t="shared" si="34"/>
        <v>6.8419940109212609</v>
      </c>
      <c r="O103" s="131" t="str">
        <f t="shared" si="30"/>
        <v/>
      </c>
      <c r="P103" s="131">
        <f t="shared" si="44"/>
        <v>6.8419940109212609</v>
      </c>
      <c r="Q103" s="131" t="str">
        <f t="shared" si="45"/>
        <v/>
      </c>
      <c r="R103" s="127" t="str">
        <f t="shared" si="46"/>
        <v/>
      </c>
      <c r="S103" s="60" t="str">
        <f t="shared" si="35"/>
        <v/>
      </c>
      <c r="T103" s="231">
        <f>IF(L103="","",VLOOKUP(L103,classifications!C:K,9,FALSE))</f>
        <v>0</v>
      </c>
      <c r="U103" s="238" t="str">
        <f t="shared" si="31"/>
        <v/>
      </c>
      <c r="V103" s="239" t="str">
        <f>IF(U103="","",IF($I$8="A",(RANK(U103,U$11:U$363)+COUNTIF(U$11:U103,U103)-1),(RANK(U103,U$11:U$363,1)+COUNTIF(U$11:U103,U103)-1)))</f>
        <v/>
      </c>
      <c r="W103" s="240"/>
      <c r="X103" s="61" t="str">
        <f>IF(L103="","",VLOOKUP($L103,classifications!$C:$J,6,FALSE))</f>
        <v>Large Urban</v>
      </c>
      <c r="Y103" s="49" t="str">
        <f t="shared" si="36"/>
        <v/>
      </c>
      <c r="Z103" s="57" t="str">
        <f>IF(Y103="","",IF(I$8="A",(RANK(Y103,Y$11:Y$363,1)+COUNTIF(Y$11:Y103,Y103)-1),(RANK(Y103,Y$11:Y$363)+COUNTIF(Y$11:Y103,Y103)-1)))</f>
        <v/>
      </c>
      <c r="AA103" s="245" t="str">
        <f>IF(L103="","",VLOOKUP($L103,classifications!C:I,7,FALSE))</f>
        <v>Significant Rural</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Essex</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East of England</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7.7503097195630142</v>
      </c>
      <c r="AY103" s="156"/>
      <c r="AZ103" s="44"/>
    </row>
    <row r="104" spans="1:52">
      <c r="A104" s="84" t="str">
        <f>$D$1&amp;94</f>
        <v>SD94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12.603362911522634</v>
      </c>
      <c r="G104" s="105"/>
      <c r="H104" s="60">
        <f t="shared" si="28"/>
        <v>12.603362911522634</v>
      </c>
      <c r="I104" s="112">
        <f>IF(H104="","",IF($I$8="A",(RANK(H104,H$11:H$363,1)+COUNTIF(H$11:H104,H104)-1),(RANK(H104,H$11:H$363)+COUNTIF(H$11:H104,H104)-1)))</f>
        <v>180</v>
      </c>
      <c r="J104" s="58"/>
      <c r="K104" s="51">
        <f t="shared" si="43"/>
        <v>94</v>
      </c>
      <c r="L104" s="59" t="str">
        <f t="shared" si="29"/>
        <v>Ribble Valley</v>
      </c>
      <c r="M104" s="153">
        <f t="shared" si="33"/>
        <v>6.8634482758620692</v>
      </c>
      <c r="N104" s="148">
        <f t="shared" si="34"/>
        <v>6.8634482758620692</v>
      </c>
      <c r="O104" s="131" t="str">
        <f t="shared" si="30"/>
        <v/>
      </c>
      <c r="P104" s="131">
        <f t="shared" si="44"/>
        <v>6.8634482758620692</v>
      </c>
      <c r="Q104" s="131" t="str">
        <f t="shared" si="45"/>
        <v/>
      </c>
      <c r="R104" s="127" t="str">
        <f t="shared" si="46"/>
        <v/>
      </c>
      <c r="S104" s="60" t="str">
        <f t="shared" si="35"/>
        <v/>
      </c>
      <c r="T104" s="231" t="str">
        <f>IF(L104="","",VLOOKUP(L104,classifications!C:K,9,FALSE))</f>
        <v>Sparse</v>
      </c>
      <c r="U104" s="238">
        <f t="shared" si="31"/>
        <v>6.8634482758620692</v>
      </c>
      <c r="V104" s="239">
        <f>IF(U104="","",IF($I$8="A",(RANK(U104,U$11:U$363)+COUNTIF(U$11:U104,U104)-1),(RANK(U104,U$11:U$363,1)+COUNTIF(U$11:U104,U104)-1)))</f>
        <v>40</v>
      </c>
      <c r="W104" s="240"/>
      <c r="X104" s="61" t="str">
        <f>IF(L104="","",VLOOKUP($L104,classifications!$C:$J,6,FALSE))</f>
        <v>Rural-80</v>
      </c>
      <c r="Y104" s="49">
        <f t="shared" si="36"/>
        <v>6.8634482758620692</v>
      </c>
      <c r="Z104" s="57">
        <f>IF(Y104="","",IF(I$8="A",(RANK(Y104,Y$11:Y$363,1)+COUNTIF(Y$11:Y104,Y104)-1),(RANK(Y104,Y$11:Y$363)+COUNTIF(Y$11:Y104,Y104)-1)))</f>
        <v>24</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Lancashire</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North West</v>
      </c>
      <c r="AQ104" s="62">
        <f t="shared" si="39"/>
        <v>6.8634482758620692</v>
      </c>
      <c r="AR104" s="57">
        <f>IF(AQ104="","",IF(I$8="A",(RANK(AQ104,AQ$11:AQ$363,1)+COUNTIF(AQ$11:AQ104,AQ104)-1),(RANK(AQ104,AQ$11:AQ$363)+COUNTIF(AQ$11:AQ104,AQ104)-1)))</f>
        <v>5</v>
      </c>
      <c r="AS104" s="52" t="str">
        <f t="shared" si="40"/>
        <v/>
      </c>
      <c r="AT104" s="57" t="str">
        <f t="shared" si="41"/>
        <v/>
      </c>
      <c r="AU104" s="62" t="str">
        <f t="shared" si="48"/>
        <v/>
      </c>
      <c r="AX104" s="44">
        <f>HLOOKUP($AX$9&amp;$AX$10,Data!$A$1:$ZZ$2000,(MATCH($C104,Data!$A$1:$A$2000,0)),FALSE)</f>
        <v>12.603362911522634</v>
      </c>
      <c r="AY104" s="156"/>
      <c r="AZ104" s="44"/>
    </row>
    <row r="105" spans="1:52">
      <c r="A105" s="84" t="str">
        <f>$D$1&amp;95</f>
        <v>SD95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10.650170955551557</v>
      </c>
      <c r="G105" s="105"/>
      <c r="H105" s="60">
        <f t="shared" si="28"/>
        <v>10.650170955551557</v>
      </c>
      <c r="I105" s="112">
        <f>IF(H105="","",IF($I$8="A",(RANK(H105,H$11:H$363,1)+COUNTIF(H$11:H105,H105)-1),(RANK(H105,H$11:H$363)+COUNTIF(H$11:H105,H105)-1)))</f>
        <v>166</v>
      </c>
      <c r="J105" s="58"/>
      <c r="K105" s="51">
        <f t="shared" si="43"/>
        <v>95</v>
      </c>
      <c r="L105" s="59" t="str">
        <f t="shared" si="29"/>
        <v>Pendle</v>
      </c>
      <c r="M105" s="153">
        <f t="shared" si="33"/>
        <v>6.87052</v>
      </c>
      <c r="N105" s="148">
        <f t="shared" si="34"/>
        <v>6.87052</v>
      </c>
      <c r="O105" s="131" t="str">
        <f t="shared" si="30"/>
        <v/>
      </c>
      <c r="P105" s="131">
        <f t="shared" si="44"/>
        <v>6.87052</v>
      </c>
      <c r="Q105" s="131" t="str">
        <f t="shared" si="45"/>
        <v/>
      </c>
      <c r="R105" s="127" t="str">
        <f t="shared" si="46"/>
        <v/>
      </c>
      <c r="S105" s="60" t="str">
        <f t="shared" si="35"/>
        <v/>
      </c>
      <c r="T105" s="231">
        <f>IF(L105="","",VLOOKUP(L105,classifications!C:K,9,FALSE))</f>
        <v>0</v>
      </c>
      <c r="U105" s="238" t="str">
        <f t="shared" si="31"/>
        <v/>
      </c>
      <c r="V105" s="239" t="str">
        <f>IF(U105="","",IF($I$8="A",(RANK(U105,U$11:U$363)+COUNTIF(U$11:U105,U105)-1),(RANK(U105,U$11:U$363,1)+COUNTIF(U$11:U105,U105)-1)))</f>
        <v/>
      </c>
      <c r="W105" s="240"/>
      <c r="X105" s="61" t="str">
        <f>IF(L105="","",VLOOKUP($L105,classifications!$C:$J,6,FALSE))</f>
        <v>Other Urban</v>
      </c>
      <c r="Y105" s="49" t="str">
        <f t="shared" si="36"/>
        <v/>
      </c>
      <c r="Z105" s="57" t="str">
        <f>IF(Y105="","",IF(I$8="A",(RANK(Y105,Y$11:Y$363,1)+COUNTIF(Y$11:Y105,Y105)-1),(RANK(Y105,Y$11:Y$363)+COUNTIF(Y$11:Y105,Y105)-1)))</f>
        <v/>
      </c>
      <c r="AA105" s="245" t="str">
        <f>IF(L105="","",VLOOKUP($L105,classifications!C:I,7,FALSE))</f>
        <v>Significant Rural</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Lancashire</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North West</v>
      </c>
      <c r="AQ105" s="62">
        <f t="shared" si="39"/>
        <v>6.87052</v>
      </c>
      <c r="AR105" s="57">
        <f>IF(AQ105="","",IF(I$8="A",(RANK(AQ105,AQ$11:AQ$363,1)+COUNTIF(AQ$11:AQ105,AQ105)-1),(RANK(AQ105,AQ$11:AQ$363)+COUNTIF(AQ$11:AQ105,AQ105)-1)))</f>
        <v>6</v>
      </c>
      <c r="AS105" s="52" t="str">
        <f t="shared" si="40"/>
        <v/>
      </c>
      <c r="AT105" s="57" t="str">
        <f t="shared" si="41"/>
        <v/>
      </c>
      <c r="AU105" s="62" t="str">
        <f t="shared" si="48"/>
        <v/>
      </c>
      <c r="AX105" s="44">
        <f>HLOOKUP($AX$9&amp;$AX$10,Data!$A$1:$ZZ$2000,(MATCH($C105,Data!$A$1:$A$2000,0)),FALSE)</f>
        <v>10.650170955551557</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6.3463596342702333</v>
      </c>
      <c r="G106" s="105"/>
      <c r="H106" s="60" t="str">
        <f t="shared" si="28"/>
        <v/>
      </c>
      <c r="I106" s="112" t="str">
        <f>IF(H106="","",IF($I$8="A",(RANK(H106,H$11:H$363,1)+COUNTIF(H$11:H106,H106)-1),(RANK(H106,H$11:H$363)+COUNTIF(H$11:H106,H106)-1)))</f>
        <v/>
      </c>
      <c r="J106" s="58"/>
      <c r="K106" s="51">
        <f t="shared" si="43"/>
        <v>96</v>
      </c>
      <c r="L106" s="59" t="str">
        <f t="shared" si="29"/>
        <v>West Lancashire</v>
      </c>
      <c r="M106" s="153">
        <f t="shared" si="33"/>
        <v>6.8877251780477584</v>
      </c>
      <c r="N106" s="148">
        <f t="shared" si="34"/>
        <v>6.8877251780477584</v>
      </c>
      <c r="O106" s="131" t="str">
        <f t="shared" si="30"/>
        <v/>
      </c>
      <c r="P106" s="131">
        <f t="shared" si="44"/>
        <v>6.8877251780477584</v>
      </c>
      <c r="Q106" s="131" t="str">
        <f t="shared" si="45"/>
        <v/>
      </c>
      <c r="R106" s="127" t="str">
        <f t="shared" si="46"/>
        <v/>
      </c>
      <c r="S106" s="60" t="str">
        <f t="shared" si="35"/>
        <v/>
      </c>
      <c r="T106" s="231">
        <f>IF(L106="","",VLOOKUP(L106,classifications!C:K,9,FALSE))</f>
        <v>0</v>
      </c>
      <c r="U106" s="238" t="str">
        <f t="shared" si="31"/>
        <v/>
      </c>
      <c r="V106" s="239" t="str">
        <f>IF(U106="","",IF($I$8="A",(RANK(U106,U$11:U$363)+COUNTIF(U$11:U106,U106)-1),(RANK(U106,U$11:U$363,1)+COUNTIF(U$11:U106,U106)-1)))</f>
        <v/>
      </c>
      <c r="W106" s="240"/>
      <c r="X106" s="61" t="str">
        <f>IF(L106="","",VLOOKUP($L106,classifications!$C:$J,6,FALSE))</f>
        <v>Rural-50</v>
      </c>
      <c r="Y106" s="49" t="str">
        <f t="shared" si="36"/>
        <v/>
      </c>
      <c r="Z106" s="57" t="str">
        <f>IF(Y106="","",IF(I$8="A",(RANK(Y106,Y$11:Y$363,1)+COUNTIF(Y$11:Y106,Y106)-1),(RANK(Y106,Y$11:Y$363)+COUNTIF(Y$11:Y106,Y106)-1)))</f>
        <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Lancashire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North West</v>
      </c>
      <c r="AQ106" s="62">
        <f t="shared" si="39"/>
        <v>6.8877251780477584</v>
      </c>
      <c r="AR106" s="57">
        <f>IF(AQ106="","",IF(I$8="A",(RANK(AQ106,AQ$11:AQ$363,1)+COUNTIF(AQ$11:AQ106,AQ106)-1),(RANK(AQ106,AQ$11:AQ$363)+COUNTIF(AQ$11:AQ106,AQ106)-1)))</f>
        <v>7</v>
      </c>
      <c r="AS106" s="52" t="str">
        <f t="shared" si="40"/>
        <v/>
      </c>
      <c r="AT106" s="57" t="str">
        <f t="shared" si="41"/>
        <v/>
      </c>
      <c r="AU106" s="62" t="str">
        <f t="shared" si="48"/>
        <v/>
      </c>
      <c r="AX106" s="44">
        <f>HLOOKUP($AX$9&amp;$AX$10,Data!$A$1:$ZZ$2000,(MATCH($C106,Data!$A$1:$A$2000,0)),FALSE)</f>
        <v>6.3463596342702333</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7.6913685648424828</v>
      </c>
      <c r="G107" s="105"/>
      <c r="H107" s="60">
        <f t="shared" si="28"/>
        <v>7.6913685648424828</v>
      </c>
      <c r="I107" s="112">
        <f>IF(H107="","",IF($I$8="A",(RANK(H107,H$11:H$363,1)+COUNTIF(H$11:H107,H107)-1),(RANK(H107,H$11:H$363)+COUNTIF(H$11:H107,H107)-1)))</f>
        <v>124</v>
      </c>
      <c r="J107" s="58"/>
      <c r="K107" s="51">
        <f t="shared" si="43"/>
        <v>97</v>
      </c>
      <c r="L107" s="59" t="str">
        <f t="shared" si="29"/>
        <v>Warwick</v>
      </c>
      <c r="M107" s="153">
        <f t="shared" si="33"/>
        <v>6.8947734922047275</v>
      </c>
      <c r="N107" s="148">
        <f t="shared" si="34"/>
        <v>6.8947734922047275</v>
      </c>
      <c r="O107" s="131" t="str">
        <f t="shared" si="30"/>
        <v/>
      </c>
      <c r="P107" s="131" t="str">
        <f t="shared" si="44"/>
        <v/>
      </c>
      <c r="Q107" s="131">
        <f t="shared" si="45"/>
        <v>6.8947734922047275</v>
      </c>
      <c r="R107" s="127" t="str">
        <f t="shared" si="46"/>
        <v/>
      </c>
      <c r="S107" s="60" t="str">
        <f t="shared" si="35"/>
        <v/>
      </c>
      <c r="T107" s="231">
        <f>IF(L107="","",VLOOKUP(L107,classifications!C:K,9,FALSE))</f>
        <v>0</v>
      </c>
      <c r="U107" s="238" t="str">
        <f t="shared" si="31"/>
        <v/>
      </c>
      <c r="V107" s="239" t="str">
        <f>IF(U107="","",IF($I$8="A",(RANK(U107,U$11:U$363)+COUNTIF(U$11:U107,U107)-1),(RANK(U107,U$11:U$363,1)+COUNTIF(U$11:U107,U107)-1)))</f>
        <v/>
      </c>
      <c r="W107" s="240"/>
      <c r="X107" s="61" t="str">
        <f>IF(L107="","",VLOOKUP($L107,classifications!$C:$J,6,FALSE))</f>
        <v>Significant Rural</v>
      </c>
      <c r="Y107" s="49" t="str">
        <f t="shared" si="36"/>
        <v/>
      </c>
      <c r="Z107" s="57" t="str">
        <f>IF(Y107="","",IF(I$8="A",(RANK(Y107,Y$11:Y$363,1)+COUNTIF(Y$11:Y107,Y107)-1),(RANK(Y107,Y$11:Y$363)+COUNTIF(Y$11:Y107,Y107)-1)))</f>
        <v/>
      </c>
      <c r="AA107" s="245" t="str">
        <f>IF(L107="","",VLOOKUP($L107,classifications!C:I,7,FALSE))</f>
        <v>Significant Rural</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Warwickshire</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West Midlands</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7.6913685648424828</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Harborough</v>
      </c>
      <c r="M108" s="153">
        <f t="shared" si="33"/>
        <v>6.950458190148912</v>
      </c>
      <c r="N108" s="148">
        <f t="shared" si="34"/>
        <v>6.950458190148912</v>
      </c>
      <c r="O108" s="131" t="str">
        <f t="shared" si="30"/>
        <v/>
      </c>
      <c r="P108" s="131" t="str">
        <f t="shared" si="44"/>
        <v/>
      </c>
      <c r="Q108" s="131">
        <f t="shared" si="45"/>
        <v>6.950458190148912</v>
      </c>
      <c r="R108" s="127" t="str">
        <f t="shared" si="46"/>
        <v/>
      </c>
      <c r="S108" s="60" t="str">
        <f t="shared" si="35"/>
        <v/>
      </c>
      <c r="T108" s="231" t="str">
        <f>IF(L108="","",VLOOKUP(L108,classifications!C:K,9,FALSE))</f>
        <v>Sparse</v>
      </c>
      <c r="U108" s="238">
        <f t="shared" si="31"/>
        <v>6.950458190148912</v>
      </c>
      <c r="V108" s="239">
        <f>IF(U108="","",IF($I$8="A",(RANK(U108,U$11:U$363)+COUNTIF(U$11:U108,U108)-1),(RANK(U108,U$11:U$363,1)+COUNTIF(U$11:U108,U108)-1)))</f>
        <v>39</v>
      </c>
      <c r="W108" s="240"/>
      <c r="X108" s="61" t="str">
        <f>IF(L108="","",VLOOKUP($L108,classifications!$C:$J,6,FALSE))</f>
        <v>Rural-80</v>
      </c>
      <c r="Y108" s="49">
        <f t="shared" si="36"/>
        <v>6.950458190148912</v>
      </c>
      <c r="Z108" s="57">
        <f>IF(Y108="","",IF(I$8="A",(RANK(Y108,Y$11:Y$363,1)+COUNTIF(Y$11:Y108,Y108)-1),(RANK(Y108,Y$11:Y$363)+COUNTIF(Y$11:Y108,Y108)-1)))</f>
        <v>25</v>
      </c>
      <c r="AA108" s="245" t="str">
        <f>IF(L108="","",VLOOKUP($L108,classifications!C:I,7,FALSE))</f>
        <v>Significant Rural</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Leicestershire</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East Midlands</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5.1304675716440427</v>
      </c>
      <c r="G109" s="105"/>
      <c r="H109" s="60">
        <f t="shared" si="28"/>
        <v>5.1304675716440427</v>
      </c>
      <c r="I109" s="112">
        <f>IF(H109="","",IF($I$8="A",(RANK(H109,H$11:H$363,1)+COUNTIF(H$11:H109,H109)-1),(RANK(H109,H$11:H$363)+COUNTIF(H$11:H109,H109)-1)))</f>
        <v>42</v>
      </c>
      <c r="J109" s="58"/>
      <c r="K109" s="51">
        <f t="shared" si="43"/>
        <v>99</v>
      </c>
      <c r="L109" s="59" t="str">
        <f t="shared" si="29"/>
        <v>South Bucks</v>
      </c>
      <c r="M109" s="153">
        <f t="shared" si="33"/>
        <v>6.9685308705318967</v>
      </c>
      <c r="N109" s="148">
        <f t="shared" si="34"/>
        <v>6.9685308705318967</v>
      </c>
      <c r="O109" s="131" t="str">
        <f t="shared" si="30"/>
        <v/>
      </c>
      <c r="P109" s="131" t="str">
        <f t="shared" si="44"/>
        <v/>
      </c>
      <c r="Q109" s="131">
        <f t="shared" si="45"/>
        <v>6.9685308705318967</v>
      </c>
      <c r="R109" s="127" t="str">
        <f t="shared" si="46"/>
        <v/>
      </c>
      <c r="S109" s="60" t="str">
        <f t="shared" si="35"/>
        <v/>
      </c>
      <c r="T109" s="231">
        <f>IF(L109="","",VLOOKUP(L109,classifications!C:K,9,FALSE))</f>
        <v>0</v>
      </c>
      <c r="U109" s="238" t="str">
        <f t="shared" si="31"/>
        <v/>
      </c>
      <c r="V109" s="239" t="str">
        <f>IF(U109="","",IF($I$8="A",(RANK(U109,U$11:U$363)+COUNTIF(U$11:U109,U109)-1),(RANK(U109,U$11:U$363,1)+COUNTIF(U$11:U109,U109)-1)))</f>
        <v/>
      </c>
      <c r="W109" s="240"/>
      <c r="X109" s="61" t="str">
        <f>IF(L109="","",VLOOKUP($L109,classifications!$C:$J,6,FALSE))</f>
        <v>Rural-50</v>
      </c>
      <c r="Y109" s="49" t="str">
        <f t="shared" si="36"/>
        <v/>
      </c>
      <c r="Z109" s="57" t="str">
        <f>IF(Y109="","",IF(I$8="A",(RANK(Y109,Y$11:Y$363,1)+COUNTIF(Y$11:Y109,Y109)-1),(RANK(Y109,Y$11:Y$363)+COUNTIF(Y$11:Y109,Y109)-1)))</f>
        <v/>
      </c>
      <c r="AA109" s="245" t="str">
        <f>IF(L109="","",VLOOKUP($L109,classifications!C:I,7,FALSE))</f>
        <v>Significant Rural</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Buckinghamshire</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South East</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5.1304675716440427</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2.6180457895032907</v>
      </c>
      <c r="G110" s="105"/>
      <c r="H110" s="60">
        <f t="shared" si="28"/>
        <v>2.6180457895032907</v>
      </c>
      <c r="I110" s="112">
        <f>IF(H110="","",IF($I$8="A",(RANK(H110,H$11:H$363,1)+COUNTIF(H$11:H110,H110)-1),(RANK(H110,H$11:H$363)+COUNTIF(H$11:H110,H110)-1)))</f>
        <v>2</v>
      </c>
      <c r="J110" s="58"/>
      <c r="K110" s="51">
        <f t="shared" si="43"/>
        <v>100</v>
      </c>
      <c r="L110" s="59" t="str">
        <f t="shared" si="29"/>
        <v>Worcester</v>
      </c>
      <c r="M110" s="153">
        <f t="shared" si="33"/>
        <v>6.9772429674448002</v>
      </c>
      <c r="N110" s="148">
        <f t="shared" si="34"/>
        <v>6.9772429674448002</v>
      </c>
      <c r="O110" s="131" t="str">
        <f t="shared" si="30"/>
        <v/>
      </c>
      <c r="P110" s="131" t="str">
        <f t="shared" si="44"/>
        <v/>
      </c>
      <c r="Q110" s="131">
        <f t="shared" si="45"/>
        <v>6.9772429674448002</v>
      </c>
      <c r="R110" s="127" t="str">
        <f t="shared" si="46"/>
        <v/>
      </c>
      <c r="S110" s="60" t="str">
        <f t="shared" si="35"/>
        <v/>
      </c>
      <c r="T110" s="231">
        <f>IF(L110="","",VLOOKUP(L110,classifications!C:K,9,FALSE))</f>
        <v>0</v>
      </c>
      <c r="U110" s="238" t="str">
        <f t="shared" si="31"/>
        <v/>
      </c>
      <c r="V110" s="239" t="str">
        <f>IF(U110="","",IF($I$8="A",(RANK(U110,U$11:U$363)+COUNTIF(U$11:U110,U110)-1),(RANK(U110,U$11:U$363,1)+COUNTIF(U$11:U110,U110)-1)))</f>
        <v/>
      </c>
      <c r="W110" s="240"/>
      <c r="X110" s="61" t="str">
        <f>IF(L110="","",VLOOKUP($L110,classifications!$C:$J,6,FALSE))</f>
        <v>Other Urban</v>
      </c>
      <c r="Y110" s="49" t="str">
        <f t="shared" si="36"/>
        <v/>
      </c>
      <c r="Z110" s="57" t="str">
        <f>IF(Y110="","",IF(I$8="A",(RANK(Y110,Y$11:Y$363,1)+COUNTIF(Y$11:Y110,Y110)-1),(RANK(Y110,Y$11:Y$363)+COUNTIF(Y$11:Y110,Y110)-1)))</f>
        <v/>
      </c>
      <c r="AA110" s="245" t="str">
        <f>IF(L110="","",VLOOKUP($L110,classifications!C:I,7,FALSE))</f>
        <v>Significant Rural</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Worcestershire</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West Midlands</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2.6180457895032907</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8.432047477744808</v>
      </c>
      <c r="G111" s="105"/>
      <c r="H111" s="60">
        <f t="shared" si="28"/>
        <v>8.432047477744808</v>
      </c>
      <c r="I111" s="112">
        <f>IF(H111="","",IF($I$8="A",(RANK(H111,H$11:H$363,1)+COUNTIF(H$11:H111,H111)-1),(RANK(H111,H$11:H$363)+COUNTIF(H$11:H111,H111)-1)))</f>
        <v>140</v>
      </c>
      <c r="J111" s="58"/>
      <c r="K111" s="51">
        <f t="shared" si="43"/>
        <v>101</v>
      </c>
      <c r="L111" s="59" t="str">
        <f t="shared" si="29"/>
        <v>Hart</v>
      </c>
      <c r="M111" s="153">
        <f t="shared" si="33"/>
        <v>6.9974772502027207</v>
      </c>
      <c r="N111" s="148">
        <f t="shared" si="34"/>
        <v>6.9974772502027207</v>
      </c>
      <c r="O111" s="131" t="str">
        <f t="shared" si="30"/>
        <v/>
      </c>
      <c r="P111" s="131" t="str">
        <f t="shared" si="44"/>
        <v/>
      </c>
      <c r="Q111" s="131">
        <f t="shared" si="45"/>
        <v>6.9974772502027207</v>
      </c>
      <c r="R111" s="127" t="str">
        <f t="shared" si="46"/>
        <v/>
      </c>
      <c r="S111" s="60" t="str">
        <f t="shared" si="35"/>
        <v/>
      </c>
      <c r="T111" s="231">
        <f>IF(L111="","",VLOOKUP(L111,classifications!C:K,9,FALSE))</f>
        <v>0</v>
      </c>
      <c r="U111" s="238" t="str">
        <f t="shared" si="31"/>
        <v/>
      </c>
      <c r="V111" s="239" t="str">
        <f>IF(U111="","",IF($I$8="A",(RANK(U111,U$11:U$363)+COUNTIF(U$11:U111,U111)-1),(RANK(U111,U$11:U$363,1)+COUNTIF(U$11:U111,U111)-1)))</f>
        <v/>
      </c>
      <c r="W111" s="240"/>
      <c r="X111" s="61" t="str">
        <f>IF(L111="","",VLOOKUP($L111,classifications!$C:$J,6,FALSE))</f>
        <v>Significant Rural</v>
      </c>
      <c r="Y111" s="49" t="str">
        <f t="shared" si="36"/>
        <v/>
      </c>
      <c r="Z111" s="57" t="str">
        <f>IF(Y111="","",IF(I$8="A",(RANK(Y111,Y$11:Y$363,1)+COUNTIF(Y$11:Y111,Y111)-1),(RANK(Y111,Y$11:Y$363)+COUNTIF(Y$11:Y111,Y111)-1)))</f>
        <v/>
      </c>
      <c r="AA111" s="245" t="str">
        <f>IF(L111="","",VLOOKUP($L111,classifications!C:I,7,FALSE))</f>
        <v>Significant Rural</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Hampshire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South East</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8.432047477744808</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7.0106124713879447</v>
      </c>
      <c r="G112" s="105"/>
      <c r="H112" s="60">
        <f t="shared" si="28"/>
        <v>7.0106124713879447</v>
      </c>
      <c r="I112" s="112">
        <f>IF(H112="","",IF($I$8="A",(RANK(H112,H$11:H$363,1)+COUNTIF(H$11:H112,H112)-1),(RANK(H112,H$11:H$363)+COUNTIF(H$11:H112,H112)-1)))</f>
        <v>103</v>
      </c>
      <c r="J112" s="58"/>
      <c r="K112" s="51">
        <f t="shared" si="43"/>
        <v>102</v>
      </c>
      <c r="L112" s="59" t="str">
        <f t="shared" si="29"/>
        <v>Chorley</v>
      </c>
      <c r="M112" s="153">
        <f t="shared" si="33"/>
        <v>7.0023287405394914</v>
      </c>
      <c r="N112" s="148">
        <f t="shared" si="34"/>
        <v>7.0023287405394914</v>
      </c>
      <c r="O112" s="131" t="str">
        <f t="shared" si="30"/>
        <v/>
      </c>
      <c r="P112" s="131" t="str">
        <f t="shared" si="44"/>
        <v/>
      </c>
      <c r="Q112" s="131">
        <f t="shared" si="45"/>
        <v>7.0023287405394914</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Significant Rural</v>
      </c>
      <c r="Y112" s="49" t="str">
        <f t="shared" si="36"/>
        <v/>
      </c>
      <c r="Z112" s="57" t="str">
        <f>IF(Y112="","",IF(I$8="A",(RANK(Y112,Y$11:Y$363,1)+COUNTIF(Y$11:Y112,Y112)-1),(RANK(Y112,Y$11:Y$363)+COUNTIF(Y$11:Y112,Y112)-1)))</f>
        <v/>
      </c>
      <c r="AA112" s="245" t="str">
        <f>IF(L112="","",VLOOKUP($L112,classifications!C:I,7,FALSE))</f>
        <v>Significant Rural</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Lancashire</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North West</v>
      </c>
      <c r="AQ112" s="62">
        <f t="shared" si="39"/>
        <v>7.0023287405394914</v>
      </c>
      <c r="AR112" s="57">
        <f>IF(AQ112="","",IF(I$8="A",(RANK(AQ112,AQ$11:AQ$363,1)+COUNTIF(AQ$11:AQ112,AQ112)-1),(RANK(AQ112,AQ$11:AQ$363)+COUNTIF(AQ$11:AQ112,AQ112)-1)))</f>
        <v>8</v>
      </c>
      <c r="AS112" s="52" t="str">
        <f t="shared" si="40"/>
        <v/>
      </c>
      <c r="AT112" s="57" t="str">
        <f t="shared" si="41"/>
        <v/>
      </c>
      <c r="AU112" s="62" t="str">
        <f t="shared" si="48"/>
        <v/>
      </c>
      <c r="AX112" s="44">
        <f>HLOOKUP($AX$9&amp;$AX$10,Data!$A$1:$ZZ$2000,(MATCH($C112,Data!$A$1:$A$2000,0)),FALSE)</f>
        <v>7.0106124713879447</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5.7496231786970355</v>
      </c>
      <c r="G113" s="105"/>
      <c r="H113" s="60" t="str">
        <f t="shared" si="28"/>
        <v/>
      </c>
      <c r="I113" s="112" t="str">
        <f>IF(H113="","",IF($I$8="A",(RANK(H113,H$11:H$363,1)+COUNTIF(H$11:H113,H113)-1),(RANK(H113,H$11:H$363)+COUNTIF(H$11:H113,H113)-1)))</f>
        <v/>
      </c>
      <c r="J113" s="58"/>
      <c r="K113" s="51">
        <f t="shared" si="43"/>
        <v>103</v>
      </c>
      <c r="L113" s="59" t="str">
        <f t="shared" si="29"/>
        <v>Elmbridge</v>
      </c>
      <c r="M113" s="153">
        <f t="shared" si="33"/>
        <v>7.0106124713879447</v>
      </c>
      <c r="N113" s="148">
        <f t="shared" si="34"/>
        <v>7.0106124713879447</v>
      </c>
      <c r="O113" s="131" t="str">
        <f t="shared" si="30"/>
        <v/>
      </c>
      <c r="P113" s="131" t="str">
        <f t="shared" si="44"/>
        <v/>
      </c>
      <c r="Q113" s="131">
        <f t="shared" si="45"/>
        <v>7.0106124713879447</v>
      </c>
      <c r="R113" s="127" t="str">
        <f t="shared" si="46"/>
        <v/>
      </c>
      <c r="S113" s="60" t="str">
        <f t="shared" si="35"/>
        <v/>
      </c>
      <c r="T113" s="231">
        <f>IF(L113="","",VLOOKUP(L113,classifications!C:K,9,FALSE))</f>
        <v>0</v>
      </c>
      <c r="U113" s="238" t="str">
        <f t="shared" si="31"/>
        <v/>
      </c>
      <c r="V113" s="239" t="str">
        <f>IF(U113="","",IF($I$8="A",(RANK(U113,U$11:U$363)+COUNTIF(U$11:U113,U113)-1),(RANK(U113,U$11:U$363,1)+COUNTIF(U$11:U113,U113)-1)))</f>
        <v/>
      </c>
      <c r="W113" s="240"/>
      <c r="X113" s="61" t="str">
        <f>IF(L113="","",VLOOKUP($L113,classifications!$C:$J,6,FALSE))</f>
        <v>Major Urban</v>
      </c>
      <c r="Y113" s="49" t="str">
        <f t="shared" si="36"/>
        <v/>
      </c>
      <c r="Z113" s="57" t="str">
        <f>IF(Y113="","",IF(I$8="A",(RANK(Y113,Y$11:Y$363,1)+COUNTIF(Y$11:Y113,Y113)-1),(RANK(Y113,Y$11:Y$363)+COUNTIF(Y$11:Y113,Y113)-1)))</f>
        <v/>
      </c>
      <c r="AA113" s="245" t="str">
        <f>IF(L113="","",VLOOKUP($L113,classifications!C:I,7,FALSE))</f>
        <v>Predominantly Urban</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Surrey</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East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5.7496231786970355</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6.0389410022216738</v>
      </c>
      <c r="G114" s="105"/>
      <c r="H114" s="60">
        <f t="shared" si="28"/>
        <v>6.0389410022216738</v>
      </c>
      <c r="I114" s="112">
        <f>IF(H114="","",IF($I$8="A",(RANK(H114,H$11:H$363,1)+COUNTIF(H$11:H114,H114)-1),(RANK(H114,H$11:H$363)+COUNTIF(H$11:H114,H114)-1)))</f>
        <v>73</v>
      </c>
      <c r="J114" s="58"/>
      <c r="K114" s="51">
        <f t="shared" si="43"/>
        <v>104</v>
      </c>
      <c r="L114" s="59" t="str">
        <f t="shared" si="29"/>
        <v>Stratford-on-Avon</v>
      </c>
      <c r="M114" s="153">
        <f t="shared" si="33"/>
        <v>7.0145889241278363</v>
      </c>
      <c r="N114" s="148">
        <f t="shared" si="34"/>
        <v>7.0145889241278363</v>
      </c>
      <c r="O114" s="131" t="str">
        <f t="shared" si="30"/>
        <v/>
      </c>
      <c r="P114" s="131" t="str">
        <f t="shared" si="44"/>
        <v/>
      </c>
      <c r="Q114" s="131">
        <f t="shared" si="45"/>
        <v>7.0145889241278363</v>
      </c>
      <c r="R114" s="127" t="str">
        <f t="shared" si="46"/>
        <v/>
      </c>
      <c r="S114" s="60" t="str">
        <f t="shared" si="35"/>
        <v/>
      </c>
      <c r="T114" s="231" t="str">
        <f>IF(L114="","",VLOOKUP(L114,classifications!C:K,9,FALSE))</f>
        <v>Sparse</v>
      </c>
      <c r="U114" s="238">
        <f t="shared" si="31"/>
        <v>7.0145889241278363</v>
      </c>
      <c r="V114" s="239">
        <f>IF(U114="","",IF($I$8="A",(RANK(U114,U$11:U$363)+COUNTIF(U$11:U114,U114)-1),(RANK(U114,U$11:U$363,1)+COUNTIF(U$11:U114,U114)-1)))</f>
        <v>38</v>
      </c>
      <c r="W114" s="240"/>
      <c r="X114" s="61" t="str">
        <f>IF(L114="","",VLOOKUP($L114,classifications!$C:$J,6,FALSE))</f>
        <v>Rural-80</v>
      </c>
      <c r="Y114" s="49">
        <f t="shared" si="36"/>
        <v>7.0145889241278363</v>
      </c>
      <c r="Z114" s="57">
        <f>IF(Y114="","",IF(I$8="A",(RANK(Y114,Y$11:Y$363,1)+COUNTIF(Y$11:Y114,Y114)-1),(RANK(Y114,Y$11:Y$363)+COUNTIF(Y$11:Y114,Y114)-1)))</f>
        <v>26</v>
      </c>
      <c r="AA114" s="245" t="str">
        <f>IF(L114="","",VLOOKUP($L114,classifications!C:I,7,FALSE))</f>
        <v>Significant Rural</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Warwickshire</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West Midlands</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6.0389410022216738</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9.2927053266859101</v>
      </c>
      <c r="G115" s="105"/>
      <c r="H115" s="60">
        <f t="shared" si="28"/>
        <v>9.2927053266859101</v>
      </c>
      <c r="I115" s="112">
        <f>IF(H115="","",IF($I$8="A",(RANK(H115,H$11:H$363,1)+COUNTIF(H$11:H115,H115)-1),(RANK(H115,H$11:H$363)+COUNTIF(H$11:H115,H115)-1)))</f>
        <v>152</v>
      </c>
      <c r="J115" s="58"/>
      <c r="K115" s="51">
        <f t="shared" si="43"/>
        <v>105</v>
      </c>
      <c r="L115" s="59" t="str">
        <f t="shared" si="29"/>
        <v>North East Derbyshire</v>
      </c>
      <c r="M115" s="153">
        <f t="shared" si="33"/>
        <v>7.0662689664116201</v>
      </c>
      <c r="N115" s="148">
        <f t="shared" si="34"/>
        <v>7.0662689664116201</v>
      </c>
      <c r="O115" s="131" t="str">
        <f t="shared" si="30"/>
        <v/>
      </c>
      <c r="P115" s="131" t="str">
        <f t="shared" si="44"/>
        <v/>
      </c>
      <c r="Q115" s="131">
        <f t="shared" si="45"/>
        <v>7.0662689664116201</v>
      </c>
      <c r="R115" s="127" t="str">
        <f t="shared" si="46"/>
        <v/>
      </c>
      <c r="S115" s="60" t="str">
        <f t="shared" si="35"/>
        <v/>
      </c>
      <c r="T115" s="231">
        <f>IF(L115="","",VLOOKUP(L115,classifications!C:K,9,FALSE))</f>
        <v>0</v>
      </c>
      <c r="U115" s="238" t="str">
        <f t="shared" si="31"/>
        <v/>
      </c>
      <c r="V115" s="239" t="str">
        <f>IF(U115="","",IF($I$8="A",(RANK(U115,U$11:U$363)+COUNTIF(U$11:U115,U115)-1),(RANK(U115,U$11:U$363,1)+COUNTIF(U$11:U115,U115)-1)))</f>
        <v/>
      </c>
      <c r="W115" s="240"/>
      <c r="X115" s="61" t="str">
        <f>IF(L115="","",VLOOKUP($L115,classifications!$C:$J,6,FALSE))</f>
        <v>Rural-50</v>
      </c>
      <c r="Y115" s="49" t="str">
        <f t="shared" si="36"/>
        <v/>
      </c>
      <c r="Z115" s="57" t="str">
        <f>IF(Y115="","",IF(I$8="A",(RANK(Y115,Y$11:Y$363,1)+COUNTIF(Y$11:Y115,Y115)-1),(RANK(Y115,Y$11:Y$363)+COUNTIF(Y$11:Y115,Y115)-1)))</f>
        <v/>
      </c>
      <c r="AA115" s="245" t="str">
        <f>IF(L115="","",VLOOKUP($L115,classifications!C:I,7,FALSE))</f>
        <v>Significant Rural</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Derbyshire</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East Midlands</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9.2927053266859101</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5.9822073734509145</v>
      </c>
      <c r="G116" s="105"/>
      <c r="H116" s="60">
        <f t="shared" si="28"/>
        <v>5.9822073734509145</v>
      </c>
      <c r="I116" s="112">
        <f>IF(H116="","",IF($I$8="A",(RANK(H116,H$11:H$363,1)+COUNTIF(H$11:H116,H116)-1),(RANK(H116,H$11:H$363)+COUNTIF(H$11:H116,H116)-1)))</f>
        <v>72</v>
      </c>
      <c r="J116" s="58"/>
      <c r="K116" s="51">
        <f t="shared" si="43"/>
        <v>106</v>
      </c>
      <c r="L116" s="59" t="str">
        <f t="shared" si="29"/>
        <v>Gloucester</v>
      </c>
      <c r="M116" s="153">
        <f t="shared" si="33"/>
        <v>7.0889522368956888</v>
      </c>
      <c r="N116" s="148">
        <f t="shared" si="34"/>
        <v>7.0889522368956888</v>
      </c>
      <c r="O116" s="131" t="str">
        <f t="shared" si="30"/>
        <v/>
      </c>
      <c r="P116" s="131" t="str">
        <f t="shared" si="44"/>
        <v/>
      </c>
      <c r="Q116" s="131">
        <f t="shared" si="45"/>
        <v>7.0889522368956888</v>
      </c>
      <c r="R116" s="127" t="str">
        <f t="shared" si="46"/>
        <v/>
      </c>
      <c r="S116" s="60" t="str">
        <f t="shared" si="35"/>
        <v/>
      </c>
      <c r="T116" s="231">
        <f>IF(L116="","",VLOOKUP(L116,classifications!C:K,9,FALSE))</f>
        <v>0</v>
      </c>
      <c r="U116" s="238" t="str">
        <f t="shared" si="31"/>
        <v/>
      </c>
      <c r="V116" s="239" t="str">
        <f>IF(U116="","",IF($I$8="A",(RANK(U116,U$11:U$363)+COUNTIF(U$11:U116,U116)-1),(RANK(U116,U$11:U$363,1)+COUNTIF(U$11:U116,U116)-1)))</f>
        <v/>
      </c>
      <c r="W116" s="240"/>
      <c r="X116" s="61" t="str">
        <f>IF(L116="","",VLOOKUP($L116,classifications!$C:$J,6,FALSE))</f>
        <v>Other Urban</v>
      </c>
      <c r="Y116" s="49" t="str">
        <f t="shared" si="36"/>
        <v/>
      </c>
      <c r="Z116" s="57" t="str">
        <f>IF(Y116="","",IF(I$8="A",(RANK(Y116,Y$11:Y$363,1)+COUNTIF(Y$11:Y116,Y116)-1),(RANK(Y116,Y$11:Y$363)+COUNTIF(Y$11:Y116,Y116)-1)))</f>
        <v/>
      </c>
      <c r="AA116" s="245" t="str">
        <f>IF(L116="","",VLOOKUP($L116,classifications!C:I,7,FALSE))</f>
        <v>Significant Rural</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Gloucestershire</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South West</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5.9822073734509145</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Test Valley</v>
      </c>
      <c r="M117" s="153">
        <f t="shared" si="33"/>
        <v>7.1096578424191694</v>
      </c>
      <c r="N117" s="148">
        <f t="shared" si="34"/>
        <v>7.1096578424191694</v>
      </c>
      <c r="O117" s="131" t="str">
        <f t="shared" si="30"/>
        <v/>
      </c>
      <c r="P117" s="131" t="str">
        <f t="shared" si="44"/>
        <v/>
      </c>
      <c r="Q117" s="131">
        <f t="shared" si="45"/>
        <v>7.1096578424191694</v>
      </c>
      <c r="R117" s="127" t="str">
        <f t="shared" si="46"/>
        <v/>
      </c>
      <c r="S117" s="60" t="str">
        <f t="shared" si="35"/>
        <v/>
      </c>
      <c r="T117" s="231">
        <f>IF(L117="","",VLOOKUP(L117,classifications!C:K,9,FALSE))</f>
        <v>0</v>
      </c>
      <c r="U117" s="238" t="str">
        <f t="shared" si="31"/>
        <v/>
      </c>
      <c r="V117" s="239" t="str">
        <f>IF(U117="","",IF($I$8="A",(RANK(U117,U$11:U$363)+COUNTIF(U$11:U117,U117)-1),(RANK(U117,U$11:U$363,1)+COUNTIF(U$11:U117,U117)-1)))</f>
        <v/>
      </c>
      <c r="W117" s="240"/>
      <c r="X117" s="61" t="str">
        <f>IF(L117="","",VLOOKUP($L117,classifications!$C:$J,6,FALSE))</f>
        <v>Rural-50</v>
      </c>
      <c r="Y117" s="49" t="str">
        <f t="shared" si="36"/>
        <v/>
      </c>
      <c r="Z117" s="57" t="str">
        <f>IF(Y117="","",IF(I$8="A",(RANK(Y117,Y$11:Y$363,1)+COUNTIF(Y$11:Y117,Y117)-1),(RANK(Y117,Y$11:Y$363)+COUNTIF(Y$11:Y117,Y117)-1)))</f>
        <v/>
      </c>
      <c r="AA117" s="245" t="str">
        <f>IF(L117="","",VLOOKUP($L117,classifications!C:I,7,FALSE))</f>
        <v>Significant Rural</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Hampshire</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South East</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10.970383275261325</v>
      </c>
      <c r="G118" s="105"/>
      <c r="H118" s="60">
        <f t="shared" si="28"/>
        <v>10.970383275261325</v>
      </c>
      <c r="I118" s="112">
        <f>IF(H118="","",IF($I$8="A",(RANK(H118,H$11:H$363,1)+COUNTIF(H$11:H118,H118)-1),(RANK(H118,H$11:H$363)+COUNTIF(H$11:H118,H118)-1)))</f>
        <v>172</v>
      </c>
      <c r="J118" s="58"/>
      <c r="K118" s="51">
        <f t="shared" si="43"/>
        <v>108</v>
      </c>
      <c r="L118" s="59" t="str">
        <f t="shared" si="29"/>
        <v>South Hams</v>
      </c>
      <c r="M118" s="153">
        <f t="shared" si="33"/>
        <v>7.1255790866975515</v>
      </c>
      <c r="N118" s="148">
        <f t="shared" si="34"/>
        <v>7.1255790866975515</v>
      </c>
      <c r="O118" s="131" t="str">
        <f t="shared" si="30"/>
        <v/>
      </c>
      <c r="P118" s="131" t="str">
        <f t="shared" si="44"/>
        <v/>
      </c>
      <c r="Q118" s="131">
        <f t="shared" si="45"/>
        <v>7.1255790866975515</v>
      </c>
      <c r="R118" s="127" t="str">
        <f t="shared" si="46"/>
        <v/>
      </c>
      <c r="S118" s="60" t="str">
        <f t="shared" si="35"/>
        <v/>
      </c>
      <c r="T118" s="231" t="str">
        <f>IF(L118="","",VLOOKUP(L118,classifications!C:K,9,FALSE))</f>
        <v>Sparse</v>
      </c>
      <c r="U118" s="238">
        <f t="shared" si="31"/>
        <v>7.1255790866975515</v>
      </c>
      <c r="V118" s="239">
        <f>IF(U118="","",IF($I$8="A",(RANK(U118,U$11:U$363)+COUNTIF(U$11:U118,U118)-1),(RANK(U118,U$11:U$363,1)+COUNTIF(U$11:U118,U118)-1)))</f>
        <v>37</v>
      </c>
      <c r="W118" s="240"/>
      <c r="X118" s="61" t="str">
        <f>IF(L118="","",VLOOKUP($L118,classifications!$C:$J,6,FALSE))</f>
        <v>Rural-80</v>
      </c>
      <c r="Y118" s="49">
        <f t="shared" si="36"/>
        <v>7.1255790866975515</v>
      </c>
      <c r="Z118" s="57">
        <f>IF(Y118="","",IF(I$8="A",(RANK(Y118,Y$11:Y$363,1)+COUNTIF(Y$11:Y118,Y118)-1),(RANK(Y118,Y$11:Y$363)+COUNTIF(Y$11:Y118,Y118)-1)))</f>
        <v>27</v>
      </c>
      <c r="AA118" s="245" t="str">
        <f>IF(L118="","",VLOOKUP($L118,classifications!C:I,7,FALSE))</f>
        <v>Predominantly Rural</v>
      </c>
      <c r="AB118" s="239">
        <f t="shared" si="37"/>
        <v>7.1255790866975515</v>
      </c>
      <c r="AC118" s="239">
        <f>IF(AB118="","",IF($I$8="A",(RANK(AB118,AB$11:AB$363)+COUNTIF(AB$11:AB118,AB118)-1),(RANK(AB118,AB$11:AB$363,1)+COUNTIF(AB$11:AB118,AB118)-1)))</f>
        <v>29</v>
      </c>
      <c r="AD118" s="239"/>
      <c r="AE118" s="51" t="str">
        <f t="shared" si="50"/>
        <v/>
      </c>
      <c r="AG118" s="143"/>
      <c r="AH118" s="52"/>
      <c r="AI118" s="61" t="str">
        <f>IF(L118="","",VLOOKUP($L118,classifications!$C:$J,8,FALSE))</f>
        <v>Devon</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South West</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10.970383275261325</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4.904138641459129</v>
      </c>
      <c r="G119" s="105"/>
      <c r="H119" s="60">
        <f t="shared" si="28"/>
        <v>4.904138641459129</v>
      </c>
      <c r="I119" s="112">
        <f>IF(H119="","",IF($I$8="A",(RANK(H119,H$11:H$363,1)+COUNTIF(H$11:H119,H119)-1),(RANK(H119,H$11:H$363)+COUNTIF(H$11:H119,H119)-1)))</f>
        <v>35</v>
      </c>
      <c r="J119" s="58"/>
      <c r="K119" s="51">
        <f t="shared" si="43"/>
        <v>109</v>
      </c>
      <c r="L119" s="59" t="str">
        <f t="shared" si="29"/>
        <v>North West Leicestershire</v>
      </c>
      <c r="M119" s="153">
        <f t="shared" si="33"/>
        <v>7.1450692109173382</v>
      </c>
      <c r="N119" s="148">
        <f t="shared" si="34"/>
        <v>7.1450692109173382</v>
      </c>
      <c r="O119" s="131" t="str">
        <f t="shared" si="30"/>
        <v/>
      </c>
      <c r="P119" s="131" t="str">
        <f t="shared" si="44"/>
        <v/>
      </c>
      <c r="Q119" s="131">
        <f t="shared" si="45"/>
        <v>7.1450692109173382</v>
      </c>
      <c r="R119" s="127" t="str">
        <f t="shared" si="46"/>
        <v/>
      </c>
      <c r="S119" s="60" t="str">
        <f t="shared" si="35"/>
        <v/>
      </c>
      <c r="T119" s="231" t="str">
        <f>IF(L119="","",VLOOKUP(L119,classifications!C:K,9,FALSE))</f>
        <v>Sparse</v>
      </c>
      <c r="U119" s="238">
        <f t="shared" si="31"/>
        <v>7.1450692109173382</v>
      </c>
      <c r="V119" s="239">
        <f>IF(U119="","",IF($I$8="A",(RANK(U119,U$11:U$363)+COUNTIF(U$11:U119,U119)-1),(RANK(U119,U$11:U$363,1)+COUNTIF(U$11:U119,U119)-1)))</f>
        <v>36</v>
      </c>
      <c r="W119" s="240"/>
      <c r="X119" s="61" t="str">
        <f>IF(L119="","",VLOOKUP($L119,classifications!$C:$J,6,FALSE))</f>
        <v>Rural-50</v>
      </c>
      <c r="Y119" s="49" t="str">
        <f t="shared" si="36"/>
        <v/>
      </c>
      <c r="Z119" s="57" t="str">
        <f>IF(Y119="","",IF(I$8="A",(RANK(Y119,Y$11:Y$363,1)+COUNTIF(Y$11:Y119,Y119)-1),(RANK(Y119,Y$11:Y$363)+COUNTIF(Y$11:Y119,Y119)-1)))</f>
        <v/>
      </c>
      <c r="AA119" s="245" t="str">
        <f>IF(L119="","",VLOOKUP($L119,classifications!C:I,7,FALSE))</f>
        <v>Significant Rural</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Leicestershire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East Midlands</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4.904138641459129</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5.6660818713450292</v>
      </c>
      <c r="G120" s="105"/>
      <c r="H120" s="60">
        <f t="shared" si="28"/>
        <v>5.6660818713450292</v>
      </c>
      <c r="I120" s="112">
        <f>IF(H120="","",IF($I$8="A",(RANK(H120,H$11:H$363,1)+COUNTIF(H$11:H120,H120)-1),(RANK(H120,H$11:H$363)+COUNTIF(H$11:H120,H120)-1)))</f>
        <v>60</v>
      </c>
      <c r="J120" s="58"/>
      <c r="K120" s="51">
        <f t="shared" si="43"/>
        <v>110</v>
      </c>
      <c r="L120" s="59" t="str">
        <f t="shared" si="29"/>
        <v>Christchurch</v>
      </c>
      <c r="M120" s="153">
        <f t="shared" si="33"/>
        <v>7.1802740346506626</v>
      </c>
      <c r="N120" s="148">
        <f t="shared" si="34"/>
        <v>7.1802740346506626</v>
      </c>
      <c r="O120" s="131" t="str">
        <f t="shared" si="30"/>
        <v/>
      </c>
      <c r="P120" s="131" t="str">
        <f t="shared" si="44"/>
        <v/>
      </c>
      <c r="Q120" s="131">
        <f t="shared" si="45"/>
        <v>7.1802740346506626</v>
      </c>
      <c r="R120" s="127" t="str">
        <f t="shared" si="46"/>
        <v/>
      </c>
      <c r="S120" s="60" t="str">
        <f t="shared" si="35"/>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Large Urban</v>
      </c>
      <c r="Y120" s="49" t="str">
        <f t="shared" si="36"/>
        <v/>
      </c>
      <c r="Z120" s="57" t="str">
        <f>IF(Y120="","",IF(I$8="A",(RANK(Y120,Y$11:Y$363,1)+COUNTIF(Y$11:Y120,Y120)-1),(RANK(Y120,Y$11:Y$363)+COUNTIF(Y$11:Y120,Y120)-1)))</f>
        <v/>
      </c>
      <c r="AA120" s="245" t="str">
        <f>IF(L120="","",VLOOKUP($L120,classifications!C:I,7,FALSE))</f>
        <v>Predominantly Rural</v>
      </c>
      <c r="AB120" s="239">
        <f t="shared" si="37"/>
        <v>7.1802740346506626</v>
      </c>
      <c r="AC120" s="239">
        <f>IF(AB120="","",IF($I$8="A",(RANK(AB120,AB$11:AB$363)+COUNTIF(AB$11:AB120,AB120)-1),(RANK(AB120,AB$11:AB$363,1)+COUNTIF(AB$11:AB120,AB120)-1)))</f>
        <v>28</v>
      </c>
      <c r="AD120" s="239"/>
      <c r="AE120" s="51" t="str">
        <f t="shared" si="50"/>
        <v/>
      </c>
      <c r="AG120" s="143"/>
      <c r="AH120" s="52"/>
      <c r="AI120" s="61" t="str">
        <f>IF(L120="","",VLOOKUP($L120,classifications!$C:$J,8,FALSE))</f>
        <v>Dorset</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South West</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5.6660818713450292</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4.6454097626511421</v>
      </c>
      <c r="G121" s="105"/>
      <c r="H121" s="60">
        <f t="shared" si="28"/>
        <v>4.6454097626511421</v>
      </c>
      <c r="I121" s="112">
        <f>IF(H121="","",IF($I$8="A",(RANK(H121,H$11:H$363,1)+COUNTIF(H$11:H121,H121)-1),(RANK(H121,H$11:H$363)+COUNTIF(H$11:H121,H121)-1)))</f>
        <v>30</v>
      </c>
      <c r="J121" s="58"/>
      <c r="K121" s="51">
        <f t="shared" si="43"/>
        <v>111</v>
      </c>
      <c r="L121" s="59" t="str">
        <f t="shared" si="29"/>
        <v>Woking</v>
      </c>
      <c r="M121" s="153">
        <f t="shared" si="33"/>
        <v>7.2132624070603883</v>
      </c>
      <c r="N121" s="148">
        <f t="shared" si="34"/>
        <v>7.2132624070603883</v>
      </c>
      <c r="O121" s="131" t="str">
        <f t="shared" si="30"/>
        <v/>
      </c>
      <c r="P121" s="131" t="str">
        <f t="shared" si="44"/>
        <v/>
      </c>
      <c r="Q121" s="131">
        <f t="shared" si="45"/>
        <v>7.2132624070603883</v>
      </c>
      <c r="R121" s="127" t="str">
        <f t="shared" si="46"/>
        <v/>
      </c>
      <c r="S121" s="60" t="str">
        <f t="shared" si="35"/>
        <v/>
      </c>
      <c r="T121" s="231">
        <f>IF(L121="","",VLOOKUP(L121,classifications!C:K,9,FALSE))</f>
        <v>0</v>
      </c>
      <c r="U121" s="238" t="str">
        <f t="shared" si="31"/>
        <v/>
      </c>
      <c r="V121" s="239" t="str">
        <f>IF(U121="","",IF($I$8="A",(RANK(U121,U$11:U$363)+COUNTIF(U$11:U121,U121)-1),(RANK(U121,U$11:U$363,1)+COUNTIF(U$11:U121,U121)-1)))</f>
        <v/>
      </c>
      <c r="W121" s="240"/>
      <c r="X121" s="61" t="str">
        <f>IF(L121="","",VLOOKUP($L121,classifications!$C:$J,6,FALSE))</f>
        <v>Major Urban</v>
      </c>
      <c r="Y121" s="49" t="str">
        <f t="shared" si="36"/>
        <v/>
      </c>
      <c r="Z121" s="57" t="str">
        <f>IF(Y121="","",IF(I$8="A",(RANK(Y121,Y$11:Y$363,1)+COUNTIF(Y$11:Y121,Y121)-1),(RANK(Y121,Y$11:Y$363)+COUNTIF(Y$11:Y121,Y121)-1)))</f>
        <v/>
      </c>
      <c r="AA121" s="245" t="str">
        <f>IF(L121="","",VLOOKUP($L121,classifications!C:I,7,FALSE))</f>
        <v>Predominantly Urban</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Surrey</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East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4.6454097626511421</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6.4616651881890759</v>
      </c>
      <c r="G122" s="105"/>
      <c r="H122" s="60">
        <f t="shared" si="28"/>
        <v>6.4616651881890759</v>
      </c>
      <c r="I122" s="112">
        <f>IF(H122="","",IF($I$8="A",(RANK(H122,H$11:H$363,1)+COUNTIF(H$11:H122,H122)-1),(RANK(H122,H$11:H$363)+COUNTIF(H$11:H122,H122)-1)))</f>
        <v>84</v>
      </c>
      <c r="J122" s="58"/>
      <c r="K122" s="51">
        <f t="shared" si="43"/>
        <v>112</v>
      </c>
      <c r="L122" s="59" t="str">
        <f t="shared" si="29"/>
        <v>Hinckley &amp; Bosworth</v>
      </c>
      <c r="M122" s="153">
        <f t="shared" si="33"/>
        <v>7.216631782321687</v>
      </c>
      <c r="N122" s="148">
        <f t="shared" si="34"/>
        <v>7.216631782321687</v>
      </c>
      <c r="O122" s="131" t="str">
        <f t="shared" si="30"/>
        <v/>
      </c>
      <c r="P122" s="131" t="str">
        <f t="shared" si="44"/>
        <v/>
      </c>
      <c r="Q122" s="131">
        <f t="shared" si="45"/>
        <v>7.216631782321687</v>
      </c>
      <c r="R122" s="127" t="str">
        <f t="shared" si="46"/>
        <v/>
      </c>
      <c r="S122" s="60" t="str">
        <f t="shared" si="35"/>
        <v/>
      </c>
      <c r="T122" s="231" t="str">
        <f>IF(L122="","",VLOOKUP(L122,classifications!C:K,9,FALSE))</f>
        <v>Sparse</v>
      </c>
      <c r="U122" s="238">
        <f t="shared" si="31"/>
        <v>7.216631782321687</v>
      </c>
      <c r="V122" s="239">
        <f>IF(U122="","",IF($I$8="A",(RANK(U122,U$11:U$363)+COUNTIF(U$11:U122,U122)-1),(RANK(U122,U$11:U$363,1)+COUNTIF(U$11:U122,U122)-1)))</f>
        <v>35</v>
      </c>
      <c r="W122" s="240"/>
      <c r="X122" s="61" t="str">
        <f>IF(L122="","",VLOOKUP($L122,classifications!$C:$J,6,FALSE))</f>
        <v>Significant Rural</v>
      </c>
      <c r="Y122" s="49" t="str">
        <f t="shared" si="36"/>
        <v/>
      </c>
      <c r="Z122" s="57" t="str">
        <f>IF(Y122="","",IF(I$8="A",(RANK(Y122,Y$11:Y$363,1)+COUNTIF(Y$11:Y122,Y122)-1),(RANK(Y122,Y$11:Y$363)+COUNTIF(Y$11:Y122,Y122)-1)))</f>
        <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Leicestershire</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East Midlands</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6.4616651881890759</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13.082076195346458</v>
      </c>
      <c r="G123" s="105"/>
      <c r="H123" s="60">
        <f t="shared" si="28"/>
        <v>13.082076195346458</v>
      </c>
      <c r="I123" s="112">
        <f>IF(H123="","",IF($I$8="A",(RANK(H123,H$11:H$363,1)+COUNTIF(H$11:H123,H123)-1),(RANK(H123,H$11:H$363)+COUNTIF(H$11:H123,H123)-1)))</f>
        <v>184</v>
      </c>
      <c r="J123" s="58"/>
      <c r="K123" s="51">
        <f t="shared" si="43"/>
        <v>113</v>
      </c>
      <c r="L123" s="59" t="str">
        <f t="shared" si="29"/>
        <v>Purbeck</v>
      </c>
      <c r="M123" s="153">
        <f t="shared" si="33"/>
        <v>7.2417544265709983</v>
      </c>
      <c r="N123" s="148">
        <f t="shared" si="34"/>
        <v>7.2417544265709983</v>
      </c>
      <c r="O123" s="131" t="str">
        <f t="shared" si="30"/>
        <v/>
      </c>
      <c r="P123" s="131" t="str">
        <f t="shared" si="44"/>
        <v/>
      </c>
      <c r="Q123" s="131">
        <f t="shared" si="45"/>
        <v>7.2417544265709983</v>
      </c>
      <c r="R123" s="127" t="str">
        <f t="shared" si="46"/>
        <v/>
      </c>
      <c r="S123" s="60" t="str">
        <f t="shared" si="35"/>
        <v/>
      </c>
      <c r="T123" s="231" t="str">
        <f>IF(L123="","",VLOOKUP(L123,classifications!C:K,9,FALSE))</f>
        <v>Sparse</v>
      </c>
      <c r="U123" s="238">
        <f t="shared" si="31"/>
        <v>7.2417544265709983</v>
      </c>
      <c r="V123" s="239">
        <f>IF(U123="","",IF($I$8="A",(RANK(U123,U$11:U$363)+COUNTIF(U$11:U123,U123)-1),(RANK(U123,U$11:U$363,1)+COUNTIF(U$11:U123,U123)-1)))</f>
        <v>34</v>
      </c>
      <c r="W123" s="240"/>
      <c r="X123" s="61" t="str">
        <f>IF(L123="","",VLOOKUP($L123,classifications!$C:$J,6,FALSE))</f>
        <v>Rural-80</v>
      </c>
      <c r="Y123" s="49">
        <f t="shared" si="36"/>
        <v>7.2417544265709983</v>
      </c>
      <c r="Z123" s="57">
        <f>IF(Y123="","",IF(I$8="A",(RANK(Y123,Y$11:Y$363,1)+COUNTIF(Y$11:Y123,Y123)-1),(RANK(Y123,Y$11:Y$363)+COUNTIF(Y$11:Y123,Y123)-1)))</f>
        <v>28</v>
      </c>
      <c r="AA123" s="245" t="str">
        <f>IF(L123="","",VLOOKUP($L123,classifications!C:I,7,FALSE))</f>
        <v>Predominantly Rural</v>
      </c>
      <c r="AB123" s="239">
        <f t="shared" si="37"/>
        <v>7.2417544265709983</v>
      </c>
      <c r="AC123" s="239">
        <f>IF(AB123="","",IF($I$8="A",(RANK(AB123,AB$11:AB$363)+COUNTIF(AB$11:AB123,AB123)-1),(RANK(AB123,AB$11:AB$363,1)+COUNTIF(AB$11:AB123,AB123)-1)))</f>
        <v>27</v>
      </c>
      <c r="AD123" s="239"/>
      <c r="AE123" s="51" t="str">
        <f t="shared" si="50"/>
        <v/>
      </c>
      <c r="AG123" s="143"/>
      <c r="AH123" s="52"/>
      <c r="AI123" s="61" t="str">
        <f>IF(L123="","",VLOOKUP($L123,classifications!$C:$J,8,FALSE))</f>
        <v>Dorset</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South West</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13.082076195346458</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7.8523049677431009</v>
      </c>
      <c r="G124" s="105"/>
      <c r="H124" s="60" t="str">
        <f t="shared" si="28"/>
        <v/>
      </c>
      <c r="I124" s="112" t="str">
        <f>IF(H124="","",IF($I$8="A",(RANK(H124,H$11:H$363,1)+COUNTIF(H$11:H124,H124)-1),(RANK(H124,H$11:H$363)+COUNTIF(H$11:H124,H124)-1)))</f>
        <v/>
      </c>
      <c r="J124" s="58"/>
      <c r="K124" s="51">
        <f t="shared" si="43"/>
        <v>114</v>
      </c>
      <c r="L124" s="59" t="str">
        <f t="shared" si="29"/>
        <v>Mid Suffolk</v>
      </c>
      <c r="M124" s="153">
        <f t="shared" si="33"/>
        <v>7.2477904808238058</v>
      </c>
      <c r="N124" s="148">
        <f t="shared" si="34"/>
        <v>7.2477904808238058</v>
      </c>
      <c r="O124" s="131" t="str">
        <f t="shared" si="30"/>
        <v/>
      </c>
      <c r="P124" s="131" t="str">
        <f t="shared" si="44"/>
        <v/>
      </c>
      <c r="Q124" s="131">
        <f t="shared" si="45"/>
        <v>7.2477904808238058</v>
      </c>
      <c r="R124" s="127" t="str">
        <f t="shared" si="46"/>
        <v/>
      </c>
      <c r="S124" s="60" t="str">
        <f t="shared" si="35"/>
        <v/>
      </c>
      <c r="T124" s="231" t="str">
        <f>IF(L124="","",VLOOKUP(L124,classifications!C:K,9,FALSE))</f>
        <v>Sparse</v>
      </c>
      <c r="U124" s="238">
        <f t="shared" si="31"/>
        <v>7.2477904808238058</v>
      </c>
      <c r="V124" s="239">
        <f>IF(U124="","",IF($I$8="A",(RANK(U124,U$11:U$363)+COUNTIF(U$11:U124,U124)-1),(RANK(U124,U$11:U$363,1)+COUNTIF(U$11:U124,U124)-1)))</f>
        <v>33</v>
      </c>
      <c r="W124" s="240"/>
      <c r="X124" s="61" t="str">
        <f>IF(L124="","",VLOOKUP($L124,classifications!$C:$J,6,FALSE))</f>
        <v>Rural-80</v>
      </c>
      <c r="Y124" s="49">
        <f t="shared" si="36"/>
        <v>7.2477904808238058</v>
      </c>
      <c r="Z124" s="57">
        <f>IF(Y124="","",IF(I$8="A",(RANK(Y124,Y$11:Y$363,1)+COUNTIF(Y$11:Y124,Y124)-1),(RANK(Y124,Y$11:Y$363)+COUNTIF(Y$11:Y124,Y124)-1)))</f>
        <v>29</v>
      </c>
      <c r="AA124" s="245" t="str">
        <f>IF(L124="","",VLOOKUP($L124,classifications!C:I,7,FALSE))</f>
        <v>Predominantly Rural</v>
      </c>
      <c r="AB124" s="239">
        <f t="shared" si="37"/>
        <v>7.2477904808238058</v>
      </c>
      <c r="AC124" s="239">
        <f>IF(AB124="","",IF($I$8="A",(RANK(AB124,AB$11:AB$363)+COUNTIF(AB$11:AB124,AB124)-1),(RANK(AB124,AB$11:AB$363,1)+COUNTIF(AB$11:AB124,AB124)-1)))</f>
        <v>26</v>
      </c>
      <c r="AD124" s="239"/>
      <c r="AE124" s="51" t="str">
        <f t="shared" si="50"/>
        <v/>
      </c>
      <c r="AG124" s="143"/>
      <c r="AH124" s="52"/>
      <c r="AI124" s="61" t="str">
        <f>IF(L124="","",VLOOKUP($L124,classifications!$C:$J,8,FALSE))</f>
        <v>Suffolk</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East of England</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7.8523049677431009</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2.6425392560248553</v>
      </c>
      <c r="G125" s="105"/>
      <c r="H125" s="60">
        <f t="shared" si="28"/>
        <v>2.6425392560248553</v>
      </c>
      <c r="I125" s="112">
        <f>IF(H125="","",IF($I$8="A",(RANK(H125,H$11:H$363,1)+COUNTIF(H$11:H125,H125)-1),(RANK(H125,H$11:H$363)+COUNTIF(H$11:H125,H125)-1)))</f>
        <v>3</v>
      </c>
      <c r="J125" s="58"/>
      <c r="K125" s="51">
        <f t="shared" si="43"/>
        <v>115</v>
      </c>
      <c r="L125" s="59" t="str">
        <f t="shared" si="29"/>
        <v>Nuneaton &amp; Bedworth</v>
      </c>
      <c r="M125" s="153">
        <f t="shared" si="33"/>
        <v>7.3195143849787252</v>
      </c>
      <c r="N125" s="148">
        <f t="shared" si="34"/>
        <v>7.3195143849787252</v>
      </c>
      <c r="O125" s="131" t="str">
        <f t="shared" si="30"/>
        <v/>
      </c>
      <c r="P125" s="131" t="str">
        <f t="shared" si="44"/>
        <v/>
      </c>
      <c r="Q125" s="131">
        <f t="shared" si="45"/>
        <v>7.3195143849787252</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Other Urban</v>
      </c>
      <c r="Y125" s="49" t="str">
        <f t="shared" si="36"/>
        <v/>
      </c>
      <c r="Z125" s="57" t="str">
        <f>IF(Y125="","",IF(I$8="A",(RANK(Y125,Y$11:Y$363,1)+COUNTIF(Y$11:Y125,Y125)-1),(RANK(Y125,Y$11:Y$363)+COUNTIF(Y$11:Y125,Y125)-1)))</f>
        <v/>
      </c>
      <c r="AA125" s="245" t="str">
        <f>IF(L125="","",VLOOKUP($L125,classifications!C:I,7,FALSE))</f>
        <v>Significant Rural</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Warwickshire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West Midlands</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2.6425392560248553</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7.0889522368956888</v>
      </c>
      <c r="G126" s="105"/>
      <c r="H126" s="60">
        <f t="shared" si="28"/>
        <v>7.0889522368956888</v>
      </c>
      <c r="I126" s="112">
        <f>IF(H126="","",IF($I$8="A",(RANK(H126,H$11:H$363,1)+COUNTIF(H$11:H126,H126)-1),(RANK(H126,H$11:H$363)+COUNTIF(H$11:H126,H126)-1)))</f>
        <v>106</v>
      </c>
      <c r="J126" s="58"/>
      <c r="K126" s="51">
        <f t="shared" si="43"/>
        <v>116</v>
      </c>
      <c r="L126" s="59" t="str">
        <f t="shared" si="29"/>
        <v>Newark &amp; Sherwood</v>
      </c>
      <c r="M126" s="153">
        <f t="shared" si="33"/>
        <v>7.3292522955837338</v>
      </c>
      <c r="N126" s="148">
        <f t="shared" si="34"/>
        <v>7.3292522955837338</v>
      </c>
      <c r="O126" s="131" t="str">
        <f t="shared" si="30"/>
        <v/>
      </c>
      <c r="P126" s="131" t="str">
        <f t="shared" si="44"/>
        <v/>
      </c>
      <c r="Q126" s="131">
        <f t="shared" si="45"/>
        <v>7.3292522955837338</v>
      </c>
      <c r="R126" s="127" t="str">
        <f t="shared" si="46"/>
        <v/>
      </c>
      <c r="S126" s="60" t="str">
        <f t="shared" si="35"/>
        <v/>
      </c>
      <c r="T126" s="231" t="str">
        <f>IF(L126="","",VLOOKUP(L126,classifications!C:K,9,FALSE))</f>
        <v>Sparse</v>
      </c>
      <c r="U126" s="238">
        <f t="shared" si="31"/>
        <v>7.3292522955837338</v>
      </c>
      <c r="V126" s="239">
        <f>IF(U126="","",IF($I$8="A",(RANK(U126,U$11:U$363)+COUNTIF(U$11:U126,U126)-1),(RANK(U126,U$11:U$363,1)+COUNTIF(U$11:U126,U126)-1)))</f>
        <v>32</v>
      </c>
      <c r="W126" s="240"/>
      <c r="X126" s="61" t="str">
        <f>IF(L126="","",VLOOKUP($L126,classifications!$C:$J,6,FALSE))</f>
        <v>Rural-50</v>
      </c>
      <c r="Y126" s="49" t="str">
        <f t="shared" si="36"/>
        <v/>
      </c>
      <c r="Z126" s="57" t="str">
        <f>IF(Y126="","",IF(I$8="A",(RANK(Y126,Y$11:Y$363,1)+COUNTIF(Y$11:Y126,Y126)-1),(RANK(Y126,Y$11:Y$363)+COUNTIF(Y$11:Y126,Y126)-1)))</f>
        <v/>
      </c>
      <c r="AA126" s="245" t="str">
        <f>IF(L126="","",VLOOKUP($L126,classifications!C:I,7,FALSE))</f>
        <v>Significant Rural</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Nottinghamshire</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East Midlands</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7.0889522368956888</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West Dorset</v>
      </c>
      <c r="M127" s="153">
        <f t="shared" si="33"/>
        <v>7.3674714778455828</v>
      </c>
      <c r="N127" s="148">
        <f t="shared" si="34"/>
        <v>7.3674714778455828</v>
      </c>
      <c r="O127" s="131" t="str">
        <f t="shared" si="30"/>
        <v/>
      </c>
      <c r="P127" s="131" t="str">
        <f t="shared" si="44"/>
        <v/>
      </c>
      <c r="Q127" s="131">
        <f t="shared" si="45"/>
        <v>7.3674714778455828</v>
      </c>
      <c r="R127" s="127" t="str">
        <f t="shared" si="46"/>
        <v/>
      </c>
      <c r="S127" s="60" t="str">
        <f t="shared" si="35"/>
        <v/>
      </c>
      <c r="T127" s="231" t="str">
        <f>IF(L127="","",VLOOKUP(L127,classifications!C:K,9,FALSE))</f>
        <v>Sparse</v>
      </c>
      <c r="U127" s="238">
        <f t="shared" si="31"/>
        <v>7.3674714778455828</v>
      </c>
      <c r="V127" s="239">
        <f>IF(U127="","",IF($I$8="A",(RANK(U127,U$11:U$363)+COUNTIF(U$11:U127,U127)-1),(RANK(U127,U$11:U$363,1)+COUNTIF(U$11:U127,U127)-1)))</f>
        <v>31</v>
      </c>
      <c r="W127" s="240"/>
      <c r="X127" s="61" t="str">
        <f>IF(L127="","",VLOOKUP($L127,classifications!$C:$J,6,FALSE))</f>
        <v>Rural-80</v>
      </c>
      <c r="Y127" s="49">
        <f t="shared" si="36"/>
        <v>7.3674714778455828</v>
      </c>
      <c r="Z127" s="57">
        <f>IF(Y127="","",IF(I$8="A",(RANK(Y127,Y$11:Y$363,1)+COUNTIF(Y$11:Y127,Y127)-1),(RANK(Y127,Y$11:Y$363)+COUNTIF(Y$11:Y127,Y127)-1)))</f>
        <v>30</v>
      </c>
      <c r="AA127" s="245" t="str">
        <f>IF(L127="","",VLOOKUP($L127,classifications!C:I,7,FALSE))</f>
        <v>Predominantly Rural</v>
      </c>
      <c r="AB127" s="239">
        <f t="shared" si="37"/>
        <v>7.3674714778455828</v>
      </c>
      <c r="AC127" s="239">
        <f>IF(AB127="","",IF($I$8="A",(RANK(AB127,AB$11:AB$363)+COUNTIF(AB$11:AB127,AB127)-1),(RANK(AB127,AB$11:AB$363,1)+COUNTIF(AB$11:AB127,AB127)-1)))</f>
        <v>25</v>
      </c>
      <c r="AD127" s="239"/>
      <c r="AE127" s="51" t="str">
        <f t="shared" si="50"/>
        <v/>
      </c>
      <c r="AG127" s="143"/>
      <c r="AH127" s="52"/>
      <c r="AI127" s="61" t="str">
        <f>IF(L127="","",VLOOKUP($L127,classifications!$C:$J,8,FALSE))</f>
        <v>Dorset</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South West</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6.5646317618944163</v>
      </c>
      <c r="G128" s="105"/>
      <c r="H128" s="60">
        <f t="shared" si="28"/>
        <v>6.5646317618944163</v>
      </c>
      <c r="I128" s="112">
        <f>IF(H128="","",IF($I$8="A",(RANK(H128,H$11:H$363,1)+COUNTIF(H$11:H128,H128)-1),(RANK(H128,H$11:H$363)+COUNTIF(H$11:H128,H128)-1)))</f>
        <v>87</v>
      </c>
      <c r="J128" s="58"/>
      <c r="K128" s="51">
        <f t="shared" si="43"/>
        <v>118</v>
      </c>
      <c r="L128" s="59" t="str">
        <f t="shared" si="29"/>
        <v>Basingstoke &amp; Deane</v>
      </c>
      <c r="M128" s="153">
        <f t="shared" si="33"/>
        <v>7.4994899115846749</v>
      </c>
      <c r="N128" s="148">
        <f t="shared" si="34"/>
        <v>7.4994899115846749</v>
      </c>
      <c r="O128" s="131" t="str">
        <f t="shared" si="30"/>
        <v/>
      </c>
      <c r="P128" s="131" t="str">
        <f t="shared" si="44"/>
        <v/>
      </c>
      <c r="Q128" s="131">
        <f t="shared" si="45"/>
        <v>7.4994899115846749</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Significant Rural</v>
      </c>
      <c r="Y128" s="49" t="str">
        <f t="shared" si="36"/>
        <v/>
      </c>
      <c r="Z128" s="57" t="str">
        <f>IF(Y128="","",IF(I$8="A",(RANK(Y128,Y$11:Y$363,1)+COUNTIF(Y$11:Y128,Y128)-1),(RANK(Y128,Y$11:Y$363)+COUNTIF(Y$11:Y128,Y128)-1)))</f>
        <v/>
      </c>
      <c r="AA128" s="245" t="str">
        <f>IF(L128="","",VLOOKUP($L128,classifications!C:I,7,FALSE))</f>
        <v>Significant Rural</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Hampshire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South East</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6.5646317618944163</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4.8138569604086845</v>
      </c>
      <c r="G129" s="105"/>
      <c r="H129" s="60">
        <f t="shared" si="28"/>
        <v>4.8138569604086845</v>
      </c>
      <c r="I129" s="112">
        <f>IF(H129="","",IF($I$8="A",(RANK(H129,H$11:H$363,1)+COUNTIF(H$11:H129,H129)-1),(RANK(H129,H$11:H$363)+COUNTIF(H$11:H129,H129)-1)))</f>
        <v>34</v>
      </c>
      <c r="J129" s="58"/>
      <c r="K129" s="51">
        <f t="shared" si="43"/>
        <v>119</v>
      </c>
      <c r="L129" s="59" t="str">
        <f t="shared" si="29"/>
        <v>Lichfield</v>
      </c>
      <c r="M129" s="153">
        <f t="shared" si="33"/>
        <v>7.5318864562118124</v>
      </c>
      <c r="N129" s="148">
        <f t="shared" si="34"/>
        <v>7.5318864562118124</v>
      </c>
      <c r="O129" s="131" t="str">
        <f t="shared" si="30"/>
        <v/>
      </c>
      <c r="P129" s="131" t="str">
        <f t="shared" si="44"/>
        <v/>
      </c>
      <c r="Q129" s="131">
        <f t="shared" si="45"/>
        <v>7.5318864562118124</v>
      </c>
      <c r="R129" s="127" t="str">
        <f t="shared" si="46"/>
        <v/>
      </c>
      <c r="S129" s="60" t="str">
        <f t="shared" si="35"/>
        <v/>
      </c>
      <c r="T129" s="231">
        <f>IF(L129="","",VLOOKUP(L129,classifications!C:K,9,FALSE))</f>
        <v>0</v>
      </c>
      <c r="U129" s="238" t="str">
        <f t="shared" si="31"/>
        <v/>
      </c>
      <c r="V129" s="239" t="str">
        <f>IF(U129="","",IF($I$8="A",(RANK(U129,U$11:U$363)+COUNTIF(U$11:U129,U129)-1),(RANK(U129,U$11:U$363,1)+COUNTIF(U$11:U129,U129)-1)))</f>
        <v/>
      </c>
      <c r="W129" s="240"/>
      <c r="X129" s="61" t="str">
        <f>IF(L129="","",VLOOKUP($L129,classifications!$C:$J,6,FALSE))</f>
        <v>Rural-50</v>
      </c>
      <c r="Y129" s="49" t="str">
        <f t="shared" si="36"/>
        <v/>
      </c>
      <c r="Z129" s="57" t="str">
        <f>IF(Y129="","",IF(I$8="A",(RANK(Y129,Y$11:Y$363,1)+COUNTIF(Y$11:Y129,Y129)-1),(RANK(Y129,Y$11:Y$363)+COUNTIF(Y$11:Y129,Y129)-1)))</f>
        <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Staffordshire</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West Midlands</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4.8138569604086845</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10.808453548759378</v>
      </c>
      <c r="G130" s="105"/>
      <c r="H130" s="60">
        <f t="shared" si="28"/>
        <v>10.808453548759378</v>
      </c>
      <c r="I130" s="112">
        <f>IF(H130="","",IF($I$8="A",(RANK(H130,H$11:H$363,1)+COUNTIF(H$11:H130,H130)-1),(RANK(H130,H$11:H$363)+COUNTIF(H$11:H130,H130)-1)))</f>
        <v>169</v>
      </c>
      <c r="J130" s="58"/>
      <c r="K130" s="51">
        <f t="shared" si="43"/>
        <v>120</v>
      </c>
      <c r="L130" s="59" t="str">
        <f t="shared" si="29"/>
        <v>East Dorset</v>
      </c>
      <c r="M130" s="153">
        <f t="shared" si="33"/>
        <v>7.5929598413485371</v>
      </c>
      <c r="N130" s="148">
        <f t="shared" si="34"/>
        <v>7.5929598413485371</v>
      </c>
      <c r="O130" s="131" t="str">
        <f t="shared" si="30"/>
        <v/>
      </c>
      <c r="P130" s="131" t="str">
        <f t="shared" si="44"/>
        <v/>
      </c>
      <c r="Q130" s="131">
        <f t="shared" si="45"/>
        <v>7.5929598413485371</v>
      </c>
      <c r="R130" s="127" t="str">
        <f t="shared" si="46"/>
        <v/>
      </c>
      <c r="S130" s="60" t="str">
        <f t="shared" si="35"/>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Rural-50</v>
      </c>
      <c r="Y130" s="49" t="str">
        <f t="shared" si="36"/>
        <v/>
      </c>
      <c r="Z130" s="57" t="str">
        <f>IF(Y130="","",IF(I$8="A",(RANK(Y130,Y$11:Y$363,1)+COUNTIF(Y$11:Y130,Y130)-1),(RANK(Y130,Y$11:Y$363)+COUNTIF(Y$11:Y130,Y130)-1)))</f>
        <v/>
      </c>
      <c r="AA130" s="245" t="str">
        <f>IF(L130="","",VLOOKUP($L130,classifications!C:I,7,FALSE))</f>
        <v>Predominantly Rural</v>
      </c>
      <c r="AB130" s="239">
        <f t="shared" si="37"/>
        <v>7.5929598413485371</v>
      </c>
      <c r="AC130" s="239">
        <f>IF(AB130="","",IF($I$8="A",(RANK(AB130,AB$11:AB$363)+COUNTIF(AB$11:AB130,AB130)-1),(RANK(AB130,AB$11:AB$363,1)+COUNTIF(AB$11:AB130,AB130)-1)))</f>
        <v>24</v>
      </c>
      <c r="AD130" s="239"/>
      <c r="AE130" s="51" t="str">
        <f t="shared" si="50"/>
        <v/>
      </c>
      <c r="AG130" s="143"/>
      <c r="AH130" s="52"/>
      <c r="AI130" s="61" t="str">
        <f>IF(L130="","",VLOOKUP($L130,classifications!$C:$J,8,FALSE))</f>
        <v>Dorset</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South West</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10.808453548759378</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31.326320562853844</v>
      </c>
      <c r="G131" s="105"/>
      <c r="H131" s="60" t="str">
        <f t="shared" si="28"/>
        <v/>
      </c>
      <c r="I131" s="112" t="str">
        <f>IF(H131="","",IF($I$8="A",(RANK(H131,H$11:H$363,1)+COUNTIF(H$11:H131,H131)-1),(RANK(H131,H$11:H$363)+COUNTIF(H$11:H131,H131)-1)))</f>
        <v/>
      </c>
      <c r="J131" s="58"/>
      <c r="K131" s="51">
        <f t="shared" si="43"/>
        <v>121</v>
      </c>
      <c r="L131" s="59" t="str">
        <f t="shared" si="29"/>
        <v>Mendip</v>
      </c>
      <c r="M131" s="153">
        <f t="shared" si="33"/>
        <v>7.6510906543926351</v>
      </c>
      <c r="N131" s="148">
        <f t="shared" si="34"/>
        <v>7.6510906543926351</v>
      </c>
      <c r="O131" s="131" t="str">
        <f t="shared" si="30"/>
        <v/>
      </c>
      <c r="P131" s="131" t="str">
        <f t="shared" si="44"/>
        <v/>
      </c>
      <c r="Q131" s="131">
        <f t="shared" si="45"/>
        <v>7.6510906543926351</v>
      </c>
      <c r="R131" s="127" t="str">
        <f t="shared" si="46"/>
        <v/>
      </c>
      <c r="S131" s="60" t="str">
        <f t="shared" si="35"/>
        <v/>
      </c>
      <c r="T131" s="231" t="str">
        <f>IF(L131="","",VLOOKUP(L131,classifications!C:K,9,FALSE))</f>
        <v>Sparse</v>
      </c>
      <c r="U131" s="238">
        <f t="shared" si="31"/>
        <v>7.6510906543926351</v>
      </c>
      <c r="V131" s="239">
        <f>IF(U131="","",IF($I$8="A",(RANK(U131,U$11:U$363)+COUNTIF(U$11:U131,U131)-1),(RANK(U131,U$11:U$363,1)+COUNTIF(U$11:U131,U131)-1)))</f>
        <v>30</v>
      </c>
      <c r="W131" s="240"/>
      <c r="X131" s="61" t="str">
        <f>IF(L131="","",VLOOKUP($L131,classifications!$C:$J,6,FALSE))</f>
        <v>Rural-80</v>
      </c>
      <c r="Y131" s="49">
        <f t="shared" si="36"/>
        <v>7.6510906543926351</v>
      </c>
      <c r="Z131" s="57">
        <f>IF(Y131="","",IF(I$8="A",(RANK(Y131,Y$11:Y$363,1)+COUNTIF(Y$11:Y131,Y131)-1),(RANK(Y131,Y$11:Y$363)+COUNTIF(Y$11:Y131,Y131)-1)))</f>
        <v>31</v>
      </c>
      <c r="AA131" s="245" t="str">
        <f>IF(L131="","",VLOOKUP($L131,classifications!C:I,7,FALSE))</f>
        <v>Predominantly Rural</v>
      </c>
      <c r="AB131" s="239">
        <f t="shared" si="37"/>
        <v>7.6510906543926351</v>
      </c>
      <c r="AC131" s="239">
        <f>IF(AB131="","",IF($I$8="A",(RANK(AB131,AB$11:AB$363)+COUNTIF(AB$11:AB131,AB131)-1),(RANK(AB131,AB$11:AB$363,1)+COUNTIF(AB$11:AB131,AB131)-1)))</f>
        <v>23</v>
      </c>
      <c r="AD131" s="239"/>
      <c r="AE131" s="51" t="str">
        <f t="shared" si="50"/>
        <v/>
      </c>
      <c r="AG131" s="143"/>
      <c r="AH131" s="52"/>
      <c r="AI131" s="61" t="str">
        <f>IF(L131="","",VLOOKUP($L131,classifications!$C:$J,8,FALSE))</f>
        <v>Somerset</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South West</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31.326320562853844</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5.157262484107151</v>
      </c>
      <c r="G132" s="105"/>
      <c r="H132" s="60">
        <f t="shared" si="28"/>
        <v>5.157262484107151</v>
      </c>
      <c r="I132" s="112">
        <f>IF(H132="","",IF($I$8="A",(RANK(H132,H$11:H$363,1)+COUNTIF(H$11:H132,H132)-1),(RANK(H132,H$11:H$363)+COUNTIF(H$11:H132,H132)-1)))</f>
        <v>45</v>
      </c>
      <c r="J132" s="58"/>
      <c r="K132" s="51">
        <f t="shared" si="43"/>
        <v>122</v>
      </c>
      <c r="L132" s="59" t="str">
        <f t="shared" si="29"/>
        <v>Bolsover</v>
      </c>
      <c r="M132" s="153">
        <f t="shared" si="33"/>
        <v>7.6647622558053818</v>
      </c>
      <c r="N132" s="148">
        <f t="shared" si="34"/>
        <v>7.6647622558053818</v>
      </c>
      <c r="O132" s="131" t="str">
        <f t="shared" si="30"/>
        <v/>
      </c>
      <c r="P132" s="131" t="str">
        <f t="shared" si="44"/>
        <v/>
      </c>
      <c r="Q132" s="131">
        <f t="shared" si="45"/>
        <v>7.6647622558053818</v>
      </c>
      <c r="R132" s="127" t="str">
        <f t="shared" si="46"/>
        <v/>
      </c>
      <c r="S132" s="60" t="str">
        <f t="shared" si="35"/>
        <v/>
      </c>
      <c r="T132" s="231">
        <f>IF(L132="","",VLOOKUP(L132,classifications!C:K,9,FALSE))</f>
        <v>0</v>
      </c>
      <c r="U132" s="238" t="str">
        <f t="shared" si="31"/>
        <v/>
      </c>
      <c r="V132" s="239" t="str">
        <f>IF(U132="","",IF($I$8="A",(RANK(U132,U$11:U$363)+COUNTIF(U$11:U132,U132)-1),(RANK(U132,U$11:U$363,1)+COUNTIF(U$11:U132,U132)-1)))</f>
        <v/>
      </c>
      <c r="W132" s="240"/>
      <c r="X132" s="61" t="str">
        <f>IF(L132="","",VLOOKUP($L132,classifications!$C:$J,6,FALSE))</f>
        <v>Significant Rural</v>
      </c>
      <c r="Y132" s="49" t="str">
        <f t="shared" si="36"/>
        <v/>
      </c>
      <c r="Z132" s="57" t="str">
        <f>IF(Y132="","",IF(I$8="A",(RANK(Y132,Y$11:Y$363,1)+COUNTIF(Y$11:Y132,Y132)-1),(RANK(Y132,Y$11:Y$363)+COUNTIF(Y$11:Y132,Y132)-1)))</f>
        <v/>
      </c>
      <c r="AA132" s="245" t="str">
        <f>IF(L132="","",VLOOKUP($L132,classifications!C:I,7,FALSE))</f>
        <v>Significant Rural</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Derbyshire</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East Midlands</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5.157262484107151</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11.995953403955848</v>
      </c>
      <c r="G133" s="105"/>
      <c r="H133" s="60" t="str">
        <f t="shared" si="28"/>
        <v/>
      </c>
      <c r="I133" s="112" t="str">
        <f>IF(H133="","",IF($I$8="A",(RANK(H133,H$11:H$363,1)+COUNTIF(H$11:H133,H133)-1),(RANK(H133,H$11:H$363)+COUNTIF(H$11:H133,H133)-1)))</f>
        <v/>
      </c>
      <c r="J133" s="58"/>
      <c r="K133" s="51">
        <f t="shared" si="43"/>
        <v>123</v>
      </c>
      <c r="L133" s="59" t="str">
        <f t="shared" si="29"/>
        <v>Brentwood</v>
      </c>
      <c r="M133" s="153">
        <f t="shared" si="33"/>
        <v>7.6705873425405979</v>
      </c>
      <c r="N133" s="148">
        <f t="shared" si="34"/>
        <v>7.6705873425405979</v>
      </c>
      <c r="O133" s="131" t="str">
        <f t="shared" si="30"/>
        <v/>
      </c>
      <c r="P133" s="131" t="str">
        <f t="shared" si="44"/>
        <v/>
      </c>
      <c r="Q133" s="131">
        <f t="shared" si="45"/>
        <v>7.6705873425405979</v>
      </c>
      <c r="R133" s="127" t="str">
        <f t="shared" si="46"/>
        <v/>
      </c>
      <c r="S133" s="60" t="str">
        <f t="shared" si="35"/>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Significant Rural</v>
      </c>
      <c r="Y133" s="49" t="str">
        <f t="shared" si="36"/>
        <v/>
      </c>
      <c r="Z133" s="57" t="str">
        <f>IF(Y133="","",IF(I$8="A",(RANK(Y133,Y$11:Y$363,1)+COUNTIF(Y$11:Y133,Y133)-1),(RANK(Y133,Y$11:Y$363)+COUNTIF(Y$11:Y133,Y133)-1)))</f>
        <v/>
      </c>
      <c r="AA133" s="245" t="str">
        <f>IF(L133="","",VLOOKUP($L133,classifications!C:I,7,FALSE))</f>
        <v>Significant Rural</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Essex</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East of England</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11.995953403955848</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t="str">
        <f t="shared" si="27"/>
        <v/>
      </c>
      <c r="G134" s="105"/>
      <c r="H134" s="60" t="str">
        <f t="shared" si="28"/>
        <v/>
      </c>
      <c r="I134" s="112" t="str">
        <f>IF(H134="","",IF($I$8="A",(RANK(H134,H$11:H$363,1)+COUNTIF(H$11:H134,H134)-1),(RANK(H134,H$11:H$363)+COUNTIF(H$11:H134,H134)-1)))</f>
        <v/>
      </c>
      <c r="J134" s="58"/>
      <c r="K134" s="51">
        <f t="shared" si="43"/>
        <v>124</v>
      </c>
      <c r="L134" s="59" t="str">
        <f t="shared" si="29"/>
        <v>East Staffordshire</v>
      </c>
      <c r="M134" s="153">
        <f t="shared" si="33"/>
        <v>7.6913685648424828</v>
      </c>
      <c r="N134" s="148">
        <f t="shared" si="34"/>
        <v>7.6913685648424828</v>
      </c>
      <c r="O134" s="131" t="str">
        <f t="shared" si="30"/>
        <v/>
      </c>
      <c r="P134" s="131" t="str">
        <f t="shared" si="44"/>
        <v/>
      </c>
      <c r="Q134" s="131">
        <f t="shared" si="45"/>
        <v>7.6913685648424828</v>
      </c>
      <c r="R134" s="127" t="str">
        <f t="shared" si="46"/>
        <v/>
      </c>
      <c r="S134" s="60" t="str">
        <f t="shared" si="35"/>
        <v/>
      </c>
      <c r="T134" s="231">
        <f>IF(L134="","",VLOOKUP(L134,classifications!C:K,9,FALSE))</f>
        <v>0</v>
      </c>
      <c r="U134" s="238" t="str">
        <f t="shared" si="31"/>
        <v/>
      </c>
      <c r="V134" s="239" t="str">
        <f>IF(U134="","",IF($I$8="A",(RANK(U134,U$11:U$363)+COUNTIF(U$11:U134,U134)-1),(RANK(U134,U$11:U$363,1)+COUNTIF(U$11:U134,U134)-1)))</f>
        <v/>
      </c>
      <c r="W134" s="240"/>
      <c r="X134" s="61" t="str">
        <f>IF(L134="","",VLOOKUP($L134,classifications!$C:$J,6,FALSE))</f>
        <v>Significant Rural</v>
      </c>
      <c r="Y134" s="49" t="str">
        <f t="shared" si="36"/>
        <v/>
      </c>
      <c r="Z134" s="57" t="str">
        <f>IF(Y134="","",IF(I$8="A",(RANK(Y134,Y$11:Y$363,1)+COUNTIF(Y$11:Y134,Y134)-1),(RANK(Y134,Y$11:Y$363)+COUNTIF(Y$11:Y134,Y134)-1)))</f>
        <v/>
      </c>
      <c r="AA134" s="245" t="str">
        <f>IF(L134="","",VLOOKUP($L134,classifications!C:I,7,FALSE))</f>
        <v>Significant Rural</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Staffordshire</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West Midlands</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t="str">
        <f>HLOOKUP($AX$9&amp;$AX$10,Data!$A$1:$ZZ$2000,(MATCH($C134,Data!$A$1:$A$2000,0)),FALSE)</f>
        <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13.285353535353535</v>
      </c>
      <c r="G135" s="105"/>
      <c r="H135" s="60">
        <f t="shared" si="28"/>
        <v>13.285353535353535</v>
      </c>
      <c r="I135" s="112">
        <f>IF(H135="","",IF($I$8="A",(RANK(H135,H$11:H$363,1)+COUNTIF(H$11:H135,H135)-1),(RANK(H135,H$11:H$363)+COUNTIF(H$11:H135,H135)-1)))</f>
        <v>185</v>
      </c>
      <c r="J135" s="58"/>
      <c r="K135" s="51">
        <f t="shared" si="43"/>
        <v>125</v>
      </c>
      <c r="L135" s="59" t="str">
        <f t="shared" si="29"/>
        <v>East Hertfordshire</v>
      </c>
      <c r="M135" s="153">
        <f t="shared" si="33"/>
        <v>7.7503097195630142</v>
      </c>
      <c r="N135" s="148">
        <f t="shared" si="34"/>
        <v>7.7503097195630142</v>
      </c>
      <c r="O135" s="131" t="str">
        <f t="shared" si="30"/>
        <v/>
      </c>
      <c r="P135" s="131" t="str">
        <f t="shared" si="44"/>
        <v/>
      </c>
      <c r="Q135" s="131">
        <f t="shared" si="45"/>
        <v>7.7503097195630142</v>
      </c>
      <c r="R135" s="127" t="str">
        <f t="shared" si="46"/>
        <v/>
      </c>
      <c r="S135" s="60" t="str">
        <f t="shared" si="35"/>
        <v/>
      </c>
      <c r="T135" s="231" t="str">
        <f>IF(L135="","",VLOOKUP(L135,classifications!C:K,9,FALSE))</f>
        <v>Sparse</v>
      </c>
      <c r="U135" s="238">
        <f t="shared" si="31"/>
        <v>7.7503097195630142</v>
      </c>
      <c r="V135" s="239">
        <f>IF(U135="","",IF($I$8="A",(RANK(U135,U$11:U$363)+COUNTIF(U$11:U135,U135)-1),(RANK(U135,U$11:U$363,1)+COUNTIF(U$11:U135,U135)-1)))</f>
        <v>29</v>
      </c>
      <c r="W135" s="240"/>
      <c r="X135" s="61" t="str">
        <f>IF(L135="","",VLOOKUP($L135,classifications!$C:$J,6,FALSE))</f>
        <v>Significant Rural</v>
      </c>
      <c r="Y135" s="49" t="str">
        <f t="shared" si="36"/>
        <v/>
      </c>
      <c r="Z135" s="57" t="str">
        <f>IF(Y135="","",IF(I$8="A",(RANK(Y135,Y$11:Y$363,1)+COUNTIF(Y$11:Y135,Y135)-1),(RANK(Y135,Y$11:Y$363)+COUNTIF(Y$11:Y135,Y135)-1)))</f>
        <v/>
      </c>
      <c r="AA135" s="245" t="str">
        <f>IF(L135="","",VLOOKUP($L135,classifications!C:I,7,FALSE))</f>
        <v>Predominantly Urban</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Hertfordshire</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East of England</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13.285353535353535</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18.349785974739735</v>
      </c>
      <c r="G136" s="105"/>
      <c r="H136" s="60" t="str">
        <f t="shared" si="28"/>
        <v/>
      </c>
      <c r="I136" s="112" t="str">
        <f>IF(H136="","",IF($I$8="A",(RANK(H136,H$11:H$363,1)+COUNTIF(H$11:H136,H136)-1),(RANK(H136,H$11:H$363)+COUNTIF(H$11:H136,H136)-1)))</f>
        <v/>
      </c>
      <c r="J136" s="58"/>
      <c r="K136" s="51">
        <f t="shared" si="43"/>
        <v>126</v>
      </c>
      <c r="L136" s="59" t="str">
        <f t="shared" si="29"/>
        <v>South Cambridgeshire</v>
      </c>
      <c r="M136" s="153">
        <f t="shared" si="33"/>
        <v>7.7518356265811068</v>
      </c>
      <c r="N136" s="148">
        <f t="shared" si="34"/>
        <v>7.7518356265811068</v>
      </c>
      <c r="O136" s="131" t="str">
        <f t="shared" si="30"/>
        <v/>
      </c>
      <c r="P136" s="131" t="str">
        <f t="shared" si="44"/>
        <v/>
      </c>
      <c r="Q136" s="131">
        <f t="shared" si="45"/>
        <v>7.7518356265811068</v>
      </c>
      <c r="R136" s="127" t="str">
        <f t="shared" si="46"/>
        <v/>
      </c>
      <c r="S136" s="60" t="str">
        <f t="shared" si="35"/>
        <v/>
      </c>
      <c r="T136" s="231" t="str">
        <f>IF(L136="","",VLOOKUP(L136,classifications!C:K,9,FALSE))</f>
        <v>Sparse</v>
      </c>
      <c r="U136" s="238">
        <f t="shared" si="31"/>
        <v>7.7518356265811068</v>
      </c>
      <c r="V136" s="239">
        <f>IF(U136="","",IF($I$8="A",(RANK(U136,U$11:U$363)+COUNTIF(U$11:U136,U136)-1),(RANK(U136,U$11:U$363,1)+COUNTIF(U$11:U136,U136)-1)))</f>
        <v>28</v>
      </c>
      <c r="W136" s="240"/>
      <c r="X136" s="61" t="str">
        <f>IF(L136="","",VLOOKUP($L136,classifications!$C:$J,6,FALSE))</f>
        <v>Rural-80</v>
      </c>
      <c r="Y136" s="49">
        <f t="shared" si="36"/>
        <v>7.7518356265811068</v>
      </c>
      <c r="Z136" s="57">
        <f>IF(Y136="","",IF(I$8="A",(RANK(Y136,Y$11:Y$363,1)+COUNTIF(Y$11:Y136,Y136)-1),(RANK(Y136,Y$11:Y$363)+COUNTIF(Y$11:Y136,Y136)-1)))</f>
        <v>32</v>
      </c>
      <c r="AA136" s="245" t="str">
        <f>IF(L136="","",VLOOKUP($L136,classifications!C:I,7,FALSE))</f>
        <v>Predominantly Rural</v>
      </c>
      <c r="AB136" s="239">
        <f t="shared" si="37"/>
        <v>7.7518356265811068</v>
      </c>
      <c r="AC136" s="239">
        <f>IF(AB136="","",IF($I$8="A",(RANK(AB136,AB$11:AB$363)+COUNTIF(AB$11:AB136,AB136)-1),(RANK(AB136,AB$11:AB$363,1)+COUNTIF(AB$11:AB136,AB136)-1)))</f>
        <v>22</v>
      </c>
      <c r="AD136" s="239"/>
      <c r="AE136" s="51" t="str">
        <f t="shared" si="50"/>
        <v/>
      </c>
      <c r="AG136" s="143"/>
      <c r="AH136" s="52"/>
      <c r="AI136" s="61" t="str">
        <f>IF(L136="","",VLOOKUP($L136,classifications!$C:$J,8,FALSE))</f>
        <v>Cambridgeshire</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East of England</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18.349785974739735</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Weymouth &amp; Portland</v>
      </c>
      <c r="M137" s="153">
        <f t="shared" si="33"/>
        <v>7.7816406052325284</v>
      </c>
      <c r="N137" s="148">
        <f t="shared" si="34"/>
        <v>7.7816406052325284</v>
      </c>
      <c r="O137" s="131" t="str">
        <f t="shared" si="30"/>
        <v/>
      </c>
      <c r="P137" s="131" t="str">
        <f t="shared" si="44"/>
        <v/>
      </c>
      <c r="Q137" s="131">
        <f t="shared" si="45"/>
        <v>7.7816406052325284</v>
      </c>
      <c r="R137" s="127" t="str">
        <f t="shared" si="46"/>
        <v/>
      </c>
      <c r="S137" s="60" t="str">
        <f t="shared" si="35"/>
        <v/>
      </c>
      <c r="T137" s="231">
        <f>IF(L137="","",VLOOKUP(L137,classifications!C:K,9,FALSE))</f>
        <v>0</v>
      </c>
      <c r="U137" s="238" t="str">
        <f t="shared" si="31"/>
        <v/>
      </c>
      <c r="V137" s="239" t="str">
        <f>IF(U137="","",IF($I$8="A",(RANK(U137,U$11:U$363)+COUNTIF(U$11:U137,U137)-1),(RANK(U137,U$11:U$363,1)+COUNTIF(U$11:U137,U137)-1)))</f>
        <v/>
      </c>
      <c r="W137" s="240"/>
      <c r="X137" s="61" t="str">
        <f>IF(L137="","",VLOOKUP($L137,classifications!$C:$J,6,FALSE))</f>
        <v>Other Urban</v>
      </c>
      <c r="Y137" s="49" t="str">
        <f t="shared" si="36"/>
        <v/>
      </c>
      <c r="Z137" s="57" t="str">
        <f>IF(Y137="","",IF(I$8="A",(RANK(Y137,Y$11:Y$363,1)+COUNTIF(Y$11:Y137,Y137)-1),(RANK(Y137,Y$11:Y$363)+COUNTIF(Y$11:Y137,Y137)-1)))</f>
        <v/>
      </c>
      <c r="AA137" s="245" t="str">
        <f>IF(L137="","",VLOOKUP($L137,classifications!C:I,7,FALSE))</f>
        <v>Predominantly Rural</v>
      </c>
      <c r="AB137" s="239">
        <f t="shared" si="37"/>
        <v>7.7816406052325284</v>
      </c>
      <c r="AC137" s="239">
        <f>IF(AB137="","",IF($I$8="A",(RANK(AB137,AB$11:AB$363)+COUNTIF(AB$11:AB137,AB137)-1),(RANK(AB137,AB$11:AB$363,1)+COUNTIF(AB$11:AB137,AB137)-1)))</f>
        <v>21</v>
      </c>
      <c r="AD137" s="239"/>
      <c r="AE137" s="51" t="str">
        <f t="shared" si="50"/>
        <v/>
      </c>
      <c r="AG137" s="143"/>
      <c r="AH137" s="52"/>
      <c r="AI137" s="61" t="str">
        <f>IF(L137="","",VLOOKUP($L137,classifications!$C:$J,8,FALSE))</f>
        <v>Dorset</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South West</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6.950458190148912</v>
      </c>
      <c r="G138" s="105"/>
      <c r="H138" s="60">
        <f t="shared" si="28"/>
        <v>6.950458190148912</v>
      </c>
      <c r="I138" s="112">
        <f>IF(H138="","",IF($I$8="A",(RANK(H138,H$11:H$363,1)+COUNTIF(H$11:H138,H138)-1),(RANK(H138,H$11:H$363)+COUNTIF(H$11:H138,H138)-1)))</f>
        <v>98</v>
      </c>
      <c r="J138" s="58"/>
      <c r="K138" s="51">
        <f t="shared" si="43"/>
        <v>128</v>
      </c>
      <c r="L138" s="59" t="str">
        <f t="shared" si="29"/>
        <v>Maldon</v>
      </c>
      <c r="M138" s="153">
        <f t="shared" si="33"/>
        <v>7.8483732351135664</v>
      </c>
      <c r="N138" s="148">
        <f t="shared" si="34"/>
        <v>7.8483732351135664</v>
      </c>
      <c r="O138" s="131" t="str">
        <f t="shared" si="30"/>
        <v/>
      </c>
      <c r="P138" s="131" t="str">
        <f t="shared" si="44"/>
        <v/>
      </c>
      <c r="Q138" s="131">
        <f t="shared" si="45"/>
        <v>7.8483732351135664</v>
      </c>
      <c r="R138" s="127" t="str">
        <f t="shared" si="46"/>
        <v/>
      </c>
      <c r="S138" s="60" t="str">
        <f t="shared" si="35"/>
        <v/>
      </c>
      <c r="T138" s="231" t="str">
        <f>IF(L138="","",VLOOKUP(L138,classifications!C:K,9,FALSE))</f>
        <v>Sparse</v>
      </c>
      <c r="U138" s="238">
        <f t="shared" si="31"/>
        <v>7.8483732351135664</v>
      </c>
      <c r="V138" s="239">
        <f>IF(U138="","",IF($I$8="A",(RANK(U138,U$11:U$363)+COUNTIF(U$11:U138,U138)-1),(RANK(U138,U$11:U$363,1)+COUNTIF(U$11:U138,U138)-1)))</f>
        <v>27</v>
      </c>
      <c r="W138" s="240"/>
      <c r="X138" s="61" t="str">
        <f>IF(L138="","",VLOOKUP($L138,classifications!$C:$J,6,FALSE))</f>
        <v>Rural-80</v>
      </c>
      <c r="Y138" s="49">
        <f t="shared" si="36"/>
        <v>7.8483732351135664</v>
      </c>
      <c r="Z138" s="57">
        <f>IF(Y138="","",IF(I$8="A",(RANK(Y138,Y$11:Y$363,1)+COUNTIF(Y$11:Y138,Y138)-1),(RANK(Y138,Y$11:Y$363)+COUNTIF(Y$11:Y138,Y138)-1)))</f>
        <v>33</v>
      </c>
      <c r="AA138" s="245" t="str">
        <f>IF(L138="","",VLOOKUP($L138,classifications!C:I,7,FALSE))</f>
        <v>Significant Rural</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Essex</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East of England</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6.950458190148912</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13.737300468764362</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Stafford</v>
      </c>
      <c r="M139" s="153">
        <f t="shared" si="33"/>
        <v>7.8723311966841774</v>
      </c>
      <c r="N139" s="148">
        <f t="shared" si="34"/>
        <v>7.8723311966841774</v>
      </c>
      <c r="O139" s="131" t="str">
        <f t="shared" ref="O139:O202" si="54">IF(I$8="A",IF(N139&gt;=$P$7,IF(N139&lt;=$O$10,N139,""),""),IF(N139&lt;=$P$7,IF(N139&gt;=$O$10,N139,""),""))</f>
        <v/>
      </c>
      <c r="P139" s="131" t="str">
        <f t="shared" si="44"/>
        <v/>
      </c>
      <c r="Q139" s="131">
        <f t="shared" si="45"/>
        <v>7.8723311966841774</v>
      </c>
      <c r="R139" s="127" t="str">
        <f t="shared" si="46"/>
        <v/>
      </c>
      <c r="S139" s="60" t="str">
        <f t="shared" si="35"/>
        <v/>
      </c>
      <c r="T139" s="231" t="str">
        <f>IF(L139="","",VLOOKUP(L139,classifications!C:K,9,FALSE))</f>
        <v>Sparse</v>
      </c>
      <c r="U139" s="238">
        <f t="shared" ref="U139:U202" si="55">IF(T139="Sparse",M139,"")</f>
        <v>7.8723311966841774</v>
      </c>
      <c r="V139" s="239">
        <f>IF(U139="","",IF($I$8="A",(RANK(U139,U$11:U$363)+COUNTIF(U$11:U139,U139)-1),(RANK(U139,U$11:U$363,1)+COUNTIF(U$11:U139,U139)-1)))</f>
        <v>26</v>
      </c>
      <c r="W139" s="240"/>
      <c r="X139" s="61" t="str">
        <f>IF(L139="","",VLOOKUP($L139,classifications!$C:$J,6,FALSE))</f>
        <v>Significant Rural</v>
      </c>
      <c r="Y139" s="49" t="str">
        <f t="shared" si="36"/>
        <v/>
      </c>
      <c r="Z139" s="57" t="str">
        <f>IF(Y139="","",IF(I$8="A",(RANK(Y139,Y$11:Y$363,1)+COUNTIF(Y$11:Y139,Y139)-1),(RANK(Y139,Y$11:Y$363)+COUNTIF(Y$11:Y139,Y139)-1)))</f>
        <v/>
      </c>
      <c r="AA139" s="245" t="str">
        <f>IF(L139="","",VLOOKUP($L139,classifications!C:I,7,FALSE))</f>
        <v>Significant Rural</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Staffordshire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West Midlands</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13.737300468764362</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9.896448206018519</v>
      </c>
      <c r="G140" s="105"/>
      <c r="H140" s="60">
        <f t="shared" si="52"/>
        <v>9.896448206018519</v>
      </c>
      <c r="I140" s="112">
        <f>IF(H140="","",IF($I$8="A",(RANK(H140,H$11:H$363,1)+COUNTIF(H$11:H140,H140)-1),(RANK(H140,H$11:H$363)+COUNTIF(H$11:H140,H140)-1)))</f>
        <v>159</v>
      </c>
      <c r="J140" s="58"/>
      <c r="K140" s="51">
        <f t="shared" si="43"/>
        <v>130</v>
      </c>
      <c r="L140" s="59" t="str">
        <f t="shared" si="53"/>
        <v>Mid Sussex</v>
      </c>
      <c r="M140" s="153">
        <f t="shared" ref="M140:M203" si="57">IF(L140="","",IF(VLOOKUP(L140,C:D,2,FALSE)=$F$3,VLOOKUP(L140,C:H,6,FALSE),""))</f>
        <v>7.8779915736437474</v>
      </c>
      <c r="N140" s="148">
        <f t="shared" ref="N140:N203" si="58">IF(L140="","",IF($H$8="%%",M140*100,M140))</f>
        <v>7.8779915736437474</v>
      </c>
      <c r="O140" s="131" t="str">
        <f t="shared" si="54"/>
        <v/>
      </c>
      <c r="P140" s="131" t="str">
        <f t="shared" si="44"/>
        <v/>
      </c>
      <c r="Q140" s="131">
        <f t="shared" si="45"/>
        <v>7.8779915736437474</v>
      </c>
      <c r="R140" s="127" t="str">
        <f t="shared" si="46"/>
        <v/>
      </c>
      <c r="S140" s="60" t="str">
        <f t="shared" ref="S140:S203" si="59">IF(L140=D$3,"u","")</f>
        <v/>
      </c>
      <c r="T140" s="231" t="str">
        <f>IF(L140="","",VLOOKUP(L140,classifications!C:K,9,FALSE))</f>
        <v>Sparse</v>
      </c>
      <c r="U140" s="238">
        <f t="shared" si="55"/>
        <v>7.8779915736437474</v>
      </c>
      <c r="V140" s="239">
        <f>IF(U140="","",IF($I$8="A",(RANK(U140,U$11:U$363)+COUNTIF(U$11:U140,U140)-1),(RANK(U140,U$11:U$363,1)+COUNTIF(U$11:U140,U140)-1)))</f>
        <v>25</v>
      </c>
      <c r="W140" s="240"/>
      <c r="X140" s="61" t="str">
        <f>IF(L140="","",VLOOKUP($L140,classifications!$C:$J,6,FALSE))</f>
        <v>Rural-80</v>
      </c>
      <c r="Y140" s="49">
        <f t="shared" ref="Y140:Y203" si="60">IF($D$1="UA",IF(X140="Rural-50",M140,IF(X140="Rural-80",M140,IF(X140="Significant Rural",M140,""))),IF($D$1="SD",IF(X140=$H$3,M140,"")))</f>
        <v>7.8779915736437474</v>
      </c>
      <c r="Z140" s="57">
        <f>IF(Y140="","",IF(I$8="A",(RANK(Y140,Y$11:Y$363,1)+COUNTIF(Y$11:Y140,Y140)-1),(RANK(Y140,Y$11:Y$363)+COUNTIF(Y$11:Y140,Y140)-1)))</f>
        <v>34</v>
      </c>
      <c r="AA140" s="245" t="str">
        <f>IF(L140="","",VLOOKUP($L140,classifications!C:I,7,FALSE))</f>
        <v>Significant Rural</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West Sussex</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South East</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9.896448206018519</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5.7191469732453335</v>
      </c>
      <c r="G141" s="105"/>
      <c r="H141" s="60">
        <f t="shared" si="52"/>
        <v>5.7191469732453335</v>
      </c>
      <c r="I141" s="112">
        <f>IF(H141="","",IF($I$8="A",(RANK(H141,H$11:H$363,1)+COUNTIF(H$11:H141,H141)-1),(RANK(H141,H$11:H$363)+COUNTIF(H$11:H141,H141)-1)))</f>
        <v>62</v>
      </c>
      <c r="J141" s="58"/>
      <c r="K141" s="51">
        <f t="shared" ref="K141:K204" si="66">IF(K140="","",IF(K140+1&gt;(COUNT(H$11:H$363)),"",K140+1))</f>
        <v>131</v>
      </c>
      <c r="L141" s="59" t="str">
        <f t="shared" si="53"/>
        <v>North Dorset</v>
      </c>
      <c r="M141" s="153">
        <f t="shared" si="57"/>
        <v>7.9104083031430532</v>
      </c>
      <c r="N141" s="148">
        <f t="shared" si="58"/>
        <v>7.9104083031430532</v>
      </c>
      <c r="O141" s="131" t="str">
        <f t="shared" si="54"/>
        <v/>
      </c>
      <c r="P141" s="131" t="str">
        <f t="shared" ref="P141:P204" si="67">IF(I$8="A",IF(N141&gt;$O$10,IF(N141&lt;=$P$10,N141,""),""),IF(N141&lt;$O$10,IF(N141&gt;=$P$10,N141,""),""))</f>
        <v/>
      </c>
      <c r="Q141" s="131">
        <f t="shared" ref="Q141:Q204" si="68">IF(I$8="A",IF(N141&gt;$P$10,IF(N141&lt;=$Q$10,N141,""),""),IF(N141&lt;$P$10,IF(N141&gt;=$Q$10,N141,""),""))</f>
        <v>7.9104083031430532</v>
      </c>
      <c r="R141" s="127" t="str">
        <f t="shared" ref="R141:R204" si="69">IF(I$8="A",IF(N141&gt;$Q$10,N141,""),IF(N141&lt;$Q$10,N141,""))</f>
        <v/>
      </c>
      <c r="S141" s="60" t="str">
        <f t="shared" si="59"/>
        <v/>
      </c>
      <c r="T141" s="231" t="str">
        <f>IF(L141="","",VLOOKUP(L141,classifications!C:K,9,FALSE))</f>
        <v>Sparse</v>
      </c>
      <c r="U141" s="238">
        <f t="shared" si="55"/>
        <v>7.9104083031430532</v>
      </c>
      <c r="V141" s="239">
        <f>IF(U141="","",IF($I$8="A",(RANK(U141,U$11:U$363)+COUNTIF(U$11:U141,U141)-1),(RANK(U141,U$11:U$363,1)+COUNTIF(U$11:U141,U141)-1)))</f>
        <v>24</v>
      </c>
      <c r="W141" s="240"/>
      <c r="X141" s="61" t="str">
        <f>IF(L141="","",VLOOKUP($L141,classifications!$C:$J,6,FALSE))</f>
        <v>Rural-80</v>
      </c>
      <c r="Y141" s="49">
        <f t="shared" si="60"/>
        <v>7.9104083031430532</v>
      </c>
      <c r="Z141" s="57">
        <f>IF(Y141="","",IF(I$8="A",(RANK(Y141,Y$11:Y$363,1)+COUNTIF(Y$11:Y141,Y141)-1),(RANK(Y141,Y$11:Y$363)+COUNTIF(Y$11:Y141,Y141)-1)))</f>
        <v>35</v>
      </c>
      <c r="AA141" s="245" t="str">
        <f>IF(L141="","",VLOOKUP($L141,classifications!C:I,7,FALSE))</f>
        <v>Predominantly Rural</v>
      </c>
      <c r="AB141" s="239">
        <f t="shared" si="61"/>
        <v>7.9104083031430532</v>
      </c>
      <c r="AC141" s="239">
        <f>IF(AB141="","",IF($I$8="A",(RANK(AB141,AB$11:AB$363)+COUNTIF(AB$11:AB141,AB141)-1),(RANK(AB141,AB$11:AB$363,1)+COUNTIF(AB$11:AB141,AB141)-1)))</f>
        <v>20</v>
      </c>
      <c r="AD141" s="239"/>
      <c r="AE141" s="51" t="str">
        <f t="shared" si="50"/>
        <v/>
      </c>
      <c r="AG141" s="143"/>
      <c r="AH141" s="52"/>
      <c r="AI141" s="61" t="str">
        <f>IF(L141="","",VLOOKUP($L141,classifications!$C:$J,8,FALSE))</f>
        <v>Dorset</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West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5.7191469732453335</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7.2833021603720161</v>
      </c>
      <c r="G142" s="105"/>
      <c r="H142" s="60" t="str">
        <f t="shared" si="52"/>
        <v/>
      </c>
      <c r="I142" s="112" t="str">
        <f>IF(H142="","",IF($I$8="A",(RANK(H142,H$11:H$363,1)+COUNTIF(H$11:H142,H142)-1),(RANK(H142,H$11:H$363)+COUNTIF(H$11:H142,H142)-1)))</f>
        <v/>
      </c>
      <c r="J142" s="58"/>
      <c r="K142" s="51">
        <f t="shared" si="66"/>
        <v>132</v>
      </c>
      <c r="L142" s="59" t="str">
        <f t="shared" si="53"/>
        <v>Melton</v>
      </c>
      <c r="M142" s="153">
        <f t="shared" si="57"/>
        <v>7.9435675373655537</v>
      </c>
      <c r="N142" s="148">
        <f t="shared" si="58"/>
        <v>7.9435675373655537</v>
      </c>
      <c r="O142" s="131" t="str">
        <f t="shared" si="54"/>
        <v/>
      </c>
      <c r="P142" s="131" t="str">
        <f t="shared" si="67"/>
        <v/>
      </c>
      <c r="Q142" s="131">
        <f t="shared" si="68"/>
        <v>7.9435675373655537</v>
      </c>
      <c r="R142" s="127" t="str">
        <f t="shared" si="69"/>
        <v/>
      </c>
      <c r="S142" s="60" t="str">
        <f t="shared" si="59"/>
        <v/>
      </c>
      <c r="T142" s="231" t="str">
        <f>IF(L142="","",VLOOKUP(L142,classifications!C:K,9,FALSE))</f>
        <v>Sparse</v>
      </c>
      <c r="U142" s="238">
        <f t="shared" si="55"/>
        <v>7.9435675373655537</v>
      </c>
      <c r="V142" s="239">
        <f>IF(U142="","",IF($I$8="A",(RANK(U142,U$11:U$363)+COUNTIF(U$11:U142,U142)-1),(RANK(U142,U$11:U$363,1)+COUNTIF(U$11:U142,U142)-1)))</f>
        <v>23</v>
      </c>
      <c r="W142" s="240"/>
      <c r="X142" s="61" t="str">
        <f>IF(L142="","",VLOOKUP($L142,classifications!$C:$J,6,FALSE))</f>
        <v>Rural-80</v>
      </c>
      <c r="Y142" s="49">
        <f t="shared" si="60"/>
        <v>7.9435675373655537</v>
      </c>
      <c r="Z142" s="57">
        <f>IF(Y142="","",IF(I$8="A",(RANK(Y142,Y$11:Y$363,1)+COUNTIF(Y$11:Y142,Y142)-1),(RANK(Y142,Y$11:Y$363)+COUNTIF(Y$11:Y142,Y142)-1)))</f>
        <v>36</v>
      </c>
      <c r="AA142" s="245" t="str">
        <f>IF(L142="","",VLOOKUP($L142,classifications!C:I,7,FALSE))</f>
        <v>Significant Rural</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Leicestershire</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Midlands</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7.2833021603720161</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6.9974772502027207</v>
      </c>
      <c r="G143" s="105"/>
      <c r="H143" s="60">
        <f t="shared" si="52"/>
        <v>6.9974772502027207</v>
      </c>
      <c r="I143" s="112">
        <f>IF(H143="","",IF($I$8="A",(RANK(H143,H$11:H$363,1)+COUNTIF(H$11:H143,H143)-1),(RANK(H143,H$11:H$363)+COUNTIF(H$11:H143,H143)-1)))</f>
        <v>101</v>
      </c>
      <c r="J143" s="58"/>
      <c r="K143" s="51">
        <f t="shared" si="66"/>
        <v>133</v>
      </c>
      <c r="L143" s="59" t="str">
        <f t="shared" si="53"/>
        <v>Broxtowe</v>
      </c>
      <c r="M143" s="153">
        <f t="shared" si="57"/>
        <v>7.9628841362126241</v>
      </c>
      <c r="N143" s="148">
        <f t="shared" si="58"/>
        <v>7.9628841362126241</v>
      </c>
      <c r="O143" s="131" t="str">
        <f t="shared" si="54"/>
        <v/>
      </c>
      <c r="P143" s="131" t="str">
        <f t="shared" si="67"/>
        <v/>
      </c>
      <c r="Q143" s="131">
        <f t="shared" si="68"/>
        <v>7.9628841362126241</v>
      </c>
      <c r="R143" s="127" t="str">
        <f t="shared" si="69"/>
        <v/>
      </c>
      <c r="S143" s="60" t="str">
        <f t="shared" si="59"/>
        <v/>
      </c>
      <c r="T143" s="231">
        <f>IF(L143="","",VLOOKUP(L143,classifications!C:K,9,FALSE))</f>
        <v>0</v>
      </c>
      <c r="U143" s="238" t="str">
        <f t="shared" si="55"/>
        <v/>
      </c>
      <c r="V143" s="239" t="str">
        <f>IF(U143="","",IF($I$8="A",(RANK(U143,U$11:U$363)+COUNTIF(U$11:U143,U143)-1),(RANK(U143,U$11:U$363,1)+COUNTIF(U$11:U143,U143)-1)))</f>
        <v/>
      </c>
      <c r="W143" s="240"/>
      <c r="X143" s="61" t="str">
        <f>IF(L143="","",VLOOKUP($L143,classifications!$C:$J,6,FALSE))</f>
        <v>Large Urban</v>
      </c>
      <c r="Y143" s="49" t="str">
        <f t="shared" si="60"/>
        <v/>
      </c>
      <c r="Z143" s="57" t="str">
        <f>IF(Y143="","",IF(I$8="A",(RANK(Y143,Y$11:Y$363,1)+COUNTIF(Y$11:Y143,Y143)-1),(RANK(Y143,Y$11:Y$363)+COUNTIF(Y$11:Y143,Y143)-1)))</f>
        <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Nottinghamshire</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East Midlands</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6.9974772502027207</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7.4503470500743676</v>
      </c>
      <c r="G144" s="105"/>
      <c r="H144" s="60" t="str">
        <f t="shared" si="52"/>
        <v/>
      </c>
      <c r="I144" s="112" t="str">
        <f>IF(H144="","",IF($I$8="A",(RANK(H144,H$11:H$363,1)+COUNTIF(H$11:H144,H144)-1),(RANK(H144,H$11:H$363)+COUNTIF(H$11:H144,H144)-1)))</f>
        <v/>
      </c>
      <c r="J144" s="58"/>
      <c r="K144" s="51">
        <f t="shared" si="66"/>
        <v>134</v>
      </c>
      <c r="L144" s="59" t="str">
        <f t="shared" si="53"/>
        <v>Suffolk Coastal</v>
      </c>
      <c r="M144" s="153">
        <f t="shared" si="57"/>
        <v>8.0159323687205326</v>
      </c>
      <c r="N144" s="148">
        <f t="shared" si="58"/>
        <v>8.0159323687205326</v>
      </c>
      <c r="O144" s="131" t="str">
        <f t="shared" si="54"/>
        <v/>
      </c>
      <c r="P144" s="131" t="str">
        <f t="shared" si="67"/>
        <v/>
      </c>
      <c r="Q144" s="131">
        <f t="shared" si="68"/>
        <v>8.0159323687205326</v>
      </c>
      <c r="R144" s="127" t="str">
        <f t="shared" si="69"/>
        <v/>
      </c>
      <c r="S144" s="60" t="str">
        <f t="shared" si="59"/>
        <v/>
      </c>
      <c r="T144" s="231" t="str">
        <f>IF(L144="","",VLOOKUP(L144,classifications!C:K,9,FALSE))</f>
        <v>Sparse</v>
      </c>
      <c r="U144" s="238">
        <f t="shared" si="55"/>
        <v>8.0159323687205326</v>
      </c>
      <c r="V144" s="239">
        <f>IF(U144="","",IF($I$8="A",(RANK(U144,U$11:U$363)+COUNTIF(U$11:U144,U144)-1),(RANK(U144,U$11:U$363,1)+COUNTIF(U$11:U144,U144)-1)))</f>
        <v>22</v>
      </c>
      <c r="W144" s="240"/>
      <c r="X144" s="61" t="str">
        <f>IF(L144="","",VLOOKUP($L144,classifications!$C:$J,6,FALSE))</f>
        <v>Rural-80</v>
      </c>
      <c r="Y144" s="49">
        <f t="shared" si="60"/>
        <v>8.0159323687205326</v>
      </c>
      <c r="Z144" s="57">
        <f>IF(Y144="","",IF(I$8="A",(RANK(Y144,Y$11:Y$363,1)+COUNTIF(Y$11:Y144,Y144)-1),(RANK(Y144,Y$11:Y$363)+COUNTIF(Y$11:Y144,Y144)-1)))</f>
        <v>37</v>
      </c>
      <c r="AA144" s="245" t="str">
        <f>IF(L144="","",VLOOKUP($L144,classifications!C:I,7,FALSE))</f>
        <v>Predominantly Rural</v>
      </c>
      <c r="AB144" s="239">
        <f t="shared" si="61"/>
        <v>8.0159323687205326</v>
      </c>
      <c r="AC144" s="239">
        <f>IF(AB144="","",IF($I$8="A",(RANK(AB144,AB$11:AB$363)+COUNTIF(AB$11:AB144,AB144)-1),(RANK(AB144,AB$11:AB$363,1)+COUNTIF(AB$11:AB144,AB144)-1)))</f>
        <v>19</v>
      </c>
      <c r="AD144" s="239"/>
      <c r="AE144" s="51" t="str">
        <f t="shared" si="50"/>
        <v/>
      </c>
      <c r="AG144" s="143"/>
      <c r="AH144" s="52"/>
      <c r="AI144" s="61" t="str">
        <f>IF(L144="","",VLOOKUP($L144,classifications!$C:$J,8,FALSE))</f>
        <v>Suffolk</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East of England</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7.4503470500743676</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t="str">
        <f t="shared" si="51"/>
        <v/>
      </c>
      <c r="G145" s="105"/>
      <c r="H145" s="60" t="str">
        <f t="shared" si="52"/>
        <v/>
      </c>
      <c r="I145" s="112" t="str">
        <f>IF(H145="","",IF($I$8="A",(RANK(H145,H$11:H$363,1)+COUNTIF(H$11:H145,H145)-1),(RANK(H145,H$11:H$363)+COUNTIF(H$11:H145,H145)-1)))</f>
        <v/>
      </c>
      <c r="J145" s="58"/>
      <c r="K145" s="51">
        <f t="shared" si="66"/>
        <v>135</v>
      </c>
      <c r="L145" s="59" t="str">
        <f t="shared" si="53"/>
        <v>Carlisle</v>
      </c>
      <c r="M145" s="153">
        <f t="shared" si="57"/>
        <v>8.1209202076185445</v>
      </c>
      <c r="N145" s="148">
        <f t="shared" si="58"/>
        <v>8.1209202076185445</v>
      </c>
      <c r="O145" s="131" t="str">
        <f t="shared" si="54"/>
        <v/>
      </c>
      <c r="P145" s="131" t="str">
        <f t="shared" si="67"/>
        <v/>
      </c>
      <c r="Q145" s="131">
        <f t="shared" si="68"/>
        <v>8.1209202076185445</v>
      </c>
      <c r="R145" s="127" t="str">
        <f t="shared" si="69"/>
        <v/>
      </c>
      <c r="S145" s="60" t="str">
        <f t="shared" si="59"/>
        <v/>
      </c>
      <c r="T145" s="231" t="str">
        <f>IF(L145="","",VLOOKUP(L145,classifications!C:K,9,FALSE))</f>
        <v>Sparse</v>
      </c>
      <c r="U145" s="238">
        <f t="shared" si="55"/>
        <v>8.1209202076185445</v>
      </c>
      <c r="V145" s="239">
        <f>IF(U145="","",IF($I$8="A",(RANK(U145,U$11:U$363)+COUNTIF(U$11:U145,U145)-1),(RANK(U145,U$11:U$363,1)+COUNTIF(U$11:U145,U145)-1)))</f>
        <v>21</v>
      </c>
      <c r="W145" s="240"/>
      <c r="X145" s="61" t="str">
        <f>IF(L145="","",VLOOKUP($L145,classifications!$C:$J,6,FALSE))</f>
        <v>Significant Rural</v>
      </c>
      <c r="Y145" s="49" t="str">
        <f t="shared" si="60"/>
        <v/>
      </c>
      <c r="Z145" s="57" t="str">
        <f>IF(Y145="","",IF(I$8="A",(RANK(Y145,Y$11:Y$363,1)+COUNTIF(Y$11:Y145,Y145)-1),(RANK(Y145,Y$11:Y$363)+COUNTIF(Y$11:Y145,Y145)-1)))</f>
        <v/>
      </c>
      <c r="AA145" s="245" t="str">
        <f>IF(L145="","",VLOOKUP($L145,classifications!C:I,7,FALSE))</f>
        <v>Predominantly Rural</v>
      </c>
      <c r="AB145" s="239">
        <f t="shared" si="61"/>
        <v>8.1209202076185445</v>
      </c>
      <c r="AC145" s="239">
        <f>IF(AB145="","",IF($I$8="A",(RANK(AB145,AB$11:AB$363)+COUNTIF(AB$11:AB145,AB145)-1),(RANK(AB145,AB$11:AB$363,1)+COUNTIF(AB$11:AB145,AB145)-1)))</f>
        <v>18</v>
      </c>
      <c r="AD145" s="239"/>
      <c r="AE145" s="51" t="str">
        <f t="shared" si="50"/>
        <v/>
      </c>
      <c r="AG145" s="143"/>
      <c r="AH145" s="52"/>
      <c r="AI145" s="61" t="str">
        <f>IF(L145="","",VLOOKUP($L145,classifications!$C:$J,8,FALSE))</f>
        <v>Cumbria</v>
      </c>
      <c r="AJ145" s="62">
        <f t="shared" si="56"/>
        <v>8.1209202076185445</v>
      </c>
      <c r="AK145" s="57">
        <f>IF(AJ145="","",IF(I$8="A",(RANK(AJ145,AJ$11:AJ$363,1)+COUNTIF(AJ$11:AJ145,AJ145)-1),(RANK(AJ145,AJ$11:AJ$363)+COUNTIF(AJ$11:AJ145,AJ145)-1)))</f>
        <v>1</v>
      </c>
      <c r="AL145" s="52" t="str">
        <f t="shared" si="70"/>
        <v/>
      </c>
      <c r="AM145" s="31" t="str">
        <f t="shared" si="49"/>
        <v/>
      </c>
      <c r="AN145" s="31" t="str">
        <f t="shared" si="62"/>
        <v/>
      </c>
      <c r="AP145" s="61" t="str">
        <f>IF(L145="","",VLOOKUP($L145,classifications!$C:$E,3,FALSE))</f>
        <v>North West</v>
      </c>
      <c r="AQ145" s="62">
        <f t="shared" si="63"/>
        <v>8.1209202076185445</v>
      </c>
      <c r="AR145" s="57">
        <f>IF(AQ145="","",IF(I$8="A",(RANK(AQ145,AQ$11:AQ$363,1)+COUNTIF(AQ$11:AQ145,AQ145)-1),(RANK(AQ145,AQ$11:AQ$363)+COUNTIF(AQ$11:AQ145,AQ145)-1)))</f>
        <v>9</v>
      </c>
      <c r="AS145" s="52" t="str">
        <f t="shared" si="64"/>
        <v/>
      </c>
      <c r="AT145" s="57" t="str">
        <f t="shared" si="65"/>
        <v/>
      </c>
      <c r="AU145" s="62" t="str">
        <f t="shared" si="48"/>
        <v/>
      </c>
      <c r="AX145" s="44" t="str">
        <f>HLOOKUP($AX$9&amp;$AX$10,Data!$A$1:$ZZ$2000,(MATCH($C145,Data!$A$1:$A$2000,0)),FALSE)</f>
        <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5.7146600617416903</v>
      </c>
      <c r="G146" s="105"/>
      <c r="H146" s="60">
        <f t="shared" si="52"/>
        <v>5.7146600617416903</v>
      </c>
      <c r="I146" s="112">
        <f>IF(H146="","",IF($I$8="A",(RANK(H146,H$11:H$363,1)+COUNTIF(H$11:H146,H146)-1),(RANK(H146,H$11:H$363)+COUNTIF(H$11:H146,H146)-1)))</f>
        <v>61</v>
      </c>
      <c r="J146" s="58"/>
      <c r="K146" s="51">
        <f t="shared" si="66"/>
        <v>136</v>
      </c>
      <c r="L146" s="59" t="str">
        <f t="shared" si="53"/>
        <v>Oxford</v>
      </c>
      <c r="M146" s="153">
        <f t="shared" si="57"/>
        <v>8.1518984120521178</v>
      </c>
      <c r="N146" s="148">
        <f t="shared" si="58"/>
        <v>8.1518984120521178</v>
      </c>
      <c r="O146" s="131" t="str">
        <f t="shared" si="54"/>
        <v/>
      </c>
      <c r="P146" s="131" t="str">
        <f t="shared" si="67"/>
        <v/>
      </c>
      <c r="Q146" s="131">
        <f t="shared" si="68"/>
        <v>8.1518984120521178</v>
      </c>
      <c r="R146" s="127" t="str">
        <f t="shared" si="69"/>
        <v/>
      </c>
      <c r="S146" s="60" t="str">
        <f t="shared" si="59"/>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Other Urban</v>
      </c>
      <c r="Y146" s="49" t="str">
        <f t="shared" si="60"/>
        <v/>
      </c>
      <c r="Z146" s="57" t="str">
        <f>IF(Y146="","",IF(I$8="A",(RANK(Y146,Y$11:Y$363,1)+COUNTIF(Y$11:Y146,Y146)-1),(RANK(Y146,Y$11:Y$363)+COUNTIF(Y$11:Y146,Y146)-1)))</f>
        <v/>
      </c>
      <c r="AA146" s="245" t="str">
        <f>IF(L146="","",VLOOKUP($L146,classifications!C:I,7,FALSE))</f>
        <v>Predominantly Rural</v>
      </c>
      <c r="AB146" s="239">
        <f t="shared" si="61"/>
        <v>8.1518984120521178</v>
      </c>
      <c r="AC146" s="239">
        <f>IF(AB146="","",IF($I$8="A",(RANK(AB146,AB$11:AB$363)+COUNTIF(AB$11:AB146,AB146)-1),(RANK(AB146,AB$11:AB$363,1)+COUNTIF(AB$11:AB146,AB146)-1)))</f>
        <v>17</v>
      </c>
      <c r="AD146" s="239"/>
      <c r="AE146" s="51" t="str">
        <f t="shared" si="50"/>
        <v/>
      </c>
      <c r="AG146" s="143"/>
      <c r="AH146" s="52"/>
      <c r="AI146" s="61" t="str">
        <f>IF(L146="","",VLOOKUP($L146,classifications!$C:$J,8,FALSE))</f>
        <v>Oxfordshire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South East</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5.7146600617416903</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10.648190935635395</v>
      </c>
      <c r="G147" s="105"/>
      <c r="H147" s="60" t="str">
        <f t="shared" si="52"/>
        <v/>
      </c>
      <c r="I147" s="112" t="str">
        <f>IF(H147="","",IF($I$8="A",(RANK(H147,H$11:H$363,1)+COUNTIF(H$11:H147,H147)-1),(RANK(H147,H$11:H$363)+COUNTIF(H$11:H147,H147)-1)))</f>
        <v/>
      </c>
      <c r="J147" s="58"/>
      <c r="K147" s="51">
        <f t="shared" si="66"/>
        <v>137</v>
      </c>
      <c r="L147" s="59" t="str">
        <f t="shared" si="53"/>
        <v>Bassetlaw</v>
      </c>
      <c r="M147" s="153">
        <f t="shared" si="57"/>
        <v>8.1773774406517763</v>
      </c>
      <c r="N147" s="148">
        <f t="shared" si="58"/>
        <v>8.1773774406517763</v>
      </c>
      <c r="O147" s="131" t="str">
        <f t="shared" si="54"/>
        <v/>
      </c>
      <c r="P147" s="131" t="str">
        <f t="shared" si="67"/>
        <v/>
      </c>
      <c r="Q147" s="131">
        <f t="shared" si="68"/>
        <v>8.1773774406517763</v>
      </c>
      <c r="R147" s="127" t="str">
        <f t="shared" si="69"/>
        <v/>
      </c>
      <c r="S147" s="60" t="str">
        <f t="shared" si="59"/>
        <v/>
      </c>
      <c r="T147" s="231" t="str">
        <f>IF(L147="","",VLOOKUP(L147,classifications!C:K,9,FALSE))</f>
        <v>Sparse</v>
      </c>
      <c r="U147" s="238">
        <f t="shared" si="55"/>
        <v>8.1773774406517763</v>
      </c>
      <c r="V147" s="239">
        <f>IF(U147="","",IF($I$8="A",(RANK(U147,U$11:U$363)+COUNTIF(U$11:U147,U147)-1),(RANK(U147,U$11:U$363,1)+COUNTIF(U$11:U147,U147)-1)))</f>
        <v>20</v>
      </c>
      <c r="W147" s="240"/>
      <c r="X147" s="61" t="str">
        <f>IF(L147="","",VLOOKUP($L147,classifications!$C:$J,6,FALSE))</f>
        <v>Rural-50</v>
      </c>
      <c r="Y147" s="49" t="str">
        <f t="shared" si="60"/>
        <v/>
      </c>
      <c r="Z147" s="57" t="str">
        <f>IF(Y147="","",IF(I$8="A",(RANK(Y147,Y$11:Y$363,1)+COUNTIF(Y$11:Y147,Y147)-1),(RANK(Y147,Y$11:Y$363)+COUNTIF(Y$11:Y147,Y147)-1)))</f>
        <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Nottinghamshire</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East Midlands</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10.648190935635395</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9.3734238178633973</v>
      </c>
      <c r="G148" s="105"/>
      <c r="H148" s="60" t="str">
        <f t="shared" si="52"/>
        <v/>
      </c>
      <c r="I148" s="112" t="str">
        <f>IF(H148="","",IF($I$8="A",(RANK(H148,H$11:H$363,1)+COUNTIF(H$11:H148,H148)-1),(RANK(H148,H$11:H$363)+COUNTIF(H$11:H148,H148)-1)))</f>
        <v/>
      </c>
      <c r="J148" s="58"/>
      <c r="K148" s="51">
        <f t="shared" si="66"/>
        <v>138</v>
      </c>
      <c r="L148" s="59" t="str">
        <f t="shared" si="53"/>
        <v>Surrey Heath</v>
      </c>
      <c r="M148" s="153">
        <f t="shared" si="57"/>
        <v>8.1869023471457556</v>
      </c>
      <c r="N148" s="148">
        <f t="shared" si="58"/>
        <v>8.1869023471457556</v>
      </c>
      <c r="O148" s="131" t="str">
        <f t="shared" si="54"/>
        <v/>
      </c>
      <c r="P148" s="131" t="str">
        <f t="shared" si="67"/>
        <v/>
      </c>
      <c r="Q148" s="131">
        <f t="shared" si="68"/>
        <v>8.1869023471457556</v>
      </c>
      <c r="R148" s="127" t="str">
        <f t="shared" si="69"/>
        <v/>
      </c>
      <c r="S148" s="60" t="str">
        <f t="shared" si="59"/>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Other Urban</v>
      </c>
      <c r="Y148" s="49" t="str">
        <f t="shared" si="60"/>
        <v/>
      </c>
      <c r="Z148" s="57" t="str">
        <f>IF(Y148="","",IF(I$8="A",(RANK(Y148,Y$11:Y$363,1)+COUNTIF(Y$11:Y148,Y148)-1),(RANK(Y148,Y$11:Y$363)+COUNTIF(Y$11:Y148,Y148)-1)))</f>
        <v/>
      </c>
      <c r="AA148" s="245" t="str">
        <f>IF(L148="","",VLOOKUP($L148,classifications!C:I,7,FALSE))</f>
        <v>Predominantly Urban</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Surrey</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South East</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9.3734238178633973</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Adur</v>
      </c>
      <c r="M149" s="153">
        <f t="shared" si="57"/>
        <v>8.2510371933910758</v>
      </c>
      <c r="N149" s="148">
        <f t="shared" si="58"/>
        <v>8.2510371933910758</v>
      </c>
      <c r="O149" s="131" t="str">
        <f t="shared" si="54"/>
        <v/>
      </c>
      <c r="P149" s="131" t="str">
        <f t="shared" si="67"/>
        <v/>
      </c>
      <c r="Q149" s="131">
        <f t="shared" si="68"/>
        <v>8.2510371933910758</v>
      </c>
      <c r="R149" s="127" t="str">
        <f t="shared" si="69"/>
        <v/>
      </c>
      <c r="S149" s="60" t="str">
        <f t="shared" si="59"/>
        <v/>
      </c>
      <c r="T149" s="231">
        <f>IF(L149="","",VLOOKUP(L149,classifications!C:K,9,FALSE))</f>
        <v>0</v>
      </c>
      <c r="U149" s="238" t="str">
        <f t="shared" si="55"/>
        <v/>
      </c>
      <c r="V149" s="239" t="str">
        <f>IF(U149="","",IF($I$8="A",(RANK(U149,U$11:U$363)+COUNTIF(U$11:U149,U149)-1),(RANK(U149,U$11:U$363,1)+COUNTIF(U$11:U149,U149)-1)))</f>
        <v/>
      </c>
      <c r="W149" s="240"/>
      <c r="X149" s="61" t="str">
        <f>IF(L149="","",VLOOKUP($L149,classifications!$C:$J,6,FALSE))</f>
        <v>Large Urban</v>
      </c>
      <c r="Y149" s="49" t="str">
        <f t="shared" si="60"/>
        <v/>
      </c>
      <c r="Z149" s="57" t="str">
        <f>IF(Y149="","",IF(I$8="A",(RANK(Y149,Y$11:Y$363,1)+COUNTIF(Y$11:Y149,Y149)-1),(RANK(Y149,Y$11:Y$363)+COUNTIF(Y$11:Y149,Y149)-1)))</f>
        <v/>
      </c>
      <c r="AA149" s="245" t="str">
        <f>IF(L149="","",VLOOKUP($L149,classifications!C:I,7,FALSE))</f>
        <v>Significant Rural</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West Sussex</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South East</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5.6297994009258421</v>
      </c>
      <c r="G150" s="105"/>
      <c r="H150" s="60">
        <f t="shared" si="52"/>
        <v>5.6297994009258421</v>
      </c>
      <c r="I150" s="112">
        <f>IF(H150="","",IF($I$8="A",(RANK(H150,H$11:H$363,1)+COUNTIF(H$11:H150,H150)-1),(RANK(H150,H$11:H$363)+COUNTIF(H$11:H150,H150)-1)))</f>
        <v>59</v>
      </c>
      <c r="J150" s="58"/>
      <c r="K150" s="51">
        <f t="shared" si="66"/>
        <v>140</v>
      </c>
      <c r="L150" s="59" t="str">
        <f t="shared" si="53"/>
        <v>Eden</v>
      </c>
      <c r="M150" s="153">
        <f t="shared" si="57"/>
        <v>8.432047477744808</v>
      </c>
      <c r="N150" s="148">
        <f t="shared" si="58"/>
        <v>8.432047477744808</v>
      </c>
      <c r="O150" s="131" t="str">
        <f t="shared" si="54"/>
        <v/>
      </c>
      <c r="P150" s="131" t="str">
        <f t="shared" si="67"/>
        <v/>
      </c>
      <c r="Q150" s="131">
        <f t="shared" si="68"/>
        <v>8.432047477744808</v>
      </c>
      <c r="R150" s="127" t="str">
        <f t="shared" si="69"/>
        <v/>
      </c>
      <c r="S150" s="60" t="str">
        <f t="shared" si="59"/>
        <v/>
      </c>
      <c r="T150" s="231" t="str">
        <f>IF(L150="","",VLOOKUP(L150,classifications!C:K,9,FALSE))</f>
        <v>Sparse</v>
      </c>
      <c r="U150" s="238">
        <f t="shared" si="55"/>
        <v>8.432047477744808</v>
      </c>
      <c r="V150" s="239">
        <f>IF(U150="","",IF($I$8="A",(RANK(U150,U$11:U$363)+COUNTIF(U$11:U150,U150)-1),(RANK(U150,U$11:U$363,1)+COUNTIF(U$11:U150,U150)-1)))</f>
        <v>19</v>
      </c>
      <c r="W150" s="240"/>
      <c r="X150" s="61" t="str">
        <f>IF(L150="","",VLOOKUP($L150,classifications!$C:$J,6,FALSE))</f>
        <v>Rural-80</v>
      </c>
      <c r="Y150" s="49">
        <f t="shared" si="60"/>
        <v>8.432047477744808</v>
      </c>
      <c r="Z150" s="57">
        <f>IF(Y150="","",IF(I$8="A",(RANK(Y150,Y$11:Y$363,1)+COUNTIF(Y$11:Y150,Y150)-1),(RANK(Y150,Y$11:Y$363)+COUNTIF(Y$11:Y150,Y150)-1)))</f>
        <v>38</v>
      </c>
      <c r="AA150" s="245" t="str">
        <f>IF(L150="","",VLOOKUP($L150,classifications!C:I,7,FALSE))</f>
        <v>Predominantly Rural</v>
      </c>
      <c r="AB150" s="239">
        <f t="shared" si="61"/>
        <v>8.432047477744808</v>
      </c>
      <c r="AC150" s="239">
        <f>IF(AB150="","",IF($I$8="A",(RANK(AB150,AB$11:AB$363)+COUNTIF(AB$11:AB150,AB150)-1),(RANK(AB150,AB$11:AB$363,1)+COUNTIF(AB$11:AB150,AB150)-1)))</f>
        <v>16</v>
      </c>
      <c r="AD150" s="239"/>
      <c r="AE150" s="51" t="str">
        <f t="shared" si="50"/>
        <v/>
      </c>
      <c r="AG150" s="143"/>
      <c r="AH150" s="52"/>
      <c r="AI150" s="61" t="str">
        <f>IF(L150="","",VLOOKUP($L150,classifications!$C:$J,8,FALSE))</f>
        <v>Cumbria</v>
      </c>
      <c r="AJ150" s="62">
        <f t="shared" si="56"/>
        <v>8.432047477744808</v>
      </c>
      <c r="AK150" s="57">
        <f>IF(AJ150="","",IF(I$8="A",(RANK(AJ150,AJ$11:AJ$363,1)+COUNTIF(AJ$11:AJ150,AJ150)-1),(RANK(AJ150,AJ$11:AJ$363)+COUNTIF(AJ$11:AJ150,AJ150)-1)))</f>
        <v>2</v>
      </c>
      <c r="AL150" s="52" t="str">
        <f t="shared" si="70"/>
        <v/>
      </c>
      <c r="AM150" s="31" t="str">
        <f t="shared" si="49"/>
        <v/>
      </c>
      <c r="AN150" s="31" t="str">
        <f t="shared" si="62"/>
        <v/>
      </c>
      <c r="AP150" s="61" t="str">
        <f>IF(L150="","",VLOOKUP($L150,classifications!$C:$E,3,FALSE))</f>
        <v>North West</v>
      </c>
      <c r="AQ150" s="62">
        <f t="shared" si="63"/>
        <v>8.432047477744808</v>
      </c>
      <c r="AR150" s="57">
        <f>IF(AQ150="","",IF(I$8="A",(RANK(AQ150,AQ$11:AQ$363,1)+COUNTIF(AQ$11:AQ150,AQ150)-1),(RANK(AQ150,AQ$11:AQ$363)+COUNTIF(AQ$11:AQ150,AQ150)-1)))</f>
        <v>10</v>
      </c>
      <c r="AS150" s="52" t="str">
        <f t="shared" si="64"/>
        <v/>
      </c>
      <c r="AT150" s="57" t="str">
        <f t="shared" si="65"/>
        <v/>
      </c>
      <c r="AU150" s="62" t="str">
        <f t="shared" si="71"/>
        <v/>
      </c>
      <c r="AX150" s="44">
        <f>HLOOKUP($AX$9&amp;$AX$10,Data!$A$1:$ZZ$2000,(MATCH($C150,Data!$A$1:$A$2000,0)),FALSE)</f>
        <v>5.6297994009258421</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5.3362110311750603</v>
      </c>
      <c r="G151" s="105"/>
      <c r="H151" s="60">
        <f t="shared" si="52"/>
        <v>5.3362110311750603</v>
      </c>
      <c r="I151" s="112">
        <f>IF(H151="","",IF($I$8="A",(RANK(H151,H$11:H$363,1)+COUNTIF(H$11:H151,H151)-1),(RANK(H151,H$11:H$363)+COUNTIF(H$11:H151,H151)-1)))</f>
        <v>49</v>
      </c>
      <c r="J151" s="58"/>
      <c r="K151" s="51">
        <f t="shared" si="66"/>
        <v>141</v>
      </c>
      <c r="L151" s="59" t="str">
        <f t="shared" si="53"/>
        <v>Northampton</v>
      </c>
      <c r="M151" s="153">
        <f t="shared" si="57"/>
        <v>8.5021167029981353</v>
      </c>
      <c r="N151" s="148">
        <f t="shared" si="58"/>
        <v>8.5021167029981353</v>
      </c>
      <c r="O151" s="131" t="str">
        <f t="shared" si="54"/>
        <v/>
      </c>
      <c r="P151" s="131" t="str">
        <f t="shared" si="67"/>
        <v/>
      </c>
      <c r="Q151" s="131">
        <f t="shared" si="68"/>
        <v>8.5021167029981353</v>
      </c>
      <c r="R151" s="127" t="str">
        <f t="shared" si="69"/>
        <v/>
      </c>
      <c r="S151" s="60" t="str">
        <f t="shared" si="59"/>
        <v/>
      </c>
      <c r="T151" s="231">
        <f>IF(L151="","",VLOOKUP(L151,classifications!C:K,9,FALSE))</f>
        <v>0</v>
      </c>
      <c r="U151" s="238" t="str">
        <f t="shared" si="55"/>
        <v/>
      </c>
      <c r="V151" s="239" t="str">
        <f>IF(U151="","",IF($I$8="A",(RANK(U151,U$11:U$363)+COUNTIF(U$11:U151,U151)-1),(RANK(U151,U$11:U$363,1)+COUNTIF(U$11:U151,U151)-1)))</f>
        <v/>
      </c>
      <c r="W151" s="240"/>
      <c r="X151" s="61" t="str">
        <f>IF(L151="","",VLOOKUP($L151,classifications!$C:$J,6,FALSE))</f>
        <v>Other Urban</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Northamptonshire</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East Midlands</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5.3362110311750603</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6.6297319763653926</v>
      </c>
      <c r="G152" s="105"/>
      <c r="H152" s="60" t="str">
        <f t="shared" si="52"/>
        <v/>
      </c>
      <c r="I152" s="112" t="str">
        <f>IF(H152="","",IF($I$8="A",(RANK(H152,H$11:H$363,1)+COUNTIF(H$11:H152,H152)-1),(RANK(H152,H$11:H$363)+COUNTIF(H$11:H152,H152)-1)))</f>
        <v/>
      </c>
      <c r="J152" s="58"/>
      <c r="K152" s="51">
        <f t="shared" si="66"/>
        <v>142</v>
      </c>
      <c r="L152" s="59" t="str">
        <f t="shared" si="53"/>
        <v>Tonbridge &amp; Malling</v>
      </c>
      <c r="M152" s="153">
        <f t="shared" si="57"/>
        <v>8.6149565689467966</v>
      </c>
      <c r="N152" s="148">
        <f t="shared" si="58"/>
        <v>8.6149565689467966</v>
      </c>
      <c r="O152" s="131" t="str">
        <f t="shared" si="54"/>
        <v/>
      </c>
      <c r="P152" s="131" t="str">
        <f t="shared" si="67"/>
        <v/>
      </c>
      <c r="Q152" s="131">
        <f t="shared" si="68"/>
        <v>8.6149565689467966</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Rural-50</v>
      </c>
      <c r="Y152" s="49" t="str">
        <f t="shared" si="60"/>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Kent</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South East</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6.6297319763653926</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7.216631782321687</v>
      </c>
      <c r="G153" s="105"/>
      <c r="H153" s="60">
        <f t="shared" si="52"/>
        <v>7.216631782321687</v>
      </c>
      <c r="I153" s="112">
        <f>IF(H153="","",IF($I$8="A",(RANK(H153,H$11:H$363,1)+COUNTIF(H$11:H153,H153)-1),(RANK(H153,H$11:H$363)+COUNTIF(H$11:H153,H153)-1)))</f>
        <v>112</v>
      </c>
      <c r="J153" s="58"/>
      <c r="K153" s="51">
        <f t="shared" si="66"/>
        <v>143</v>
      </c>
      <c r="L153" s="59" t="str">
        <f t="shared" si="53"/>
        <v>Horsham</v>
      </c>
      <c r="M153" s="153">
        <f t="shared" si="57"/>
        <v>8.7661691542288551</v>
      </c>
      <c r="N153" s="148">
        <f t="shared" si="58"/>
        <v>8.7661691542288551</v>
      </c>
      <c r="O153" s="131" t="str">
        <f t="shared" si="54"/>
        <v/>
      </c>
      <c r="P153" s="131" t="str">
        <f t="shared" si="67"/>
        <v/>
      </c>
      <c r="Q153" s="131">
        <f t="shared" si="68"/>
        <v>8.7661691542288551</v>
      </c>
      <c r="R153" s="127" t="str">
        <f t="shared" si="69"/>
        <v/>
      </c>
      <c r="S153" s="60" t="str">
        <f t="shared" si="59"/>
        <v/>
      </c>
      <c r="T153" s="231" t="str">
        <f>IF(L153="","",VLOOKUP(L153,classifications!C:K,9,FALSE))</f>
        <v>Sparse</v>
      </c>
      <c r="U153" s="238">
        <f t="shared" si="55"/>
        <v>8.7661691542288551</v>
      </c>
      <c r="V153" s="239">
        <f>IF(U153="","",IF($I$8="A",(RANK(U153,U$11:U$363)+COUNTIF(U$11:U153,U153)-1),(RANK(U153,U$11:U$363,1)+COUNTIF(U$11:U153,U153)-1)))</f>
        <v>18</v>
      </c>
      <c r="W153" s="240"/>
      <c r="X153" s="61" t="str">
        <f>IF(L153="","",VLOOKUP($L153,classifications!$C:$J,6,FALSE))</f>
        <v>Rural-50</v>
      </c>
      <c r="Y153" s="49" t="str">
        <f t="shared" si="60"/>
        <v/>
      </c>
      <c r="Z153" s="57" t="str">
        <f>IF(Y153="","",IF(I$8="A",(RANK(Y153,Y$11:Y$363,1)+COUNTIF(Y$11:Y153,Y153)-1),(RANK(Y153,Y$11:Y$363)+COUNTIF(Y$11:Y153,Y153)-1)))</f>
        <v/>
      </c>
      <c r="AA153" s="245" t="str">
        <f>IF(L153="","",VLOOKUP($L153,classifications!C:I,7,FALSE))</f>
        <v>Significant Rural</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West Sussex</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South East</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7.216631782321687</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8.7661691542288551</v>
      </c>
      <c r="G154" s="105"/>
      <c r="H154" s="60">
        <f t="shared" si="52"/>
        <v>8.7661691542288551</v>
      </c>
      <c r="I154" s="112">
        <f>IF(H154="","",IF($I$8="A",(RANK(H154,H$11:H$363,1)+COUNTIF(H$11:H154,H154)-1),(RANK(H154,H$11:H$363)+COUNTIF(H$11:H154,H154)-1)))</f>
        <v>143</v>
      </c>
      <c r="J154" s="58"/>
      <c r="K154" s="51">
        <f t="shared" si="66"/>
        <v>144</v>
      </c>
      <c r="L154" s="59" t="str">
        <f t="shared" si="53"/>
        <v>Worthing</v>
      </c>
      <c r="M154" s="153">
        <f t="shared" si="57"/>
        <v>8.8120669599959545</v>
      </c>
      <c r="N154" s="148">
        <f t="shared" si="58"/>
        <v>8.8120669599959545</v>
      </c>
      <c r="O154" s="131" t="str">
        <f t="shared" si="54"/>
        <v/>
      </c>
      <c r="P154" s="131" t="str">
        <f t="shared" si="67"/>
        <v/>
      </c>
      <c r="Q154" s="131">
        <f t="shared" si="68"/>
        <v>8.8120669599959545</v>
      </c>
      <c r="R154" s="127" t="str">
        <f t="shared" si="69"/>
        <v/>
      </c>
      <c r="S154" s="60" t="str">
        <f t="shared" si="59"/>
        <v/>
      </c>
      <c r="T154" s="231">
        <f>IF(L154="","",VLOOKUP(L154,classifications!C:K,9,FALSE))</f>
        <v>0</v>
      </c>
      <c r="U154" s="238" t="str">
        <f t="shared" si="55"/>
        <v/>
      </c>
      <c r="V154" s="239" t="str">
        <f>IF(U154="","",IF($I$8="A",(RANK(U154,U$11:U$363)+COUNTIF(U$11:U154,U154)-1),(RANK(U154,U$11:U$363,1)+COUNTIF(U$11:U154,U154)-1)))</f>
        <v/>
      </c>
      <c r="W154" s="240"/>
      <c r="X154" s="61" t="str">
        <f>IF(L154="","",VLOOKUP($L154,classifications!$C:$J,6,FALSE))</f>
        <v>Large Urban</v>
      </c>
      <c r="Y154" s="49" t="str">
        <f t="shared" si="60"/>
        <v/>
      </c>
      <c r="Z154" s="57" t="str">
        <f>IF(Y154="","",IF(I$8="A",(RANK(Y154,Y$11:Y$363,1)+COUNTIF(Y$11:Y154,Y154)-1),(RANK(Y154,Y$11:Y$363)+COUNTIF(Y$11:Y154,Y154)-1)))</f>
        <v/>
      </c>
      <c r="AA154" s="245" t="str">
        <f>IF(L154="","",VLOOKUP($L154,classifications!C:I,7,FALSE))</f>
        <v>Significant Rural</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West Sussex</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South East</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8.7661691542288551</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5.7546704217796556</v>
      </c>
      <c r="G155" s="105"/>
      <c r="H155" s="60" t="str">
        <f t="shared" si="52"/>
        <v/>
      </c>
      <c r="I155" s="112" t="str">
        <f>IF(H155="","",IF($I$8="A",(RANK(H155,H$11:H$363,1)+COUNTIF(H$11:H155,H155)-1),(RANK(H155,H$11:H$363)+COUNTIF(H$11:H155,H155)-1)))</f>
        <v/>
      </c>
      <c r="J155" s="58"/>
      <c r="K155" s="51">
        <f t="shared" si="66"/>
        <v>145</v>
      </c>
      <c r="L155" s="59" t="str">
        <f t="shared" si="53"/>
        <v>South Ribble</v>
      </c>
      <c r="M155" s="153">
        <f t="shared" si="57"/>
        <v>8.818432374294165</v>
      </c>
      <c r="N155" s="148">
        <f t="shared" si="58"/>
        <v>8.818432374294165</v>
      </c>
      <c r="O155" s="131" t="str">
        <f t="shared" si="54"/>
        <v/>
      </c>
      <c r="P155" s="131" t="str">
        <f t="shared" si="67"/>
        <v/>
      </c>
      <c r="Q155" s="131" t="str">
        <f t="shared" si="68"/>
        <v/>
      </c>
      <c r="R155" s="127">
        <f t="shared" si="69"/>
        <v>8.818432374294165</v>
      </c>
      <c r="S155" s="60" t="str">
        <f t="shared" si="59"/>
        <v/>
      </c>
      <c r="T155" s="231">
        <f>IF(L155="","",VLOOKUP(L155,classifications!C:K,9,FALSE))</f>
        <v>0</v>
      </c>
      <c r="U155" s="238" t="str">
        <f t="shared" si="55"/>
        <v/>
      </c>
      <c r="V155" s="239" t="str">
        <f>IF(U155="","",IF($I$8="A",(RANK(U155,U$11:U$363)+COUNTIF(U$11:U155,U155)-1),(RANK(U155,U$11:U$363,1)+COUNTIF(U$11:U155,U155)-1)))</f>
        <v/>
      </c>
      <c r="W155" s="240"/>
      <c r="X155" s="61" t="str">
        <f>IF(L155="","",VLOOKUP($L155,classifications!$C:$J,6,FALSE))</f>
        <v>Large Urban</v>
      </c>
      <c r="Y155" s="49" t="str">
        <f t="shared" si="60"/>
        <v/>
      </c>
      <c r="Z155" s="57" t="str">
        <f>IF(Y155="","",IF(I$8="A",(RANK(Y155,Y$11:Y$363,1)+COUNTIF(Y$11:Y155,Y155)-1),(RANK(Y155,Y$11:Y$363)+COUNTIF(Y$11:Y155,Y155)-1)))</f>
        <v/>
      </c>
      <c r="AA155" s="245" t="str">
        <f>IF(L155="","",VLOOKUP($L155,classifications!C:I,7,FALSE))</f>
        <v>Significant Rural</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Lancashire</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North West</v>
      </c>
      <c r="AQ155" s="62">
        <f t="shared" si="63"/>
        <v>8.818432374294165</v>
      </c>
      <c r="AR155" s="57">
        <f>IF(AQ155="","",IF(I$8="A",(RANK(AQ155,AQ$11:AQ$363,1)+COUNTIF(AQ$11:AQ155,AQ155)-1),(RANK(AQ155,AQ$11:AQ$363)+COUNTIF(AQ$11:AQ155,AQ155)-1)))</f>
        <v>11</v>
      </c>
      <c r="AS155" s="52" t="str">
        <f t="shared" si="64"/>
        <v/>
      </c>
      <c r="AT155" s="57" t="str">
        <f t="shared" si="65"/>
        <v/>
      </c>
      <c r="AU155" s="62" t="str">
        <f t="shared" si="71"/>
        <v/>
      </c>
      <c r="AX155" s="44">
        <f>HLOOKUP($AX$9&amp;$AX$10,Data!$A$1:$ZZ$2000,(MATCH($C155,Data!$A$1:$A$2000,0)),FALSE)</f>
        <v>5.7546704217796556</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f>VLOOKUP(C156,classifications!C:K,9,FALSE)</f>
        <v>0</v>
      </c>
      <c r="F156" s="59">
        <f t="shared" si="51"/>
        <v>5.777402186421174</v>
      </c>
      <c r="G156" s="105"/>
      <c r="H156" s="60">
        <f t="shared" si="52"/>
        <v>5.777402186421174</v>
      </c>
      <c r="I156" s="112">
        <f>IF(H156="","",IF($I$8="A",(RANK(H156,H$11:H$363,1)+COUNTIF(H$11:H156,H156)-1),(RANK(H156,H$11:H$363)+COUNTIF(H$11:H156,H156)-1)))</f>
        <v>64</v>
      </c>
      <c r="J156" s="58"/>
      <c r="K156" s="51">
        <f t="shared" si="66"/>
        <v>146</v>
      </c>
      <c r="L156" s="59" t="str">
        <f t="shared" si="53"/>
        <v>Rugby</v>
      </c>
      <c r="M156" s="153">
        <f t="shared" si="57"/>
        <v>8.8856982927511901</v>
      </c>
      <c r="N156" s="148">
        <f t="shared" si="58"/>
        <v>8.8856982927511901</v>
      </c>
      <c r="O156" s="131" t="str">
        <f t="shared" si="54"/>
        <v/>
      </c>
      <c r="P156" s="131" t="str">
        <f t="shared" si="67"/>
        <v/>
      </c>
      <c r="Q156" s="131" t="str">
        <f t="shared" si="68"/>
        <v/>
      </c>
      <c r="R156" s="127">
        <f t="shared" si="69"/>
        <v>8.8856982927511901</v>
      </c>
      <c r="S156" s="60" t="str">
        <f t="shared" si="59"/>
        <v/>
      </c>
      <c r="T156" s="231" t="str">
        <f>IF(L156="","",VLOOKUP(L156,classifications!C:K,9,FALSE))</f>
        <v>Sparse</v>
      </c>
      <c r="U156" s="238">
        <f t="shared" si="55"/>
        <v>8.8856982927511901</v>
      </c>
      <c r="V156" s="239">
        <f>IF(U156="","",IF($I$8="A",(RANK(U156,U$11:U$363)+COUNTIF(U$11:U156,U156)-1),(RANK(U156,U$11:U$363,1)+COUNTIF(U$11:U156,U156)-1)))</f>
        <v>17</v>
      </c>
      <c r="W156" s="240"/>
      <c r="X156" s="61" t="str">
        <f>IF(L156="","",VLOOKUP($L156,classifications!$C:$J,6,FALSE))</f>
        <v>Significant Rural</v>
      </c>
      <c r="Y156" s="49" t="str">
        <f t="shared" si="60"/>
        <v/>
      </c>
      <c r="Z156" s="57" t="str">
        <f>IF(Y156="","",IF(I$8="A",(RANK(Y156,Y$11:Y$363,1)+COUNTIF(Y$11:Y156,Y156)-1),(RANK(Y156,Y$11:Y$363)+COUNTIF(Y$11:Y156,Y156)-1)))</f>
        <v/>
      </c>
      <c r="AA156" s="245" t="str">
        <f>IF(L156="","",VLOOKUP($L156,classifications!C:I,7,FALSE))</f>
        <v>Significant Rural</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Warwickshire</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West Midlands</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5.777402186421174</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5.5407377985204311</v>
      </c>
      <c r="G157" s="105"/>
      <c r="H157" s="60">
        <f t="shared" si="52"/>
        <v>5.5407377985204311</v>
      </c>
      <c r="I157" s="112">
        <f>IF(H157="","",IF($I$8="A",(RANK(H157,H$11:H$363,1)+COUNTIF(H$11:H157,H157)-1),(RANK(H157,H$11:H$363)+COUNTIF(H$11:H157,H157)-1)))</f>
        <v>55</v>
      </c>
      <c r="J157" s="58"/>
      <c r="K157" s="51">
        <f t="shared" si="66"/>
        <v>147</v>
      </c>
      <c r="L157" s="59" t="str">
        <f t="shared" si="53"/>
        <v>Chesterfield</v>
      </c>
      <c r="M157" s="153">
        <f t="shared" si="57"/>
        <v>8.9520795308920036</v>
      </c>
      <c r="N157" s="148">
        <f t="shared" si="58"/>
        <v>8.9520795308920036</v>
      </c>
      <c r="O157" s="131" t="str">
        <f t="shared" si="54"/>
        <v/>
      </c>
      <c r="P157" s="131" t="str">
        <f t="shared" si="67"/>
        <v/>
      </c>
      <c r="Q157" s="131" t="str">
        <f t="shared" si="68"/>
        <v/>
      </c>
      <c r="R157" s="127">
        <f t="shared" si="69"/>
        <v>8.9520795308920036</v>
      </c>
      <c r="S157" s="60" t="str">
        <f t="shared" si="59"/>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Other Urban</v>
      </c>
      <c r="Y157" s="49" t="str">
        <f t="shared" si="60"/>
        <v/>
      </c>
      <c r="Z157" s="57" t="str">
        <f>IF(Y157="","",IF(I$8="A",(RANK(Y157,Y$11:Y$363,1)+COUNTIF(Y$11:Y157,Y157)-1),(RANK(Y157,Y$11:Y$363)+COUNTIF(Y$11:Y157,Y157)-1)))</f>
        <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Derbyshire</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East Midlands</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5.5407377985204311</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6.6065132659319783</v>
      </c>
      <c r="G158" s="105"/>
      <c r="H158" s="60">
        <f t="shared" si="52"/>
        <v>6.6065132659319783</v>
      </c>
      <c r="I158" s="112">
        <f>IF(H158="","",IF($I$8="A",(RANK(H158,H$11:H$363,1)+COUNTIF(H$11:H158,H158)-1),(RANK(H158,H$11:H$363)+COUNTIF(H$11:H158,H158)-1)))</f>
        <v>88</v>
      </c>
      <c r="J158" s="58"/>
      <c r="K158" s="51">
        <f t="shared" si="66"/>
        <v>148</v>
      </c>
      <c r="L158" s="59" t="str">
        <f t="shared" si="53"/>
        <v>Newcastle-under-Lyme</v>
      </c>
      <c r="M158" s="153">
        <f t="shared" si="57"/>
        <v>8.98118369006691</v>
      </c>
      <c r="N158" s="148">
        <f t="shared" si="58"/>
        <v>8.98118369006691</v>
      </c>
      <c r="O158" s="131" t="str">
        <f t="shared" si="54"/>
        <v/>
      </c>
      <c r="P158" s="131" t="str">
        <f t="shared" si="67"/>
        <v/>
      </c>
      <c r="Q158" s="131" t="str">
        <f t="shared" si="68"/>
        <v/>
      </c>
      <c r="R158" s="127">
        <f t="shared" si="69"/>
        <v>8.98118369006691</v>
      </c>
      <c r="S158" s="60" t="str">
        <f t="shared" si="59"/>
        <v/>
      </c>
      <c r="T158" s="231">
        <f>IF(L158="","",VLOOKUP(L158,classifications!C:K,9,FALSE))</f>
        <v>0</v>
      </c>
      <c r="U158" s="238" t="str">
        <f t="shared" si="55"/>
        <v/>
      </c>
      <c r="V158" s="239" t="str">
        <f>IF(U158="","",IF($I$8="A",(RANK(U158,U$11:U$363)+COUNTIF(U$11:U158,U158)-1),(RANK(U158,U$11:U$363,1)+COUNTIF(U$11:U158,U158)-1)))</f>
        <v/>
      </c>
      <c r="W158" s="240"/>
      <c r="X158" s="61" t="str">
        <f>IF(L158="","",VLOOKUP($L158,classifications!$C:$J,6,FALSE))</f>
        <v>Large Urban</v>
      </c>
      <c r="Y158" s="49" t="str">
        <f t="shared" si="60"/>
        <v/>
      </c>
      <c r="Z158" s="57" t="str">
        <f>IF(Y158="","",IF(I$8="A",(RANK(Y158,Y$11:Y$363,1)+COUNTIF(Y$11:Y158,Y158)-1),(RANK(Y158,Y$11:Y$363)+COUNTIF(Y$11:Y158,Y158)-1)))</f>
        <v/>
      </c>
      <c r="AA158" s="245" t="str">
        <f>IF(L158="","",VLOOKUP($L158,classifications!C:I,7,FALSE))</f>
        <v>Significant Rural</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Staffordshire</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West Midlands</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6.6065132659319783</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7.3797090117009692</v>
      </c>
      <c r="G159" s="105"/>
      <c r="H159" s="60" t="str">
        <f t="shared" si="52"/>
        <v/>
      </c>
      <c r="I159" s="112" t="str">
        <f>IF(H159="","",IF($I$8="A",(RANK(H159,H$11:H$363,1)+COUNTIF(H$11:H159,H159)-1),(RANK(H159,H$11:H$363)+COUNTIF(H$11:H159,H159)-1)))</f>
        <v/>
      </c>
      <c r="J159" s="58"/>
      <c r="K159" s="51">
        <f t="shared" si="66"/>
        <v>149</v>
      </c>
      <c r="L159" s="59" t="str">
        <f t="shared" si="53"/>
        <v>Lancaster</v>
      </c>
      <c r="M159" s="153">
        <f t="shared" si="57"/>
        <v>9.1441911740864441</v>
      </c>
      <c r="N159" s="148">
        <f t="shared" si="58"/>
        <v>9.1441911740864441</v>
      </c>
      <c r="O159" s="131" t="str">
        <f t="shared" si="54"/>
        <v/>
      </c>
      <c r="P159" s="131" t="str">
        <f t="shared" si="67"/>
        <v/>
      </c>
      <c r="Q159" s="131" t="str">
        <f t="shared" si="68"/>
        <v/>
      </c>
      <c r="R159" s="127">
        <f t="shared" si="69"/>
        <v>9.1441911740864441</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Significant Rural</v>
      </c>
      <c r="Y159" s="49" t="str">
        <f t="shared" si="60"/>
        <v/>
      </c>
      <c r="Z159" s="57" t="str">
        <f>IF(Y159="","",IF(I$8="A",(RANK(Y159,Y$11:Y$363,1)+COUNTIF(Y$11:Y159,Y159)-1),(RANK(Y159,Y$11:Y$363)+COUNTIF(Y$11:Y159,Y159)-1)))</f>
        <v/>
      </c>
      <c r="AA159" s="245" t="str">
        <f>IF(L159="","",VLOOKUP($L159,classifications!C:I,7,FALSE))</f>
        <v>Significant Rural</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Lancashire</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North West</v>
      </c>
      <c r="AQ159" s="62">
        <f t="shared" si="63"/>
        <v>9.1441911740864441</v>
      </c>
      <c r="AR159" s="57">
        <f>IF(AQ159="","",IF(I$8="A",(RANK(AQ159,AQ$11:AQ$363,1)+COUNTIF(AQ$11:AQ159,AQ159)-1),(RANK(AQ159,AQ$11:AQ$363)+COUNTIF(AQ$11:AQ159,AQ159)-1)))</f>
        <v>12</v>
      </c>
      <c r="AS159" s="52" t="str">
        <f t="shared" si="64"/>
        <v/>
      </c>
      <c r="AT159" s="57" t="str">
        <f t="shared" si="65"/>
        <v/>
      </c>
      <c r="AU159" s="62" t="str">
        <f t="shared" si="71"/>
        <v/>
      </c>
      <c r="AX159" s="44">
        <f>HLOOKUP($AX$9&amp;$AX$10,Data!$A$1:$ZZ$2000,(MATCH($C159,Data!$A$1:$A$2000,0)),FALSE)</f>
        <v>7.3797090117009692</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West Devon</v>
      </c>
      <c r="M160" s="153">
        <f t="shared" si="57"/>
        <v>9.1597659765976598</v>
      </c>
      <c r="N160" s="148">
        <f t="shared" si="58"/>
        <v>9.1597659765976598</v>
      </c>
      <c r="O160" s="131" t="str">
        <f t="shared" si="54"/>
        <v/>
      </c>
      <c r="P160" s="131" t="str">
        <f t="shared" si="67"/>
        <v/>
      </c>
      <c r="Q160" s="131" t="str">
        <f t="shared" si="68"/>
        <v/>
      </c>
      <c r="R160" s="127">
        <f t="shared" si="69"/>
        <v>9.1597659765976598</v>
      </c>
      <c r="S160" s="60" t="str">
        <f t="shared" si="59"/>
        <v/>
      </c>
      <c r="T160" s="231" t="str">
        <f>IF(L160="","",VLOOKUP(L160,classifications!C:K,9,FALSE))</f>
        <v>Sparse</v>
      </c>
      <c r="U160" s="238">
        <f t="shared" si="55"/>
        <v>9.1597659765976598</v>
      </c>
      <c r="V160" s="239">
        <f>IF(U160="","",IF($I$8="A",(RANK(U160,U$11:U$363)+COUNTIF(U$11:U160,U160)-1),(RANK(U160,U$11:U$363,1)+COUNTIF(U$11:U160,U160)-1)))</f>
        <v>16</v>
      </c>
      <c r="W160" s="240"/>
      <c r="X160" s="61" t="str">
        <f>IF(L160="","",VLOOKUP($L160,classifications!$C:$J,6,FALSE))</f>
        <v>Rural-80</v>
      </c>
      <c r="Y160" s="49">
        <f t="shared" si="60"/>
        <v>9.1597659765976598</v>
      </c>
      <c r="Z160" s="57">
        <f>IF(Y160="","",IF(I$8="A",(RANK(Y160,Y$11:Y$363,1)+COUNTIF(Y$11:Y160,Y160)-1),(RANK(Y160,Y$11:Y$363)+COUNTIF(Y$11:Y160,Y160)-1)))</f>
        <v>39</v>
      </c>
      <c r="AA160" s="245" t="str">
        <f>IF(L160="","",VLOOKUP($L160,classifications!C:I,7,FALSE))</f>
        <v>Predominantly Rural</v>
      </c>
      <c r="AB160" s="239">
        <f t="shared" si="61"/>
        <v>9.1597659765976598</v>
      </c>
      <c r="AC160" s="239">
        <f>IF(AB160="","",IF($I$8="A",(RANK(AB160,AB$11:AB$363)+COUNTIF(AB$11:AB160,AB160)-1),(RANK(AB160,AB$11:AB$363,1)+COUNTIF(AB$11:AB160,AB160)-1)))</f>
        <v>15</v>
      </c>
      <c r="AD160" s="239"/>
      <c r="AE160" s="51" t="str">
        <f t="shared" si="50"/>
        <v/>
      </c>
      <c r="AG160" s="143"/>
      <c r="AH160" s="52"/>
      <c r="AI160" s="61" t="str">
        <f>IF(L160="","",VLOOKUP($L160,classifications!$C:$J,8,FALSE))</f>
        <v>Devon</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South West</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3.7133059133775381</v>
      </c>
      <c r="G161" s="105"/>
      <c r="H161" s="60" t="str">
        <f t="shared" si="52"/>
        <v/>
      </c>
      <c r="I161" s="112" t="str">
        <f>IF(H161="","",IF($I$8="A",(RANK(H161,H$11:H$363,1)+COUNTIF(H$11:H161,H161)-1),(RANK(H161,H$11:H$363)+COUNTIF(H$11:H161,H161)-1)))</f>
        <v/>
      </c>
      <c r="J161" s="58"/>
      <c r="K161" s="51">
        <f t="shared" si="66"/>
        <v>151</v>
      </c>
      <c r="L161" s="59" t="str">
        <f t="shared" si="53"/>
        <v>Rochford</v>
      </c>
      <c r="M161" s="153">
        <f t="shared" si="57"/>
        <v>9.253033472803347</v>
      </c>
      <c r="N161" s="148">
        <f t="shared" si="58"/>
        <v>9.253033472803347</v>
      </c>
      <c r="O161" s="131" t="str">
        <f t="shared" si="54"/>
        <v/>
      </c>
      <c r="P161" s="131" t="str">
        <f t="shared" si="67"/>
        <v/>
      </c>
      <c r="Q161" s="131" t="str">
        <f t="shared" si="68"/>
        <v/>
      </c>
      <c r="R161" s="127">
        <f t="shared" si="69"/>
        <v>9.253033472803347</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Large Urban</v>
      </c>
      <c r="Y161" s="49" t="str">
        <f t="shared" si="60"/>
        <v/>
      </c>
      <c r="Z161" s="57" t="str">
        <f>IF(Y161="","",IF(I$8="A",(RANK(Y161,Y$11:Y$363,1)+COUNTIF(Y$11:Y161,Y161)-1),(RANK(Y161,Y$11:Y$363)+COUNTIF(Y$11:Y161,Y161)-1)))</f>
        <v/>
      </c>
      <c r="AA161" s="245" t="str">
        <f>IF(L161="","",VLOOKUP($L161,classifications!C:I,7,FALSE))</f>
        <v>Significant Rural</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Essex</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East of England</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3.7133059133775381</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4.3992960132515151</v>
      </c>
      <c r="G162" s="105"/>
      <c r="H162" s="60" t="str">
        <f t="shared" si="52"/>
        <v/>
      </c>
      <c r="I162" s="112" t="str">
        <f>IF(H162="","",IF($I$8="A",(RANK(H162,H$11:H$363,1)+COUNTIF(H$11:H162,H162)-1),(RANK(H162,H$11:H$363)+COUNTIF(H$11:H162,H162)-1)))</f>
        <v/>
      </c>
      <c r="J162" s="58"/>
      <c r="K162" s="51">
        <f t="shared" si="66"/>
        <v>152</v>
      </c>
      <c r="L162" s="59" t="str">
        <f t="shared" si="53"/>
        <v>Epsom &amp; Ewell</v>
      </c>
      <c r="M162" s="153">
        <f t="shared" si="57"/>
        <v>9.2927053266859101</v>
      </c>
      <c r="N162" s="148">
        <f t="shared" si="58"/>
        <v>9.2927053266859101</v>
      </c>
      <c r="O162" s="131" t="str">
        <f t="shared" si="54"/>
        <v/>
      </c>
      <c r="P162" s="131" t="str">
        <f t="shared" si="67"/>
        <v/>
      </c>
      <c r="Q162" s="131" t="str">
        <f t="shared" si="68"/>
        <v/>
      </c>
      <c r="R162" s="127">
        <f t="shared" si="69"/>
        <v>9.2927053266859101</v>
      </c>
      <c r="S162" s="60" t="str">
        <f t="shared" si="59"/>
        <v/>
      </c>
      <c r="T162" s="231">
        <f>IF(L162="","",VLOOKUP(L162,classifications!C:K,9,FALSE))</f>
        <v>0</v>
      </c>
      <c r="U162" s="238" t="str">
        <f t="shared" si="55"/>
        <v/>
      </c>
      <c r="V162" s="239" t="str">
        <f>IF(U162="","",IF($I$8="A",(RANK(U162,U$11:U$363)+COUNTIF(U$11:U162,U162)-1),(RANK(U162,U$11:U$363,1)+COUNTIF(U$11:U162,U162)-1)))</f>
        <v/>
      </c>
      <c r="W162" s="240"/>
      <c r="X162" s="61" t="str">
        <f>IF(L162="","",VLOOKUP($L162,classifications!$C:$J,6,FALSE))</f>
        <v>Major Urban</v>
      </c>
      <c r="Y162" s="49" t="str">
        <f t="shared" si="60"/>
        <v/>
      </c>
      <c r="Z162" s="57" t="str">
        <f>IF(Y162="","",IF(I$8="A",(RANK(Y162,Y$11:Y$363,1)+COUNTIF(Y$11:Y162,Y162)-1),(RANK(Y162,Y$11:Y$363)+COUNTIF(Y$11:Y162,Y162)-1)))</f>
        <v/>
      </c>
      <c r="AA162" s="245" t="str">
        <f>IF(L162="","",VLOOKUP($L162,classifications!C:I,7,FALSE))</f>
        <v>Predominantly Urban</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Surrey</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South East</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4.3992960132515151</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Preston</v>
      </c>
      <c r="M163" s="153">
        <f t="shared" si="57"/>
        <v>9.2943856742289057</v>
      </c>
      <c r="N163" s="148">
        <f t="shared" si="58"/>
        <v>9.2943856742289057</v>
      </c>
      <c r="O163" s="131" t="str">
        <f t="shared" si="54"/>
        <v/>
      </c>
      <c r="P163" s="131" t="str">
        <f t="shared" si="67"/>
        <v/>
      </c>
      <c r="Q163" s="131" t="str">
        <f t="shared" si="68"/>
        <v/>
      </c>
      <c r="R163" s="127">
        <f t="shared" si="69"/>
        <v>9.2943856742289057</v>
      </c>
      <c r="S163" s="60" t="str">
        <f t="shared" si="59"/>
        <v/>
      </c>
      <c r="T163" s="231">
        <f>IF(L163="","",VLOOKUP(L163,classifications!C:K,9,FALSE))</f>
        <v>0</v>
      </c>
      <c r="U163" s="238" t="str">
        <f t="shared" si="55"/>
        <v/>
      </c>
      <c r="V163" s="239" t="str">
        <f>IF(U163="","",IF($I$8="A",(RANK(U163,U$11:U$363)+COUNTIF(U$11:U163,U163)-1),(RANK(U163,U$11:U$363,1)+COUNTIF(U$11:U163,U163)-1)))</f>
        <v/>
      </c>
      <c r="W163" s="240"/>
      <c r="X163" s="61" t="str">
        <f>IF(L163="","",VLOOKUP($L163,classifications!$C:$J,6,FALSE))</f>
        <v>Large Urban</v>
      </c>
      <c r="Y163" s="49" t="str">
        <f t="shared" si="60"/>
        <v/>
      </c>
      <c r="Z163" s="57" t="str">
        <f>IF(Y163="","",IF(I$8="A",(RANK(Y163,Y$11:Y$363,1)+COUNTIF(Y$11:Y163,Y163)-1),(RANK(Y163,Y$11:Y$363)+COUNTIF(Y$11:Y163,Y163)-1)))</f>
        <v/>
      </c>
      <c r="AA163" s="245" t="str">
        <f>IF(L163="","",VLOOKUP($L163,classifications!C:I,7,FALSE))</f>
        <v>Significant Rural</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Lancashire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North West</v>
      </c>
      <c r="AQ163" s="62">
        <f t="shared" si="63"/>
        <v>9.2943856742289057</v>
      </c>
      <c r="AR163" s="57">
        <f>IF(AQ163="","",IF(I$8="A",(RANK(AQ163,AQ$11:AQ$363,1)+COUNTIF(AQ$11:AQ163,AQ163)-1),(RANK(AQ163,AQ$11:AQ$363)+COUNTIF(AQ$11:AQ163,AQ163)-1)))</f>
        <v>13</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6.1096268491940826</v>
      </c>
      <c r="G164" s="105"/>
      <c r="H164" s="60">
        <f t="shared" si="52"/>
        <v>6.1096268491940826</v>
      </c>
      <c r="I164" s="112">
        <f>IF(H164="","",IF($I$8="A",(RANK(H164,H$11:H$363,1)+COUNTIF(H$11:H164,H164)-1),(RANK(H164,H$11:H$363)+COUNTIF(H$11:H164,H164)-1)))</f>
        <v>76</v>
      </c>
      <c r="J164" s="58"/>
      <c r="K164" s="51">
        <f t="shared" si="66"/>
        <v>154</v>
      </c>
      <c r="L164" s="59" t="str">
        <f t="shared" si="53"/>
        <v>Wycombe</v>
      </c>
      <c r="M164" s="153">
        <f t="shared" si="57"/>
        <v>9.6827120822622099</v>
      </c>
      <c r="N164" s="148">
        <f t="shared" si="58"/>
        <v>9.6827120822622099</v>
      </c>
      <c r="O164" s="131" t="str">
        <f t="shared" si="54"/>
        <v/>
      </c>
      <c r="P164" s="131" t="str">
        <f t="shared" si="67"/>
        <v/>
      </c>
      <c r="Q164" s="131" t="str">
        <f t="shared" si="68"/>
        <v/>
      </c>
      <c r="R164" s="127">
        <f t="shared" si="69"/>
        <v>9.6827120822622099</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Significant Rural</v>
      </c>
      <c r="Y164" s="49" t="str">
        <f t="shared" si="60"/>
        <v/>
      </c>
      <c r="Z164" s="57" t="str">
        <f>IF(Y164="","",IF(I$8="A",(RANK(Y164,Y$11:Y$363,1)+COUNTIF(Y$11:Y164,Y164)-1),(RANK(Y164,Y$11:Y$363)+COUNTIF(Y$11:Y164,Y164)-1)))</f>
        <v/>
      </c>
      <c r="AA164" s="245" t="str">
        <f>IF(L164="","",VLOOKUP($L164,classifications!C:I,7,FALSE))</f>
        <v>Significant Rural</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Buckinghamshire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South East</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6.1096268491940826</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10.861514105525421</v>
      </c>
      <c r="G165" s="105"/>
      <c r="H165" s="60">
        <f t="shared" si="52"/>
        <v>10.861514105525421</v>
      </c>
      <c r="I165" s="112">
        <f>IF(H165="","",IF($I$8="A",(RANK(H165,H$11:H$363,1)+COUNTIF(H$11:H165,H165)-1),(RANK(H165,H$11:H$363)+COUNTIF(H$11:H165,H165)-1)))</f>
        <v>170</v>
      </c>
      <c r="J165" s="58"/>
      <c r="K165" s="51">
        <f t="shared" si="66"/>
        <v>155</v>
      </c>
      <c r="L165" s="59" t="str">
        <f t="shared" si="53"/>
        <v>Sevenoaks</v>
      </c>
      <c r="M165" s="153">
        <f t="shared" si="57"/>
        <v>9.710198431010614</v>
      </c>
      <c r="N165" s="148">
        <f t="shared" si="58"/>
        <v>9.710198431010614</v>
      </c>
      <c r="O165" s="131" t="str">
        <f t="shared" si="54"/>
        <v/>
      </c>
      <c r="P165" s="131" t="str">
        <f t="shared" si="67"/>
        <v/>
      </c>
      <c r="Q165" s="131" t="str">
        <f t="shared" si="68"/>
        <v/>
      </c>
      <c r="R165" s="127">
        <f t="shared" si="69"/>
        <v>9.710198431010614</v>
      </c>
      <c r="S165" s="60" t="str">
        <f t="shared" si="59"/>
        <v/>
      </c>
      <c r="T165" s="231" t="str">
        <f>IF(L165="","",VLOOKUP(L165,classifications!C:K,9,FALSE))</f>
        <v>Sparse</v>
      </c>
      <c r="U165" s="238">
        <f t="shared" si="55"/>
        <v>9.710198431010614</v>
      </c>
      <c r="V165" s="239">
        <f>IF(U165="","",IF($I$8="A",(RANK(U165,U$11:U$363)+COUNTIF(U$11:U165,U165)-1),(RANK(U165,U$11:U$363,1)+COUNTIF(U$11:U165,U165)-1)))</f>
        <v>15</v>
      </c>
      <c r="W165" s="240"/>
      <c r="X165" s="61" t="str">
        <f>IF(L165="","",VLOOKUP($L165,classifications!$C:$J,6,FALSE))</f>
        <v>Rural-50</v>
      </c>
      <c r="Y165" s="49" t="str">
        <f t="shared" si="60"/>
        <v/>
      </c>
      <c r="Z165" s="57" t="str">
        <f>IF(Y165="","",IF(I$8="A",(RANK(Y165,Y$11:Y$363,1)+COUNTIF(Y$11:Y165,Y165)-1),(RANK(Y165,Y$11:Y$363)+COUNTIF(Y$11:Y165,Y165)-1)))</f>
        <v/>
      </c>
      <c r="AA165" s="245" t="str">
        <f>IF(L165="","",VLOOKUP($L165,classifications!C:I,7,FALSE))</f>
        <v>Significant Rural</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Kent</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South East</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10.861514105525421</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12.63815230863824</v>
      </c>
      <c r="G166" s="105"/>
      <c r="H166" s="60" t="str">
        <f t="shared" si="52"/>
        <v/>
      </c>
      <c r="I166" s="112" t="str">
        <f>IF(H166="","",IF($I$8="A",(RANK(H166,H$11:H$363,1)+COUNTIF(H$11:H166,H166)-1),(RANK(H166,H$11:H$363)+COUNTIF(H$11:H166,H166)-1)))</f>
        <v/>
      </c>
      <c r="J166" s="58"/>
      <c r="K166" s="51">
        <f t="shared" si="66"/>
        <v>156</v>
      </c>
      <c r="L166" s="59" t="str">
        <f t="shared" si="53"/>
        <v>Basildon</v>
      </c>
      <c r="M166" s="153">
        <f t="shared" si="57"/>
        <v>9.7740054155384293</v>
      </c>
      <c r="N166" s="148">
        <f t="shared" si="58"/>
        <v>9.7740054155384293</v>
      </c>
      <c r="O166" s="131" t="str">
        <f t="shared" si="54"/>
        <v/>
      </c>
      <c r="P166" s="131" t="str">
        <f t="shared" si="67"/>
        <v/>
      </c>
      <c r="Q166" s="131" t="str">
        <f t="shared" si="68"/>
        <v/>
      </c>
      <c r="R166" s="127">
        <f t="shared" si="69"/>
        <v>9.7740054155384293</v>
      </c>
      <c r="S166" s="60" t="str">
        <f t="shared" si="59"/>
        <v/>
      </c>
      <c r="T166" s="231">
        <f>IF(L166="","",VLOOKUP(L166,classifications!C:K,9,FALSE))</f>
        <v>0</v>
      </c>
      <c r="U166" s="238" t="str">
        <f t="shared" si="55"/>
        <v/>
      </c>
      <c r="V166" s="239" t="str">
        <f>IF(U166="","",IF($I$8="A",(RANK(U166,U$11:U$363)+COUNTIF(U$11:U166,U166)-1),(RANK(U166,U$11:U$363,1)+COUNTIF(U$11:U166,U166)-1)))</f>
        <v/>
      </c>
      <c r="W166" s="240"/>
      <c r="X166" s="61" t="str">
        <f>IF(L166="","",VLOOKUP($L166,classifications!$C:$J,6,FALSE))</f>
        <v>Other Urban</v>
      </c>
      <c r="Y166" s="49" t="str">
        <f t="shared" si="60"/>
        <v/>
      </c>
      <c r="Z166" s="57" t="str">
        <f>IF(Y166="","",IF(I$8="A",(RANK(Y166,Y$11:Y$363,1)+COUNTIF(Y$11:Y166,Y166)-1),(RANK(Y166,Y$11:Y$363)+COUNTIF(Y$11:Y166,Y166)-1)))</f>
        <v/>
      </c>
      <c r="AA166" s="245" t="str">
        <f>IF(L166="","",VLOOKUP($L166,classifications!C:I,7,FALSE))</f>
        <v>Significant Rural</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Essex</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East of England</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12.63815230863824</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5.7674943566591423</v>
      </c>
      <c r="G167" s="105"/>
      <c r="H167" s="60" t="str">
        <f t="shared" si="52"/>
        <v/>
      </c>
      <c r="I167" s="112" t="str">
        <f>IF(H167="","",IF($I$8="A",(RANK(H167,H$11:H$363,1)+COUNTIF(H$11:H167,H167)-1),(RANK(H167,H$11:H$363)+COUNTIF(H$11:H167,H167)-1)))</f>
        <v/>
      </c>
      <c r="J167" s="58"/>
      <c r="K167" s="51">
        <f t="shared" si="66"/>
        <v>157</v>
      </c>
      <c r="L167" s="59" t="str">
        <f t="shared" si="53"/>
        <v>South Lakeland</v>
      </c>
      <c r="M167" s="153">
        <f t="shared" si="57"/>
        <v>9.7799246317231923</v>
      </c>
      <c r="N167" s="148">
        <f t="shared" si="58"/>
        <v>9.7799246317231923</v>
      </c>
      <c r="O167" s="131" t="str">
        <f t="shared" si="54"/>
        <v/>
      </c>
      <c r="P167" s="131" t="str">
        <f t="shared" si="67"/>
        <v/>
      </c>
      <c r="Q167" s="131" t="str">
        <f t="shared" si="68"/>
        <v/>
      </c>
      <c r="R167" s="127">
        <f t="shared" si="69"/>
        <v>9.7799246317231923</v>
      </c>
      <c r="S167" s="60" t="str">
        <f t="shared" si="59"/>
        <v/>
      </c>
      <c r="T167" s="231" t="str">
        <f>IF(L167="","",VLOOKUP(L167,classifications!C:K,9,FALSE))</f>
        <v>Sparse</v>
      </c>
      <c r="U167" s="238">
        <f t="shared" si="55"/>
        <v>9.7799246317231923</v>
      </c>
      <c r="V167" s="239">
        <f>IF(U167="","",IF($I$8="A",(RANK(U167,U$11:U$363)+COUNTIF(U$11:U167,U167)-1),(RANK(U167,U$11:U$363,1)+COUNTIF(U$11:U167,U167)-1)))</f>
        <v>14</v>
      </c>
      <c r="W167" s="240"/>
      <c r="X167" s="61" t="str">
        <f>IF(L167="","",VLOOKUP($L167,classifications!$C:$J,6,FALSE))</f>
        <v>Rural-80</v>
      </c>
      <c r="Y167" s="49">
        <f t="shared" si="60"/>
        <v>9.7799246317231923</v>
      </c>
      <c r="Z167" s="57">
        <f>IF(Y167="","",IF(I$8="A",(RANK(Y167,Y$11:Y$363,1)+COUNTIF(Y$11:Y167,Y167)-1),(RANK(Y167,Y$11:Y$363)+COUNTIF(Y$11:Y167,Y167)-1)))</f>
        <v>40</v>
      </c>
      <c r="AA167" s="245" t="str">
        <f>IF(L167="","",VLOOKUP($L167,classifications!C:I,7,FALSE))</f>
        <v>Predominantly Rural</v>
      </c>
      <c r="AB167" s="239">
        <f t="shared" si="61"/>
        <v>9.7799246317231923</v>
      </c>
      <c r="AC167" s="239">
        <f>IF(AB167="","",IF($I$8="A",(RANK(AB167,AB$11:AB$363)+COUNTIF(AB$11:AB167,AB167)-1),(RANK(AB167,AB$11:AB$363,1)+COUNTIF(AB$11:AB167,AB167)-1)))</f>
        <v>14</v>
      </c>
      <c r="AD167" s="239"/>
      <c r="AE167" s="51" t="str">
        <f t="shared" si="73"/>
        <v/>
      </c>
      <c r="AG167" s="143"/>
      <c r="AH167" s="52"/>
      <c r="AI167" s="61" t="str">
        <f>IF(L167="","",VLOOKUP($L167,classifications!$C:$J,8,FALSE))</f>
        <v>Cumbria</v>
      </c>
      <c r="AJ167" s="62">
        <f t="shared" si="56"/>
        <v>9.7799246317231923</v>
      </c>
      <c r="AK167" s="57">
        <f>IF(AJ167="","",IF(I$8="A",(RANK(AJ167,AJ$11:AJ$363,1)+COUNTIF(AJ$11:AJ167,AJ167)-1),(RANK(AJ167,AJ$11:AJ$363)+COUNTIF(AJ$11:AJ167,AJ167)-1)))</f>
        <v>3</v>
      </c>
      <c r="AL167" s="52" t="str">
        <f t="shared" si="70"/>
        <v/>
      </c>
      <c r="AM167" s="31" t="str">
        <f t="shared" si="72"/>
        <v/>
      </c>
      <c r="AN167" s="31" t="str">
        <f t="shared" si="62"/>
        <v/>
      </c>
      <c r="AP167" s="61" t="str">
        <f>IF(L167="","",VLOOKUP($L167,classifications!$C:$E,3,FALSE))</f>
        <v>North West</v>
      </c>
      <c r="AQ167" s="62">
        <f t="shared" si="63"/>
        <v>9.7799246317231923</v>
      </c>
      <c r="AR167" s="57">
        <f>IF(AQ167="","",IF(I$8="A",(RANK(AQ167,AQ$11:AQ$363,1)+COUNTIF(AQ$11:AQ167,AQ167)-1),(RANK(AQ167,AQ$11:AQ$363)+COUNTIF(AQ$11:AQ167,AQ167)-1)))</f>
        <v>14</v>
      </c>
      <c r="AS167" s="52" t="str">
        <f t="shared" si="64"/>
        <v/>
      </c>
      <c r="AT167" s="57" t="str">
        <f t="shared" si="65"/>
        <v/>
      </c>
      <c r="AU167" s="62" t="str">
        <f t="shared" si="71"/>
        <v/>
      </c>
      <c r="AX167" s="44">
        <f>HLOOKUP($AX$9&amp;$AX$10,Data!$A$1:$ZZ$2000,(MATCH($C167,Data!$A$1:$A$2000,0)),FALSE)</f>
        <v>5.7674943566591423</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7.0875616253789389</v>
      </c>
      <c r="G168" s="105"/>
      <c r="H168" s="60" t="str">
        <f t="shared" si="52"/>
        <v/>
      </c>
      <c r="I168" s="112" t="str">
        <f>IF(H168="","",IF($I$8="A",(RANK(H168,H$11:H$363,1)+COUNTIF(H$11:H168,H168)-1),(RANK(H168,H$11:H$363)+COUNTIF(H$11:H168,H168)-1)))</f>
        <v/>
      </c>
      <c r="J168" s="58"/>
      <c r="K168" s="51">
        <f t="shared" si="66"/>
        <v>158</v>
      </c>
      <c r="L168" s="59" t="str">
        <f t="shared" si="53"/>
        <v>Spelthorne</v>
      </c>
      <c r="M168" s="153">
        <f t="shared" si="57"/>
        <v>9.8204052098408106</v>
      </c>
      <c r="N168" s="148">
        <f t="shared" si="58"/>
        <v>9.8204052098408106</v>
      </c>
      <c r="O168" s="131" t="str">
        <f t="shared" si="54"/>
        <v/>
      </c>
      <c r="P168" s="131" t="str">
        <f t="shared" si="67"/>
        <v/>
      </c>
      <c r="Q168" s="131" t="str">
        <f t="shared" si="68"/>
        <v/>
      </c>
      <c r="R168" s="127">
        <f t="shared" si="69"/>
        <v>9.8204052098408106</v>
      </c>
      <c r="S168" s="60" t="str">
        <f t="shared" si="59"/>
        <v/>
      </c>
      <c r="T168" s="231">
        <f>IF(L168="","",VLOOKUP(L168,classifications!C:K,9,FALSE))</f>
        <v>0</v>
      </c>
      <c r="U168" s="238" t="str">
        <f t="shared" si="55"/>
        <v/>
      </c>
      <c r="V168" s="239" t="str">
        <f>IF(U168="","",IF($I$8="A",(RANK(U168,U$11:U$363)+COUNTIF(U$11:U168,U168)-1),(RANK(U168,U$11:U$363,1)+COUNTIF(U$11:U168,U168)-1)))</f>
        <v/>
      </c>
      <c r="W168" s="240"/>
      <c r="X168" s="61" t="str">
        <f>IF(L168="","",VLOOKUP($L168,classifications!$C:$J,6,FALSE))</f>
        <v>Major Urban</v>
      </c>
      <c r="Y168" s="49" t="str">
        <f t="shared" si="60"/>
        <v/>
      </c>
      <c r="Z168" s="57" t="str">
        <f>IF(Y168="","",IF(I$8="A",(RANK(Y168,Y$11:Y$363,1)+COUNTIF(Y$11:Y168,Y168)-1),(RANK(Y168,Y$11:Y$363)+COUNTIF(Y$11:Y168,Y168)-1)))</f>
        <v/>
      </c>
      <c r="AA168" s="245" t="str">
        <f>IF(L168="","",VLOOKUP($L168,classifications!C:I,7,FALSE))</f>
        <v>Predominantly Urban</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Surrey</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South East</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7.0875616253789389</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4.8188200572382538</v>
      </c>
      <c r="G169" s="105"/>
      <c r="H169" s="60" t="str">
        <f t="shared" si="52"/>
        <v/>
      </c>
      <c r="I169" s="112" t="str">
        <f>IF(H169="","",IF($I$8="A",(RANK(H169,H$11:H$363,1)+COUNTIF(H$11:H169,H169)-1),(RANK(H169,H$11:H$363)+COUNTIF(H$11:H169,H169)-1)))</f>
        <v/>
      </c>
      <c r="J169" s="58"/>
      <c r="K169" s="51">
        <f t="shared" si="66"/>
        <v>159</v>
      </c>
      <c r="L169" s="59" t="str">
        <f t="shared" si="53"/>
        <v>Harlow</v>
      </c>
      <c r="M169" s="153">
        <f t="shared" si="57"/>
        <v>9.896448206018519</v>
      </c>
      <c r="N169" s="148">
        <f t="shared" si="58"/>
        <v>9.896448206018519</v>
      </c>
      <c r="O169" s="131" t="str">
        <f t="shared" si="54"/>
        <v/>
      </c>
      <c r="P169" s="131" t="str">
        <f t="shared" si="67"/>
        <v/>
      </c>
      <c r="Q169" s="131" t="str">
        <f t="shared" si="68"/>
        <v/>
      </c>
      <c r="R169" s="127">
        <f t="shared" si="69"/>
        <v>9.896448206018519</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Other Urban</v>
      </c>
      <c r="Y169" s="49" t="str">
        <f t="shared" si="60"/>
        <v/>
      </c>
      <c r="Z169" s="57" t="str">
        <f>IF(Y169="","",IF(I$8="A",(RANK(Y169,Y$11:Y$363,1)+COUNTIF(Y$11:Y169,Y169)-1),(RANK(Y169,Y$11:Y$363)+COUNTIF(Y$11:Y169,Y169)-1)))</f>
        <v/>
      </c>
      <c r="AA169" s="245" t="str">
        <f>IF(L169="","",VLOOKUP($L169,classifications!C:I,7,FALSE))</f>
        <v>Significant Rural</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Essex</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East of England</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4.8188200572382538</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8.1208931703981211</v>
      </c>
      <c r="G170" s="105"/>
      <c r="H170" s="60" t="str">
        <f t="shared" si="52"/>
        <v/>
      </c>
      <c r="I170" s="112" t="str">
        <f>IF(H170="","",IF($I$8="A",(RANK(H170,H$11:H$363,1)+COUNTIF(H$11:H170,H170)-1),(RANK(H170,H$11:H$363)+COUNTIF(H$11:H170,H170)-1)))</f>
        <v/>
      </c>
      <c r="J170" s="58"/>
      <c r="K170" s="51">
        <f t="shared" si="66"/>
        <v>160</v>
      </c>
      <c r="L170" s="59" t="str">
        <f t="shared" si="53"/>
        <v>Dacorum</v>
      </c>
      <c r="M170" s="153">
        <f t="shared" si="57"/>
        <v>9.9836593216142617</v>
      </c>
      <c r="N170" s="148">
        <f t="shared" si="58"/>
        <v>9.9836593216142617</v>
      </c>
      <c r="O170" s="131" t="str">
        <f t="shared" si="54"/>
        <v/>
      </c>
      <c r="P170" s="131" t="str">
        <f t="shared" si="67"/>
        <v/>
      </c>
      <c r="Q170" s="131" t="str">
        <f t="shared" si="68"/>
        <v/>
      </c>
      <c r="R170" s="127">
        <f t="shared" si="69"/>
        <v>9.9836593216142617</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Significant Rural</v>
      </c>
      <c r="Y170" s="49" t="str">
        <f t="shared" si="60"/>
        <v/>
      </c>
      <c r="Z170" s="57" t="str">
        <f>IF(Y170="","",IF(I$8="A",(RANK(Y170,Y$11:Y$363,1)+COUNTIF(Y$11:Y170,Y170)-1),(RANK(Y170,Y$11:Y$363)+COUNTIF(Y$11:Y170,Y170)-1)))</f>
        <v/>
      </c>
      <c r="AA170" s="245" t="str">
        <f>IF(L170="","",VLOOKUP($L170,classifications!C:I,7,FALSE))</f>
        <v>Predominantly Urban</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Hertfordshire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East of England</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8.1208931703981211</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f t="shared" si="66"/>
        <v>161</v>
      </c>
      <c r="L171" s="59" t="str">
        <f t="shared" si="53"/>
        <v>Tamworth</v>
      </c>
      <c r="M171" s="153">
        <f t="shared" si="57"/>
        <v>10.22347475575596</v>
      </c>
      <c r="N171" s="148">
        <f t="shared" si="58"/>
        <v>10.22347475575596</v>
      </c>
      <c r="O171" s="131" t="str">
        <f t="shared" si="54"/>
        <v/>
      </c>
      <c r="P171" s="131" t="str">
        <f t="shared" si="67"/>
        <v/>
      </c>
      <c r="Q171" s="131" t="str">
        <f t="shared" si="68"/>
        <v/>
      </c>
      <c r="R171" s="127">
        <f t="shared" si="69"/>
        <v>10.22347475575596</v>
      </c>
      <c r="S171" s="60" t="str">
        <f t="shared" si="59"/>
        <v/>
      </c>
      <c r="T171" s="231">
        <f>IF(L171="","",VLOOKUP(L171,classifications!C:K,9,FALSE))</f>
        <v>0</v>
      </c>
      <c r="U171" s="238" t="str">
        <f t="shared" si="55"/>
        <v/>
      </c>
      <c r="V171" s="239" t="str">
        <f>IF(U171="","",IF($I$8="A",(RANK(U171,U$11:U$363)+COUNTIF(U$11:U171,U171)-1),(RANK(U171,U$11:U$363,1)+COUNTIF(U$11:U171,U171)-1)))</f>
        <v/>
      </c>
      <c r="W171" s="240"/>
      <c r="X171" s="61" t="str">
        <f>IF(L171="","",VLOOKUP($L171,classifications!$C:$J,6,FALSE))</f>
        <v>Other Urban</v>
      </c>
      <c r="Y171" s="49" t="str">
        <f t="shared" si="60"/>
        <v/>
      </c>
      <c r="Z171" s="57" t="str">
        <f>IF(Y171="","",IF(I$8="A",(RANK(Y171,Y$11:Y$363,1)+COUNTIF(Y$11:Y171,Y171)-1),(RANK(Y171,Y$11:Y$363)+COUNTIF(Y$11:Y171,Y171)-1)))</f>
        <v/>
      </c>
      <c r="AA171" s="245" t="str">
        <f>IF(L171="","",VLOOKUP($L171,classifications!C:I,7,FALSE))</f>
        <v>Significant Rural</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Staffordshire</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West Midlands</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9.1441911740864441</v>
      </c>
      <c r="G172" s="105"/>
      <c r="H172" s="60">
        <f t="shared" si="52"/>
        <v>9.1441911740864441</v>
      </c>
      <c r="I172" s="112">
        <f>IF(H172="","",IF($I$8="A",(RANK(H172,H$11:H$363,1)+COUNTIF(H$11:H172,H172)-1),(RANK(H172,H$11:H$363)+COUNTIF(H$11:H172,H172)-1)))</f>
        <v>149</v>
      </c>
      <c r="J172" s="58"/>
      <c r="K172" s="51">
        <f t="shared" si="66"/>
        <v>162</v>
      </c>
      <c r="L172" s="59" t="str">
        <f t="shared" si="53"/>
        <v>Copeland</v>
      </c>
      <c r="M172" s="153">
        <f t="shared" si="57"/>
        <v>10.42640922850364</v>
      </c>
      <c r="N172" s="148">
        <f t="shared" si="58"/>
        <v>10.42640922850364</v>
      </c>
      <c r="O172" s="131" t="str">
        <f t="shared" si="54"/>
        <v/>
      </c>
      <c r="P172" s="131" t="str">
        <f t="shared" si="67"/>
        <v/>
      </c>
      <c r="Q172" s="131" t="str">
        <f t="shared" si="68"/>
        <v/>
      </c>
      <c r="R172" s="127">
        <f t="shared" si="69"/>
        <v>10.42640922850364</v>
      </c>
      <c r="S172" s="60" t="str">
        <f t="shared" si="59"/>
        <v/>
      </c>
      <c r="T172" s="231">
        <f>IF(L172="","",VLOOKUP(L172,classifications!C:K,9,FALSE))</f>
        <v>0</v>
      </c>
      <c r="U172" s="238" t="str">
        <f t="shared" si="55"/>
        <v/>
      </c>
      <c r="V172" s="239" t="str">
        <f>IF(U172="","",IF($I$8="A",(RANK(U172,U$11:U$363)+COUNTIF(U$11:U172,U172)-1),(RANK(U172,U$11:U$363,1)+COUNTIF(U$11:U172,U172)-1)))</f>
        <v/>
      </c>
      <c r="W172" s="240"/>
      <c r="X172" s="61" t="str">
        <f>IF(L172="","",VLOOKUP($L172,classifications!$C:$J,6,FALSE))</f>
        <v>Rural-80</v>
      </c>
      <c r="Y172" s="49">
        <f t="shared" si="60"/>
        <v>10.42640922850364</v>
      </c>
      <c r="Z172" s="57">
        <f>IF(Y172="","",IF(I$8="A",(RANK(Y172,Y$11:Y$363,1)+COUNTIF(Y$11:Y172,Y172)-1),(RANK(Y172,Y$11:Y$363)+COUNTIF(Y$11:Y172,Y172)-1)))</f>
        <v>41</v>
      </c>
      <c r="AA172" s="245" t="str">
        <f>IF(L172="","",VLOOKUP($L172,classifications!C:I,7,FALSE))</f>
        <v>Predominantly Rural</v>
      </c>
      <c r="AB172" s="239">
        <f t="shared" si="61"/>
        <v>10.42640922850364</v>
      </c>
      <c r="AC172" s="239">
        <f>IF(AB172="","",IF($I$8="A",(RANK(AB172,AB$11:AB$363)+COUNTIF(AB$11:AB172,AB172)-1),(RANK(AB172,AB$11:AB$363,1)+COUNTIF(AB$11:AB172,AB172)-1)))</f>
        <v>13</v>
      </c>
      <c r="AD172" s="239"/>
      <c r="AE172" s="51" t="str">
        <f t="shared" si="73"/>
        <v/>
      </c>
      <c r="AG172" s="143"/>
      <c r="AH172" s="52"/>
      <c r="AI172" s="61" t="str">
        <f>IF(L172="","",VLOOKUP($L172,classifications!$C:$J,8,FALSE))</f>
        <v>Cumbria</v>
      </c>
      <c r="AJ172" s="62">
        <f t="shared" si="56"/>
        <v>10.42640922850364</v>
      </c>
      <c r="AK172" s="57">
        <f>IF(AJ172="","",IF(I$8="A",(RANK(AJ172,AJ$11:AJ$363,1)+COUNTIF(AJ$11:AJ172,AJ172)-1),(RANK(AJ172,AJ$11:AJ$363)+COUNTIF(AJ$11:AJ172,AJ172)-1)))</f>
        <v>4</v>
      </c>
      <c r="AL172" s="52" t="str">
        <f t="shared" si="70"/>
        <v/>
      </c>
      <c r="AM172" s="31" t="str">
        <f t="shared" si="72"/>
        <v/>
      </c>
      <c r="AN172" s="31" t="str">
        <f t="shared" si="62"/>
        <v/>
      </c>
      <c r="AP172" s="61" t="str">
        <f>IF(L172="","",VLOOKUP($L172,classifications!$C:$E,3,FALSE))</f>
        <v>North West</v>
      </c>
      <c r="AQ172" s="62">
        <f t="shared" si="63"/>
        <v>10.42640922850364</v>
      </c>
      <c r="AR172" s="57">
        <f>IF(AQ172="","",IF(I$8="A",(RANK(AQ172,AQ$11:AQ$363,1)+COUNTIF(AQ$11:AQ172,AQ172)-1),(RANK(AQ172,AQ$11:AQ$363)+COUNTIF(AQ$11:AQ172,AQ172)-1)))</f>
        <v>15</v>
      </c>
      <c r="AS172" s="52" t="str">
        <f t="shared" si="64"/>
        <v/>
      </c>
      <c r="AT172" s="57" t="str">
        <f t="shared" si="65"/>
        <v/>
      </c>
      <c r="AU172" s="62" t="str">
        <f t="shared" si="71"/>
        <v/>
      </c>
      <c r="AX172" s="44">
        <f>HLOOKUP($AX$9&amp;$AX$10,Data!$A$1:$ZZ$2000,(MATCH($C172,Data!$A$1:$A$2000,0)),FALSE)</f>
        <v>9.1441911740864441</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12.599985981635943</v>
      </c>
      <c r="G173" s="105"/>
      <c r="H173" s="60" t="str">
        <f t="shared" si="52"/>
        <v/>
      </c>
      <c r="I173" s="112" t="str">
        <f>IF(H173="","",IF($I$8="A",(RANK(H173,H$11:H$363,1)+COUNTIF(H$11:H173,H173)-1),(RANK(H173,H$11:H$363)+COUNTIF(H$11:H173,H173)-1)))</f>
        <v/>
      </c>
      <c r="J173" s="58"/>
      <c r="K173" s="51">
        <f t="shared" si="66"/>
        <v>163</v>
      </c>
      <c r="L173" s="59" t="str">
        <f t="shared" si="53"/>
        <v>Mansfield</v>
      </c>
      <c r="M173" s="153">
        <f t="shared" si="57"/>
        <v>10.439509519606608</v>
      </c>
      <c r="N173" s="148">
        <f t="shared" si="58"/>
        <v>10.439509519606608</v>
      </c>
      <c r="O173" s="131" t="str">
        <f t="shared" si="54"/>
        <v/>
      </c>
      <c r="P173" s="131" t="str">
        <f t="shared" si="67"/>
        <v/>
      </c>
      <c r="Q173" s="131" t="str">
        <f t="shared" si="68"/>
        <v/>
      </c>
      <c r="R173" s="127">
        <f t="shared" si="69"/>
        <v>10.439509519606608</v>
      </c>
      <c r="S173" s="60" t="str">
        <f t="shared" si="59"/>
        <v/>
      </c>
      <c r="T173" s="231">
        <f>IF(L173="","",VLOOKUP(L173,classifications!C:K,9,FALSE))</f>
        <v>0</v>
      </c>
      <c r="U173" s="238" t="str">
        <f t="shared" si="55"/>
        <v/>
      </c>
      <c r="V173" s="239" t="str">
        <f>IF(U173="","",IF($I$8="A",(RANK(U173,U$11:U$363)+COUNTIF(U$11:U173,U173)-1),(RANK(U173,U$11:U$363,1)+COUNTIF(U$11:U173,U173)-1)))</f>
        <v/>
      </c>
      <c r="W173" s="240"/>
      <c r="X173" s="61" t="str">
        <f>IF(L173="","",VLOOKUP($L173,classifications!$C:$J,6,FALSE))</f>
        <v>Other Urban</v>
      </c>
      <c r="Y173" s="49" t="str">
        <f t="shared" si="60"/>
        <v/>
      </c>
      <c r="Z173" s="57" t="str">
        <f>IF(Y173="","",IF(I$8="A",(RANK(Y173,Y$11:Y$363,1)+COUNTIF(Y$11:Y173,Y173)-1),(RANK(Y173,Y$11:Y$363)+COUNTIF(Y$11:Y173,Y173)-1)))</f>
        <v/>
      </c>
      <c r="AA173" s="245" t="str">
        <f>IF(L173="","",VLOOKUP($L173,classifications!C:I,7,FALSE))</f>
        <v>Significant Rural</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Nottinghamshire</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East Midlands</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12.599985981635943</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13.158652043494563</v>
      </c>
      <c r="G174" s="105"/>
      <c r="H174" s="60" t="str">
        <f t="shared" si="52"/>
        <v/>
      </c>
      <c r="I174" s="112" t="str">
        <f>IF(H174="","",IF($I$8="A",(RANK(H174,H$11:H$363,1)+COUNTIF(H$11:H174,H174)-1),(RANK(H174,H$11:H$363)+COUNTIF(H$11:H174,H174)-1)))</f>
        <v/>
      </c>
      <c r="J174" s="58"/>
      <c r="K174" s="51">
        <f t="shared" si="66"/>
        <v>164</v>
      </c>
      <c r="L174" s="59" t="str">
        <f t="shared" si="53"/>
        <v>Broxbourne</v>
      </c>
      <c r="M174" s="153">
        <f t="shared" si="57"/>
        <v>10.451952635773655</v>
      </c>
      <c r="N174" s="148">
        <f t="shared" si="58"/>
        <v>10.451952635773655</v>
      </c>
      <c r="O174" s="131" t="str">
        <f t="shared" si="54"/>
        <v/>
      </c>
      <c r="P174" s="131" t="str">
        <f t="shared" si="67"/>
        <v/>
      </c>
      <c r="Q174" s="131" t="str">
        <f t="shared" si="68"/>
        <v/>
      </c>
      <c r="R174" s="127">
        <f t="shared" si="69"/>
        <v>10.451952635773655</v>
      </c>
      <c r="S174" s="60" t="str">
        <f t="shared" si="59"/>
        <v/>
      </c>
      <c r="T174" s="231">
        <f>IF(L174="","",VLOOKUP(L174,classifications!C:K,9,FALSE))</f>
        <v>0</v>
      </c>
      <c r="U174" s="238" t="str">
        <f t="shared" si="55"/>
        <v/>
      </c>
      <c r="V174" s="239" t="str">
        <f>IF(U174="","",IF($I$8="A",(RANK(U174,U$11:U$363)+COUNTIF(U$11:U174,U174)-1),(RANK(U174,U$11:U$363,1)+COUNTIF(U$11:U174,U174)-1)))</f>
        <v/>
      </c>
      <c r="W174" s="240"/>
      <c r="X174" s="61" t="str">
        <f>IF(L174="","",VLOOKUP($L174,classifications!$C:$J,6,FALSE))</f>
        <v>Major Urban</v>
      </c>
      <c r="Y174" s="49" t="str">
        <f t="shared" si="60"/>
        <v/>
      </c>
      <c r="Z174" s="57" t="str">
        <f>IF(Y174="","",IF(I$8="A",(RANK(Y174,Y$11:Y$363,1)+COUNTIF(Y$11:Y174,Y174)-1),(RANK(Y174,Y$11:Y$363)+COUNTIF(Y$11:Y174,Y174)-1)))</f>
        <v/>
      </c>
      <c r="AA174" s="245" t="str">
        <f>IF(L174="","",VLOOKUP($L174,classifications!C:I,7,FALSE))</f>
        <v>Predominantly Urban</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Hertfordshire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East of England</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13.158652043494563</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Broadland</v>
      </c>
      <c r="M175" s="153">
        <f t="shared" si="57"/>
        <v>10.4849395327875</v>
      </c>
      <c r="N175" s="148">
        <f t="shared" si="58"/>
        <v>10.4849395327875</v>
      </c>
      <c r="O175" s="131" t="str">
        <f t="shared" si="54"/>
        <v/>
      </c>
      <c r="P175" s="131" t="str">
        <f t="shared" si="67"/>
        <v/>
      </c>
      <c r="Q175" s="131" t="str">
        <f t="shared" si="68"/>
        <v/>
      </c>
      <c r="R175" s="127">
        <f t="shared" si="69"/>
        <v>10.4849395327875</v>
      </c>
      <c r="S175" s="60" t="str">
        <f t="shared" si="59"/>
        <v/>
      </c>
      <c r="T175" s="231" t="str">
        <f>IF(L175="","",VLOOKUP(L175,classifications!C:K,9,FALSE))</f>
        <v>Sparse</v>
      </c>
      <c r="U175" s="238">
        <f t="shared" si="55"/>
        <v>10.4849395327875</v>
      </c>
      <c r="V175" s="239">
        <f>IF(U175="","",IF($I$8="A",(RANK(U175,U$11:U$363)+COUNTIF(U$11:U175,U175)-1),(RANK(U175,U$11:U$363,1)+COUNTIF(U$11:U175,U175)-1)))</f>
        <v>13</v>
      </c>
      <c r="W175" s="240"/>
      <c r="X175" s="61" t="str">
        <f>IF(L175="","",VLOOKUP($L175,classifications!$C:$J,6,FALSE))</f>
        <v>Significant Rural</v>
      </c>
      <c r="Y175" s="49" t="str">
        <f t="shared" si="60"/>
        <v/>
      </c>
      <c r="Z175" s="57" t="str">
        <f>IF(Y175="","",IF(I$8="A",(RANK(Y175,Y$11:Y$363,1)+COUNTIF(Y$11:Y175,Y175)-1),(RANK(Y175,Y$11:Y$363)+COUNTIF(Y$11:Y175,Y175)-1)))</f>
        <v/>
      </c>
      <c r="AA175" s="245" t="str">
        <f>IF(L175="","",VLOOKUP($L175,classifications!C:I,7,FALSE))</f>
        <v>Predominantly Rural</v>
      </c>
      <c r="AB175" s="239">
        <f t="shared" si="61"/>
        <v>10.4849395327875</v>
      </c>
      <c r="AC175" s="239">
        <f>IF(AB175="","",IF($I$8="A",(RANK(AB175,AB$11:AB$363)+COUNTIF(AB$11:AB175,AB175)-1),(RANK(AB175,AB$11:AB$363,1)+COUNTIF(AB$11:AB175,AB175)-1)))</f>
        <v>12</v>
      </c>
      <c r="AD175" s="239"/>
      <c r="AE175" s="51" t="str">
        <f t="shared" si="73"/>
        <v/>
      </c>
      <c r="AG175" s="143"/>
      <c r="AH175" s="52"/>
      <c r="AI175" s="61" t="str">
        <f>IF(L175="","",VLOOKUP($L175,classifications!$C:$J,8,FALSE))</f>
        <v>Norfolk</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East of England</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5.341253584596477</v>
      </c>
      <c r="G176" s="105"/>
      <c r="H176" s="60">
        <f t="shared" si="52"/>
        <v>5.341253584596477</v>
      </c>
      <c r="I176" s="112">
        <f>IF(H176="","",IF($I$8="A",(RANK(H176,H$11:H$363,1)+COUNTIF(H$11:H176,H176)-1),(RANK(H176,H$11:H$363)+COUNTIF(H$11:H176,H176)-1)))</f>
        <v>50</v>
      </c>
      <c r="J176" s="58"/>
      <c r="K176" s="51">
        <f t="shared" si="66"/>
        <v>166</v>
      </c>
      <c r="L176" s="59" t="str">
        <f t="shared" si="53"/>
        <v>East Northamptonshire</v>
      </c>
      <c r="M176" s="153">
        <f t="shared" si="57"/>
        <v>10.650170955551557</v>
      </c>
      <c r="N176" s="148">
        <f t="shared" si="58"/>
        <v>10.650170955551557</v>
      </c>
      <c r="O176" s="131" t="str">
        <f t="shared" si="54"/>
        <v/>
      </c>
      <c r="P176" s="131" t="str">
        <f t="shared" si="67"/>
        <v/>
      </c>
      <c r="Q176" s="131" t="str">
        <f t="shared" si="68"/>
        <v/>
      </c>
      <c r="R176" s="127">
        <f t="shared" si="69"/>
        <v>10.650170955551557</v>
      </c>
      <c r="S176" s="60" t="str">
        <f t="shared" si="59"/>
        <v/>
      </c>
      <c r="T176" s="231" t="str">
        <f>IF(L176="","",VLOOKUP(L176,classifications!C:K,9,FALSE))</f>
        <v>Sparse</v>
      </c>
      <c r="U176" s="238">
        <f t="shared" si="55"/>
        <v>10.650170955551557</v>
      </c>
      <c r="V176" s="239">
        <f>IF(U176="","",IF($I$8="A",(RANK(U176,U$11:U$363)+COUNTIF(U$11:U176,U176)-1),(RANK(U176,U$11:U$363,1)+COUNTIF(U$11:U176,U176)-1)))</f>
        <v>12</v>
      </c>
      <c r="W176" s="240"/>
      <c r="X176" s="61" t="str">
        <f>IF(L176="","",VLOOKUP($L176,classifications!$C:$J,6,FALSE))</f>
        <v>Rural-50</v>
      </c>
      <c r="Y176" s="49" t="str">
        <f t="shared" si="60"/>
        <v/>
      </c>
      <c r="Z176" s="57" t="str">
        <f>IF(Y176="","",IF(I$8="A",(RANK(Y176,Y$11:Y$363,1)+COUNTIF(Y$11:Y176,Y176)-1),(RANK(Y176,Y$11:Y$363)+COUNTIF(Y$11:Y176,Y176)-1)))</f>
        <v/>
      </c>
      <c r="AA176" s="245" t="str">
        <f>IF(L176="","",VLOOKUP($L176,classifications!C:I,7,FALSE))</f>
        <v>Significant Rural</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Northamptonshire</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East Midlands</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5.341253584596477</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5.8029969018112491</v>
      </c>
      <c r="G177" s="105"/>
      <c r="H177" s="60" t="str">
        <f t="shared" si="52"/>
        <v/>
      </c>
      <c r="I177" s="112" t="str">
        <f>IF(H177="","",IF($I$8="A",(RANK(H177,H$11:H$363,1)+COUNTIF(H$11:H177,H177)-1),(RANK(H177,H$11:H$363)+COUNTIF(H$11:H177,H177)-1)))</f>
        <v/>
      </c>
      <c r="J177" s="58"/>
      <c r="K177" s="51">
        <f t="shared" si="66"/>
        <v>167</v>
      </c>
      <c r="L177" s="59" t="str">
        <f t="shared" si="53"/>
        <v>Wellingborough</v>
      </c>
      <c r="M177" s="153">
        <f t="shared" si="57"/>
        <v>10.687137585661571</v>
      </c>
      <c r="N177" s="148">
        <f t="shared" si="58"/>
        <v>10.687137585661571</v>
      </c>
      <c r="O177" s="131" t="str">
        <f t="shared" si="54"/>
        <v/>
      </c>
      <c r="P177" s="131" t="str">
        <f t="shared" si="67"/>
        <v/>
      </c>
      <c r="Q177" s="131" t="str">
        <f t="shared" si="68"/>
        <v/>
      </c>
      <c r="R177" s="127">
        <f t="shared" si="69"/>
        <v>10.687137585661571</v>
      </c>
      <c r="S177" s="60" t="str">
        <f t="shared" si="59"/>
        <v/>
      </c>
      <c r="T177" s="231">
        <f>IF(L177="","",VLOOKUP(L177,classifications!C:K,9,FALSE))</f>
        <v>0</v>
      </c>
      <c r="U177" s="238" t="str">
        <f t="shared" si="55"/>
        <v/>
      </c>
      <c r="V177" s="239" t="str">
        <f>IF(U177="","",IF($I$8="A",(RANK(U177,U$11:U$363)+COUNTIF(U$11:U177,U177)-1),(RANK(U177,U$11:U$363,1)+COUNTIF(U$11:U177,U177)-1)))</f>
        <v/>
      </c>
      <c r="W177" s="240"/>
      <c r="X177" s="61" t="str">
        <f>IF(L177="","",VLOOKUP($L177,classifications!$C:$J,6,FALSE))</f>
        <v>Significant Rural</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Northamptonshire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East Midlands</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5.8029969018112491</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f>VLOOKUP(C178,classifications!C:K,9,FALSE)</f>
        <v>0</v>
      </c>
      <c r="F178" s="59">
        <f t="shared" si="51"/>
        <v>7.5318864562118124</v>
      </c>
      <c r="G178" s="105"/>
      <c r="H178" s="60">
        <f t="shared" si="52"/>
        <v>7.5318864562118124</v>
      </c>
      <c r="I178" s="112">
        <f>IF(H178="","",IF($I$8="A",(RANK(H178,H$11:H$363,1)+COUNTIF(H$11:H178,H178)-1),(RANK(H178,H$11:H$363)+COUNTIF(H$11:H178,H178)-1)))</f>
        <v>119</v>
      </c>
      <c r="J178" s="58"/>
      <c r="K178" s="51">
        <f t="shared" si="66"/>
        <v>168</v>
      </c>
      <c r="L178" s="59" t="str">
        <f t="shared" si="53"/>
        <v>South Derbyshire</v>
      </c>
      <c r="M178" s="153">
        <f t="shared" si="57"/>
        <v>10.725261108160737</v>
      </c>
      <c r="N178" s="148">
        <f t="shared" si="58"/>
        <v>10.725261108160737</v>
      </c>
      <c r="O178" s="131" t="str">
        <f t="shared" si="54"/>
        <v/>
      </c>
      <c r="P178" s="131" t="str">
        <f t="shared" si="67"/>
        <v/>
      </c>
      <c r="Q178" s="131" t="str">
        <f t="shared" si="68"/>
        <v/>
      </c>
      <c r="R178" s="127">
        <f t="shared" si="69"/>
        <v>10.725261108160737</v>
      </c>
      <c r="S178" s="60" t="str">
        <f t="shared" si="59"/>
        <v/>
      </c>
      <c r="T178" s="231" t="str">
        <f>IF(L178="","",VLOOKUP(L178,classifications!C:K,9,FALSE))</f>
        <v>Sparse</v>
      </c>
      <c r="U178" s="238">
        <f t="shared" si="55"/>
        <v>10.725261108160737</v>
      </c>
      <c r="V178" s="239">
        <f>IF(U178="","",IF($I$8="A",(RANK(U178,U$11:U$363)+COUNTIF(U$11:U178,U178)-1),(RANK(U178,U$11:U$363,1)+COUNTIF(U$11:U178,U178)-1)))</f>
        <v>11</v>
      </c>
      <c r="W178" s="240"/>
      <c r="X178" s="61" t="str">
        <f>IF(L178="","",VLOOKUP($L178,classifications!$C:$J,6,FALSE))</f>
        <v>Significant Rural</v>
      </c>
      <c r="Y178" s="49" t="str">
        <f t="shared" si="60"/>
        <v/>
      </c>
      <c r="Z178" s="57" t="str">
        <f>IF(Y178="","",IF(I$8="A",(RANK(Y178,Y$11:Y$363,1)+COUNTIF(Y$11:Y178,Y178)-1),(RANK(Y178,Y$11:Y$363)+COUNTIF(Y$11:Y178,Y178)-1)))</f>
        <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Derbyshire</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East Midlands</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7.5318864562118124</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12.6431380605776</v>
      </c>
      <c r="G179" s="105"/>
      <c r="H179" s="60">
        <f t="shared" si="52"/>
        <v>12.6431380605776</v>
      </c>
      <c r="I179" s="112">
        <f>IF(H179="","",IF($I$8="A",(RANK(H179,H$11:H$363,1)+COUNTIF(H$11:H179,H179)-1),(RANK(H179,H$11:H$363)+COUNTIF(H$11:H179,H179)-1)))</f>
        <v>181</v>
      </c>
      <c r="J179" s="58"/>
      <c r="K179" s="51">
        <f t="shared" si="66"/>
        <v>169</v>
      </c>
      <c r="L179" s="59" t="str">
        <f t="shared" si="53"/>
        <v>Great Yarmouth</v>
      </c>
      <c r="M179" s="153">
        <f t="shared" si="57"/>
        <v>10.808453548759378</v>
      </c>
      <c r="N179" s="148">
        <f t="shared" si="58"/>
        <v>10.808453548759378</v>
      </c>
      <c r="O179" s="131" t="str">
        <f t="shared" si="54"/>
        <v/>
      </c>
      <c r="P179" s="131" t="str">
        <f t="shared" si="67"/>
        <v/>
      </c>
      <c r="Q179" s="131" t="str">
        <f t="shared" si="68"/>
        <v/>
      </c>
      <c r="R179" s="127">
        <f t="shared" si="69"/>
        <v>10.808453548759378</v>
      </c>
      <c r="S179" s="60" t="str">
        <f t="shared" si="59"/>
        <v/>
      </c>
      <c r="T179" s="231">
        <f>IF(L179="","",VLOOKUP(L179,classifications!C:K,9,FALSE))</f>
        <v>0</v>
      </c>
      <c r="U179" s="238" t="str">
        <f t="shared" si="55"/>
        <v/>
      </c>
      <c r="V179" s="239" t="str">
        <f>IF(U179="","",IF($I$8="A",(RANK(U179,U$11:U$363)+COUNTIF(U$11:U179,U179)-1),(RANK(U179,U$11:U$363,1)+COUNTIF(U$11:U179,U179)-1)))</f>
        <v/>
      </c>
      <c r="W179" s="240"/>
      <c r="X179" s="61" t="str">
        <f>IF(L179="","",VLOOKUP($L179,classifications!$C:$J,6,FALSE))</f>
        <v>Significant Rural</v>
      </c>
      <c r="Y179" s="49" t="str">
        <f t="shared" si="60"/>
        <v/>
      </c>
      <c r="Z179" s="57" t="str">
        <f>IF(Y179="","",IF(I$8="A",(RANK(Y179,Y$11:Y$363,1)+COUNTIF(Y$11:Y179,Y179)-1),(RANK(Y179,Y$11:Y$363)+COUNTIF(Y$11:Y179,Y179)-1)))</f>
        <v/>
      </c>
      <c r="AA179" s="245" t="str">
        <f>IF(L179="","",VLOOKUP($L179,classifications!C:I,7,FALSE))</f>
        <v>Predominantly Rural</v>
      </c>
      <c r="AB179" s="239">
        <f t="shared" si="61"/>
        <v>10.808453548759378</v>
      </c>
      <c r="AC179" s="239">
        <f>IF(AB179="","",IF($I$8="A",(RANK(AB179,AB$11:AB$363)+COUNTIF(AB$11:AB179,AB179)-1),(RANK(AB179,AB$11:AB$363,1)+COUNTIF(AB$11:AB179,AB179)-1)))</f>
        <v>11</v>
      </c>
      <c r="AD179" s="239"/>
      <c r="AE179" s="51" t="str">
        <f t="shared" si="73"/>
        <v/>
      </c>
      <c r="AG179" s="143"/>
      <c r="AH179" s="52"/>
      <c r="AI179" s="61" t="str">
        <f>IF(L179="","",VLOOKUP($L179,classifications!$C:$J,8,FALSE))</f>
        <v>Norfolk</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of England</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12.6431380605776</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King's Lynn &amp; West Norfolk</v>
      </c>
      <c r="M180" s="153">
        <f t="shared" si="57"/>
        <v>10.861514105525421</v>
      </c>
      <c r="N180" s="148">
        <f t="shared" si="58"/>
        <v>10.861514105525421</v>
      </c>
      <c r="O180" s="131" t="str">
        <f t="shared" si="54"/>
        <v/>
      </c>
      <c r="P180" s="131" t="str">
        <f t="shared" si="67"/>
        <v/>
      </c>
      <c r="Q180" s="131" t="str">
        <f t="shared" si="68"/>
        <v/>
      </c>
      <c r="R180" s="127">
        <f t="shared" si="69"/>
        <v>10.861514105525421</v>
      </c>
      <c r="S180" s="60" t="str">
        <f t="shared" si="59"/>
        <v/>
      </c>
      <c r="T180" s="231" t="str">
        <f>IF(L180="","",VLOOKUP(L180,classifications!C:K,9,FALSE))</f>
        <v>Sparse</v>
      </c>
      <c r="U180" s="238">
        <f t="shared" si="55"/>
        <v>10.861514105525421</v>
      </c>
      <c r="V180" s="239">
        <f>IF(U180="","",IF($I$8="A",(RANK(U180,U$11:U$363)+COUNTIF(U$11:U180,U180)-1),(RANK(U180,U$11:U$363,1)+COUNTIF(U$11:U180,U180)-1)))</f>
        <v>10</v>
      </c>
      <c r="W180" s="240"/>
      <c r="X180" s="61" t="str">
        <f>IF(L180="","",VLOOKUP($L180,classifications!$C:$J,6,FALSE))</f>
        <v>Rural-50</v>
      </c>
      <c r="Y180" s="49" t="str">
        <f t="shared" si="60"/>
        <v/>
      </c>
      <c r="Z180" s="57" t="str">
        <f>IF(Y180="","",IF(I$8="A",(RANK(Y180,Y$11:Y$363,1)+COUNTIF(Y$11:Y180,Y180)-1),(RANK(Y180,Y$11:Y$363)+COUNTIF(Y$11:Y180,Y180)-1)))</f>
        <v/>
      </c>
      <c r="AA180" s="245" t="str">
        <f>IF(L180="","",VLOOKUP($L180,classifications!C:I,7,FALSE))</f>
        <v>Predominantly Rural</v>
      </c>
      <c r="AB180" s="239">
        <f t="shared" si="61"/>
        <v>10.861514105525421</v>
      </c>
      <c r="AC180" s="239">
        <f>IF(AB180="","",IF($I$8="A",(RANK(AB180,AB$11:AB$363)+COUNTIF(AB$11:AB180,AB180)-1),(RANK(AB180,AB$11:AB$363,1)+COUNTIF(AB$11:AB180,AB180)-1)))</f>
        <v>10</v>
      </c>
      <c r="AD180" s="239"/>
      <c r="AE180" s="51" t="str">
        <f t="shared" si="73"/>
        <v/>
      </c>
      <c r="AG180" s="143"/>
      <c r="AH180" s="52"/>
      <c r="AI180" s="61" t="str">
        <f>IF(L180="","",VLOOKUP($L180,classifications!$C:$J,8,FALSE))</f>
        <v>Norfolk</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East of England</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9.7140704613493529</v>
      </c>
      <c r="G181" s="105"/>
      <c r="H181" s="60" t="str">
        <f t="shared" si="52"/>
        <v/>
      </c>
      <c r="I181" s="112" t="str">
        <f>IF(H181="","",IF($I$8="A",(RANK(H181,H$11:H$363,1)+COUNTIF(H$11:H181,H181)-1),(RANK(H181,H$11:H$363)+COUNTIF(H$11:H181,H181)-1)))</f>
        <v/>
      </c>
      <c r="J181" s="58"/>
      <c r="K181" s="51">
        <f t="shared" si="66"/>
        <v>171</v>
      </c>
      <c r="L181" s="59" t="str">
        <f t="shared" si="53"/>
        <v>Stevenage</v>
      </c>
      <c r="M181" s="153">
        <f t="shared" si="57"/>
        <v>10.908317143121472</v>
      </c>
      <c r="N181" s="148">
        <f t="shared" si="58"/>
        <v>10.908317143121472</v>
      </c>
      <c r="O181" s="131" t="str">
        <f t="shared" si="54"/>
        <v/>
      </c>
      <c r="P181" s="131" t="str">
        <f t="shared" si="67"/>
        <v/>
      </c>
      <c r="Q181" s="131" t="str">
        <f t="shared" si="68"/>
        <v/>
      </c>
      <c r="R181" s="127">
        <f t="shared" si="69"/>
        <v>10.908317143121472</v>
      </c>
      <c r="S181" s="60" t="str">
        <f t="shared" si="59"/>
        <v/>
      </c>
      <c r="T181" s="231">
        <f>IF(L181="","",VLOOKUP(L181,classifications!C:K,9,FALSE))</f>
        <v>0</v>
      </c>
      <c r="U181" s="238" t="str">
        <f t="shared" si="55"/>
        <v/>
      </c>
      <c r="V181" s="239" t="str">
        <f>IF(U181="","",IF($I$8="A",(RANK(U181,U$11:U$363)+COUNTIF(U$11:U181,U181)-1),(RANK(U181,U$11:U$363,1)+COUNTIF(U$11:U181,U181)-1)))</f>
        <v/>
      </c>
      <c r="W181" s="240"/>
      <c r="X181" s="61" t="str">
        <f>IF(L181="","",VLOOKUP($L181,classifications!$C:$J,6,FALSE))</f>
        <v>Other Urban</v>
      </c>
      <c r="Y181" s="49" t="str">
        <f t="shared" si="60"/>
        <v/>
      </c>
      <c r="Z181" s="57" t="str">
        <f>IF(Y181="","",IF(I$8="A",(RANK(Y181,Y$11:Y$363,1)+COUNTIF(Y$11:Y181,Y181)-1),(RANK(Y181,Y$11:Y$363)+COUNTIF(Y$11:Y181,Y181)-1)))</f>
        <v/>
      </c>
      <c r="AA181" s="245" t="str">
        <f>IF(L181="","",VLOOKUP($L181,classifications!C:I,7,FALSE))</f>
        <v>Predominantly Urban</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Hertfordshire</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East of England</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9.7140704613493529</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13.025457811893922</v>
      </c>
      <c r="G182" s="105"/>
      <c r="H182" s="60" t="str">
        <f t="shared" si="52"/>
        <v/>
      </c>
      <c r="I182" s="112" t="str">
        <f>IF(H182="","",IF($I$8="A",(RANK(H182,H$11:H$363,1)+COUNTIF(H$11:H182,H182)-1),(RANK(H182,H$11:H$363)+COUNTIF(H$11:H182,H182)-1)))</f>
        <v/>
      </c>
      <c r="J182" s="58"/>
      <c r="K182" s="51">
        <f t="shared" si="66"/>
        <v>172</v>
      </c>
      <c r="L182" s="59" t="str">
        <f t="shared" si="53"/>
        <v>Exeter</v>
      </c>
      <c r="M182" s="153">
        <f t="shared" si="57"/>
        <v>10.970383275261325</v>
      </c>
      <c r="N182" s="148">
        <f t="shared" si="58"/>
        <v>10.970383275261325</v>
      </c>
      <c r="O182" s="131" t="str">
        <f t="shared" si="54"/>
        <v/>
      </c>
      <c r="P182" s="131" t="str">
        <f t="shared" si="67"/>
        <v/>
      </c>
      <c r="Q182" s="131" t="str">
        <f t="shared" si="68"/>
        <v/>
      </c>
      <c r="R182" s="127">
        <f t="shared" si="69"/>
        <v>10.970383275261325</v>
      </c>
      <c r="S182" s="60" t="str">
        <f t="shared" si="59"/>
        <v/>
      </c>
      <c r="T182" s="231">
        <f>IF(L182="","",VLOOKUP(L182,classifications!C:K,9,FALSE))</f>
        <v>0</v>
      </c>
      <c r="U182" s="238" t="str">
        <f t="shared" si="55"/>
        <v/>
      </c>
      <c r="V182" s="239" t="str">
        <f>IF(U182="","",IF($I$8="A",(RANK(U182,U$11:U$363)+COUNTIF(U$11:U182,U182)-1),(RANK(U182,U$11:U$363,1)+COUNTIF(U$11:U182,U182)-1)))</f>
        <v/>
      </c>
      <c r="W182" s="240"/>
      <c r="X182" s="61" t="str">
        <f>IF(L182="","",VLOOKUP($L182,classifications!$C:$J,6,FALSE))</f>
        <v>Other Urban</v>
      </c>
      <c r="Y182" s="49" t="str">
        <f t="shared" si="60"/>
        <v/>
      </c>
      <c r="Z182" s="57" t="str">
        <f>IF(Y182="","",IF(I$8="A",(RANK(Y182,Y$11:Y$363,1)+COUNTIF(Y$11:Y182,Y182)-1),(RANK(Y182,Y$11:Y$363)+COUNTIF(Y$11:Y182,Y182)-1)))</f>
        <v/>
      </c>
      <c r="AA182" s="245" t="str">
        <f>IF(L182="","",VLOOKUP($L182,classifications!C:I,7,FALSE))</f>
        <v>Predominantly Rural</v>
      </c>
      <c r="AB182" s="239">
        <f t="shared" si="61"/>
        <v>10.970383275261325</v>
      </c>
      <c r="AC182" s="239">
        <f>IF(AB182="","",IF($I$8="A",(RANK(AB182,AB$11:AB$363)+COUNTIF(AB$11:AB182,AB182)-1),(RANK(AB182,AB$11:AB$363,1)+COUNTIF(AB$11:AB182,AB182)-1)))</f>
        <v>9</v>
      </c>
      <c r="AD182" s="239"/>
      <c r="AE182" s="51" t="str">
        <f t="shared" si="73"/>
        <v/>
      </c>
      <c r="AG182" s="143"/>
      <c r="AH182" s="52"/>
      <c r="AI182" s="61" t="str">
        <f>IF(L182="","",VLOOKUP($L182,classifications!$C:$J,8,FALSE))</f>
        <v>Devon</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South West</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13.025457811893922</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6.6760875010436669</v>
      </c>
      <c r="G183" s="105"/>
      <c r="H183" s="60">
        <f t="shared" si="52"/>
        <v>6.6760875010436669</v>
      </c>
      <c r="I183" s="112">
        <f>IF(H183="","",IF($I$8="A",(RANK(H183,H$11:H$363,1)+COUNTIF(H$11:H183,H183)-1),(RANK(H183,H$11:H$363)+COUNTIF(H$11:H183,H183)-1)))</f>
        <v>89</v>
      </c>
      <c r="J183" s="58"/>
      <c r="K183" s="51">
        <f t="shared" si="66"/>
        <v>173</v>
      </c>
      <c r="L183" s="59" t="str">
        <f t="shared" si="53"/>
        <v>Allerdale</v>
      </c>
      <c r="M183" s="153">
        <f t="shared" si="57"/>
        <v>11.015070716438673</v>
      </c>
      <c r="N183" s="148">
        <f t="shared" si="58"/>
        <v>11.015070716438673</v>
      </c>
      <c r="O183" s="131" t="str">
        <f t="shared" si="54"/>
        <v/>
      </c>
      <c r="P183" s="131" t="str">
        <f t="shared" si="67"/>
        <v/>
      </c>
      <c r="Q183" s="131" t="str">
        <f t="shared" si="68"/>
        <v/>
      </c>
      <c r="R183" s="127">
        <f t="shared" si="69"/>
        <v>11.015070716438673</v>
      </c>
      <c r="S183" s="60" t="str">
        <f t="shared" si="59"/>
        <v>u</v>
      </c>
      <c r="T183" s="231" t="str">
        <f>IF(L183="","",VLOOKUP(L183,classifications!C:K,9,FALSE))</f>
        <v>Sparse</v>
      </c>
      <c r="U183" s="238">
        <f t="shared" si="55"/>
        <v>11.015070716438673</v>
      </c>
      <c r="V183" s="239">
        <f>IF(U183="","",IF($I$8="A",(RANK(U183,U$11:U$363)+COUNTIF(U$11:U183,U183)-1),(RANK(U183,U$11:U$363,1)+COUNTIF(U$11:U183,U183)-1)))</f>
        <v>9</v>
      </c>
      <c r="W183" s="240"/>
      <c r="X183" s="61" t="str">
        <f>IF(L183="","",VLOOKUP($L183,classifications!$C:$J,6,FALSE))</f>
        <v>Rural-80</v>
      </c>
      <c r="Y183" s="49">
        <f t="shared" si="60"/>
        <v>11.015070716438673</v>
      </c>
      <c r="Z183" s="57">
        <f>IF(Y183="","",IF(I$8="A",(RANK(Y183,Y$11:Y$363,1)+COUNTIF(Y$11:Y183,Y183)-1),(RANK(Y183,Y$11:Y$363)+COUNTIF(Y$11:Y183,Y183)-1)))</f>
        <v>42</v>
      </c>
      <c r="AA183" s="245" t="str">
        <f>IF(L183="","",VLOOKUP($L183,classifications!C:I,7,FALSE))</f>
        <v>Predominantly Rural</v>
      </c>
      <c r="AB183" s="239">
        <f t="shared" si="61"/>
        <v>11.015070716438673</v>
      </c>
      <c r="AC183" s="239">
        <f>IF(AB183="","",IF($I$8="A",(RANK(AB183,AB$11:AB$363)+COUNTIF(AB$11:AB183,AB183)-1),(RANK(AB183,AB$11:AB$363,1)+COUNTIF(AB$11:AB183,AB183)-1)))</f>
        <v>8</v>
      </c>
      <c r="AD183" s="239"/>
      <c r="AE183" s="51" t="str">
        <f t="shared" si="73"/>
        <v/>
      </c>
      <c r="AG183" s="143"/>
      <c r="AH183" s="52"/>
      <c r="AI183" s="61" t="str">
        <f>IF(L183="","",VLOOKUP($L183,classifications!$C:$J,8,FALSE))</f>
        <v>Cumbria</v>
      </c>
      <c r="AJ183" s="62">
        <f t="shared" si="56"/>
        <v>11.015070716438673</v>
      </c>
      <c r="AK183" s="57">
        <f>IF(AJ183="","",IF(I$8="A",(RANK(AJ183,AJ$11:AJ$363,1)+COUNTIF(AJ$11:AJ183,AJ183)-1),(RANK(AJ183,AJ$11:AJ$363)+COUNTIF(AJ$11:AJ183,AJ183)-1)))</f>
        <v>5</v>
      </c>
      <c r="AL183" s="52" t="str">
        <f t="shared" si="70"/>
        <v/>
      </c>
      <c r="AM183" s="31" t="str">
        <f t="shared" si="72"/>
        <v/>
      </c>
      <c r="AN183" s="31" t="str">
        <f t="shared" si="62"/>
        <v/>
      </c>
      <c r="AP183" s="61" t="str">
        <f>IF(L183="","",VLOOKUP($L183,classifications!$C:$E,3,FALSE))</f>
        <v>North West</v>
      </c>
      <c r="AQ183" s="62">
        <f t="shared" si="63"/>
        <v>11.015070716438673</v>
      </c>
      <c r="AR183" s="57">
        <f>IF(AQ183="","",IF(I$8="A",(RANK(AQ183,AQ$11:AQ$363,1)+COUNTIF(AQ$11:AQ183,AQ183)-1),(RANK(AQ183,AQ$11:AQ$363)+COUNTIF(AQ$11:AQ183,AQ183)-1)))</f>
        <v>16</v>
      </c>
      <c r="AS183" s="52" t="str">
        <f t="shared" si="64"/>
        <v/>
      </c>
      <c r="AT183" s="57" t="str">
        <f t="shared" si="65"/>
        <v/>
      </c>
      <c r="AU183" s="62" t="str">
        <f t="shared" si="71"/>
        <v/>
      </c>
      <c r="AX183" s="44">
        <f>HLOOKUP($AX$9&amp;$AX$10,Data!$A$1:$ZZ$2000,(MATCH($C183,Data!$A$1:$A$2000,0)),FALSE)</f>
        <v>6.6760875010436669</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7.8483732351135664</v>
      </c>
      <c r="G184" s="105"/>
      <c r="H184" s="60">
        <f t="shared" si="52"/>
        <v>7.8483732351135664</v>
      </c>
      <c r="I184" s="112">
        <f>IF(H184="","",IF($I$8="A",(RANK(H184,H$11:H$363,1)+COUNTIF(H$11:H184,H184)-1),(RANK(H184,H$11:H$363)+COUNTIF(H$11:H184,H184)-1)))</f>
        <v>128</v>
      </c>
      <c r="J184" s="58"/>
      <c r="K184" s="51">
        <f t="shared" si="66"/>
        <v>174</v>
      </c>
      <c r="L184" s="59" t="str">
        <f t="shared" si="53"/>
        <v>Rother</v>
      </c>
      <c r="M184" s="153">
        <f t="shared" si="57"/>
        <v>11.180386673151752</v>
      </c>
      <c r="N184" s="148">
        <f t="shared" si="58"/>
        <v>11.180386673151752</v>
      </c>
      <c r="O184" s="131" t="str">
        <f t="shared" si="54"/>
        <v/>
      </c>
      <c r="P184" s="131" t="str">
        <f t="shared" si="67"/>
        <v/>
      </c>
      <c r="Q184" s="131" t="str">
        <f t="shared" si="68"/>
        <v/>
      </c>
      <c r="R184" s="127">
        <f t="shared" si="69"/>
        <v>11.180386673151752</v>
      </c>
      <c r="S184" s="60" t="str">
        <f t="shared" si="59"/>
        <v/>
      </c>
      <c r="T184" s="231" t="str">
        <f>IF(L184="","",VLOOKUP(L184,classifications!C:K,9,FALSE))</f>
        <v>Sparse</v>
      </c>
      <c r="U184" s="238">
        <f t="shared" si="55"/>
        <v>11.180386673151752</v>
      </c>
      <c r="V184" s="239">
        <f>IF(U184="","",IF($I$8="A",(RANK(U184,U$11:U$363)+COUNTIF(U$11:U184,U184)-1),(RANK(U184,U$11:U$363,1)+COUNTIF(U$11:U184,U184)-1)))</f>
        <v>8</v>
      </c>
      <c r="W184" s="240"/>
      <c r="X184" s="61" t="str">
        <f>IF(L184="","",VLOOKUP($L184,classifications!$C:$J,6,FALSE))</f>
        <v>Rural-50</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East Sussex</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South East</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7.8483732351135664</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6.2759835079883182</v>
      </c>
      <c r="G185" s="105"/>
      <c r="H185" s="60">
        <f t="shared" si="52"/>
        <v>6.2759835079883182</v>
      </c>
      <c r="I185" s="112">
        <f>IF(H185="","",IF($I$8="A",(RANK(H185,H$11:H$363,1)+COUNTIF(H$11:H185,H185)-1),(RANK(H185,H$11:H$363)+COUNTIF(H$11:H185,H185)-1)))</f>
        <v>78</v>
      </c>
      <c r="J185" s="58"/>
      <c r="K185" s="51">
        <f t="shared" si="66"/>
        <v>175</v>
      </c>
      <c r="L185" s="59" t="str">
        <f t="shared" si="53"/>
        <v>St Albans</v>
      </c>
      <c r="M185" s="153">
        <f t="shared" si="57"/>
        <v>11.189828639683926</v>
      </c>
      <c r="N185" s="148">
        <f t="shared" si="58"/>
        <v>11.189828639683926</v>
      </c>
      <c r="O185" s="131" t="str">
        <f t="shared" si="54"/>
        <v/>
      </c>
      <c r="P185" s="131" t="str">
        <f t="shared" si="67"/>
        <v/>
      </c>
      <c r="Q185" s="131" t="str">
        <f t="shared" si="68"/>
        <v/>
      </c>
      <c r="R185" s="127">
        <f t="shared" si="69"/>
        <v>11.189828639683926</v>
      </c>
      <c r="S185" s="60" t="str">
        <f t="shared" si="59"/>
        <v/>
      </c>
      <c r="T185" s="231">
        <f>IF(L185="","",VLOOKUP(L185,classifications!C:K,9,FALSE))</f>
        <v>0</v>
      </c>
      <c r="U185" s="238" t="str">
        <f t="shared" si="55"/>
        <v/>
      </c>
      <c r="V185" s="239" t="str">
        <f>IF(U185="","",IF($I$8="A",(RANK(U185,U$11:U$363)+COUNTIF(U$11:U185,U185)-1),(RANK(U185,U$11:U$363,1)+COUNTIF(U$11:U185,U185)-1)))</f>
        <v/>
      </c>
      <c r="W185" s="240"/>
      <c r="X185" s="61" t="str">
        <f>IF(L185="","",VLOOKUP($L185,classifications!$C:$J,6,FALSE))</f>
        <v>Significant Rural</v>
      </c>
      <c r="Y185" s="49" t="str">
        <f t="shared" si="60"/>
        <v/>
      </c>
      <c r="Z185" s="57" t="str">
        <f>IF(Y185="","",IF(I$8="A",(RANK(Y185,Y$11:Y$363,1)+COUNTIF(Y$11:Y185,Y185)-1),(RANK(Y185,Y$11:Y$363)+COUNTIF(Y$11:Y185,Y185)-1)))</f>
        <v/>
      </c>
      <c r="AA185" s="245" t="str">
        <f>IF(L185="","",VLOOKUP($L185,classifications!C:I,7,FALSE))</f>
        <v>Predominantly Urban</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Hertfordshire</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East of England</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6.2759835079883182</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10.180175832606368</v>
      </c>
      <c r="G186" s="105"/>
      <c r="H186" s="60" t="str">
        <f t="shared" si="52"/>
        <v/>
      </c>
      <c r="I186" s="112" t="str">
        <f>IF(H186="","",IF($I$8="A",(RANK(H186,H$11:H$363,1)+COUNTIF(H$11:H186,H186)-1),(RANK(H186,H$11:H$363)+COUNTIF(H$11:H186,H186)-1)))</f>
        <v/>
      </c>
      <c r="J186" s="58"/>
      <c r="K186" s="51">
        <f t="shared" si="66"/>
        <v>176</v>
      </c>
      <c r="L186" s="59" t="str">
        <f t="shared" si="53"/>
        <v>Colchester</v>
      </c>
      <c r="M186" s="153">
        <f t="shared" si="57"/>
        <v>11.236641447856401</v>
      </c>
      <c r="N186" s="148">
        <f t="shared" si="58"/>
        <v>11.236641447856401</v>
      </c>
      <c r="O186" s="131" t="str">
        <f t="shared" si="54"/>
        <v/>
      </c>
      <c r="P186" s="131" t="str">
        <f t="shared" si="67"/>
        <v/>
      </c>
      <c r="Q186" s="131" t="str">
        <f t="shared" si="68"/>
        <v/>
      </c>
      <c r="R186" s="127">
        <f t="shared" si="69"/>
        <v>11.236641447856401</v>
      </c>
      <c r="S186" s="60" t="str">
        <f t="shared" si="59"/>
        <v/>
      </c>
      <c r="T186" s="231">
        <f>IF(L186="","",VLOOKUP(L186,classifications!C:K,9,FALSE))</f>
        <v>0</v>
      </c>
      <c r="U186" s="238" t="str">
        <f t="shared" si="55"/>
        <v/>
      </c>
      <c r="V186" s="239" t="str">
        <f>IF(U186="","",IF($I$8="A",(RANK(U186,U$11:U$363)+COUNTIF(U$11:U186,U186)-1),(RANK(U186,U$11:U$363,1)+COUNTIF(U$11:U186,U186)-1)))</f>
        <v/>
      </c>
      <c r="W186" s="240"/>
      <c r="X186" s="61" t="str">
        <f>IF(L186="","",VLOOKUP($L186,classifications!$C:$J,6,FALSE))</f>
        <v>Significant Rural</v>
      </c>
      <c r="Y186" s="49" t="str">
        <f t="shared" si="60"/>
        <v/>
      </c>
      <c r="Z186" s="57" t="str">
        <f>IF(Y186="","",IF(I$8="A",(RANK(Y186,Y$11:Y$363,1)+COUNTIF(Y$11:Y186,Y186)-1),(RANK(Y186,Y$11:Y$363)+COUNTIF(Y$11:Y186,Y186)-1)))</f>
        <v/>
      </c>
      <c r="AA186" s="245" t="str">
        <f>IF(L186="","",VLOOKUP($L186,classifications!C:I,7,FALSE))</f>
        <v>Significant Rural</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Essex</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East of England</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10.180175832606368</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10.439509519606608</v>
      </c>
      <c r="G187" s="105"/>
      <c r="H187" s="60">
        <f t="shared" si="52"/>
        <v>10.439509519606608</v>
      </c>
      <c r="I187" s="112">
        <f>IF(H187="","",IF($I$8="A",(RANK(H187,H$11:H$363,1)+COUNTIF(H$11:H187,H187)-1),(RANK(H187,H$11:H$363)+COUNTIF(H$11:H187,H187)-1)))</f>
        <v>163</v>
      </c>
      <c r="J187" s="58"/>
      <c r="K187" s="51">
        <f t="shared" si="66"/>
        <v>177</v>
      </c>
      <c r="L187" s="59" t="str">
        <f t="shared" si="53"/>
        <v>Dartford</v>
      </c>
      <c r="M187" s="153">
        <f t="shared" si="57"/>
        <v>11.502347417840376</v>
      </c>
      <c r="N187" s="148">
        <f t="shared" si="58"/>
        <v>11.502347417840376</v>
      </c>
      <c r="O187" s="131" t="str">
        <f t="shared" si="54"/>
        <v/>
      </c>
      <c r="P187" s="131" t="str">
        <f t="shared" si="67"/>
        <v/>
      </c>
      <c r="Q187" s="131" t="str">
        <f t="shared" si="68"/>
        <v/>
      </c>
      <c r="R187" s="127">
        <f t="shared" si="69"/>
        <v>11.502347417840376</v>
      </c>
      <c r="S187" s="60" t="str">
        <f t="shared" si="59"/>
        <v/>
      </c>
      <c r="T187" s="231">
        <f>IF(L187="","",VLOOKUP(L187,classifications!C:K,9,FALSE))</f>
        <v>0</v>
      </c>
      <c r="U187" s="238" t="str">
        <f t="shared" si="55"/>
        <v/>
      </c>
      <c r="V187" s="239" t="str">
        <f>IF(U187="","",IF($I$8="A",(RANK(U187,U$11:U$363)+COUNTIF(U$11:U187,U187)-1),(RANK(U187,U$11:U$363,1)+COUNTIF(U$11:U187,U187)-1)))</f>
        <v/>
      </c>
      <c r="W187" s="240"/>
      <c r="X187" s="61" t="str">
        <f>IF(L187="","",VLOOKUP($L187,classifications!$C:$J,6,FALSE))</f>
        <v>Major Urban</v>
      </c>
      <c r="Y187" s="49" t="str">
        <f t="shared" si="60"/>
        <v/>
      </c>
      <c r="Z187" s="57" t="str">
        <f>IF(Y187="","",IF(I$8="A",(RANK(Y187,Y$11:Y$363,1)+COUNTIF(Y$11:Y187,Y187)-1),(RANK(Y187,Y$11:Y$363)+COUNTIF(Y$11:Y187,Y187)-1)))</f>
        <v/>
      </c>
      <c r="AA187" s="245" t="str">
        <f>IF(L187="","",VLOOKUP($L187,classifications!C:I,7,FALSE))</f>
        <v>Significant Rural</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Kent</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South East</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10.439509519606608</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7.9435675373655537</v>
      </c>
      <c r="G188" s="105"/>
      <c r="H188" s="60">
        <f t="shared" si="52"/>
        <v>7.9435675373655537</v>
      </c>
      <c r="I188" s="112">
        <f>IF(H188="","",IF($I$8="A",(RANK(H188,H$11:H$363,1)+COUNTIF(H$11:H188,H188)-1),(RANK(H188,H$11:H$363)+COUNTIF(H$11:H188,H188)-1)))</f>
        <v>132</v>
      </c>
      <c r="J188" s="58"/>
      <c r="K188" s="51">
        <f t="shared" si="66"/>
        <v>178</v>
      </c>
      <c r="L188" s="59" t="str">
        <f t="shared" si="53"/>
        <v>South Holland</v>
      </c>
      <c r="M188" s="153">
        <f t="shared" si="57"/>
        <v>11.597382545401073</v>
      </c>
      <c r="N188" s="148">
        <f t="shared" si="58"/>
        <v>11.597382545401073</v>
      </c>
      <c r="O188" s="131" t="str">
        <f t="shared" si="54"/>
        <v/>
      </c>
      <c r="P188" s="131" t="str">
        <f t="shared" si="67"/>
        <v/>
      </c>
      <c r="Q188" s="131" t="str">
        <f t="shared" si="68"/>
        <v/>
      </c>
      <c r="R188" s="127">
        <f t="shared" si="69"/>
        <v>11.597382545401073</v>
      </c>
      <c r="S188" s="60" t="str">
        <f t="shared" si="59"/>
        <v/>
      </c>
      <c r="T188" s="231" t="str">
        <f>IF(L188="","",VLOOKUP(L188,classifications!C:K,9,FALSE))</f>
        <v>Sparse</v>
      </c>
      <c r="U188" s="238">
        <f t="shared" si="55"/>
        <v>11.597382545401073</v>
      </c>
      <c r="V188" s="239">
        <f>IF(U188="","",IF($I$8="A",(RANK(U188,U$11:U$363)+COUNTIF(U$11:U188,U188)-1),(RANK(U188,U$11:U$363,1)+COUNTIF(U$11:U188,U188)-1)))</f>
        <v>7</v>
      </c>
      <c r="W188" s="240"/>
      <c r="X188" s="61" t="str">
        <f>IF(L188="","",VLOOKUP($L188,classifications!$C:$J,6,FALSE))</f>
        <v>Rural-80</v>
      </c>
      <c r="Y188" s="49">
        <f t="shared" si="60"/>
        <v>11.597382545401073</v>
      </c>
      <c r="Z188" s="57">
        <f>IF(Y188="","",IF(I$8="A",(RANK(Y188,Y$11:Y$363,1)+COUNTIF(Y$11:Y188,Y188)-1),(RANK(Y188,Y$11:Y$363)+COUNTIF(Y$11:Y188,Y188)-1)))</f>
        <v>43</v>
      </c>
      <c r="AA188" s="245" t="str">
        <f>IF(L188="","",VLOOKUP($L188,classifications!C:I,7,FALSE))</f>
        <v>Predominantly Rural</v>
      </c>
      <c r="AB188" s="239">
        <f t="shared" si="61"/>
        <v>11.597382545401073</v>
      </c>
      <c r="AC188" s="239">
        <f>IF(AB188="","",IF($I$8="A",(RANK(AB188,AB$11:AB$363)+COUNTIF(AB$11:AB188,AB188)-1),(RANK(AB188,AB$11:AB$363,1)+COUNTIF(AB$11:AB188,AB188)-1)))</f>
        <v>7</v>
      </c>
      <c r="AD188" s="239"/>
      <c r="AE188" s="51" t="str">
        <f t="shared" si="73"/>
        <v/>
      </c>
      <c r="AG188" s="143"/>
      <c r="AH188" s="52"/>
      <c r="AI188" s="61" t="str">
        <f>IF(L188="","",VLOOKUP($L188,classifications!$C:$J,8,FALSE))</f>
        <v>Lincolnshire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East Midlands</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7.9435675373655537</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7.6510906543926351</v>
      </c>
      <c r="G189" s="105"/>
      <c r="H189" s="60">
        <f t="shared" si="52"/>
        <v>7.6510906543926351</v>
      </c>
      <c r="I189" s="112">
        <f>IF(H189="","",IF($I$8="A",(RANK(H189,H$11:H$363,1)+COUNTIF(H$11:H189,H189)-1),(RANK(H189,H$11:H$363)+COUNTIF(H$11:H189,H189)-1)))</f>
        <v>121</v>
      </c>
      <c r="J189" s="58"/>
      <c r="K189" s="51">
        <f t="shared" si="66"/>
        <v>179</v>
      </c>
      <c r="L189" s="59" t="str">
        <f t="shared" si="53"/>
        <v>Wealden</v>
      </c>
      <c r="M189" s="153">
        <f t="shared" si="57"/>
        <v>12.403643223486412</v>
      </c>
      <c r="N189" s="148">
        <f t="shared" si="58"/>
        <v>12.403643223486412</v>
      </c>
      <c r="O189" s="131" t="str">
        <f t="shared" si="54"/>
        <v/>
      </c>
      <c r="P189" s="131" t="str">
        <f t="shared" si="67"/>
        <v/>
      </c>
      <c r="Q189" s="131" t="str">
        <f t="shared" si="68"/>
        <v/>
      </c>
      <c r="R189" s="127">
        <f t="shared" si="69"/>
        <v>12.403643223486412</v>
      </c>
      <c r="S189" s="60" t="str">
        <f t="shared" si="59"/>
        <v/>
      </c>
      <c r="T189" s="231" t="str">
        <f>IF(L189="","",VLOOKUP(L189,classifications!C:K,9,FALSE))</f>
        <v>Sparse</v>
      </c>
      <c r="U189" s="238">
        <f t="shared" si="55"/>
        <v>12.403643223486412</v>
      </c>
      <c r="V189" s="239">
        <f>IF(U189="","",IF($I$8="A",(RANK(U189,U$11:U$363)+COUNTIF(U$11:U189,U189)-1),(RANK(U189,U$11:U$363,1)+COUNTIF(U$11:U189,U189)-1)))</f>
        <v>6</v>
      </c>
      <c r="W189" s="240"/>
      <c r="X189" s="61" t="str">
        <f>IF(L189="","",VLOOKUP($L189,classifications!$C:$J,6,FALSE))</f>
        <v>Rural-80</v>
      </c>
      <c r="Y189" s="49">
        <f t="shared" si="60"/>
        <v>12.403643223486412</v>
      </c>
      <c r="Z189" s="57">
        <f>IF(Y189="","",IF(I$8="A",(RANK(Y189,Y$11:Y$363,1)+COUNTIF(Y$11:Y189,Y189)-1),(RANK(Y189,Y$11:Y$363)+COUNTIF(Y$11:Y189,Y189)-1)))</f>
        <v>44</v>
      </c>
      <c r="AA189" s="245" t="str">
        <f>IF(L189="","",VLOOKUP($L189,classifications!C:I,7,FALSE))</f>
        <v>Significant Rural</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East Sussex</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South East</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7.6510906543926351</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8.8082515330776392</v>
      </c>
      <c r="G190" s="105"/>
      <c r="H190" s="60" t="str">
        <f t="shared" si="52"/>
        <v/>
      </c>
      <c r="I190" s="112" t="str">
        <f>IF(H190="","",IF($I$8="A",(RANK(H190,H$11:H$363,1)+COUNTIF(H$11:H190,H190)-1),(RANK(H190,H$11:H$363)+COUNTIF(H$11:H190,H190)-1)))</f>
        <v/>
      </c>
      <c r="J190" s="58"/>
      <c r="K190" s="51">
        <f t="shared" si="66"/>
        <v>180</v>
      </c>
      <c r="L190" s="59" t="str">
        <f t="shared" si="53"/>
        <v>East Lindsey</v>
      </c>
      <c r="M190" s="153">
        <f t="shared" si="57"/>
        <v>12.603362911522634</v>
      </c>
      <c r="N190" s="148">
        <f t="shared" si="58"/>
        <v>12.603362911522634</v>
      </c>
      <c r="O190" s="131" t="str">
        <f t="shared" si="54"/>
        <v/>
      </c>
      <c r="P190" s="131" t="str">
        <f t="shared" si="67"/>
        <v/>
      </c>
      <c r="Q190" s="131" t="str">
        <f t="shared" si="68"/>
        <v/>
      </c>
      <c r="R190" s="127">
        <f t="shared" si="69"/>
        <v>12.603362911522634</v>
      </c>
      <c r="S190" s="60" t="str">
        <f t="shared" si="59"/>
        <v/>
      </c>
      <c r="T190" s="231" t="str">
        <f>IF(L190="","",VLOOKUP(L190,classifications!C:K,9,FALSE))</f>
        <v>Sparse</v>
      </c>
      <c r="U190" s="238">
        <f t="shared" si="55"/>
        <v>12.603362911522634</v>
      </c>
      <c r="V190" s="239">
        <f>IF(U190="","",IF($I$8="A",(RANK(U190,U$11:U$363)+COUNTIF(U$11:U190,U190)-1),(RANK(U190,U$11:U$363,1)+COUNTIF(U$11:U190,U190)-1)))</f>
        <v>5</v>
      </c>
      <c r="W190" s="240"/>
      <c r="X190" s="61" t="str">
        <f>IF(L190="","",VLOOKUP($L190,classifications!$C:$J,6,FALSE))</f>
        <v>Rural-80</v>
      </c>
      <c r="Y190" s="49">
        <f t="shared" si="60"/>
        <v>12.603362911522634</v>
      </c>
      <c r="Z190" s="57">
        <f>IF(Y190="","",IF(I$8="A",(RANK(Y190,Y$11:Y$363,1)+COUNTIF(Y$11:Y190,Y190)-1),(RANK(Y190,Y$11:Y$363)+COUNTIF(Y$11:Y190,Y190)-1)))</f>
        <v>45</v>
      </c>
      <c r="AA190" s="245" t="str">
        <f>IF(L190="","",VLOOKUP($L190,classifications!C:I,7,FALSE))</f>
        <v>Predominantly Rural</v>
      </c>
      <c r="AB190" s="239">
        <f t="shared" si="61"/>
        <v>12.603362911522634</v>
      </c>
      <c r="AC190" s="239">
        <f>IF(AB190="","",IF($I$8="A",(RANK(AB190,AB$11:AB$363)+COUNTIF(AB$11:AB190,AB190)-1),(RANK(AB190,AB$11:AB$363,1)+COUNTIF(AB$11:AB190,AB190)-1)))</f>
        <v>6</v>
      </c>
      <c r="AD190" s="239"/>
      <c r="AE190" s="51" t="str">
        <f t="shared" si="73"/>
        <v/>
      </c>
      <c r="AG190" s="143"/>
      <c r="AH190" s="52"/>
      <c r="AI190" s="61" t="str">
        <f>IF(L190="","",VLOOKUP($L190,classifications!$C:$J,8,FALSE))</f>
        <v>Lincolnshire</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East Midlands</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8.8082515330776392</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6.7234507897934384</v>
      </c>
      <c r="G191" s="105"/>
      <c r="H191" s="60">
        <f t="shared" si="52"/>
        <v>6.7234507897934384</v>
      </c>
      <c r="I191" s="112">
        <f>IF(H191="","",IF($I$8="A",(RANK(H191,H$11:H$363,1)+COUNTIF(H$11:H191,H191)-1),(RANK(H191,H$11:H$363)+COUNTIF(H$11:H191,H191)-1)))</f>
        <v>91</v>
      </c>
      <c r="J191" s="58"/>
      <c r="K191" s="51">
        <f t="shared" si="66"/>
        <v>181</v>
      </c>
      <c r="L191" s="59" t="str">
        <f t="shared" si="53"/>
        <v>Lincoln</v>
      </c>
      <c r="M191" s="153">
        <f t="shared" si="57"/>
        <v>12.6431380605776</v>
      </c>
      <c r="N191" s="148">
        <f t="shared" si="58"/>
        <v>12.6431380605776</v>
      </c>
      <c r="O191" s="131" t="str">
        <f t="shared" si="54"/>
        <v/>
      </c>
      <c r="P191" s="131" t="str">
        <f t="shared" si="67"/>
        <v/>
      </c>
      <c r="Q191" s="131" t="str">
        <f t="shared" si="68"/>
        <v/>
      </c>
      <c r="R191" s="127">
        <f t="shared" si="69"/>
        <v>12.6431380605776</v>
      </c>
      <c r="S191" s="60" t="str">
        <f t="shared" si="59"/>
        <v/>
      </c>
      <c r="T191" s="231">
        <f>IF(L191="","",VLOOKUP(L191,classifications!C:K,9,FALSE))</f>
        <v>0</v>
      </c>
      <c r="U191" s="238" t="str">
        <f t="shared" si="55"/>
        <v/>
      </c>
      <c r="V191" s="239" t="str">
        <f>IF(U191="","",IF($I$8="A",(RANK(U191,U$11:U$363)+COUNTIF(U$11:U191,U191)-1),(RANK(U191,U$11:U$363,1)+COUNTIF(U$11:U191,U191)-1)))</f>
        <v/>
      </c>
      <c r="W191" s="240"/>
      <c r="X191" s="61" t="str">
        <f>IF(L191="","",VLOOKUP($L191,classifications!$C:$J,6,FALSE))</f>
        <v>Other Urban</v>
      </c>
      <c r="Y191" s="49" t="str">
        <f t="shared" si="60"/>
        <v/>
      </c>
      <c r="Z191" s="57" t="str">
        <f>IF(Y191="","",IF(I$8="A",(RANK(Y191,Y$11:Y$363,1)+COUNTIF(Y$11:Y191,Y191)-1),(RANK(Y191,Y$11:Y$363)+COUNTIF(Y$11:Y191,Y191)-1)))</f>
        <v/>
      </c>
      <c r="AA191" s="245" t="str">
        <f>IF(L191="","",VLOOKUP($L191,classifications!C:I,7,FALSE))</f>
        <v>Predominantly Rural</v>
      </c>
      <c r="AB191" s="239">
        <f t="shared" si="61"/>
        <v>12.6431380605776</v>
      </c>
      <c r="AC191" s="239">
        <f>IF(AB191="","",IF($I$8="A",(RANK(AB191,AB$11:AB$363)+COUNTIF(AB$11:AB191,AB191)-1),(RANK(AB191,AB$11:AB$363,1)+COUNTIF(AB$11:AB191,AB191)-1)))</f>
        <v>5</v>
      </c>
      <c r="AD191" s="239"/>
      <c r="AE191" s="51" t="str">
        <f t="shared" si="73"/>
        <v/>
      </c>
      <c r="AG191" s="143"/>
      <c r="AH191" s="52"/>
      <c r="AI191" s="61" t="str">
        <f>IF(L191="","",VLOOKUP($L191,classifications!$C:$J,8,FALSE))</f>
        <v>Lincolnshire</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East Midlands</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6.7234507897934384</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7.2477904808238058</v>
      </c>
      <c r="G192" s="105"/>
      <c r="H192" s="60">
        <f t="shared" si="52"/>
        <v>7.2477904808238058</v>
      </c>
      <c r="I192" s="112">
        <f>IF(H192="","",IF($I$8="A",(RANK(H192,H$11:H$363,1)+COUNTIF(H$11:H192,H192)-1),(RANK(H192,H$11:H$363)+COUNTIF(H$11:H192,H192)-1)))</f>
        <v>114</v>
      </c>
      <c r="J192" s="58"/>
      <c r="K192" s="51">
        <f t="shared" si="66"/>
        <v>182</v>
      </c>
      <c r="L192" s="59" t="str">
        <f t="shared" si="53"/>
        <v>Three Rivers</v>
      </c>
      <c r="M192" s="153">
        <f t="shared" si="57"/>
        <v>12.737129253050293</v>
      </c>
      <c r="N192" s="148">
        <f t="shared" si="58"/>
        <v>12.737129253050293</v>
      </c>
      <c r="O192" s="131" t="str">
        <f t="shared" si="54"/>
        <v/>
      </c>
      <c r="P192" s="131" t="str">
        <f t="shared" si="67"/>
        <v/>
      </c>
      <c r="Q192" s="131" t="str">
        <f t="shared" si="68"/>
        <v/>
      </c>
      <c r="R192" s="127">
        <f t="shared" si="69"/>
        <v>12.737129253050293</v>
      </c>
      <c r="S192" s="60" t="str">
        <f t="shared" si="59"/>
        <v/>
      </c>
      <c r="T192" s="231">
        <f>IF(L192="","",VLOOKUP(L192,classifications!C:K,9,FALSE))</f>
        <v>0</v>
      </c>
      <c r="U192" s="238" t="str">
        <f t="shared" si="55"/>
        <v/>
      </c>
      <c r="V192" s="239" t="str">
        <f>IF(U192="","",IF($I$8="A",(RANK(U192,U$11:U$363)+COUNTIF(U$11:U192,U192)-1),(RANK(U192,U$11:U$363,1)+COUNTIF(U$11:U192,U192)-1)))</f>
        <v/>
      </c>
      <c r="W192" s="240"/>
      <c r="X192" s="61" t="str">
        <f>IF(L192="","",VLOOKUP($L192,classifications!$C:$J,6,FALSE))</f>
        <v>Major Urban</v>
      </c>
      <c r="Y192" s="49" t="str">
        <f t="shared" si="60"/>
        <v/>
      </c>
      <c r="Z192" s="57" t="str">
        <f>IF(Y192="","",IF(I$8="A",(RANK(Y192,Y$11:Y$363,1)+COUNTIF(Y$11:Y192,Y192)-1),(RANK(Y192,Y$11:Y$363)+COUNTIF(Y$11:Y192,Y192)-1)))</f>
        <v/>
      </c>
      <c r="AA192" s="245" t="str">
        <f>IF(L192="","",VLOOKUP($L192,classifications!C:I,7,FALSE))</f>
        <v>Predominantly Urban</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Hertfordshire</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East of England</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7.2477904808238058</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7.8779915736437474</v>
      </c>
      <c r="G193" s="105"/>
      <c r="H193" s="60">
        <f t="shared" si="52"/>
        <v>7.8779915736437474</v>
      </c>
      <c r="I193" s="112">
        <f>IF(H193="","",IF($I$8="A",(RANK(H193,H$11:H$363,1)+COUNTIF(H$11:H193,H193)-1),(RANK(H193,H$11:H$363)+COUNTIF(H$11:H193,H193)-1)))</f>
        <v>130</v>
      </c>
      <c r="J193" s="58"/>
      <c r="K193" s="51">
        <f t="shared" si="66"/>
        <v>183</v>
      </c>
      <c r="L193" s="59" t="str">
        <f t="shared" si="53"/>
        <v>Tewkesbury</v>
      </c>
      <c r="M193" s="153">
        <f t="shared" si="57"/>
        <v>12.835946924004825</v>
      </c>
      <c r="N193" s="148">
        <f t="shared" si="58"/>
        <v>12.835946924004825</v>
      </c>
      <c r="O193" s="131" t="str">
        <f t="shared" si="54"/>
        <v/>
      </c>
      <c r="P193" s="131" t="str">
        <f t="shared" si="67"/>
        <v/>
      </c>
      <c r="Q193" s="131" t="str">
        <f t="shared" si="68"/>
        <v/>
      </c>
      <c r="R193" s="127">
        <f t="shared" si="69"/>
        <v>12.835946924004825</v>
      </c>
      <c r="S193" s="60" t="str">
        <f t="shared" si="59"/>
        <v/>
      </c>
      <c r="T193" s="231" t="str">
        <f>IF(L193="","",VLOOKUP(L193,classifications!C:K,9,FALSE))</f>
        <v>Sparse</v>
      </c>
      <c r="U193" s="238">
        <f t="shared" si="55"/>
        <v>12.835946924004825</v>
      </c>
      <c r="V193" s="239">
        <f>IF(U193="","",IF($I$8="A",(RANK(U193,U$11:U$363)+COUNTIF(U$11:U193,U193)-1),(RANK(U193,U$11:U$363,1)+COUNTIF(U$11:U193,U193)-1)))</f>
        <v>4</v>
      </c>
      <c r="W193" s="240"/>
      <c r="X193" s="61" t="str">
        <f>IF(L193="","",VLOOKUP($L193,classifications!$C:$J,6,FALSE))</f>
        <v>Rural-50</v>
      </c>
      <c r="Y193" s="49" t="str">
        <f t="shared" si="60"/>
        <v/>
      </c>
      <c r="Z193" s="57" t="str">
        <f>IF(Y193="","",IF(I$8="A",(RANK(Y193,Y$11:Y$363,1)+COUNTIF(Y$11:Y193,Y193)-1),(RANK(Y193,Y$11:Y$363)+COUNTIF(Y$11:Y193,Y193)-1)))</f>
        <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Gloucestershire</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South West</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7.8779915736437474</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4.6533180933719773</v>
      </c>
      <c r="G194" s="105"/>
      <c r="H194" s="60" t="str">
        <f t="shared" si="52"/>
        <v/>
      </c>
      <c r="I194" s="112" t="str">
        <f>IF(H194="","",IF($I$8="A",(RANK(H194,H$11:H$363,1)+COUNTIF(H$11:H194,H194)-1),(RANK(H194,H$11:H$363)+COUNTIF(H$11:H194,H194)-1)))</f>
        <v/>
      </c>
      <c r="J194" s="58"/>
      <c r="K194" s="51">
        <f t="shared" si="66"/>
        <v>184</v>
      </c>
      <c r="L194" s="59" t="str">
        <f t="shared" si="53"/>
        <v>Fylde</v>
      </c>
      <c r="M194" s="153">
        <f t="shared" si="57"/>
        <v>13.082076195346458</v>
      </c>
      <c r="N194" s="148">
        <f t="shared" si="58"/>
        <v>13.082076195346458</v>
      </c>
      <c r="O194" s="131" t="str">
        <f t="shared" si="54"/>
        <v/>
      </c>
      <c r="P194" s="131" t="str">
        <f t="shared" si="67"/>
        <v/>
      </c>
      <c r="Q194" s="131" t="str">
        <f t="shared" si="68"/>
        <v/>
      </c>
      <c r="R194" s="127">
        <f t="shared" si="69"/>
        <v>13.082076195346458</v>
      </c>
      <c r="S194" s="60" t="str">
        <f t="shared" si="59"/>
        <v/>
      </c>
      <c r="T194" s="231">
        <f>IF(L194="","",VLOOKUP(L194,classifications!C:K,9,FALSE))</f>
        <v>0</v>
      </c>
      <c r="U194" s="238" t="str">
        <f t="shared" si="55"/>
        <v/>
      </c>
      <c r="V194" s="239" t="str">
        <f>IF(U194="","",IF($I$8="A",(RANK(U194,U$11:U$363)+COUNTIF(U$11:U194,U194)-1),(RANK(U194,U$11:U$363,1)+COUNTIF(U$11:U194,U194)-1)))</f>
        <v/>
      </c>
      <c r="W194" s="240"/>
      <c r="X194" s="61" t="str">
        <f>IF(L194="","",VLOOKUP($L194,classifications!$C:$J,6,FALSE))</f>
        <v>Significant Rural</v>
      </c>
      <c r="Y194" s="49" t="str">
        <f t="shared" si="60"/>
        <v/>
      </c>
      <c r="Z194" s="57" t="str">
        <f>IF(Y194="","",IF(I$8="A",(RANK(Y194,Y$11:Y$363,1)+COUNTIF(Y$11:Y194,Y194)-1),(RANK(Y194,Y$11:Y$363)+COUNTIF(Y$11:Y194,Y194)-1)))</f>
        <v/>
      </c>
      <c r="AA194" s="245" t="str">
        <f>IF(L194="","",VLOOKUP($L194,classifications!C:I,7,FALSE))</f>
        <v>Significant Rural</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Lancashire</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North West</v>
      </c>
      <c r="AQ194" s="62">
        <f t="shared" si="63"/>
        <v>13.082076195346458</v>
      </c>
      <c r="AR194" s="57">
        <f>IF(AQ194="","",IF(I$8="A",(RANK(AQ194,AQ$11:AQ$363,1)+COUNTIF(AQ$11:AQ194,AQ194)-1),(RANK(AQ194,AQ$11:AQ$363)+COUNTIF(AQ$11:AQ194,AQ194)-1)))</f>
        <v>17</v>
      </c>
      <c r="AS194" s="52" t="str">
        <f t="shared" si="64"/>
        <v/>
      </c>
      <c r="AT194" s="57" t="str">
        <f t="shared" si="65"/>
        <v/>
      </c>
      <c r="AU194" s="62" t="str">
        <f t="shared" si="71"/>
        <v/>
      </c>
      <c r="AX194" s="44">
        <f>HLOOKUP($AX$9&amp;$AX$10,Data!$A$1:$ZZ$2000,(MATCH($C194,Data!$A$1:$A$2000,0)),FALSE)</f>
        <v>4.6533180933719773</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5.0834355276037035</v>
      </c>
      <c r="G195" s="105"/>
      <c r="H195" s="60" t="str">
        <f t="shared" si="52"/>
        <v/>
      </c>
      <c r="I195" s="112" t="str">
        <f>IF(H195="","",IF($I$8="A",(RANK(H195,H$11:H$363,1)+COUNTIF(H$11:H195,H195)-1),(RANK(H195,H$11:H$363)+COUNTIF(H$11:H195,H195)-1)))</f>
        <v/>
      </c>
      <c r="J195" s="58"/>
      <c r="K195" s="51">
        <f t="shared" si="66"/>
        <v>185</v>
      </c>
      <c r="L195" s="59" t="str">
        <f t="shared" si="53"/>
        <v>Hambleton</v>
      </c>
      <c r="M195" s="153">
        <f t="shared" si="57"/>
        <v>13.285353535353535</v>
      </c>
      <c r="N195" s="148">
        <f t="shared" si="58"/>
        <v>13.285353535353535</v>
      </c>
      <c r="O195" s="131" t="str">
        <f t="shared" si="54"/>
        <v/>
      </c>
      <c r="P195" s="131" t="str">
        <f t="shared" si="67"/>
        <v/>
      </c>
      <c r="Q195" s="131" t="str">
        <f t="shared" si="68"/>
        <v/>
      </c>
      <c r="R195" s="127">
        <f t="shared" si="69"/>
        <v>13.285353535353535</v>
      </c>
      <c r="S195" s="60" t="str">
        <f t="shared" si="59"/>
        <v/>
      </c>
      <c r="T195" s="231" t="str">
        <f>IF(L195="","",VLOOKUP(L195,classifications!C:K,9,FALSE))</f>
        <v>Sparse</v>
      </c>
      <c r="U195" s="238">
        <f t="shared" si="55"/>
        <v>13.285353535353535</v>
      </c>
      <c r="V195" s="239">
        <f>IF(U195="","",IF($I$8="A",(RANK(U195,U$11:U$363)+COUNTIF(U$11:U195,U195)-1),(RANK(U195,U$11:U$363,1)+COUNTIF(U$11:U195,U195)-1)))</f>
        <v>3</v>
      </c>
      <c r="W195" s="240"/>
      <c r="X195" s="61" t="str">
        <f>IF(L195="","",VLOOKUP($L195,classifications!$C:$J,6,FALSE))</f>
        <v>Rural-80</v>
      </c>
      <c r="Y195" s="49">
        <f t="shared" si="60"/>
        <v>13.285353535353535</v>
      </c>
      <c r="Z195" s="57">
        <f>IF(Y195="","",IF(I$8="A",(RANK(Y195,Y$11:Y$363,1)+COUNTIF(Y$11:Y195,Y195)-1),(RANK(Y195,Y$11:Y$363)+COUNTIF(Y$11:Y195,Y195)-1)))</f>
        <v>46</v>
      </c>
      <c r="AA195" s="245" t="str">
        <f>IF(L195="","",VLOOKUP($L195,classifications!C:I,7,FALSE))</f>
        <v>Predominantly Rural</v>
      </c>
      <c r="AB195" s="239">
        <f t="shared" si="61"/>
        <v>13.285353535353535</v>
      </c>
      <c r="AC195" s="239">
        <f>IF(AB195="","",IF($I$8="A",(RANK(AB195,AB$11:AB$363)+COUNTIF(AB$11:AB195,AB195)-1),(RANK(AB195,AB$11:AB$363,1)+COUNTIF(AB$11:AB195,AB195)-1)))</f>
        <v>4</v>
      </c>
      <c r="AD195" s="239"/>
      <c r="AE195" s="51" t="str">
        <f t="shared" si="73"/>
        <v/>
      </c>
      <c r="AG195" s="143"/>
      <c r="AH195" s="52"/>
      <c r="AI195" s="61" t="str">
        <f>IF(L195="","",VLOOKUP($L195,classifications!$C:$J,8,FALSE))</f>
        <v>North Yorkshire</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Yorkshire &amp; Humberside</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5.0834355276037035</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4.9530446169675431</v>
      </c>
      <c r="G196" s="105"/>
      <c r="H196" s="60">
        <f t="shared" si="52"/>
        <v>4.9530446169675431</v>
      </c>
      <c r="I196" s="112">
        <f>IF(H196="","",IF($I$8="A",(RANK(H196,H$11:H$363,1)+COUNTIF(H$11:H196,H196)-1),(RANK(H196,H$11:H$363)+COUNTIF(H$11:H196,H196)-1)))</f>
        <v>36</v>
      </c>
      <c r="J196" s="58"/>
      <c r="K196" s="51">
        <f t="shared" si="66"/>
        <v>186</v>
      </c>
      <c r="L196" s="59" t="str">
        <f t="shared" si="53"/>
        <v>Norwich</v>
      </c>
      <c r="M196" s="153">
        <f t="shared" si="57"/>
        <v>13.44885164494103</v>
      </c>
      <c r="N196" s="148">
        <f t="shared" si="58"/>
        <v>13.44885164494103</v>
      </c>
      <c r="O196" s="131" t="str">
        <f t="shared" si="54"/>
        <v/>
      </c>
      <c r="P196" s="131" t="str">
        <f t="shared" si="67"/>
        <v/>
      </c>
      <c r="Q196" s="131" t="str">
        <f t="shared" si="68"/>
        <v/>
      </c>
      <c r="R196" s="127">
        <f t="shared" si="69"/>
        <v>13.44885164494103</v>
      </c>
      <c r="S196" s="60" t="str">
        <f t="shared" si="59"/>
        <v/>
      </c>
      <c r="T196" s="231">
        <f>IF(L196="","",VLOOKUP(L196,classifications!C:K,9,FALSE))</f>
        <v>0</v>
      </c>
      <c r="U196" s="238" t="str">
        <f t="shared" si="55"/>
        <v/>
      </c>
      <c r="V196" s="239" t="str">
        <f>IF(U196="","",IF($I$8="A",(RANK(U196,U$11:U$363)+COUNTIF(U$11:U196,U196)-1),(RANK(U196,U$11:U$363,1)+COUNTIF(U$11:U196,U196)-1)))</f>
        <v/>
      </c>
      <c r="W196" s="240"/>
      <c r="X196" s="61" t="str">
        <f>IF(L196="","",VLOOKUP($L196,classifications!$C:$J,6,FALSE))</f>
        <v>Other Urban</v>
      </c>
      <c r="Y196" s="49" t="str">
        <f t="shared" si="60"/>
        <v/>
      </c>
      <c r="Z196" s="57" t="str">
        <f>IF(Y196="","",IF(I$8="A",(RANK(Y196,Y$11:Y$363,1)+COUNTIF(Y$11:Y196,Y196)-1),(RANK(Y196,Y$11:Y$363)+COUNTIF(Y$11:Y196,Y196)-1)))</f>
        <v/>
      </c>
      <c r="AA196" s="245" t="str">
        <f>IF(L196="","",VLOOKUP($L196,classifications!C:I,7,FALSE))</f>
        <v>Predominantly Rural</v>
      </c>
      <c r="AB196" s="239">
        <f t="shared" si="61"/>
        <v>13.44885164494103</v>
      </c>
      <c r="AC196" s="239">
        <f>IF(AB196="","",IF($I$8="A",(RANK(AB196,AB$11:AB$363)+COUNTIF(AB$11:AB196,AB196)-1),(RANK(AB196,AB$11:AB$363,1)+COUNTIF(AB$11:AB196,AB196)-1)))</f>
        <v>3</v>
      </c>
      <c r="AD196" s="239"/>
      <c r="AE196" s="51" t="str">
        <f t="shared" si="73"/>
        <v/>
      </c>
      <c r="AG196" s="143"/>
      <c r="AH196" s="52"/>
      <c r="AI196" s="61" t="str">
        <f>IF(L196="","",VLOOKUP($L196,classifications!$C:$J,8,FALSE))</f>
        <v>Norfolk</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East of England</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4.9530446169675431</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4.0396610336502929</v>
      </c>
      <c r="G197" s="105"/>
      <c r="H197" s="60">
        <f t="shared" si="52"/>
        <v>4.0396610336502929</v>
      </c>
      <c r="I197" s="112">
        <f>IF(H197="","",IF($I$8="A",(RANK(H197,H$11:H$363,1)+COUNTIF(H$11:H197,H197)-1),(RANK(H197,H$11:H$363)+COUNTIF(H$11:H197,H197)-1)))</f>
        <v>19</v>
      </c>
      <c r="J197" s="58"/>
      <c r="K197" s="51">
        <f t="shared" si="66"/>
        <v>187</v>
      </c>
      <c r="L197" s="59" t="str">
        <f t="shared" si="53"/>
        <v>Ryedale</v>
      </c>
      <c r="M197" s="153">
        <f t="shared" si="57"/>
        <v>13.754559009060673</v>
      </c>
      <c r="N197" s="148">
        <f t="shared" si="58"/>
        <v>13.754559009060673</v>
      </c>
      <c r="O197" s="131" t="str">
        <f t="shared" si="54"/>
        <v/>
      </c>
      <c r="P197" s="131" t="str">
        <f t="shared" si="67"/>
        <v/>
      </c>
      <c r="Q197" s="131" t="str">
        <f t="shared" si="68"/>
        <v/>
      </c>
      <c r="R197" s="127">
        <f t="shared" si="69"/>
        <v>13.754559009060673</v>
      </c>
      <c r="S197" s="60" t="str">
        <f t="shared" si="59"/>
        <v/>
      </c>
      <c r="T197" s="231" t="str">
        <f>IF(L197="","",VLOOKUP(L197,classifications!C:K,9,FALSE))</f>
        <v>Sparse</v>
      </c>
      <c r="U197" s="238">
        <f t="shared" si="55"/>
        <v>13.754559009060673</v>
      </c>
      <c r="V197" s="239">
        <f>IF(U197="","",IF($I$8="A",(RANK(U197,U$11:U$363)+COUNTIF(U$11:U197,U197)-1),(RANK(U197,U$11:U$363,1)+COUNTIF(U$11:U197,U197)-1)))</f>
        <v>2</v>
      </c>
      <c r="W197" s="240"/>
      <c r="X197" s="61" t="str">
        <f>IF(L197="","",VLOOKUP($L197,classifications!$C:$J,6,FALSE))</f>
        <v>Rural-80</v>
      </c>
      <c r="Y197" s="49">
        <f t="shared" si="60"/>
        <v>13.754559009060673</v>
      </c>
      <c r="Z197" s="57">
        <f>IF(Y197="","",IF(I$8="A",(RANK(Y197,Y$11:Y$363,1)+COUNTIF(Y$11:Y197,Y197)-1),(RANK(Y197,Y$11:Y$363)+COUNTIF(Y$11:Y197,Y197)-1)))</f>
        <v>47</v>
      </c>
      <c r="AA197" s="245" t="str">
        <f>IF(L197="","",VLOOKUP($L197,classifications!C:I,7,FALSE))</f>
        <v>Predominantly Rural</v>
      </c>
      <c r="AB197" s="239">
        <f t="shared" si="61"/>
        <v>13.754559009060673</v>
      </c>
      <c r="AC197" s="239">
        <f>IF(AB197="","",IF($I$8="A",(RANK(AB197,AB$11:AB$363)+COUNTIF(AB$11:AB197,AB197)-1),(RANK(AB197,AB$11:AB$363,1)+COUNTIF(AB$11:AB197,AB197)-1)))</f>
        <v>2</v>
      </c>
      <c r="AD197" s="239"/>
      <c r="AE197" s="51" t="str">
        <f t="shared" si="73"/>
        <v/>
      </c>
      <c r="AG197" s="143"/>
      <c r="AH197" s="52"/>
      <c r="AI197" s="61" t="str">
        <f>IF(L197="","",VLOOKUP($L197,classifications!$C:$J,8,FALSE))</f>
        <v>North Yorkshire</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Yorkshire &amp; Humberside</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4.0396610336502929</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7.3292522955837338</v>
      </c>
      <c r="G198" s="105"/>
      <c r="H198" s="60">
        <f t="shared" si="52"/>
        <v>7.3292522955837338</v>
      </c>
      <c r="I198" s="112">
        <f>IF(H198="","",IF($I$8="A",(RANK(H198,H$11:H$363,1)+COUNTIF(H$11:H198,H198)-1),(RANK(H198,H$11:H$363)+COUNTIF(H$11:H198,H198)-1)))</f>
        <v>116</v>
      </c>
      <c r="J198" s="58"/>
      <c r="K198" s="51">
        <f t="shared" si="66"/>
        <v>188</v>
      </c>
      <c r="L198" s="59" t="str">
        <f t="shared" si="53"/>
        <v>Ashfield</v>
      </c>
      <c r="M198" s="153">
        <f t="shared" si="57"/>
        <v>14.292982096487632</v>
      </c>
      <c r="N198" s="148">
        <f t="shared" si="58"/>
        <v>14.292982096487632</v>
      </c>
      <c r="O198" s="131" t="str">
        <f t="shared" si="54"/>
        <v/>
      </c>
      <c r="P198" s="131" t="str">
        <f t="shared" si="67"/>
        <v/>
      </c>
      <c r="Q198" s="131" t="str">
        <f t="shared" si="68"/>
        <v/>
      </c>
      <c r="R198" s="127">
        <f t="shared" si="69"/>
        <v>14.292982096487632</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Other Urban</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Nottinghamshire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East Midlands</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7.3292522955837338</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6.8791563074808479</v>
      </c>
      <c r="G199" s="105"/>
      <c r="H199" s="60" t="str">
        <f t="shared" si="52"/>
        <v/>
      </c>
      <c r="I199" s="112" t="str">
        <f>IF(H199="","",IF($I$8="A",(RANK(H199,H$11:H$363,1)+COUNTIF(H$11:H199,H199)-1),(RANK(H199,H$11:H$363)+COUNTIF(H$11:H199,H199)-1)))</f>
        <v/>
      </c>
      <c r="J199" s="58"/>
      <c r="K199" s="51">
        <f t="shared" si="66"/>
        <v>189</v>
      </c>
      <c r="L199" s="59" t="str">
        <f t="shared" si="53"/>
        <v>Charnwood</v>
      </c>
      <c r="M199" s="153">
        <f t="shared" si="57"/>
        <v>14.639803234078183</v>
      </c>
      <c r="N199" s="148">
        <f t="shared" si="58"/>
        <v>14.639803234078183</v>
      </c>
      <c r="O199" s="131" t="str">
        <f t="shared" si="54"/>
        <v/>
      </c>
      <c r="P199" s="131" t="str">
        <f t="shared" si="67"/>
        <v/>
      </c>
      <c r="Q199" s="131" t="str">
        <f t="shared" si="68"/>
        <v/>
      </c>
      <c r="R199" s="127">
        <f t="shared" si="69"/>
        <v>14.639803234078183</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Other Urban</v>
      </c>
      <c r="Y199" s="49" t="str">
        <f t="shared" si="60"/>
        <v/>
      </c>
      <c r="Z199" s="57" t="str">
        <f>IF(Y199="","",IF(I$8="A",(RANK(Y199,Y$11:Y$363,1)+COUNTIF(Y$11:Y199,Y199)-1),(RANK(Y199,Y$11:Y$363)+COUNTIF(Y$11:Y199,Y199)-1)))</f>
        <v/>
      </c>
      <c r="AA199" s="245" t="str">
        <f>IF(L199="","",VLOOKUP($L199,classifications!C:I,7,FALSE))</f>
        <v>Significant Rural</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Leicestershire</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East Midlands</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6.8791563074808479</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8.98118369006691</v>
      </c>
      <c r="G200" s="105"/>
      <c r="H200" s="60">
        <f t="shared" si="52"/>
        <v>8.98118369006691</v>
      </c>
      <c r="I200" s="112">
        <f>IF(H200="","",IF($I$8="A",(RANK(H200,H$11:H$363,1)+COUNTIF(H$11:H200,H200)-1),(RANK(H200,H$11:H$363)+COUNTIF(H$11:H200,H200)-1)))</f>
        <v>148</v>
      </c>
      <c r="J200" s="58"/>
      <c r="K200" s="51">
        <f t="shared" si="66"/>
        <v>190</v>
      </c>
      <c r="L200" s="59" t="str">
        <f t="shared" si="53"/>
        <v>Waveney</v>
      </c>
      <c r="M200" s="153">
        <f t="shared" si="57"/>
        <v>15.789827754306142</v>
      </c>
      <c r="N200" s="148">
        <f t="shared" si="58"/>
        <v>15.789827754306142</v>
      </c>
      <c r="O200" s="131" t="str">
        <f t="shared" si="54"/>
        <v/>
      </c>
      <c r="P200" s="131" t="str">
        <f t="shared" si="67"/>
        <v/>
      </c>
      <c r="Q200" s="131" t="str">
        <f t="shared" si="68"/>
        <v/>
      </c>
      <c r="R200" s="127">
        <f t="shared" si="69"/>
        <v>15.789827754306142</v>
      </c>
      <c r="S200" s="60" t="str">
        <f t="shared" si="59"/>
        <v/>
      </c>
      <c r="T200" s="231" t="str">
        <f>IF(L200="","",VLOOKUP(L200,classifications!C:K,9,FALSE))</f>
        <v>Sparse</v>
      </c>
      <c r="U200" s="238">
        <f t="shared" si="55"/>
        <v>15.789827754306142</v>
      </c>
      <c r="V200" s="239">
        <f>IF(U200="","",IF($I$8="A",(RANK(U200,U$11:U$363)+COUNTIF(U$11:U200,U200)-1),(RANK(U200,U$11:U$363,1)+COUNTIF(U$11:U200,U200)-1)))</f>
        <v>1</v>
      </c>
      <c r="W200" s="240"/>
      <c r="X200" s="61" t="str">
        <f>IF(L200="","",VLOOKUP($L200,classifications!$C:$J,6,FALSE))</f>
        <v>Significant Rural</v>
      </c>
      <c r="Y200" s="49" t="str">
        <f t="shared" si="60"/>
        <v/>
      </c>
      <c r="Z200" s="57" t="str">
        <f>IF(Y200="","",IF(I$8="A",(RANK(Y200,Y$11:Y$363,1)+COUNTIF(Y$11:Y200,Y200)-1),(RANK(Y200,Y$11:Y$363)+COUNTIF(Y$11:Y200,Y200)-1)))</f>
        <v/>
      </c>
      <c r="AA200" s="245" t="str">
        <f>IF(L200="","",VLOOKUP($L200,classifications!C:I,7,FALSE))</f>
        <v>Predominantly Rural</v>
      </c>
      <c r="AB200" s="239">
        <f t="shared" si="61"/>
        <v>15.789827754306142</v>
      </c>
      <c r="AC200" s="239">
        <f>IF(AB200="","",IF($I$8="A",(RANK(AB200,AB$11:AB$363)+COUNTIF(AB$11:AB200,AB200)-1),(RANK(AB200,AB$11:AB$363,1)+COUNTIF(AB$11:AB200,AB200)-1)))</f>
        <v>1</v>
      </c>
      <c r="AD200" s="239"/>
      <c r="AE200" s="51" t="str">
        <f t="shared" si="73"/>
        <v/>
      </c>
      <c r="AG200" s="143"/>
      <c r="AH200" s="52"/>
      <c r="AI200" s="61" t="str">
        <f>IF(L200="","",VLOOKUP($L200,classifications!$C:$J,8,FALSE))</f>
        <v>Suffolk</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East of England</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8.98118369006691</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7.5361547314103277</v>
      </c>
      <c r="G201" s="105"/>
      <c r="H201" s="60" t="str">
        <f t="shared" si="52"/>
        <v/>
      </c>
      <c r="I201" s="112" t="str">
        <f>IF(H201="","",IF($I$8="A",(RANK(H201,H$11:H$363,1)+COUNTIF(H$11:H201,H201)-1),(RANK(H201,H$11:H$363)+COUNTIF(H$11:H201,H201)-1)))</f>
        <v/>
      </c>
      <c r="J201" s="58"/>
      <c r="K201" s="51">
        <f t="shared" si="66"/>
        <v>191</v>
      </c>
      <c r="L201" s="59" t="str">
        <f t="shared" si="53"/>
        <v>Bromsgrove</v>
      </c>
      <c r="M201" s="153">
        <f t="shared" si="57"/>
        <v>16.128402903811253</v>
      </c>
      <c r="N201" s="148">
        <f t="shared" si="58"/>
        <v>16.128402903811253</v>
      </c>
      <c r="O201" s="131" t="str">
        <f t="shared" si="54"/>
        <v/>
      </c>
      <c r="P201" s="131" t="str">
        <f t="shared" si="67"/>
        <v/>
      </c>
      <c r="Q201" s="131" t="str">
        <f t="shared" si="68"/>
        <v/>
      </c>
      <c r="R201" s="127">
        <f t="shared" si="69"/>
        <v>16.128402903811253</v>
      </c>
      <c r="S201" s="60" t="str">
        <f t="shared" si="59"/>
        <v/>
      </c>
      <c r="T201" s="231">
        <f>IF(L201="","",VLOOKUP(L201,classifications!C:K,9,FALSE))</f>
        <v>0</v>
      </c>
      <c r="U201" s="238" t="str">
        <f t="shared" si="55"/>
        <v/>
      </c>
      <c r="V201" s="239" t="str">
        <f>IF(U201="","",IF($I$8="A",(RANK(U201,U$11:U$363)+COUNTIF(U$11:U201,U201)-1),(RANK(U201,U$11:U$363,1)+COUNTIF(U$11:U201,U201)-1)))</f>
        <v/>
      </c>
      <c r="W201" s="240"/>
      <c r="X201" s="61" t="str">
        <f>IF(L201="","",VLOOKUP($L201,classifications!$C:$J,6,FALSE))</f>
        <v>Significant Rural</v>
      </c>
      <c r="Y201" s="49" t="str">
        <f t="shared" si="60"/>
        <v/>
      </c>
      <c r="Z201" s="57" t="str">
        <f>IF(Y201="","",IF(I$8="A",(RANK(Y201,Y$11:Y$363,1)+COUNTIF(Y$11:Y201,Y201)-1),(RANK(Y201,Y$11:Y$363)+COUNTIF(Y$11:Y201,Y201)-1)))</f>
        <v/>
      </c>
      <c r="AA201" s="245" t="str">
        <f>IF(L201="","",VLOOKUP($L201,classifications!C:I,7,FALSE))</f>
        <v>Significant Rural</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Worcestershire</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West Midlands</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7.5361547314103277</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Watford</v>
      </c>
      <c r="M202" s="153">
        <f t="shared" si="57"/>
        <v>23.356147855654271</v>
      </c>
      <c r="N202" s="148">
        <f t="shared" si="58"/>
        <v>23.356147855654271</v>
      </c>
      <c r="O202" s="131" t="str">
        <f t="shared" si="54"/>
        <v/>
      </c>
      <c r="P202" s="131" t="str">
        <f t="shared" si="67"/>
        <v/>
      </c>
      <c r="Q202" s="131" t="str">
        <f t="shared" si="68"/>
        <v/>
      </c>
      <c r="R202" s="127">
        <f t="shared" si="69"/>
        <v>23.356147855654271</v>
      </c>
      <c r="S202" s="60" t="str">
        <f t="shared" si="59"/>
        <v/>
      </c>
      <c r="T202" s="231">
        <f>IF(L202="","",VLOOKUP(L202,classifications!C:K,9,FALSE))</f>
        <v>0</v>
      </c>
      <c r="U202" s="238" t="str">
        <f t="shared" si="55"/>
        <v/>
      </c>
      <c r="V202" s="239" t="str">
        <f>IF(U202="","",IF($I$8="A",(RANK(U202,U$11:U$363)+COUNTIF(U$11:U202,U202)-1),(RANK(U202,U$11:U$363,1)+COUNTIF(U$11:U202,U202)-1)))</f>
        <v/>
      </c>
      <c r="W202" s="240"/>
      <c r="X202" s="61" t="str">
        <f>IF(L202="","",VLOOKUP($L202,classifications!$C:$J,6,FALSE))</f>
        <v>Major Urban</v>
      </c>
      <c r="Y202" s="49" t="str">
        <f t="shared" si="60"/>
        <v/>
      </c>
      <c r="Z202" s="57" t="str">
        <f>IF(Y202="","",IF(I$8="A",(RANK(Y202,Y$11:Y$363,1)+COUNTIF(Y$11:Y202,Y202)-1),(RANK(Y202,Y$11:Y$363)+COUNTIF(Y$11:Y202,Y202)-1)))</f>
        <v/>
      </c>
      <c r="AA202" s="245" t="str">
        <f>IF(L202="","",VLOOKUP($L202,classifications!C:I,7,FALSE))</f>
        <v>Predominantly Urban</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Hertfordshire</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East of England</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5.0284566454636757</v>
      </c>
      <c r="G203" s="105"/>
      <c r="H203" s="60">
        <f t="shared" ref="H203:H266" si="75">IF(D203=$D$1,HLOOKUP($D$6,$AX$10:$ZZ$363,ROW()-9,FALSE),"")</f>
        <v>5.0284566454636757</v>
      </c>
      <c r="I203" s="112">
        <f>IF(H203="","",IF($I$8="A",(RANK(H203,H$11:H$363,1)+COUNTIF(H$11:H203,H203)-1),(RANK(H203,H$11:H$363)+COUNTIF(H$11:H203,H203)-1)))</f>
        <v>40</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5.0284566454636757</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7.9104083031430532</v>
      </c>
      <c r="G204" s="105"/>
      <c r="H204" s="60">
        <f t="shared" si="75"/>
        <v>7.9104083031430532</v>
      </c>
      <c r="I204" s="112">
        <f>IF(H204="","",IF($I$8="A",(RANK(H204,H$11:H$363,1)+COUNTIF(H$11:H204,H204)-1),(RANK(H204,H$11:H$363)+COUNTIF(H$11:H204,H204)-1)))</f>
        <v>131</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7.9104083031430532</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7.0662689664116201</v>
      </c>
      <c r="G205" s="105"/>
      <c r="H205" s="60">
        <f t="shared" si="75"/>
        <v>7.0662689664116201</v>
      </c>
      <c r="I205" s="112">
        <f>IF(H205="","",IF($I$8="A",(RANK(H205,H$11:H$363,1)+COUNTIF(H$11:H205,H205)-1),(RANK(H205,H$11:H$363)+COUNTIF(H$11:H205,H205)-1)))</f>
        <v>105</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7.0662689664116201</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12.03570506070059</v>
      </c>
      <c r="G206" s="105"/>
      <c r="H206" s="60" t="str">
        <f t="shared" si="75"/>
        <v/>
      </c>
      <c r="I206" s="112" t="str">
        <f>IF(H206="","",IF($I$8="A",(RANK(H206,H$11:H$363,1)+COUNTIF(H$11:H206,H206)-1),(RANK(H206,H$11:H$363)+COUNTIF(H$11:H206,H206)-1)))</f>
        <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12.03570506070059</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6.8188577811910909</v>
      </c>
      <c r="G207" s="105"/>
      <c r="H207" s="60">
        <f t="shared" si="75"/>
        <v>6.8188577811910909</v>
      </c>
      <c r="I207" s="112">
        <f>IF(H207="","",IF($I$8="A",(RANK(H207,H$11:H$363,1)+COUNTIF(H$11:H207,H207)-1),(RANK(H207,H$11:H$363)+COUNTIF(H$11:H207,H207)-1)))</f>
        <v>92</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6.8188577811910909</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4.9679826270950498</v>
      </c>
      <c r="G208" s="105"/>
      <c r="H208" s="60">
        <f t="shared" si="75"/>
        <v>4.9679826270950498</v>
      </c>
      <c r="I208" s="112">
        <f>IF(H208="","",IF($I$8="A",(RANK(H208,H$11:H$363,1)+COUNTIF(H$11:H208,H208)-1),(RANK(H208,H$11:H$363)+COUNTIF(H$11:H208,H208)-1)))</f>
        <v>37</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4.9679826270950498</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t="str">
        <f t="shared" si="74"/>
        <v/>
      </c>
      <c r="G209" s="105"/>
      <c r="H209" s="60" t="str">
        <f t="shared" si="75"/>
        <v/>
      </c>
      <c r="I209" s="112" t="str">
        <f>IF(H209="","",IF($I$8="A",(RANK(H209,H$11:H$363,1)+COUNTIF(H$11:H209,H209)-1),(RANK(H209,H$11:H$363)+COUNTIF(H$11:H209,H209)-1)))</f>
        <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t="str">
        <f>HLOOKUP($AX$9&amp;$AX$10,Data!$A$1:$ZZ$2000,(MATCH($C209,Data!$A$1:$A$2000,0)),FALSE)</f>
        <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t="str">
        <f t="shared" si="74"/>
        <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t="str">
        <f>HLOOKUP($AX$9&amp;$AX$10,Data!$A$1:$ZZ$2000,(MATCH($C210,Data!$A$1:$A$2000,0)),FALSE)</f>
        <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5.1375173050299958</v>
      </c>
      <c r="G211" s="105"/>
      <c r="H211" s="60" t="str">
        <f t="shared" si="75"/>
        <v/>
      </c>
      <c r="I211" s="112" t="str">
        <f>IF(H211="","",IF($I$8="A",(RANK(H211,H$11:H$363,1)+COUNTIF(H$11:H211,H211)-1),(RANK(H211,H$11:H$363)+COUNTIF(H$11:H211,H211)-1)))</f>
        <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5.1375173050299958</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9.8923141814447355</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9.8923141814447355</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5.3113094690346925</v>
      </c>
      <c r="G213" s="105"/>
      <c r="H213" s="60">
        <f t="shared" si="75"/>
        <v>5.3113094690346925</v>
      </c>
      <c r="I213" s="112">
        <f>IF(H213="","",IF($I$8="A",(RANK(H213,H$11:H$363,1)+COUNTIF(H$11:H213,H213)-1),(RANK(H213,H$11:H$363)+COUNTIF(H$11:H213,H213)-1)))</f>
        <v>48</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5.3113094690346925</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7.1450692109173382</v>
      </c>
      <c r="G214" s="105"/>
      <c r="H214" s="60">
        <f t="shared" si="75"/>
        <v>7.1450692109173382</v>
      </c>
      <c r="I214" s="112">
        <f>IF(H214="","",IF($I$8="A",(RANK(H214,H$11:H$363,1)+COUNTIF(H$11:H214,H214)-1),(RANK(H214,H$11:H$363)+COUNTIF(H$11:H214,H214)-1)))</f>
        <v>109</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7.1450692109173382</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8.5021167029981353</v>
      </c>
      <c r="G216" s="105"/>
      <c r="H216" s="60">
        <f t="shared" si="75"/>
        <v>8.5021167029981353</v>
      </c>
      <c r="I216" s="112">
        <f>IF(H216="","",IF($I$8="A",(RANK(H216,H$11:H$363,1)+COUNTIF(H$11:H216,H216)-1),(RANK(H216,H$11:H$363)+COUNTIF(H$11:H216,H216)-1)))</f>
        <v>141</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8.5021167029981353</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6.2896981916703423</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6.2896981916703423</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13.44885164494103</v>
      </c>
      <c r="G219" s="105"/>
      <c r="H219" s="60">
        <f t="shared" si="75"/>
        <v>13.44885164494103</v>
      </c>
      <c r="I219" s="112">
        <f>IF(H219="","",IF($I$8="A",(RANK(H219,H$11:H$363,1)+COUNTIF(H$11:H219,H219)-1),(RANK(H219,H$11:H$363)+COUNTIF(H$11:H219,H219)-1)))</f>
        <v>186</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13.44885164494103</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7.3195143849787252</v>
      </c>
      <c r="G221" s="105"/>
      <c r="H221" s="60">
        <f t="shared" si="75"/>
        <v>7.3195143849787252</v>
      </c>
      <c r="I221" s="112">
        <f>IF(H221="","",IF($I$8="A",(RANK(H221,H$11:H$363,1)+COUNTIF(H$11:H221,H221)-1),(RANK(H221,H$11:H$363)+COUNTIF(H$11:H221,H221)-1)))</f>
        <v>115</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7.3195143849787252</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5.5815371525808279</v>
      </c>
      <c r="G222" s="105"/>
      <c r="H222" s="60">
        <f t="shared" si="75"/>
        <v>5.5815371525808279</v>
      </c>
      <c r="I222" s="112">
        <f>IF(H222="","",IF($I$8="A",(RANK(H222,H$11:H$363,1)+COUNTIF(H$11:H222,H222)-1),(RANK(H222,H$11:H$363)+COUNTIF(H$11:H222,H222)-1)))</f>
        <v>56</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5.5815371525808279</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6.8471926616505288</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6.8471926616505288</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8.1518984120521178</v>
      </c>
      <c r="G224" s="105"/>
      <c r="H224" s="60">
        <f t="shared" si="75"/>
        <v>8.1518984120521178</v>
      </c>
      <c r="I224" s="112">
        <f>IF(H224="","",IF($I$8="A",(RANK(H224,H$11:H$363,1)+COUNTIF(H$11:H224,H224)-1),(RANK(H224,H$11:H$363)+COUNTIF(H$11:H224,H224)-1)))</f>
        <v>136</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8.1518984120521178</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6.87052</v>
      </c>
      <c r="G226" s="105"/>
      <c r="H226" s="60">
        <f t="shared" si="75"/>
        <v>6.87052</v>
      </c>
      <c r="I226" s="112">
        <f>IF(H226="","",IF($I$8="A",(RANK(H226,H$11:H$363,1)+COUNTIF(H$11:H226,H226)-1),(RANK(H226,H$11:H$363)+COUNTIF(H$11:H226,H226)-1)))</f>
        <v>95</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6.87052</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22.69448711814038</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22.69448711814038</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7.5532974790982506</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7.5532974790982506</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10.787436662234521</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10.787436662234521</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9.3762941993656792</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9.3762941993656792</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9.2943856742289057</v>
      </c>
      <c r="G231" s="105"/>
      <c r="H231" s="60">
        <f t="shared" si="75"/>
        <v>9.2943856742289057</v>
      </c>
      <c r="I231" s="112">
        <f>IF(H231="","",IF($I$8="A",(RANK(H231,H$11:H$363,1)+COUNTIF(H$11:H231,H231)-1),(RANK(H231,H$11:H$363)+COUNTIF(H$11:H231,H231)-1)))</f>
        <v>153</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9.2943856742289057</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7.2417544265709983</v>
      </c>
      <c r="G232" s="105"/>
      <c r="H232" s="60">
        <f t="shared" si="75"/>
        <v>7.2417544265709983</v>
      </c>
      <c r="I232" s="112">
        <f>IF(H232="","",IF($I$8="A",(RANK(H232,H$11:H$363,1)+COUNTIF(H$11:H232,H232)-1),(RANK(H232,H$11:H$363)+COUNTIF(H$11:H232,H232)-1)))</f>
        <v>113</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7.2417544265709983</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11.990735682915638</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11.990735682915638</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4.5181465418854145</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4.5181465418854145</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7.9200881466017163</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7.9200881466017163</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4.591202399345633</v>
      </c>
      <c r="G236" s="105"/>
      <c r="H236" s="60">
        <f t="shared" si="75"/>
        <v>4.591202399345633</v>
      </c>
      <c r="I236" s="112">
        <f>IF(H236="","",IF($I$8="A",(RANK(H236,H$11:H$363,1)+COUNTIF(H$11:H236,H236)-1),(RANK(H236,H$11:H$363)+COUNTIF(H$11:H236,H236)-1)))</f>
        <v>28</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4.591202399345633</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5.4934971404363484</v>
      </c>
      <c r="G237" s="105"/>
      <c r="H237" s="60">
        <f t="shared" si="75"/>
        <v>5.4934971404363484</v>
      </c>
      <c r="I237" s="112">
        <f>IF(H237="","",IF($I$8="A",(RANK(H237,H$11:H$363,1)+COUNTIF(H$11:H237,H237)-1),(RANK(H237,H$11:H$363)+COUNTIF(H$11:H237,H237)-1)))</f>
        <v>54</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5.4934971404363484</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6.8634482758620692</v>
      </c>
      <c r="G238" s="105"/>
      <c r="H238" s="60">
        <f t="shared" si="75"/>
        <v>6.8634482758620692</v>
      </c>
      <c r="I238" s="112">
        <f>IF(H238="","",IF($I$8="A",(RANK(H238,H$11:H$363,1)+COUNTIF(H$11:H238,H238)-1),(RANK(H238,H$11:H$363)+COUNTIF(H$11:H238,H238)-1)))</f>
        <v>94</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6.8634482758620692</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6.7920499716070415</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6.7920499716070415</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t="str">
        <f t="shared" si="74"/>
        <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t="str">
        <f>HLOOKUP($AX$9&amp;$AX$10,Data!$A$1:$ZZ$2000,(MATCH($C240,Data!$A$1:$A$2000,0)),FALSE)</f>
        <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14.027802255111766</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14.027802255111766</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9.253033472803347</v>
      </c>
      <c r="G242" s="105"/>
      <c r="H242" s="60">
        <f t="shared" si="75"/>
        <v>9.253033472803347</v>
      </c>
      <c r="I242" s="112">
        <f>IF(H242="","",IF($I$8="A",(RANK(H242,H$11:H$363,1)+COUNTIF(H$11:H242,H242)-1),(RANK(H242,H$11:H$363)+COUNTIF(H$11:H242,H242)-1)))</f>
        <v>151</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9.253033472803347</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6.3330967741935487</v>
      </c>
      <c r="G243" s="105"/>
      <c r="H243" s="60">
        <f t="shared" si="75"/>
        <v>6.3330967741935487</v>
      </c>
      <c r="I243" s="112">
        <f>IF(H243="","",IF($I$8="A",(RANK(H243,H$11:H$363,1)+COUNTIF(H$11:H243,H243)-1),(RANK(H243,H$11:H$363)+COUNTIF(H$11:H243,H243)-1)))</f>
        <v>80</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6.3330967741935487</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11.180386673151752</v>
      </c>
      <c r="G244" s="105"/>
      <c r="H244" s="60">
        <f t="shared" si="75"/>
        <v>11.180386673151752</v>
      </c>
      <c r="I244" s="112">
        <f>IF(H244="","",IF($I$8="A",(RANK(H244,H$11:H$363,1)+COUNTIF(H$11:H244,H244)-1),(RANK(H244,H$11:H$363)+COUNTIF(H$11:H244,H244)-1)))</f>
        <v>174</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11.180386673151752</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6.6859978740733581</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6.6859978740733581</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8.8856982927511901</v>
      </c>
      <c r="G246" s="105"/>
      <c r="H246" s="60">
        <f t="shared" si="75"/>
        <v>8.8856982927511901</v>
      </c>
      <c r="I246" s="112">
        <f>IF(H246="","",IF($I$8="A",(RANK(H246,H$11:H$363,1)+COUNTIF(H$11:H246,H246)-1),(RANK(H246,H$11:H$363)+COUNTIF(H$11:H246,H246)-1)))</f>
        <v>146</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8.8856982927511901</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2.9632132610774624</v>
      </c>
      <c r="G247" s="105"/>
      <c r="H247" s="60">
        <f t="shared" si="75"/>
        <v>2.9632132610774624</v>
      </c>
      <c r="I247" s="112">
        <f>IF(H247="","",IF($I$8="A",(RANK(H247,H$11:H$363,1)+COUNTIF(H$11:H247,H247)-1),(RANK(H247,H$11:H$363)+COUNTIF(H$11:H247,H247)-1)))</f>
        <v>8</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2.9632132610774624</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3.466943866943867</v>
      </c>
      <c r="G248" s="105"/>
      <c r="H248" s="60">
        <f t="shared" si="75"/>
        <v>3.466943866943867</v>
      </c>
      <c r="I248" s="112">
        <f>IF(H248="","",IF($I$8="A",(RANK(H248,H$11:H$363,1)+COUNTIF(H$11:H248,H248)-1),(RANK(H248,H$11:H$363)+COUNTIF(H$11:H248,H248)-1)))</f>
        <v>10</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3.466943866943867</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1.4250348135540771</v>
      </c>
      <c r="G249" s="105"/>
      <c r="H249" s="60">
        <f t="shared" si="75"/>
        <v>1.4250348135540771</v>
      </c>
      <c r="I249" s="112">
        <f>IF(H249="","",IF($I$8="A",(RANK(H249,H$11:H$363,1)+COUNTIF(H$11:H249,H249)-1),(RANK(H249,H$11:H$363)+COUNTIF(H$11:H249,H249)-1)))</f>
        <v>1</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1.4250348135540771</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5.6495946213169868</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5.6495946213169868</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13.754559009060673</v>
      </c>
      <c r="G251" s="105"/>
      <c r="H251" s="60">
        <f t="shared" si="75"/>
        <v>13.754559009060673</v>
      </c>
      <c r="I251" s="112">
        <f>IF(H251="","",IF($I$8="A",(RANK(H251,H$11:H$363,1)+COUNTIF(H$11:H251,H251)-1),(RANK(H251,H$11:H$363)+COUNTIF(H$11:H251,H251)-1)))</f>
        <v>187</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13.754559009060673</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8.1890497505762969</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8.1890497505762969</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7.102816459009528</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7.102816459009528</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6.3579752736116744</v>
      </c>
      <c r="G254" s="105"/>
      <c r="H254" s="60">
        <f t="shared" si="75"/>
        <v>6.3579752736116744</v>
      </c>
      <c r="I254" s="112">
        <f>IF(H254="","",IF($I$8="A",(RANK(H254,H$11:H$363,1)+COUNTIF(H$11:H254,H254)-1),(RANK(H254,H$11:H$363)+COUNTIF(H$11:H254,H254)-1)))</f>
        <v>81</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6.3579752736116744</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4.5784836987975046</v>
      </c>
      <c r="G255" s="105"/>
      <c r="H255" s="60">
        <f t="shared" si="75"/>
        <v>4.5784836987975046</v>
      </c>
      <c r="I255" s="112">
        <f>IF(H255="","",IF($I$8="A",(RANK(H255,H$11:H$363,1)+COUNTIF(H$11:H255,H255)-1),(RANK(H255,H$11:H$363)+COUNTIF(H$11:H255,H255)-1)))</f>
        <v>27</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4.5784836987975046</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17.044834346991038</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17.044834346991038</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f>VLOOKUP(C257,classifications!C:K,9,FALSE)</f>
        <v>0</v>
      </c>
      <c r="F257" s="59">
        <f t="shared" si="74"/>
        <v>5.166774089590719</v>
      </c>
      <c r="G257" s="105"/>
      <c r="H257" s="60">
        <f t="shared" si="75"/>
        <v>5.166774089590719</v>
      </c>
      <c r="I257" s="112">
        <f>IF(H257="","",IF($I$8="A",(RANK(H257,H$11:H$363,1)+COUNTIF(H$11:H257,H257)-1),(RANK(H257,H$11:H$363)+COUNTIF(H$11:H257,H257)-1)))</f>
        <v>46</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5.166774089590719</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9.710198431010614</v>
      </c>
      <c r="G258" s="105"/>
      <c r="H258" s="60">
        <f t="shared" si="75"/>
        <v>9.710198431010614</v>
      </c>
      <c r="I258" s="112">
        <f>IF(H258="","",IF($I$8="A",(RANK(H258,H$11:H$363,1)+COUNTIF(H$11:H258,H258)-1),(RANK(H258,H$11:H$363)+COUNTIF(H$11:H258,H258)-1)))</f>
        <v>155</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9.710198431010614</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10.227885144486502</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10.227885144486502</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4.3933456361267913</v>
      </c>
      <c r="G260" s="105"/>
      <c r="H260" s="60">
        <f t="shared" si="75"/>
        <v>4.3933456361267913</v>
      </c>
      <c r="I260" s="112">
        <f>IF(H260="","",IF($I$8="A",(RANK(H260,H$11:H$363,1)+COUNTIF(H$11:H260,H260)-1),(RANK(H260,H$11:H$363)+COUNTIF(H$11:H260,H260)-1)))</f>
        <v>25</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4.3933456361267913</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8.7791826597426059</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8.7791826597426059</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8.5039151427213362</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8.5039151427213362</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8.7330109744246123</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8.7330109744246123</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6.9685308705318967</v>
      </c>
      <c r="G265" s="105"/>
      <c r="H265" s="60">
        <f t="shared" si="75"/>
        <v>6.9685308705318967</v>
      </c>
      <c r="I265" s="112">
        <f>IF(H265="","",IF($I$8="A",(RANK(H265,H$11:H$363,1)+COUNTIF(H$11:H265,H265)-1),(RANK(H265,H$11:H$363)+COUNTIF(H$11:H265,H265)-1)))</f>
        <v>99</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6.9685308705318967</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7.7518356265811068</v>
      </c>
      <c r="G266" s="105"/>
      <c r="H266" s="60">
        <f t="shared" si="75"/>
        <v>7.7518356265811068</v>
      </c>
      <c r="I266" s="112">
        <f>IF(H266="","",IF($I$8="A",(RANK(H266,H$11:H$363,1)+COUNTIF(H$11:H266,H266)-1),(RANK(H266,H$11:H$363)+COUNTIF(H$11:H266,H266)-1)))</f>
        <v>126</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7.7518356265811068</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10.725261108160737</v>
      </c>
      <c r="G267" s="105"/>
      <c r="H267" s="60">
        <f t="shared" ref="H267:H330" si="99">IF(D267=$D$1,HLOOKUP($D$6,$AX$10:$ZZ$363,ROW()-9,FALSE),"")</f>
        <v>10.725261108160737</v>
      </c>
      <c r="I267" s="112">
        <f>IF(H267="","",IF($I$8="A",(RANK(H267,H$11:H$363,1)+COUNTIF(H$11:H267,H267)-1),(RANK(H267,H$11:H$363)+COUNTIF(H$11:H267,H267)-1)))</f>
        <v>168</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10.725261108160737</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9.1667596668526663</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9.1667596668526663</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7.1255790866975515</v>
      </c>
      <c r="G269" s="105"/>
      <c r="H269" s="60">
        <f t="shared" si="99"/>
        <v>7.1255790866975515</v>
      </c>
      <c r="I269" s="112">
        <f>IF(H269="","",IF($I$8="A",(RANK(H269,H$11:H$363,1)+COUNTIF(H$11:H269,H269)-1),(RANK(H269,H$11:H$363)+COUNTIF(H$11:H269,H269)-1)))</f>
        <v>108</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7.1255790866975515</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11.597382545401073</v>
      </c>
      <c r="G270" s="105"/>
      <c r="H270" s="60">
        <f t="shared" si="99"/>
        <v>11.597382545401073</v>
      </c>
      <c r="I270" s="112">
        <f>IF(H270="","",IF($I$8="A",(RANK(H270,H$11:H$363,1)+COUNTIF(H$11:H270,H270)-1),(RANK(H270,H$11:H$363)+COUNTIF(H$11:H270,H270)-1)))</f>
        <v>178</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11.597382545401073</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3.8215256477394579</v>
      </c>
      <c r="G271" s="105"/>
      <c r="H271" s="60">
        <f t="shared" si="99"/>
        <v>3.8215256477394579</v>
      </c>
      <c r="I271" s="112">
        <f>IF(H271="","",IF($I$8="A",(RANK(H271,H$11:H$363,1)+COUNTIF(H$11:H271,H271)-1),(RANK(H271,H$11:H$363)+COUNTIF(H$11:H271,H271)-1)))</f>
        <v>13</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3.8215256477394579</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9.7799246317231923</v>
      </c>
      <c r="G272" s="105"/>
      <c r="H272" s="60">
        <f t="shared" si="99"/>
        <v>9.7799246317231923</v>
      </c>
      <c r="I272" s="112">
        <f>IF(H272="","",IF($I$8="A",(RANK(H272,H$11:H$363,1)+COUNTIF(H$11:H272,H272)-1),(RANK(H272,H$11:H$363)+COUNTIF(H$11:H272,H272)-1)))</f>
        <v>157</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9.7799246317231923</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4.0574549581500925</v>
      </c>
      <c r="G273" s="105"/>
      <c r="H273" s="60">
        <f t="shared" si="99"/>
        <v>4.0574549581500925</v>
      </c>
      <c r="I273" s="112">
        <f>IF(H273="","",IF($I$8="A",(RANK(H273,H$11:H$363,1)+COUNTIF(H$11:H273,H273)-1),(RANK(H273,H$11:H$363)+COUNTIF(H$11:H273,H273)-1)))</f>
        <v>20</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4.0574549581500925</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2.9200943149069949</v>
      </c>
      <c r="G274" s="105"/>
      <c r="H274" s="60">
        <f t="shared" si="99"/>
        <v>2.9200943149069949</v>
      </c>
      <c r="I274" s="112">
        <f>IF(H274="","",IF($I$8="A",(RANK(H274,H$11:H$363,1)+COUNTIF(H$11:H274,H274)-1),(RANK(H274,H$11:H$363)+COUNTIF(H$11:H274,H274)-1)))</f>
        <v>7</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2.9200943149069949</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t="str">
        <f t="shared" si="98"/>
        <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t="str">
        <f>HLOOKUP($AX$9&amp;$AX$10,Data!$A$1:$ZZ$2000,(MATCH($C275,Data!$A$1:$A$2000,0)),FALSE)</f>
        <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8.818432374294165</v>
      </c>
      <c r="G276" s="105"/>
      <c r="H276" s="60">
        <f t="shared" si="99"/>
        <v>8.818432374294165</v>
      </c>
      <c r="I276" s="112">
        <f>IF(H276="","",IF($I$8="A",(RANK(H276,H$11:H$363,1)+COUNTIF(H$11:H276,H276)-1),(RANK(H276,H$11:H$363)+COUNTIF(H$11:H276,H276)-1)))</f>
        <v>145</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8.818432374294165</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6.2872034079821031</v>
      </c>
      <c r="G277" s="105"/>
      <c r="H277" s="60">
        <f t="shared" si="99"/>
        <v>6.2872034079821031</v>
      </c>
      <c r="I277" s="112">
        <f>IF(H277="","",IF($I$8="A",(RANK(H277,H$11:H$363,1)+COUNTIF(H$11:H277,H277)-1),(RANK(H277,H$11:H$363)+COUNTIF(H$11:H277,H277)-1)))</f>
        <v>79</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6.2872034079821031</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3.8480672500516779</v>
      </c>
      <c r="G278" s="105"/>
      <c r="H278" s="60">
        <f t="shared" si="99"/>
        <v>3.8480672500516779</v>
      </c>
      <c r="I278" s="112">
        <f>IF(H278="","",IF($I$8="A",(RANK(H278,H$11:H$363,1)+COUNTIF(H$11:H278,H278)-1),(RANK(H278,H$11:H$363)+COUNTIF(H$11:H278,H278)-1)))</f>
        <v>15</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3.8480672500516779</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10.235200132799369</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10.235200132799369</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7.577879049456687</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7.577879049456687</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8.1378844321233643</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8.1378844321233643</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7.9492104923292342</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7.9492104923292342</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9.8204052098408106</v>
      </c>
      <c r="G283" s="105"/>
      <c r="H283" s="60">
        <f t="shared" si="99"/>
        <v>9.8204052098408106</v>
      </c>
      <c r="I283" s="112">
        <f>IF(H283="","",IF($I$8="A",(RANK(H283,H$11:H$363,1)+COUNTIF(H$11:H283,H283)-1),(RANK(H283,H$11:H$363)+COUNTIF(H$11:H283,H283)-1)))</f>
        <v>158</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9.8204052098408106</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11.189828639683926</v>
      </c>
      <c r="G284" s="105"/>
      <c r="H284" s="60">
        <f t="shared" si="99"/>
        <v>11.189828639683926</v>
      </c>
      <c r="I284" s="112">
        <f>IF(H284="","",IF($I$8="A",(RANK(H284,H$11:H$363,1)+COUNTIF(H$11:H284,H284)-1),(RANK(H284,H$11:H$363)+COUNTIF(H$11:H284,H284)-1)))</f>
        <v>175</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11.189828639683926</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4.329063375168551</v>
      </c>
      <c r="G285" s="105"/>
      <c r="H285" s="60">
        <f t="shared" si="99"/>
        <v>4.329063375168551</v>
      </c>
      <c r="I285" s="112">
        <f>IF(H285="","",IF($I$8="A",(RANK(H285,H$11:H$363,1)+COUNTIF(H$11:H285,H285)-1),(RANK(H285,H$11:H$363)+COUNTIF(H$11:H285,H285)-1)))</f>
        <v>24</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4.329063375168551</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8.3501127836854945</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8.3501127836854945</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7.8723311966841774</v>
      </c>
      <c r="G287" s="105"/>
      <c r="H287" s="60">
        <f t="shared" si="99"/>
        <v>7.8723311966841774</v>
      </c>
      <c r="I287" s="112">
        <f>IF(H287="","",IF($I$8="A",(RANK(H287,H$11:H$363,1)+COUNTIF(H$11:H287,H287)-1),(RANK(H287,H$11:H$363)+COUNTIF(H$11:H287,H287)-1)))</f>
        <v>129</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7.8723311966841774</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5.8687818253035644</v>
      </c>
      <c r="G289" s="105"/>
      <c r="H289" s="60">
        <f t="shared" si="99"/>
        <v>5.8687818253035644</v>
      </c>
      <c r="I289" s="112">
        <f>IF(H289="","",IF($I$8="A",(RANK(H289,H$11:H$363,1)+COUNTIF(H$11:H289,H289)-1),(RANK(H289,H$11:H$363)+COUNTIF(H$11:H289,H289)-1)))</f>
        <v>70</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5.8687818253035644</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10.908317143121472</v>
      </c>
      <c r="G290" s="105"/>
      <c r="H290" s="60">
        <f t="shared" si="99"/>
        <v>10.908317143121472</v>
      </c>
      <c r="I290" s="112">
        <f>IF(H290="","",IF($I$8="A",(RANK(H290,H$11:H$363,1)+COUNTIF(H$11:H290,H290)-1),(RANK(H290,H$11:H$363)+COUNTIF(H$11:H290,H290)-1)))</f>
        <v>171</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10.908317143121472</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7.9645177693655009</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7.9645177693655009</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6.8886995936230075</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6.8886995936230075</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9.5512518483246041</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9.5512518483246041</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7.0145889241278363</v>
      </c>
      <c r="G294" s="105"/>
      <c r="H294" s="60">
        <f t="shared" si="99"/>
        <v>7.0145889241278363</v>
      </c>
      <c r="I294" s="112">
        <f>IF(H294="","",IF($I$8="A",(RANK(H294,H$11:H$363,1)+COUNTIF(H$11:H294,H294)-1),(RANK(H294,H$11:H$363)+COUNTIF(H$11:H294,H294)-1)))</f>
        <v>104</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7.0145889241278363</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6.2665420172431698</v>
      </c>
      <c r="G295" s="105"/>
      <c r="H295" s="60">
        <f t="shared" si="99"/>
        <v>6.2665420172431698</v>
      </c>
      <c r="I295" s="112">
        <f>IF(H295="","",IF($I$8="A",(RANK(H295,H$11:H$363,1)+COUNTIF(H$11:H295,H295)-1),(RANK(H295,H$11:H$363)+COUNTIF(H$11:H295,H295)-1)))</f>
        <v>77</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6.2665420172431698</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8.0159323687205326</v>
      </c>
      <c r="G297" s="105"/>
      <c r="H297" s="60">
        <f t="shared" si="99"/>
        <v>8.0159323687205326</v>
      </c>
      <c r="I297" s="112">
        <f>IF(H297="","",IF($I$8="A",(RANK(H297,H$11:H$363,1)+COUNTIF(H$11:H297,H297)-1),(RANK(H297,H$11:H$363)+COUNTIF(H$11:H297,H297)-1)))</f>
        <v>134</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8.0159323687205326</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7.8425277662049977</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7.8425277662049977</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8.1869023471457556</v>
      </c>
      <c r="G300" s="105"/>
      <c r="H300" s="60">
        <f t="shared" si="99"/>
        <v>8.1869023471457556</v>
      </c>
      <c r="I300" s="112">
        <f>IF(H300="","",IF($I$8="A",(RANK(H300,H$11:H$363,1)+COUNTIF(H$11:H300,H300)-1),(RANK(H300,H$11:H$363)+COUNTIF(H$11:H300,H300)-1)))</f>
        <v>138</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8.1869023471457556</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6.0541734638390432</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6.0541734638390432</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6.3791605084244756</v>
      </c>
      <c r="G302" s="105"/>
      <c r="H302" s="60">
        <f t="shared" si="99"/>
        <v>6.3791605084244756</v>
      </c>
      <c r="I302" s="112">
        <f>IF(H302="","",IF($I$8="A",(RANK(H302,H$11:H$363,1)+COUNTIF(H$11:H302,H302)-1),(RANK(H302,H$11:H$363)+COUNTIF(H$11:H302,H302)-1)))</f>
        <v>82</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6.3791605084244756</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5.0300970146458406</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5.0300970146458406</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18.375019153174318</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18.375019153174318</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10.22347475575596</v>
      </c>
      <c r="G305" s="105"/>
      <c r="H305" s="60">
        <f t="shared" si="99"/>
        <v>10.22347475575596</v>
      </c>
      <c r="I305" s="112">
        <f>IF(H305="","",IF($I$8="A",(RANK(H305,H$11:H$363,1)+COUNTIF(H$11:H305,H305)-1),(RANK(H305,H$11:H$363)+COUNTIF(H$11:H305,H305)-1)))</f>
        <v>161</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10.22347475575596</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6.5627851401260049</v>
      </c>
      <c r="G306" s="105"/>
      <c r="H306" s="60">
        <f t="shared" si="99"/>
        <v>6.5627851401260049</v>
      </c>
      <c r="I306" s="112">
        <f>IF(H306="","",IF($I$8="A",(RANK(H306,H$11:H$363,1)+COUNTIF(H$11:H306,H306)-1),(RANK(H306,H$11:H$363)+COUNTIF(H$11:H306,H306)-1)))</f>
        <v>86</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6.5627851401260049</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4.2906208198914157</v>
      </c>
      <c r="G307" s="105"/>
      <c r="H307" s="60">
        <f t="shared" si="99"/>
        <v>4.2906208198914157</v>
      </c>
      <c r="I307" s="112">
        <f>IF(H307="","",IF($I$8="A",(RANK(H307,H$11:H$363,1)+COUNTIF(H$11:H307,H307)-1),(RANK(H307,H$11:H$363)+COUNTIF(H$11:H307,H307)-1)))</f>
        <v>22</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4.2906208198914157</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5.1312144486936404</v>
      </c>
      <c r="G308" s="105"/>
      <c r="H308" s="60">
        <f t="shared" si="99"/>
        <v>5.1312144486936404</v>
      </c>
      <c r="I308" s="112">
        <f>IF(H308="","",IF($I$8="A",(RANK(H308,H$11:H$363,1)+COUNTIF(H$11:H308,H308)-1),(RANK(H308,H$11:H$363)+COUNTIF(H$11:H308,H308)-1)))</f>
        <v>43</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5.1312144486936404</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5.6698552333774606</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5.6698552333774606</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2.7058096415327566</v>
      </c>
      <c r="G310" s="105"/>
      <c r="H310" s="60">
        <f t="shared" si="99"/>
        <v>2.7058096415327566</v>
      </c>
      <c r="I310" s="112">
        <f>IF(H310="","",IF($I$8="A",(RANK(H310,H$11:H$363,1)+COUNTIF(H$11:H310,H310)-1),(RANK(H310,H$11:H$363)+COUNTIF(H$11:H310,H310)-1)))</f>
        <v>4</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2.7058096415327566</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7.1096578424191694</v>
      </c>
      <c r="G311" s="105"/>
      <c r="H311" s="60">
        <f t="shared" si="99"/>
        <v>7.1096578424191694</v>
      </c>
      <c r="I311" s="112">
        <f>IF(H311="","",IF($I$8="A",(RANK(H311,H$11:H$363,1)+COUNTIF(H$11:H311,H311)-1),(RANK(H311,H$11:H$363)+COUNTIF(H$11:H311,H311)-1)))</f>
        <v>107</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7.1096578424191694</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12.835946924004825</v>
      </c>
      <c r="G312" s="105"/>
      <c r="H312" s="60">
        <f t="shared" si="99"/>
        <v>12.835946924004825</v>
      </c>
      <c r="I312" s="112">
        <f>IF(H312="","",IF($I$8="A",(RANK(H312,H$11:H$363,1)+COUNTIF(H$11:H312,H312)-1),(RANK(H312,H$11:H$363)+COUNTIF(H$11:H312,H312)-1)))</f>
        <v>183</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12.835946924004825</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5.5931467476608843</v>
      </c>
      <c r="G313" s="105"/>
      <c r="H313" s="60">
        <f t="shared" si="99"/>
        <v>5.5931467476608843</v>
      </c>
      <c r="I313" s="112">
        <f>IF(H313="","",IF($I$8="A",(RANK(H313,H$11:H$363,1)+COUNTIF(H$11:H313,H313)-1),(RANK(H313,H$11:H$363)+COUNTIF(H$11:H313,H313)-1)))</f>
        <v>57</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5.5931467476608843</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11.269644475605794</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11.269644475605794</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12.737129253050293</v>
      </c>
      <c r="G315" s="105"/>
      <c r="H315" s="60">
        <f t="shared" si="99"/>
        <v>12.737129253050293</v>
      </c>
      <c r="I315" s="112">
        <f>IF(H315="","",IF($I$8="A",(RANK(H315,H$11:H$363,1)+COUNTIF(H$11:H315,H315)-1),(RANK(H315,H$11:H$363)+COUNTIF(H$11:H315,H315)-1)))</f>
        <v>182</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12.737129253050293</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7.7226100515773064</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7.7226100515773064</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8.6149565689467966</v>
      </c>
      <c r="G317" s="105"/>
      <c r="H317" s="60">
        <f t="shared" si="99"/>
        <v>8.6149565689467966</v>
      </c>
      <c r="I317" s="112">
        <f>IF(H317="","",IF($I$8="A",(RANK(H317,H$11:H$363,1)+COUNTIF(H$11:H317,H317)-1),(RANK(H317,H$11:H$363)+COUNTIF(H$11:H317,H317)-1)))</f>
        <v>142</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8.6149565689467966</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7.5616932837453508</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7.5616932837453508</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4.7284090053459833</v>
      </c>
      <c r="G319" s="105"/>
      <c r="H319" s="60">
        <f t="shared" si="99"/>
        <v>4.7284090053459833</v>
      </c>
      <c r="I319" s="112">
        <f>IF(H319="","",IF($I$8="A",(RANK(H319,H$11:H$363,1)+COUNTIF(H$11:H319,H319)-1),(RANK(H319,H$11:H$363)+COUNTIF(H$11:H319,H319)-1)))</f>
        <v>31</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4.7284090053459833</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4.2553011822105464</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4.2553011822105464</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8.9460182061238775</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8.9460182061238775</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6.0892448512585808</v>
      </c>
      <c r="G322" s="105"/>
      <c r="H322" s="60">
        <f t="shared" si="99"/>
        <v>6.0892448512585808</v>
      </c>
      <c r="I322" s="112">
        <f>IF(H322="","",IF($I$8="A",(RANK(H322,H$11:H$363,1)+COUNTIF(H$11:H322,H322)-1),(RANK(H322,H$11:H$363)+COUNTIF(H$11:H322,H322)-1)))</f>
        <v>75</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6.0892448512585808</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5.3466486120514558</v>
      </c>
      <c r="G323" s="105"/>
      <c r="H323" s="60">
        <f t="shared" si="99"/>
        <v>5.3466486120514558</v>
      </c>
      <c r="I323" s="112">
        <f>IF(H323="","",IF($I$8="A",(RANK(H323,H$11:H$363,1)+COUNTIF(H$11:H323,H323)-1),(RANK(H323,H$11:H$363)+COUNTIF(H$11:H323,H323)-1)))</f>
        <v>52</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5.3466486120514558</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8"/>
        <v>5.4202515810688716</v>
      </c>
      <c r="G324" s="105"/>
      <c r="H324" s="60">
        <f t="shared" si="99"/>
        <v>5.4202515810688716</v>
      </c>
      <c r="I324" s="112">
        <f>IF(H324="","",IF($I$8="A",(RANK(H324,H$11:H$363,1)+COUNTIF(H$11:H324,H324)-1),(RANK(H324,H$11:H$363)+COUNTIF(H$11:H324,H324)-1)))</f>
        <v>53</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5.4202515810688716</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10.156373761306055</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10.156373761306055</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7.7379226114472877</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7.7379226114472877</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13.420374220374221</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13.420374220374221</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10.915796857802881</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10.915796857802881</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8.2189057496867601</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8.2189057496867601</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6.8947734922047275</v>
      </c>
      <c r="G330" s="105"/>
      <c r="H330" s="60">
        <f t="shared" si="99"/>
        <v>6.8947734922047275</v>
      </c>
      <c r="I330" s="112">
        <f>IF(H330="","",IF($I$8="A",(RANK(H330,H$11:H$363,1)+COUNTIF(H$11:H330,H330)-1),(RANK(H330,H$11:H$363)+COUNTIF(H$11:H330,H330)-1)))</f>
        <v>97</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6.8947734922047275</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23.356147855654271</v>
      </c>
      <c r="G332" s="105"/>
      <c r="H332" s="60">
        <f t="shared" si="122"/>
        <v>23.356147855654271</v>
      </c>
      <c r="I332" s="112">
        <f>IF(H332="","",IF($I$8="A",(RANK(H332,H$11:H$363,1)+COUNTIF(H$11:H332,H332)-1),(RANK(H332,H$11:H$363)+COUNTIF(H$11:H332,H332)-1)))</f>
        <v>192</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23.356147855654271</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15.789827754306142</v>
      </c>
      <c r="G333" s="105"/>
      <c r="H333" s="60">
        <f t="shared" si="122"/>
        <v>15.789827754306142</v>
      </c>
      <c r="I333" s="112">
        <f>IF(H333="","",IF($I$8="A",(RANK(H333,H$11:H$363,1)+COUNTIF(H$11:H333,H333)-1),(RANK(H333,H$11:H$363)+COUNTIF(H$11:H333,H333)-1)))</f>
        <v>190</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15.789827754306142</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5.8577297001232367</v>
      </c>
      <c r="G334" s="105"/>
      <c r="H334" s="60">
        <f t="shared" si="122"/>
        <v>5.8577297001232367</v>
      </c>
      <c r="I334" s="112">
        <f>IF(H334="","",IF($I$8="A",(RANK(H334,H$11:H$363,1)+COUNTIF(H$11:H334,H334)-1),(RANK(H334,H$11:H$363)+COUNTIF(H$11:H334,H334)-1)))</f>
        <v>68</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5.8577297001232367</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12.403643223486412</v>
      </c>
      <c r="G335" s="105"/>
      <c r="H335" s="60">
        <f t="shared" si="122"/>
        <v>12.403643223486412</v>
      </c>
      <c r="I335" s="112">
        <f>IF(H335="","",IF($I$8="A",(RANK(H335,H$11:H$363,1)+COUNTIF(H$11:H335,H335)-1),(RANK(H335,H$11:H$363)+COUNTIF(H$11:H335,H335)-1)))</f>
        <v>179</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12.403643223486412</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10.687137585661571</v>
      </c>
      <c r="G336" s="105"/>
      <c r="H336" s="60">
        <f t="shared" si="122"/>
        <v>10.687137585661571</v>
      </c>
      <c r="I336" s="112">
        <f>IF(H336="","",IF($I$8="A",(RANK(H336,H$11:H$363,1)+COUNTIF(H$11:H336,H336)-1),(RANK(H336,H$11:H$363)+COUNTIF(H$11:H336,H336)-1)))</f>
        <v>167</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10.687137585661571</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5.7996616723054615</v>
      </c>
      <c r="G337" s="105"/>
      <c r="H337" s="60">
        <f t="shared" si="122"/>
        <v>5.7996616723054615</v>
      </c>
      <c r="I337" s="112">
        <f>IF(H337="","",IF($I$8="A",(RANK(H337,H$11:H$363,1)+COUNTIF(H$11:H337,H337)-1),(RANK(H337,H$11:H$363)+COUNTIF(H$11:H337,H337)-1)))</f>
        <v>65</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5.7996616723054615</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7.0596062352531623</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7.0596062352531623</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9.1597659765976598</v>
      </c>
      <c r="G339" s="105"/>
      <c r="H339" s="60">
        <f t="shared" si="122"/>
        <v>9.1597659765976598</v>
      </c>
      <c r="I339" s="112">
        <f>IF(H339="","",IF($I$8="A",(RANK(H339,H$11:H$363,1)+COUNTIF(H$11:H339,H339)-1),(RANK(H339,H$11:H$363)+COUNTIF(H$11:H339,H339)-1)))</f>
        <v>150</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9.1597659765976598</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7.3674714778455828</v>
      </c>
      <c r="G340" s="105"/>
      <c r="H340" s="60">
        <f t="shared" si="122"/>
        <v>7.3674714778455828</v>
      </c>
      <c r="I340" s="112">
        <f>IF(H340="","",IF($I$8="A",(RANK(H340,H$11:H$363,1)+COUNTIF(H$11:H340,H340)-1),(RANK(H340,H$11:H$363)+COUNTIF(H$11:H340,H340)-1)))</f>
        <v>117</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7.3674714778455828</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6.8877251780477584</v>
      </c>
      <c r="G341" s="105"/>
      <c r="H341" s="60">
        <f t="shared" si="122"/>
        <v>6.8877251780477584</v>
      </c>
      <c r="I341" s="112">
        <f>IF(H341="","",IF($I$8="A",(RANK(H341,H$11:H$363,1)+COUNTIF(H$11:H341,H341)-1),(RANK(H341,H$11:H$363)+COUNTIF(H$11:H341,H341)-1)))</f>
        <v>96</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6.8877251780477584</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5.1492880559769043</v>
      </c>
      <c r="G342" s="105"/>
      <c r="H342" s="60">
        <f t="shared" si="122"/>
        <v>5.1492880559769043</v>
      </c>
      <c r="I342" s="112">
        <f>IF(H342="","",IF($I$8="A",(RANK(H342,H$11:H$363,1)+COUNTIF(H$11:H342,H342)-1),(RANK(H342,H$11:H$363)+COUNTIF(H$11:H342,H342)-1)))</f>
        <v>44</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5.1492880559769043</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3.9666061198826323</v>
      </c>
      <c r="G343" s="105"/>
      <c r="H343" s="60">
        <f t="shared" si="122"/>
        <v>3.9666061198826323</v>
      </c>
      <c r="I343" s="112">
        <f>IF(H343="","",IF($I$8="A",(RANK(H343,H$11:H$363,1)+COUNTIF(H$11:H343,H343)-1),(RANK(H343,H$11:H$363)+COUNTIF(H$11:H343,H343)-1)))</f>
        <v>16</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3.9666061198826323</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5.8645399357219379</v>
      </c>
      <c r="G344" s="105"/>
      <c r="H344" s="60">
        <f t="shared" si="122"/>
        <v>5.8645399357219379</v>
      </c>
      <c r="I344" s="112">
        <f>IF(H344="","",IF($I$8="A",(RANK(H344,H$11:H$363,1)+COUNTIF(H$11:H344,H344)-1),(RANK(H344,H$11:H$363)+COUNTIF(H$11:H344,H344)-1)))</f>
        <v>69</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5.8645399357219379</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t="str">
        <f t="shared" si="121"/>
        <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t="str">
        <f>HLOOKUP($AX$9&amp;$AX$10,Data!$A$1:$ZZ$2000,(MATCH($C346,Data!$A$1:$A$2000,0)),FALSE)</f>
        <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f t="shared" si="121"/>
        <v>7.7816406052325284</v>
      </c>
      <c r="G347" s="105"/>
      <c r="H347" s="60">
        <f t="shared" si="122"/>
        <v>7.7816406052325284</v>
      </c>
      <c r="I347" s="112">
        <f>IF(H347="","",IF($I$8="A",(RANK(H347,H$11:H$363,1)+COUNTIF(H$11:H347,H347)-1),(RANK(H347,H$11:H$363)+COUNTIF(H$11:H347,H347)-1)))</f>
        <v>127</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7.7816406052325284</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8.5561400189214751</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8.5561400189214751</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6.1195401941264311</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6.1195401941264311</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3.8476451374986831</v>
      </c>
      <c r="G350" s="105"/>
      <c r="H350" s="60">
        <f t="shared" si="122"/>
        <v>3.8476451374986831</v>
      </c>
      <c r="I350" s="112">
        <f>IF(H350="","",IF($I$8="A",(RANK(H350,H$11:H$363,1)+COUNTIF(H$11:H350,H350)-1),(RANK(H350,H$11:H$363)+COUNTIF(H$11:H350,H350)-1)))</f>
        <v>14</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3.8476451374986831</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6.982468736911386</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6.982468736911386</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12.882307711084531</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12.882307711084531</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7.2132624070603883</v>
      </c>
      <c r="G353" s="105"/>
      <c r="H353" s="60">
        <f t="shared" si="122"/>
        <v>7.2132624070603883</v>
      </c>
      <c r="I353" s="112">
        <f>IF(H353="","",IF($I$8="A",(RANK(H353,H$11:H$363,1)+COUNTIF(H$11:H353,H353)-1),(RANK(H353,H$11:H$363)+COUNTIF(H$11:H353,H353)-1)))</f>
        <v>111</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7.2132624070603883</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9.0156986928985319</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9.0156986928985319</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12.234299488226842</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12.234299488226842</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6.9772429674448002</v>
      </c>
      <c r="G356" s="105"/>
      <c r="H356" s="60">
        <f t="shared" si="122"/>
        <v>6.9772429674448002</v>
      </c>
      <c r="I356" s="112">
        <f>IF(H356="","",IF($I$8="A",(RANK(H356,H$11:H$363,1)+COUNTIF(H$11:H356,H356)-1),(RANK(H356,H$11:H$363)+COUNTIF(H$11:H356,H356)-1)))</f>
        <v>100</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6.9772429674448002</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8.8120669599959545</v>
      </c>
      <c r="G358" s="105"/>
      <c r="H358" s="60">
        <f t="shared" si="122"/>
        <v>8.8120669599959545</v>
      </c>
      <c r="I358" s="112">
        <f>IF(H358="","",IF($I$8="A",(RANK(H358,H$11:H$363,1)+COUNTIF(H$11:H358,H358)-1),(RANK(H358,H$11:H$363)+COUNTIF(H$11:H358,H358)-1)))</f>
        <v>144</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8.8120669599959545</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6.5498787571194947</v>
      </c>
      <c r="G359" s="105"/>
      <c r="H359" s="60">
        <f t="shared" si="122"/>
        <v>6.5498787571194947</v>
      </c>
      <c r="I359" s="112">
        <f>IF(H359="","",IF($I$8="A",(RANK(H359,H$11:H$363,1)+COUNTIF(H$11:H359,H359)-1),(RANK(H359,H$11:H$363)+COUNTIF(H$11:H359,H359)-1)))</f>
        <v>85</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6.5498787571194947</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9.6827120822622099</v>
      </c>
      <c r="G360" s="105"/>
      <c r="H360" s="60">
        <f t="shared" si="122"/>
        <v>9.6827120822622099</v>
      </c>
      <c r="I360" s="112">
        <f>IF(H360="","",IF($I$8="A",(RANK(H360,H$11:H$363,1)+COUNTIF(H$11:H360,H360)-1),(RANK(H360,H$11:H$363)+COUNTIF(H$11:H360,H360)-1)))</f>
        <v>154</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9.6827120822622099</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2.8454072904329517</v>
      </c>
      <c r="G361" s="105"/>
      <c r="H361" s="60">
        <f t="shared" si="122"/>
        <v>2.8454072904329517</v>
      </c>
      <c r="I361" s="112">
        <f>IF(H361="","",IF($I$8="A",(RANK(H361,H$11:H$363,1)+COUNTIF(H$11:H361,H361)-1),(RANK(H361,H$11:H$363)+COUNTIF(H$11:H361,H361)-1)))</f>
        <v>6</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2.8454072904329517</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4.7471072541165995</v>
      </c>
      <c r="G362" s="105"/>
      <c r="H362" s="60">
        <f t="shared" si="122"/>
        <v>4.7471072541165995</v>
      </c>
      <c r="I362" s="112">
        <f>IF(H362="","",IF($I$8="A",(RANK(H362,H$11:H$363,1)+COUNTIF(H$11:H362,H362)-1),(RANK(H362,H$11:H$363)+COUNTIF(H$11:H362,H362)-1)))</f>
        <v>32</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4.7471072541165995</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9.3567520058971958</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9.3567520058971958</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D3" sqref="D3"/>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831</v>
      </c>
      <c r="C2" t="s">
        <v>831</v>
      </c>
      <c r="D2" t="s">
        <v>888</v>
      </c>
      <c r="F2" t="s">
        <v>898</v>
      </c>
      <c r="G2" s="6"/>
      <c r="H2" s="6"/>
    </row>
    <row r="3" spans="1:8" ht="15">
      <c r="A3" s="269" t="s">
        <v>897</v>
      </c>
      <c r="B3" t="s">
        <v>831</v>
      </c>
      <c r="C3" t="s">
        <v>831</v>
      </c>
      <c r="D3" t="s">
        <v>888</v>
      </c>
      <c r="F3" t="s">
        <v>899</v>
      </c>
      <c r="G3" s="6"/>
    </row>
    <row r="4" spans="1:8" ht="15">
      <c r="A4" s="269"/>
      <c r="F4" s="6" t="s">
        <v>900</v>
      </c>
      <c r="G4" s="6"/>
    </row>
    <row r="5" spans="1:8" ht="15">
      <c r="A5" s="269"/>
      <c r="B5" s="6"/>
      <c r="E5" s="6"/>
      <c r="F5" s="6" t="s">
        <v>901</v>
      </c>
    </row>
    <row r="6" spans="1:8" ht="15">
      <c r="A6" s="269"/>
      <c r="B6" s="49"/>
      <c r="E6" s="6"/>
      <c r="F6" s="6" t="s">
        <v>902</v>
      </c>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B3" sqref="B3"/>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Housing Benefit - New ClaimsQ1 2013/14</v>
      </c>
      <c r="D1" s="188" t="str">
        <f t="shared" ref="D1:BO1" si="0">D4&amp;D5</f>
        <v>Housing Benefit - Change of CircumstancesQ1 2013/14</v>
      </c>
      <c r="E1" s="188" t="str">
        <f t="shared" si="0"/>
        <v>Housing Benefit - New ClaimsQ2 2013/14</v>
      </c>
      <c r="F1" s="188" t="str">
        <f t="shared" si="0"/>
        <v>Housing Benefit - Change of CircumstancesQ2 2013/14</v>
      </c>
      <c r="G1" s="188" t="str">
        <f t="shared" si="0"/>
        <v>Housing Benefit - New ClaimsQ3 2013/14</v>
      </c>
      <c r="H1" s="188" t="str">
        <f t="shared" si="0"/>
        <v>Housing Benefit - Change of CircumstancesQ3 2013/14</v>
      </c>
      <c r="I1" s="188" t="str">
        <f t="shared" si="0"/>
        <v>Housing Benefit - New ClaimsQ4 2013/14</v>
      </c>
      <c r="J1" s="188" t="str">
        <f t="shared" si="0"/>
        <v>Housing Benefit - Change of CircumstancesQ4 2013/14</v>
      </c>
      <c r="K1" s="188" t="str">
        <f t="shared" si="0"/>
        <v>Housing Benefit - New ClaimsYear 2013/14</v>
      </c>
      <c r="L1" s="188" t="str">
        <f t="shared" si="0"/>
        <v>Housing Benefit - Change of CircumstancesYear 2013/14</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904</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896</v>
      </c>
      <c r="D4" s="269" t="s">
        <v>897</v>
      </c>
      <c r="E4" s="269" t="s">
        <v>896</v>
      </c>
      <c r="F4" s="269" t="s">
        <v>897</v>
      </c>
      <c r="G4" s="269" t="s">
        <v>896</v>
      </c>
      <c r="H4" s="269" t="s">
        <v>897</v>
      </c>
      <c r="I4" s="181" t="s">
        <v>896</v>
      </c>
      <c r="J4" s="183" t="s">
        <v>897</v>
      </c>
      <c r="K4" s="183" t="s">
        <v>896</v>
      </c>
      <c r="L4" s="179" t="s">
        <v>897</v>
      </c>
      <c r="M4" s="183"/>
      <c r="N4" s="179"/>
      <c r="O4" s="181"/>
      <c r="P4" s="181"/>
      <c r="Q4" s="181"/>
      <c r="R4" s="183"/>
      <c r="S4" s="183"/>
      <c r="T4" s="183"/>
      <c r="U4" s="181"/>
      <c r="V4" s="361"/>
      <c r="W4" s="361"/>
      <c r="X4" s="179"/>
      <c r="Y4" s="179"/>
    </row>
    <row r="5" spans="1:77" ht="30" customHeight="1">
      <c r="A5" s="359"/>
      <c r="B5" s="191" t="s">
        <v>369</v>
      </c>
      <c r="C5" s="269" t="s">
        <v>898</v>
      </c>
      <c r="D5" s="269" t="s">
        <v>898</v>
      </c>
      <c r="E5" s="269" t="s">
        <v>899</v>
      </c>
      <c r="F5" s="269" t="s">
        <v>899</v>
      </c>
      <c r="G5" s="269" t="s">
        <v>900</v>
      </c>
      <c r="H5" s="269" t="s">
        <v>900</v>
      </c>
      <c r="I5" s="182" t="s">
        <v>901</v>
      </c>
      <c r="J5" s="165" t="s">
        <v>901</v>
      </c>
      <c r="K5" s="165" t="s">
        <v>902</v>
      </c>
      <c r="L5" s="179" t="s">
        <v>902</v>
      </c>
      <c r="M5" s="165"/>
      <c r="N5" s="179"/>
      <c r="O5" s="182"/>
      <c r="P5" s="182"/>
      <c r="Q5" s="182"/>
      <c r="R5" s="165"/>
      <c r="S5" s="165"/>
      <c r="T5" s="165"/>
      <c r="U5" s="182"/>
      <c r="V5" s="362"/>
      <c r="W5" s="362"/>
      <c r="X5" s="179"/>
      <c r="Y5" s="179"/>
    </row>
    <row r="6" spans="1:77" ht="14.65" customHeight="1">
      <c r="A6" s="359"/>
      <c r="B6" s="191" t="s">
        <v>370</v>
      </c>
      <c r="C6" s="217" t="s">
        <v>903</v>
      </c>
      <c r="D6" s="217" t="s">
        <v>903</v>
      </c>
      <c r="E6" s="217" t="s">
        <v>903</v>
      </c>
      <c r="F6" s="217" t="s">
        <v>903</v>
      </c>
      <c r="G6" s="217" t="s">
        <v>903</v>
      </c>
      <c r="H6" s="217" t="s">
        <v>903</v>
      </c>
      <c r="I6" s="182" t="s">
        <v>903</v>
      </c>
      <c r="J6" s="165" t="s">
        <v>903</v>
      </c>
      <c r="K6" s="165" t="s">
        <v>903</v>
      </c>
      <c r="L6" s="179" t="s">
        <v>903</v>
      </c>
      <c r="M6" s="165"/>
      <c r="N6" s="179"/>
      <c r="O6" s="182"/>
      <c r="P6" s="182"/>
      <c r="Q6" s="182"/>
      <c r="R6" s="165"/>
      <c r="S6" s="165"/>
      <c r="T6" s="165"/>
      <c r="U6" s="181"/>
      <c r="V6" s="361"/>
      <c r="W6" s="361"/>
      <c r="X6" s="179"/>
      <c r="Y6" s="179"/>
    </row>
    <row r="7" spans="1:77" ht="14.65" customHeight="1">
      <c r="A7" s="186" t="s">
        <v>4</v>
      </c>
      <c r="B7" s="186"/>
      <c r="C7">
        <v>17</v>
      </c>
      <c r="D7">
        <v>14</v>
      </c>
      <c r="E7">
        <v>15</v>
      </c>
      <c r="F7">
        <v>8</v>
      </c>
      <c r="G7">
        <v>16</v>
      </c>
      <c r="H7">
        <v>11</v>
      </c>
      <c r="I7" s="202">
        <v>15</v>
      </c>
      <c r="J7" s="165">
        <v>5</v>
      </c>
      <c r="K7" s="165">
        <v>15.647505422993492</v>
      </c>
      <c r="L7" s="179">
        <v>8.2510371933910758</v>
      </c>
      <c r="M7" s="165"/>
      <c r="N7" s="179"/>
      <c r="O7" s="202"/>
      <c r="P7" s="202"/>
      <c r="Q7" s="202"/>
      <c r="R7" s="165"/>
      <c r="S7" s="165"/>
      <c r="T7" s="165"/>
      <c r="U7" s="201"/>
      <c r="V7" s="166"/>
      <c r="W7" s="166"/>
      <c r="X7" s="179"/>
      <c r="Y7" s="179"/>
    </row>
    <row r="8" spans="1:77" ht="14.65" customHeight="1">
      <c r="A8" s="186" t="s">
        <v>6</v>
      </c>
      <c r="B8" s="186"/>
      <c r="C8">
        <v>20</v>
      </c>
      <c r="D8">
        <v>15</v>
      </c>
      <c r="E8">
        <v>22</v>
      </c>
      <c r="F8">
        <v>14</v>
      </c>
      <c r="G8">
        <v>23</v>
      </c>
      <c r="H8">
        <v>17</v>
      </c>
      <c r="I8" s="202">
        <v>25</v>
      </c>
      <c r="J8" s="165">
        <v>6</v>
      </c>
      <c r="K8" s="165">
        <v>22.673793524740379</v>
      </c>
      <c r="L8" s="179">
        <v>11.015070716438673</v>
      </c>
      <c r="M8" s="165"/>
      <c r="N8" s="179"/>
      <c r="O8" s="202"/>
      <c r="P8" s="202"/>
      <c r="Q8" s="202"/>
      <c r="R8" s="165"/>
      <c r="S8" s="165"/>
      <c r="T8" s="165"/>
      <c r="U8" s="201"/>
      <c r="V8" s="166"/>
      <c r="W8" s="166"/>
      <c r="X8" s="179"/>
      <c r="Y8" s="179"/>
    </row>
    <row r="9" spans="1:77" ht="14.65" customHeight="1">
      <c r="A9" s="186" t="s">
        <v>7</v>
      </c>
      <c r="B9" s="186"/>
      <c r="C9">
        <v>16</v>
      </c>
      <c r="D9">
        <v>7</v>
      </c>
      <c r="E9">
        <v>15</v>
      </c>
      <c r="F9">
        <v>7</v>
      </c>
      <c r="G9">
        <v>14</v>
      </c>
      <c r="H9">
        <v>6</v>
      </c>
      <c r="I9" s="202">
        <v>15</v>
      </c>
      <c r="J9" s="165">
        <v>3</v>
      </c>
      <c r="K9" s="165">
        <v>15.199163179916319</v>
      </c>
      <c r="L9" s="179">
        <v>4.9852369852369849</v>
      </c>
      <c r="M9" s="165"/>
      <c r="N9" s="179"/>
      <c r="O9" s="202"/>
      <c r="P9" s="202"/>
      <c r="Q9" s="202"/>
      <c r="R9" s="165"/>
      <c r="S9" s="165"/>
      <c r="T9" s="165"/>
      <c r="U9" s="201"/>
      <c r="V9" s="166"/>
      <c r="W9" s="166"/>
      <c r="X9" s="179"/>
      <c r="Y9" s="179"/>
    </row>
    <row r="10" spans="1:77" ht="14.65" customHeight="1">
      <c r="A10" s="186" t="s">
        <v>8</v>
      </c>
      <c r="B10" s="186"/>
      <c r="C10">
        <v>14</v>
      </c>
      <c r="D10">
        <v>6</v>
      </c>
      <c r="E10">
        <v>13</v>
      </c>
      <c r="F10">
        <v>6</v>
      </c>
      <c r="G10">
        <v>17</v>
      </c>
      <c r="H10">
        <v>5</v>
      </c>
      <c r="I10" s="202">
        <v>16</v>
      </c>
      <c r="J10" s="165">
        <v>2</v>
      </c>
      <c r="K10" s="165">
        <v>15.088631984585742</v>
      </c>
      <c r="L10" s="179">
        <v>4.4851788224269873</v>
      </c>
      <c r="M10" s="165"/>
      <c r="N10" s="179"/>
      <c r="O10" s="202"/>
      <c r="P10" s="202"/>
      <c r="Q10" s="202"/>
      <c r="R10" s="165"/>
      <c r="S10" s="165"/>
      <c r="T10" s="165"/>
      <c r="U10" s="201"/>
      <c r="V10" s="166"/>
      <c r="W10" s="166"/>
      <c r="X10" s="179"/>
      <c r="Y10" s="179"/>
    </row>
    <row r="11" spans="1:77" ht="14.65" customHeight="1">
      <c r="A11" s="186" t="s">
        <v>9</v>
      </c>
      <c r="B11" s="186"/>
      <c r="C11">
        <v>13</v>
      </c>
      <c r="D11">
        <v>11</v>
      </c>
      <c r="E11">
        <v>16</v>
      </c>
      <c r="F11">
        <v>29</v>
      </c>
      <c r="G11">
        <v>17</v>
      </c>
      <c r="H11">
        <v>31</v>
      </c>
      <c r="I11" s="202">
        <v>16</v>
      </c>
      <c r="J11" s="165">
        <v>5</v>
      </c>
      <c r="K11" s="165">
        <v>15.438300988648846</v>
      </c>
      <c r="L11" s="179">
        <v>14.292982096487632</v>
      </c>
      <c r="M11" s="165"/>
      <c r="N11" s="179"/>
      <c r="O11" s="202"/>
      <c r="P11" s="202"/>
      <c r="Q11" s="202"/>
      <c r="R11" s="165"/>
      <c r="S11" s="165"/>
      <c r="T11" s="165"/>
      <c r="U11" s="201"/>
      <c r="V11" s="166"/>
      <c r="W11" s="166"/>
      <c r="X11" s="179"/>
      <c r="Y11" s="179"/>
    </row>
    <row r="12" spans="1:77" ht="14.65" customHeight="1">
      <c r="A12" s="186" t="s">
        <v>10</v>
      </c>
      <c r="B12" s="186"/>
      <c r="C12">
        <v>25</v>
      </c>
      <c r="D12">
        <v>3</v>
      </c>
      <c r="E12">
        <v>27</v>
      </c>
      <c r="F12">
        <v>3</v>
      </c>
      <c r="G12">
        <v>27</v>
      </c>
      <c r="H12">
        <v>7</v>
      </c>
      <c r="I12" s="202">
        <v>26</v>
      </c>
      <c r="J12" s="165">
        <v>2</v>
      </c>
      <c r="K12" s="165">
        <v>26.209387755102039</v>
      </c>
      <c r="L12" s="179" t="s">
        <v>3</v>
      </c>
      <c r="M12" s="165"/>
      <c r="N12" s="179"/>
      <c r="O12" s="202"/>
      <c r="P12" s="202"/>
      <c r="Q12" s="202"/>
      <c r="R12" s="165"/>
      <c r="S12" s="165"/>
      <c r="T12" s="165"/>
      <c r="U12" s="201"/>
      <c r="V12" s="166"/>
      <c r="W12" s="166"/>
      <c r="X12" s="179"/>
      <c r="Y12" s="179"/>
    </row>
    <row r="13" spans="1:77" ht="14.65" customHeight="1">
      <c r="A13" s="186" t="s">
        <v>11</v>
      </c>
      <c r="B13" s="186"/>
      <c r="C13">
        <v>21</v>
      </c>
      <c r="D13">
        <v>5</v>
      </c>
      <c r="E13">
        <v>22</v>
      </c>
      <c r="F13">
        <v>6</v>
      </c>
      <c r="G13">
        <v>19</v>
      </c>
      <c r="H13">
        <v>5</v>
      </c>
      <c r="I13" s="202">
        <v>21</v>
      </c>
      <c r="J13" s="165">
        <v>4</v>
      </c>
      <c r="K13" s="165">
        <v>20.770333075135554</v>
      </c>
      <c r="L13" s="179">
        <v>4.9856616376828287</v>
      </c>
      <c r="M13" s="165"/>
      <c r="N13" s="179"/>
      <c r="O13" s="202"/>
      <c r="P13" s="202"/>
      <c r="Q13" s="202"/>
      <c r="R13" s="165"/>
      <c r="S13" s="165"/>
      <c r="T13" s="165"/>
      <c r="U13" s="201"/>
      <c r="V13" s="166"/>
      <c r="W13" s="166"/>
      <c r="X13" s="179"/>
      <c r="Y13" s="179"/>
    </row>
    <row r="14" spans="1:77" ht="14.65" customHeight="1">
      <c r="A14" s="186" t="s">
        <v>12</v>
      </c>
      <c r="B14" s="186"/>
      <c r="C14">
        <v>24</v>
      </c>
      <c r="D14">
        <v>9</v>
      </c>
      <c r="E14">
        <v>25</v>
      </c>
      <c r="F14">
        <v>9</v>
      </c>
      <c r="G14">
        <v>22</v>
      </c>
      <c r="H14">
        <v>8</v>
      </c>
      <c r="I14" s="202">
        <v>24</v>
      </c>
      <c r="J14" s="165">
        <v>4</v>
      </c>
      <c r="K14" s="165">
        <v>23.817851959361395</v>
      </c>
      <c r="L14" s="179">
        <v>6.7021554539516659</v>
      </c>
      <c r="M14" s="165"/>
      <c r="N14" s="179"/>
      <c r="O14" s="202"/>
      <c r="P14" s="202"/>
      <c r="Q14" s="202"/>
      <c r="R14" s="165"/>
      <c r="S14" s="165"/>
      <c r="T14" s="165"/>
      <c r="U14" s="202"/>
      <c r="V14" s="204"/>
      <c r="W14" s="204"/>
      <c r="X14" s="179"/>
      <c r="Y14" s="179"/>
    </row>
    <row r="15" spans="1:77" ht="14.65" customHeight="1">
      <c r="A15" s="186" t="s">
        <v>341</v>
      </c>
      <c r="B15" s="186"/>
      <c r="C15">
        <v>29</v>
      </c>
      <c r="D15">
        <v>15</v>
      </c>
      <c r="E15">
        <v>23</v>
      </c>
      <c r="F15">
        <v>15</v>
      </c>
      <c r="G15">
        <v>24</v>
      </c>
      <c r="H15">
        <v>14</v>
      </c>
      <c r="I15" s="202">
        <v>26</v>
      </c>
      <c r="J15" s="165">
        <v>6</v>
      </c>
      <c r="K15" s="165">
        <v>25.515572672471535</v>
      </c>
      <c r="L15" s="179">
        <v>10.89261861393009</v>
      </c>
      <c r="M15" s="165"/>
      <c r="N15" s="179"/>
      <c r="O15" s="202"/>
      <c r="P15" s="202"/>
      <c r="Q15" s="202"/>
      <c r="R15" s="165"/>
      <c r="S15" s="165"/>
      <c r="T15" s="165"/>
      <c r="U15" s="201"/>
      <c r="V15" s="166"/>
      <c r="W15" s="166"/>
      <c r="X15" s="179"/>
      <c r="Y15" s="179"/>
    </row>
    <row r="16" spans="1:77" ht="14.65" customHeight="1">
      <c r="A16" s="186" t="s">
        <v>197</v>
      </c>
      <c r="B16" s="186"/>
      <c r="C16">
        <v>5</v>
      </c>
      <c r="D16">
        <v>6</v>
      </c>
      <c r="E16">
        <v>4</v>
      </c>
      <c r="F16">
        <v>5</v>
      </c>
      <c r="G16">
        <v>7</v>
      </c>
      <c r="H16">
        <v>7</v>
      </c>
      <c r="I16" s="202">
        <v>9</v>
      </c>
      <c r="J16" s="165">
        <v>4</v>
      </c>
      <c r="K16" s="165">
        <v>5.6366973910326514</v>
      </c>
      <c r="L16" s="179">
        <v>5.0376653248993675</v>
      </c>
      <c r="M16" s="165"/>
      <c r="N16" s="179"/>
      <c r="O16" s="202"/>
      <c r="P16" s="202"/>
      <c r="Q16" s="202"/>
      <c r="R16" s="165"/>
      <c r="S16" s="165"/>
      <c r="T16" s="165"/>
      <c r="U16" s="201"/>
      <c r="V16" s="166"/>
      <c r="W16" s="166"/>
      <c r="X16" s="179"/>
      <c r="Y16" s="179"/>
    </row>
    <row r="17" spans="1:25" ht="14.65" customHeight="1">
      <c r="A17" s="186" t="s">
        <v>223</v>
      </c>
      <c r="B17" s="186"/>
      <c r="C17">
        <v>23</v>
      </c>
      <c r="D17">
        <v>12</v>
      </c>
      <c r="E17">
        <v>22</v>
      </c>
      <c r="F17">
        <v>13</v>
      </c>
      <c r="G17">
        <v>20</v>
      </c>
      <c r="H17">
        <v>12</v>
      </c>
      <c r="I17" s="201">
        <v>23</v>
      </c>
      <c r="J17" s="199">
        <v>5</v>
      </c>
      <c r="K17" s="199">
        <v>21.882502831257078</v>
      </c>
      <c r="L17" s="179">
        <v>8.8773828579743892</v>
      </c>
      <c r="M17" s="199"/>
      <c r="N17" s="179"/>
      <c r="O17" s="201"/>
      <c r="P17" s="201"/>
      <c r="Q17" s="201"/>
      <c r="R17" s="199"/>
      <c r="S17" s="199"/>
      <c r="T17" s="199"/>
      <c r="U17" s="201"/>
      <c r="V17" s="166"/>
      <c r="W17" s="166"/>
      <c r="X17" s="179"/>
      <c r="Y17" s="179"/>
    </row>
    <row r="18" spans="1:25" ht="14.65" customHeight="1">
      <c r="A18" s="186" t="s">
        <v>13</v>
      </c>
      <c r="B18" s="186"/>
      <c r="C18">
        <v>19</v>
      </c>
      <c r="D18">
        <v>7</v>
      </c>
      <c r="E18">
        <v>20</v>
      </c>
      <c r="F18">
        <v>7</v>
      </c>
      <c r="G18">
        <v>19</v>
      </c>
      <c r="H18">
        <v>7</v>
      </c>
      <c r="I18" s="202">
        <v>18</v>
      </c>
      <c r="J18" s="165">
        <v>3</v>
      </c>
      <c r="K18" s="165" t="s">
        <v>3</v>
      </c>
      <c r="L18" s="179" t="s">
        <v>3</v>
      </c>
      <c r="M18" s="165"/>
      <c r="N18" s="179"/>
      <c r="O18" s="202"/>
      <c r="P18" s="202"/>
      <c r="Q18" s="202"/>
      <c r="R18" s="165"/>
      <c r="S18" s="165"/>
      <c r="T18" s="165"/>
      <c r="U18" s="201"/>
      <c r="V18" s="166"/>
      <c r="W18" s="166"/>
      <c r="X18" s="179"/>
      <c r="Y18" s="179"/>
    </row>
    <row r="19" spans="1:25" ht="14.65" customHeight="1">
      <c r="A19" s="186" t="s">
        <v>14</v>
      </c>
      <c r="B19" s="186"/>
      <c r="C19">
        <v>17</v>
      </c>
      <c r="D19">
        <v>12</v>
      </c>
      <c r="E19">
        <v>21</v>
      </c>
      <c r="F19">
        <v>15</v>
      </c>
      <c r="G19">
        <v>24</v>
      </c>
      <c r="H19">
        <v>9</v>
      </c>
      <c r="I19" s="202">
        <v>26</v>
      </c>
      <c r="J19" s="165">
        <v>6</v>
      </c>
      <c r="K19" s="165">
        <v>21.792391030486268</v>
      </c>
      <c r="L19" s="179">
        <v>9.7740054155384293</v>
      </c>
      <c r="M19" s="165"/>
      <c r="N19" s="179"/>
      <c r="O19" s="202"/>
      <c r="P19" s="202"/>
      <c r="Q19" s="202"/>
      <c r="R19" s="165"/>
      <c r="S19" s="165"/>
      <c r="T19" s="165"/>
      <c r="U19" s="201"/>
      <c r="V19" s="166"/>
      <c r="W19" s="166"/>
      <c r="X19" s="179"/>
      <c r="Y19" s="179"/>
    </row>
    <row r="20" spans="1:25" ht="14.65" customHeight="1">
      <c r="A20" s="186" t="s">
        <v>346</v>
      </c>
      <c r="B20" s="186"/>
      <c r="C20">
        <v>14</v>
      </c>
      <c r="D20">
        <v>11</v>
      </c>
      <c r="E20">
        <v>25</v>
      </c>
      <c r="F20">
        <v>9</v>
      </c>
      <c r="G20">
        <v>20</v>
      </c>
      <c r="H20">
        <v>11</v>
      </c>
      <c r="I20" s="202">
        <v>19</v>
      </c>
      <c r="J20" s="165">
        <v>4</v>
      </c>
      <c r="K20" s="165">
        <v>18.76814988290398</v>
      </c>
      <c r="L20" s="179">
        <v>7.4994899115846749</v>
      </c>
      <c r="M20" s="165"/>
      <c r="N20" s="179"/>
      <c r="O20" s="202"/>
      <c r="P20" s="202"/>
      <c r="Q20" s="202"/>
      <c r="R20" s="165"/>
      <c r="S20" s="165"/>
      <c r="T20" s="165"/>
      <c r="U20" s="201"/>
      <c r="V20" s="166"/>
      <c r="W20" s="166"/>
      <c r="X20" s="179"/>
      <c r="Y20" s="179"/>
    </row>
    <row r="21" spans="1:25" ht="14.65" customHeight="1">
      <c r="A21" s="186" t="s">
        <v>15</v>
      </c>
      <c r="B21" s="186"/>
      <c r="C21">
        <v>46</v>
      </c>
      <c r="D21">
        <v>15</v>
      </c>
      <c r="E21">
        <v>39</v>
      </c>
      <c r="F21">
        <v>11</v>
      </c>
      <c r="G21">
        <v>17</v>
      </c>
      <c r="H21">
        <v>7</v>
      </c>
      <c r="I21" s="202">
        <v>26</v>
      </c>
      <c r="J21" s="165">
        <v>4</v>
      </c>
      <c r="K21" s="165">
        <v>32.718813490451033</v>
      </c>
      <c r="L21" s="179">
        <v>8.1773774406517763</v>
      </c>
      <c r="M21" s="165"/>
      <c r="N21" s="179"/>
      <c r="O21" s="202"/>
      <c r="P21" s="202"/>
      <c r="Q21" s="202"/>
      <c r="R21" s="165"/>
      <c r="S21" s="165"/>
      <c r="T21" s="165"/>
      <c r="U21" s="201"/>
      <c r="V21" s="166"/>
      <c r="W21" s="166"/>
      <c r="X21" s="179"/>
      <c r="Y21" s="179"/>
    </row>
    <row r="22" spans="1:25" ht="14.65" customHeight="1">
      <c r="A22" s="186" t="s">
        <v>259</v>
      </c>
      <c r="B22" s="186"/>
      <c r="C22" t="s">
        <v>3</v>
      </c>
      <c r="D22" t="s">
        <v>3</v>
      </c>
      <c r="E22">
        <v>18</v>
      </c>
      <c r="F22">
        <v>6</v>
      </c>
      <c r="G22">
        <v>16</v>
      </c>
      <c r="H22">
        <v>7</v>
      </c>
      <c r="I22" s="202">
        <v>14</v>
      </c>
      <c r="J22" s="165">
        <v>2</v>
      </c>
      <c r="K22" s="165" t="s">
        <v>3</v>
      </c>
      <c r="L22" s="179" t="s">
        <v>3</v>
      </c>
      <c r="M22" s="165"/>
      <c r="N22" s="179"/>
      <c r="O22" s="202"/>
      <c r="P22" s="202"/>
      <c r="Q22" s="202"/>
      <c r="R22" s="165"/>
      <c r="S22" s="165"/>
      <c r="T22" s="165"/>
      <c r="U22" s="201"/>
      <c r="V22" s="166"/>
      <c r="W22" s="166"/>
      <c r="X22" s="179"/>
      <c r="Y22" s="179"/>
    </row>
    <row r="23" spans="1:25" ht="14.65" customHeight="1">
      <c r="A23" s="186" t="s">
        <v>260</v>
      </c>
      <c r="B23" s="186"/>
      <c r="C23">
        <v>20</v>
      </c>
      <c r="D23">
        <v>14</v>
      </c>
      <c r="E23">
        <v>19</v>
      </c>
      <c r="F23">
        <v>17</v>
      </c>
      <c r="G23">
        <v>19</v>
      </c>
      <c r="H23">
        <v>13</v>
      </c>
      <c r="I23" s="202">
        <v>18</v>
      </c>
      <c r="J23" s="165">
        <v>7</v>
      </c>
      <c r="K23" s="165">
        <v>19.002378121284185</v>
      </c>
      <c r="L23" s="179">
        <v>12.011673289809821</v>
      </c>
      <c r="M23" s="165"/>
      <c r="N23" s="179"/>
      <c r="O23" s="202"/>
      <c r="P23" s="202"/>
      <c r="Q23" s="202"/>
      <c r="R23" s="165"/>
      <c r="S23" s="165"/>
      <c r="T23" s="165"/>
      <c r="U23" s="201"/>
      <c r="V23" s="166"/>
      <c r="W23" s="166"/>
      <c r="X23" s="179"/>
      <c r="Y23" s="179"/>
    </row>
    <row r="24" spans="1:25" ht="14.65" customHeight="1">
      <c r="A24" s="186" t="s">
        <v>198</v>
      </c>
      <c r="B24" s="186"/>
      <c r="C24">
        <v>22</v>
      </c>
      <c r="D24">
        <v>21</v>
      </c>
      <c r="E24">
        <v>25</v>
      </c>
      <c r="F24">
        <v>21</v>
      </c>
      <c r="G24">
        <v>21</v>
      </c>
      <c r="H24">
        <v>22</v>
      </c>
      <c r="I24" s="202">
        <v>16</v>
      </c>
      <c r="J24" s="165">
        <v>8</v>
      </c>
      <c r="K24" s="165">
        <v>21.12525562372188</v>
      </c>
      <c r="L24" s="179">
        <v>14.919272830563841</v>
      </c>
      <c r="M24" s="165"/>
      <c r="N24" s="179"/>
      <c r="O24" s="202"/>
      <c r="P24" s="202"/>
      <c r="Q24" s="202"/>
      <c r="R24" s="165"/>
      <c r="S24" s="165"/>
      <c r="T24" s="165"/>
      <c r="U24" s="201"/>
      <c r="V24" s="166"/>
      <c r="W24" s="166"/>
      <c r="X24" s="179"/>
      <c r="Y24" s="179"/>
    </row>
    <row r="25" spans="1:25" ht="14.65" customHeight="1">
      <c r="A25" s="186" t="s">
        <v>224</v>
      </c>
      <c r="B25" s="186"/>
      <c r="C25">
        <v>26</v>
      </c>
      <c r="D25">
        <v>8</v>
      </c>
      <c r="E25">
        <v>24</v>
      </c>
      <c r="F25">
        <v>7</v>
      </c>
      <c r="G25">
        <v>21</v>
      </c>
      <c r="H25">
        <v>7</v>
      </c>
      <c r="I25" s="202">
        <v>20</v>
      </c>
      <c r="J25" s="165">
        <v>3</v>
      </c>
      <c r="K25" s="165">
        <v>22.658967210938538</v>
      </c>
      <c r="L25" s="179">
        <v>5.741164241164241</v>
      </c>
      <c r="M25" s="165"/>
      <c r="N25" s="179"/>
      <c r="O25" s="202"/>
      <c r="P25" s="202"/>
      <c r="Q25" s="202"/>
      <c r="R25" s="165"/>
      <c r="S25" s="165"/>
      <c r="T25" s="165"/>
      <c r="U25" s="201"/>
      <c r="V25" s="166"/>
      <c r="W25" s="166"/>
      <c r="X25" s="179"/>
      <c r="Y25" s="179"/>
    </row>
    <row r="26" spans="1:25" ht="14.65" customHeight="1">
      <c r="A26" s="186" t="s">
        <v>16</v>
      </c>
      <c r="B26" s="186"/>
      <c r="C26">
        <v>28</v>
      </c>
      <c r="D26">
        <v>7</v>
      </c>
      <c r="E26">
        <v>36</v>
      </c>
      <c r="F26">
        <v>10</v>
      </c>
      <c r="G26">
        <v>27</v>
      </c>
      <c r="H26">
        <v>6</v>
      </c>
      <c r="I26" s="202">
        <v>19</v>
      </c>
      <c r="J26" s="165">
        <v>3</v>
      </c>
      <c r="K26" s="165">
        <v>26.901998097050427</v>
      </c>
      <c r="L26" s="179">
        <v>5.8001367885097652</v>
      </c>
      <c r="M26" s="165"/>
      <c r="N26" s="179"/>
      <c r="O26" s="202"/>
      <c r="P26" s="202"/>
      <c r="Q26" s="202"/>
      <c r="R26" s="165"/>
      <c r="S26" s="165"/>
      <c r="T26" s="165"/>
      <c r="U26" s="201"/>
      <c r="V26" s="166"/>
      <c r="W26" s="166"/>
      <c r="X26" s="179"/>
      <c r="Y26" s="179"/>
    </row>
    <row r="27" spans="1:25" ht="14.65" customHeight="1">
      <c r="A27" s="186" t="s">
        <v>261</v>
      </c>
      <c r="B27" s="186"/>
      <c r="C27">
        <v>19</v>
      </c>
      <c r="D27">
        <v>11</v>
      </c>
      <c r="E27">
        <v>21</v>
      </c>
      <c r="F27">
        <v>12</v>
      </c>
      <c r="G27">
        <v>22</v>
      </c>
      <c r="H27">
        <v>16</v>
      </c>
      <c r="I27" s="202">
        <v>22</v>
      </c>
      <c r="J27" s="165">
        <v>6</v>
      </c>
      <c r="K27" s="165">
        <v>21.089064914992271</v>
      </c>
      <c r="L27" s="179">
        <v>9.7732179556517043</v>
      </c>
      <c r="M27" s="165"/>
      <c r="N27" s="179"/>
      <c r="O27" s="202"/>
      <c r="P27" s="202"/>
      <c r="Q27" s="202"/>
      <c r="R27" s="165"/>
      <c r="S27" s="165"/>
      <c r="T27" s="165"/>
      <c r="U27" s="201"/>
      <c r="V27" s="166"/>
      <c r="W27" s="166"/>
      <c r="X27" s="179"/>
      <c r="Y27" s="179"/>
    </row>
    <row r="28" spans="1:25" ht="14.65" customHeight="1">
      <c r="A28" s="186" t="s">
        <v>262</v>
      </c>
      <c r="B28" s="186"/>
      <c r="C28">
        <v>19</v>
      </c>
      <c r="D28">
        <v>23</v>
      </c>
      <c r="E28">
        <v>22</v>
      </c>
      <c r="F28">
        <v>25</v>
      </c>
      <c r="G28">
        <v>21</v>
      </c>
      <c r="H28">
        <v>32</v>
      </c>
      <c r="I28" s="202">
        <v>27</v>
      </c>
      <c r="J28" s="165">
        <v>11</v>
      </c>
      <c r="K28" s="165">
        <v>22.261488250652743</v>
      </c>
      <c r="L28" s="179">
        <v>18.453837885919722</v>
      </c>
      <c r="M28" s="165"/>
      <c r="N28" s="179"/>
      <c r="O28" s="202"/>
      <c r="P28" s="202"/>
      <c r="Q28" s="202"/>
      <c r="R28" s="165"/>
      <c r="S28" s="165"/>
      <c r="T28" s="165"/>
      <c r="U28" s="201"/>
      <c r="V28" s="166"/>
      <c r="W28" s="166"/>
      <c r="X28" s="179"/>
      <c r="Y28" s="179"/>
    </row>
    <row r="29" spans="1:25" ht="14.65" customHeight="1">
      <c r="A29" s="186" t="s">
        <v>17</v>
      </c>
      <c r="B29" s="186"/>
      <c r="C29">
        <v>25</v>
      </c>
      <c r="D29">
        <v>11</v>
      </c>
      <c r="E29">
        <v>18</v>
      </c>
      <c r="F29">
        <v>10</v>
      </c>
      <c r="G29">
        <v>16</v>
      </c>
      <c r="H29">
        <v>10</v>
      </c>
      <c r="I29" s="202">
        <v>18</v>
      </c>
      <c r="J29" s="165">
        <v>5</v>
      </c>
      <c r="K29" s="165">
        <v>19.43060686015831</v>
      </c>
      <c r="L29" s="179">
        <v>7.6647622558053818</v>
      </c>
      <c r="M29" s="165"/>
      <c r="N29" s="179"/>
      <c r="O29" s="202"/>
      <c r="P29" s="202"/>
      <c r="Q29" s="202"/>
      <c r="R29" s="165"/>
      <c r="S29" s="165"/>
      <c r="T29" s="165"/>
      <c r="U29" s="201"/>
      <c r="V29" s="166"/>
      <c r="W29" s="166"/>
      <c r="X29" s="179"/>
      <c r="Y29" s="179"/>
    </row>
    <row r="30" spans="1:25" ht="14.65" customHeight="1">
      <c r="A30" s="186" t="s">
        <v>225</v>
      </c>
      <c r="B30" s="186"/>
      <c r="C30">
        <v>26</v>
      </c>
      <c r="D30">
        <v>14</v>
      </c>
      <c r="E30">
        <v>24</v>
      </c>
      <c r="F30">
        <v>14</v>
      </c>
      <c r="G30">
        <v>22</v>
      </c>
      <c r="H30">
        <v>13</v>
      </c>
      <c r="I30" s="202">
        <v>18</v>
      </c>
      <c r="J30" s="165">
        <v>8</v>
      </c>
      <c r="K30" s="165">
        <v>22.292326283987915</v>
      </c>
      <c r="L30" s="179">
        <v>11.903168168168168</v>
      </c>
      <c r="M30" s="165"/>
      <c r="N30" s="179"/>
      <c r="O30" s="202"/>
      <c r="P30" s="202"/>
      <c r="Q30" s="202"/>
      <c r="R30" s="165"/>
      <c r="S30" s="165"/>
      <c r="T30" s="165"/>
      <c r="U30" s="201"/>
      <c r="V30" s="166"/>
      <c r="W30" s="166"/>
      <c r="X30" s="179"/>
      <c r="Y30" s="179"/>
    </row>
    <row r="31" spans="1:25" ht="14.65" customHeight="1">
      <c r="A31" s="186" t="s">
        <v>18</v>
      </c>
      <c r="B31" s="186"/>
      <c r="C31">
        <v>24</v>
      </c>
      <c r="D31" t="s">
        <v>3</v>
      </c>
      <c r="E31">
        <v>8</v>
      </c>
      <c r="F31">
        <v>16</v>
      </c>
      <c r="G31">
        <v>4</v>
      </c>
      <c r="H31">
        <v>10</v>
      </c>
      <c r="I31" s="202">
        <v>8</v>
      </c>
      <c r="J31" s="165">
        <v>7</v>
      </c>
      <c r="K31" s="165">
        <v>10.222502522704339</v>
      </c>
      <c r="L31" s="179" t="s">
        <v>3</v>
      </c>
      <c r="M31" s="165"/>
      <c r="N31" s="179"/>
      <c r="O31" s="202"/>
      <c r="P31" s="202"/>
      <c r="Q31" s="202"/>
      <c r="R31" s="165"/>
      <c r="S31" s="165"/>
      <c r="T31" s="165"/>
      <c r="U31" s="202"/>
      <c r="V31" s="204"/>
      <c r="W31" s="204"/>
      <c r="X31" s="179"/>
      <c r="Y31" s="179"/>
    </row>
    <row r="32" spans="1:25" ht="14.65" customHeight="1">
      <c r="A32" s="186" t="s">
        <v>263</v>
      </c>
      <c r="B32" s="186"/>
      <c r="C32">
        <v>18</v>
      </c>
      <c r="D32">
        <v>12</v>
      </c>
      <c r="E32">
        <v>19</v>
      </c>
      <c r="F32">
        <v>11</v>
      </c>
      <c r="G32">
        <v>16</v>
      </c>
      <c r="H32">
        <v>8</v>
      </c>
      <c r="I32" s="202">
        <v>16</v>
      </c>
      <c r="J32" s="165">
        <v>5</v>
      </c>
      <c r="K32" s="165">
        <v>16.990231500066908</v>
      </c>
      <c r="L32" s="179">
        <v>8.0313854387853052</v>
      </c>
      <c r="M32" s="165"/>
      <c r="N32" s="179"/>
      <c r="O32" s="202"/>
      <c r="P32" s="202"/>
      <c r="Q32" s="202"/>
      <c r="R32" s="165"/>
      <c r="S32" s="165"/>
      <c r="T32" s="165"/>
      <c r="U32" s="201"/>
      <c r="V32" s="166"/>
      <c r="W32" s="166"/>
      <c r="X32" s="179"/>
      <c r="Y32" s="179"/>
    </row>
    <row r="33" spans="1:25" ht="14.65" customHeight="1">
      <c r="A33" s="186" t="s">
        <v>264</v>
      </c>
      <c r="B33" s="186"/>
      <c r="C33">
        <v>16</v>
      </c>
      <c r="D33">
        <v>8</v>
      </c>
      <c r="E33">
        <v>16</v>
      </c>
      <c r="F33">
        <v>10</v>
      </c>
      <c r="G33">
        <v>19</v>
      </c>
      <c r="H33">
        <v>12</v>
      </c>
      <c r="I33" s="202">
        <v>18</v>
      </c>
      <c r="J33" s="165">
        <v>3</v>
      </c>
      <c r="K33" s="165">
        <v>17.523809523809526</v>
      </c>
      <c r="L33" s="179">
        <v>6.947935713598306</v>
      </c>
      <c r="M33" s="165"/>
      <c r="N33" s="179"/>
      <c r="O33" s="202"/>
      <c r="P33" s="202"/>
      <c r="Q33" s="202"/>
      <c r="R33" s="165"/>
      <c r="S33" s="165"/>
      <c r="T33" s="165"/>
      <c r="U33" s="201"/>
      <c r="V33" s="166"/>
      <c r="W33" s="166"/>
      <c r="X33" s="179"/>
      <c r="Y33" s="179"/>
    </row>
    <row r="34" spans="1:25" ht="14.65" customHeight="1">
      <c r="A34" s="186" t="s">
        <v>226</v>
      </c>
      <c r="B34" s="186"/>
      <c r="C34">
        <v>26</v>
      </c>
      <c r="D34">
        <v>23</v>
      </c>
      <c r="E34">
        <v>28</v>
      </c>
      <c r="F34">
        <v>17</v>
      </c>
      <c r="G34">
        <v>25</v>
      </c>
      <c r="H34">
        <v>18</v>
      </c>
      <c r="I34" s="202">
        <v>23</v>
      </c>
      <c r="J34" s="165">
        <v>8</v>
      </c>
      <c r="K34" s="165">
        <v>25.469358372456963</v>
      </c>
      <c r="L34" s="179">
        <v>15.281234524847427</v>
      </c>
      <c r="M34" s="165"/>
      <c r="N34" s="179"/>
      <c r="O34" s="202"/>
      <c r="P34" s="202"/>
      <c r="Q34" s="202"/>
      <c r="R34" s="165"/>
      <c r="S34" s="165"/>
      <c r="T34" s="165"/>
      <c r="U34" s="201"/>
      <c r="V34" s="166"/>
      <c r="W34" s="166"/>
      <c r="X34" s="179"/>
      <c r="Y34" s="179"/>
    </row>
    <row r="35" spans="1:25" ht="14.65" customHeight="1">
      <c r="A35" s="186" t="s">
        <v>19</v>
      </c>
      <c r="B35" s="186"/>
      <c r="C35">
        <v>12</v>
      </c>
      <c r="D35">
        <v>7</v>
      </c>
      <c r="E35">
        <v>18</v>
      </c>
      <c r="F35">
        <v>5</v>
      </c>
      <c r="G35">
        <v>16</v>
      </c>
      <c r="H35">
        <v>6</v>
      </c>
      <c r="I35" s="202">
        <v>16</v>
      </c>
      <c r="J35" s="165">
        <v>2</v>
      </c>
      <c r="K35" s="165">
        <v>15.354181818181818</v>
      </c>
      <c r="L35" s="179">
        <v>4.3155514778163706</v>
      </c>
      <c r="M35" s="165"/>
      <c r="N35" s="179"/>
      <c r="O35" s="202"/>
      <c r="P35" s="202"/>
      <c r="Q35" s="202"/>
      <c r="R35" s="165"/>
      <c r="S35" s="165"/>
      <c r="T35" s="165"/>
      <c r="U35" s="201"/>
      <c r="V35" s="166"/>
      <c r="W35" s="166"/>
      <c r="X35" s="179"/>
      <c r="Y35" s="179"/>
    </row>
    <row r="36" spans="1:25" ht="14.65" customHeight="1">
      <c r="A36" s="186" t="s">
        <v>20</v>
      </c>
      <c r="B36" s="186"/>
      <c r="C36">
        <v>18</v>
      </c>
      <c r="D36">
        <v>8</v>
      </c>
      <c r="E36">
        <v>22</v>
      </c>
      <c r="F36">
        <v>7</v>
      </c>
      <c r="G36">
        <v>15</v>
      </c>
      <c r="H36">
        <v>7</v>
      </c>
      <c r="I36" s="202">
        <v>13</v>
      </c>
      <c r="J36" s="165">
        <v>2</v>
      </c>
      <c r="K36" s="165">
        <v>16.978699551569505</v>
      </c>
      <c r="L36" s="179" t="s">
        <v>3</v>
      </c>
      <c r="M36" s="165"/>
      <c r="N36" s="179"/>
      <c r="O36" s="202"/>
      <c r="P36" s="202"/>
      <c r="Q36" s="202"/>
      <c r="R36" s="165"/>
      <c r="S36" s="165"/>
      <c r="T36" s="165"/>
      <c r="U36" s="201"/>
      <c r="V36" s="166"/>
      <c r="W36" s="166"/>
      <c r="X36" s="179"/>
      <c r="Y36" s="179"/>
    </row>
    <row r="37" spans="1:25" ht="14.65" customHeight="1">
      <c r="A37" s="186" t="s">
        <v>199</v>
      </c>
      <c r="B37" s="186"/>
      <c r="C37">
        <v>15</v>
      </c>
      <c r="D37">
        <v>10</v>
      </c>
      <c r="E37">
        <v>14</v>
      </c>
      <c r="F37">
        <v>7</v>
      </c>
      <c r="G37">
        <v>14</v>
      </c>
      <c r="H37">
        <v>9</v>
      </c>
      <c r="I37" s="202">
        <v>14</v>
      </c>
      <c r="J37" s="165">
        <v>4</v>
      </c>
      <c r="K37" s="165">
        <v>14.168171320596263</v>
      </c>
      <c r="L37" s="179">
        <v>6.7520728150634843</v>
      </c>
      <c r="M37" s="165"/>
      <c r="N37" s="179"/>
      <c r="O37" s="202"/>
      <c r="P37" s="202"/>
      <c r="Q37" s="202"/>
      <c r="R37" s="165"/>
      <c r="S37" s="165"/>
      <c r="T37" s="165"/>
      <c r="U37" s="201"/>
      <c r="V37" s="166"/>
      <c r="W37" s="166"/>
      <c r="X37" s="179"/>
      <c r="Y37" s="179"/>
    </row>
    <row r="38" spans="1:25" ht="14.65" customHeight="1">
      <c r="A38" s="186" t="s">
        <v>21</v>
      </c>
      <c r="B38" s="186"/>
      <c r="C38">
        <v>16</v>
      </c>
      <c r="D38">
        <v>11</v>
      </c>
      <c r="E38">
        <v>17</v>
      </c>
      <c r="F38">
        <v>10</v>
      </c>
      <c r="G38">
        <v>16</v>
      </c>
      <c r="H38">
        <v>11</v>
      </c>
      <c r="I38" s="202">
        <v>20</v>
      </c>
      <c r="J38" s="165">
        <v>4</v>
      </c>
      <c r="K38" s="165">
        <v>16.803821656050957</v>
      </c>
      <c r="L38" s="179">
        <v>7.6705873425405979</v>
      </c>
      <c r="M38" s="165"/>
      <c r="N38" s="179"/>
      <c r="O38" s="202"/>
      <c r="P38" s="202"/>
      <c r="Q38" s="202"/>
      <c r="R38" s="165"/>
      <c r="S38" s="165"/>
      <c r="T38" s="165"/>
      <c r="U38" s="201"/>
      <c r="V38" s="166"/>
      <c r="W38" s="166"/>
      <c r="X38" s="179"/>
      <c r="Y38" s="179"/>
    </row>
    <row r="39" spans="1:25" ht="14.65" customHeight="1">
      <c r="A39" s="186" t="s">
        <v>821</v>
      </c>
      <c r="B39" s="186"/>
      <c r="C39">
        <v>31</v>
      </c>
      <c r="D39">
        <v>10</v>
      </c>
      <c r="E39">
        <v>30</v>
      </c>
      <c r="F39">
        <v>11</v>
      </c>
      <c r="G39">
        <v>28</v>
      </c>
      <c r="H39">
        <v>14</v>
      </c>
      <c r="I39" s="202">
        <v>28</v>
      </c>
      <c r="J39" s="165">
        <v>5</v>
      </c>
      <c r="K39" s="165">
        <v>29.29084745762712</v>
      </c>
      <c r="L39" s="179">
        <v>8.8255980810006207</v>
      </c>
      <c r="M39" s="165"/>
      <c r="N39" s="179"/>
      <c r="O39" s="202"/>
      <c r="P39" s="202"/>
      <c r="Q39" s="202"/>
      <c r="R39" s="165"/>
      <c r="S39" s="165"/>
      <c r="T39" s="165"/>
      <c r="U39" s="201"/>
      <c r="V39" s="166"/>
      <c r="W39" s="166"/>
      <c r="X39" s="179"/>
      <c r="Y39" s="179"/>
    </row>
    <row r="40" spans="1:25" ht="14.65" customHeight="1">
      <c r="A40" s="186" t="s">
        <v>825</v>
      </c>
      <c r="B40" s="186"/>
      <c r="C40">
        <v>24</v>
      </c>
      <c r="D40">
        <v>17</v>
      </c>
      <c r="E40">
        <v>28</v>
      </c>
      <c r="F40">
        <v>17</v>
      </c>
      <c r="G40">
        <v>27</v>
      </c>
      <c r="H40">
        <v>14</v>
      </c>
      <c r="I40" s="202">
        <v>29</v>
      </c>
      <c r="J40" s="165">
        <v>5</v>
      </c>
      <c r="K40" s="165">
        <v>27.488506547784898</v>
      </c>
      <c r="L40" s="179">
        <v>11.279851095113846</v>
      </c>
      <c r="M40" s="165"/>
      <c r="N40" s="179"/>
      <c r="O40" s="202"/>
      <c r="P40" s="202"/>
      <c r="Q40" s="202"/>
      <c r="R40" s="165"/>
      <c r="S40" s="165"/>
      <c r="T40" s="165"/>
      <c r="U40" s="201"/>
      <c r="V40" s="166"/>
      <c r="W40" s="166"/>
      <c r="X40" s="179"/>
      <c r="Y40" s="179"/>
    </row>
    <row r="41" spans="1:25" ht="14.65" customHeight="1">
      <c r="A41" s="186" t="s">
        <v>22</v>
      </c>
      <c r="B41" s="186"/>
      <c r="C41">
        <v>39</v>
      </c>
      <c r="D41">
        <v>16</v>
      </c>
      <c r="E41">
        <v>36</v>
      </c>
      <c r="F41">
        <v>22</v>
      </c>
      <c r="G41">
        <v>28</v>
      </c>
      <c r="H41">
        <v>12</v>
      </c>
      <c r="I41" s="202">
        <v>18</v>
      </c>
      <c r="J41" s="165">
        <v>3</v>
      </c>
      <c r="K41" s="165">
        <v>30.099621689785625</v>
      </c>
      <c r="L41" s="179">
        <v>10.4849395327875</v>
      </c>
      <c r="M41" s="165"/>
      <c r="N41" s="179"/>
      <c r="O41" s="202"/>
      <c r="P41" s="202"/>
      <c r="Q41" s="202"/>
      <c r="R41" s="165"/>
      <c r="S41" s="165"/>
      <c r="T41" s="165"/>
      <c r="U41" s="202"/>
      <c r="V41" s="204"/>
      <c r="W41" s="204"/>
      <c r="X41" s="179"/>
      <c r="Y41" s="179"/>
    </row>
    <row r="42" spans="1:25" ht="14.65" customHeight="1">
      <c r="A42" s="186" t="s">
        <v>200</v>
      </c>
      <c r="B42" s="186"/>
      <c r="C42">
        <v>30</v>
      </c>
      <c r="D42">
        <v>14</v>
      </c>
      <c r="E42">
        <v>26</v>
      </c>
      <c r="F42">
        <v>14</v>
      </c>
      <c r="G42">
        <v>26</v>
      </c>
      <c r="H42">
        <v>18</v>
      </c>
      <c r="I42" s="202">
        <v>32</v>
      </c>
      <c r="J42" s="165">
        <v>8</v>
      </c>
      <c r="K42" s="165">
        <v>28.317444813440126</v>
      </c>
      <c r="L42" s="179">
        <v>11.544596124676879</v>
      </c>
      <c r="M42" s="165"/>
      <c r="N42" s="179"/>
      <c r="O42" s="202"/>
      <c r="P42" s="202"/>
      <c r="Q42" s="202"/>
      <c r="R42" s="165"/>
      <c r="S42" s="165"/>
      <c r="T42" s="165"/>
      <c r="U42" s="201"/>
      <c r="V42" s="166"/>
      <c r="W42" s="166"/>
      <c r="X42" s="179"/>
      <c r="Y42" s="179"/>
    </row>
    <row r="43" spans="1:25" ht="14.65" customHeight="1">
      <c r="A43" s="186" t="s">
        <v>23</v>
      </c>
      <c r="B43" s="186"/>
      <c r="C43">
        <v>25</v>
      </c>
      <c r="D43">
        <v>17</v>
      </c>
      <c r="E43">
        <v>22</v>
      </c>
      <c r="F43">
        <v>18</v>
      </c>
      <c r="G43">
        <v>27</v>
      </c>
      <c r="H43">
        <v>35</v>
      </c>
      <c r="I43" s="202">
        <v>28</v>
      </c>
      <c r="J43" s="165">
        <v>9</v>
      </c>
      <c r="K43" s="165">
        <v>25.322796934865899</v>
      </c>
      <c r="L43" s="179">
        <v>16.128402903811253</v>
      </c>
      <c r="M43" s="165"/>
      <c r="N43" s="179"/>
      <c r="O43" s="202"/>
      <c r="P43" s="202"/>
      <c r="Q43" s="202"/>
      <c r="R43" s="165"/>
      <c r="S43" s="165"/>
      <c r="T43" s="165"/>
      <c r="U43" s="201"/>
      <c r="V43" s="166"/>
      <c r="W43" s="166"/>
      <c r="X43" s="179"/>
      <c r="Y43" s="179"/>
    </row>
    <row r="44" spans="1:25" ht="14.65" customHeight="1">
      <c r="A44" s="186" t="s">
        <v>24</v>
      </c>
      <c r="B44" s="186"/>
      <c r="C44">
        <v>25</v>
      </c>
      <c r="D44">
        <v>16</v>
      </c>
      <c r="E44">
        <v>23</v>
      </c>
      <c r="F44">
        <v>15</v>
      </c>
      <c r="G44">
        <v>22</v>
      </c>
      <c r="H44">
        <v>10</v>
      </c>
      <c r="I44" s="202">
        <v>27</v>
      </c>
      <c r="J44" s="165">
        <v>6</v>
      </c>
      <c r="K44" s="165">
        <v>24.475073313782993</v>
      </c>
      <c r="L44" s="179">
        <v>10.451952635773655</v>
      </c>
      <c r="M44" s="165"/>
      <c r="N44" s="179"/>
      <c r="O44" s="202"/>
      <c r="P44" s="202"/>
      <c r="Q44" s="202"/>
      <c r="R44" s="165"/>
      <c r="S44" s="165"/>
      <c r="T44" s="165"/>
      <c r="U44" s="202"/>
      <c r="V44" s="204"/>
      <c r="W44" s="204"/>
      <c r="X44" s="179"/>
      <c r="Y44" s="179"/>
    </row>
    <row r="45" spans="1:25" ht="14.65" customHeight="1">
      <c r="A45" s="186" t="s">
        <v>25</v>
      </c>
      <c r="B45" s="186"/>
      <c r="C45">
        <v>21</v>
      </c>
      <c r="D45">
        <v>11</v>
      </c>
      <c r="E45">
        <v>25</v>
      </c>
      <c r="F45">
        <v>12</v>
      </c>
      <c r="G45">
        <v>22</v>
      </c>
      <c r="H45">
        <v>12</v>
      </c>
      <c r="I45" s="202">
        <v>20</v>
      </c>
      <c r="J45" s="165">
        <v>4</v>
      </c>
      <c r="K45" s="165">
        <v>22.039934354485776</v>
      </c>
      <c r="L45" s="179">
        <v>7.9628841362126241</v>
      </c>
      <c r="M45" s="165"/>
      <c r="N45" s="179"/>
      <c r="O45" s="202"/>
      <c r="P45" s="202"/>
      <c r="Q45" s="202"/>
      <c r="R45" s="165"/>
      <c r="S45" s="165"/>
      <c r="T45" s="165"/>
      <c r="U45" s="201"/>
      <c r="V45" s="166"/>
      <c r="W45" s="166"/>
      <c r="X45" s="179"/>
      <c r="Y45" s="179"/>
    </row>
    <row r="46" spans="1:25" ht="14.65" customHeight="1">
      <c r="A46" s="186" t="s">
        <v>26</v>
      </c>
      <c r="B46" s="186"/>
      <c r="C46">
        <v>21</v>
      </c>
      <c r="D46">
        <v>7</v>
      </c>
      <c r="E46">
        <v>21</v>
      </c>
      <c r="F46">
        <v>9</v>
      </c>
      <c r="G46">
        <v>20</v>
      </c>
      <c r="H46">
        <v>6</v>
      </c>
      <c r="I46" s="202">
        <v>21</v>
      </c>
      <c r="J46" s="165">
        <v>3</v>
      </c>
      <c r="K46" s="165">
        <v>20.690132185674763</v>
      </c>
      <c r="L46" s="179">
        <v>5.8048115806130225</v>
      </c>
      <c r="M46" s="165"/>
      <c r="N46" s="179"/>
      <c r="O46" s="202"/>
      <c r="P46" s="202"/>
      <c r="Q46" s="202"/>
      <c r="R46" s="165"/>
      <c r="S46" s="165"/>
      <c r="T46" s="165"/>
      <c r="U46" s="201"/>
      <c r="V46" s="166"/>
      <c r="W46" s="166"/>
      <c r="X46" s="179"/>
      <c r="Y46" s="179"/>
    </row>
    <row r="47" spans="1:25" ht="14.65" customHeight="1">
      <c r="A47" s="186" t="s">
        <v>227</v>
      </c>
      <c r="B47" s="186"/>
      <c r="C47">
        <v>22</v>
      </c>
      <c r="D47">
        <v>9</v>
      </c>
      <c r="E47">
        <v>24</v>
      </c>
      <c r="F47">
        <v>8</v>
      </c>
      <c r="G47">
        <v>25</v>
      </c>
      <c r="H47">
        <v>10</v>
      </c>
      <c r="I47" s="202">
        <v>22</v>
      </c>
      <c r="J47" s="165">
        <v>4</v>
      </c>
      <c r="K47" s="165">
        <v>23.195748987854252</v>
      </c>
      <c r="L47" s="179">
        <v>6.4181349273301356</v>
      </c>
      <c r="M47" s="165"/>
      <c r="N47" s="179"/>
      <c r="O47" s="202"/>
      <c r="P47" s="202"/>
      <c r="Q47" s="202"/>
      <c r="R47" s="165"/>
      <c r="S47" s="165"/>
      <c r="T47" s="165"/>
      <c r="U47" s="201"/>
      <c r="V47" s="166"/>
      <c r="W47" s="166"/>
      <c r="X47" s="179"/>
      <c r="Y47" s="179"/>
    </row>
    <row r="48" spans="1:25" ht="14.65" customHeight="1">
      <c r="A48" s="186" t="s">
        <v>228</v>
      </c>
      <c r="B48" s="186"/>
      <c r="C48">
        <v>13</v>
      </c>
      <c r="D48">
        <v>11</v>
      </c>
      <c r="E48">
        <v>12</v>
      </c>
      <c r="F48">
        <v>13</v>
      </c>
      <c r="G48">
        <v>15</v>
      </c>
      <c r="H48">
        <v>21</v>
      </c>
      <c r="I48" s="202">
        <v>15</v>
      </c>
      <c r="J48" s="165">
        <v>5</v>
      </c>
      <c r="K48" s="165">
        <v>13.872949179671869</v>
      </c>
      <c r="L48" s="179">
        <v>10.476908108108107</v>
      </c>
      <c r="M48" s="165"/>
      <c r="N48" s="179"/>
      <c r="O48" s="202"/>
      <c r="P48" s="202"/>
      <c r="Q48" s="202"/>
      <c r="R48" s="165"/>
      <c r="S48" s="165"/>
      <c r="T48" s="165"/>
      <c r="U48" s="201"/>
      <c r="V48" s="166"/>
      <c r="W48" s="166"/>
      <c r="X48" s="179"/>
      <c r="Y48" s="179"/>
    </row>
    <row r="49" spans="1:25" ht="14.65" customHeight="1">
      <c r="A49" s="186" t="s">
        <v>27</v>
      </c>
      <c r="B49" s="186"/>
      <c r="C49">
        <v>19</v>
      </c>
      <c r="D49">
        <v>7</v>
      </c>
      <c r="E49">
        <v>13</v>
      </c>
      <c r="F49">
        <v>5</v>
      </c>
      <c r="G49">
        <v>16</v>
      </c>
      <c r="H49">
        <v>7</v>
      </c>
      <c r="I49" s="202">
        <v>15</v>
      </c>
      <c r="J49" s="165">
        <v>3</v>
      </c>
      <c r="K49" s="165">
        <v>15.526346776567559</v>
      </c>
      <c r="L49" s="179">
        <v>5.1213192343408318</v>
      </c>
      <c r="M49" s="165"/>
      <c r="N49" s="179"/>
      <c r="O49" s="202"/>
      <c r="P49" s="202"/>
      <c r="Q49" s="202"/>
      <c r="R49" s="165"/>
      <c r="S49" s="165"/>
      <c r="T49" s="165"/>
      <c r="U49" s="201"/>
      <c r="V49" s="166"/>
      <c r="W49" s="166"/>
      <c r="X49" s="179"/>
      <c r="Y49" s="179"/>
    </row>
    <row r="50" spans="1:25" ht="14.65" customHeight="1">
      <c r="A50" s="186" t="s">
        <v>201</v>
      </c>
      <c r="B50" s="186"/>
      <c r="C50">
        <v>13</v>
      </c>
      <c r="D50">
        <v>7</v>
      </c>
      <c r="E50">
        <v>24</v>
      </c>
      <c r="F50">
        <v>5</v>
      </c>
      <c r="G50">
        <v>22</v>
      </c>
      <c r="H50">
        <v>5</v>
      </c>
      <c r="I50" s="202">
        <v>21</v>
      </c>
      <c r="J50" s="165">
        <v>3</v>
      </c>
      <c r="K50" s="165">
        <v>18.838216560509554</v>
      </c>
      <c r="L50" s="179">
        <v>4.6777063833833701</v>
      </c>
      <c r="M50" s="165"/>
      <c r="N50" s="179"/>
      <c r="O50" s="202"/>
      <c r="P50" s="202"/>
      <c r="Q50" s="202"/>
      <c r="R50" s="165"/>
      <c r="S50" s="165"/>
      <c r="T50" s="165"/>
      <c r="U50" s="201"/>
      <c r="V50" s="166"/>
      <c r="W50" s="166"/>
      <c r="X50" s="179"/>
      <c r="Y50" s="179"/>
    </row>
    <row r="51" spans="1:25" ht="14.65" customHeight="1">
      <c r="A51" s="186" t="s">
        <v>28</v>
      </c>
      <c r="B51" s="186"/>
      <c r="C51">
        <v>21</v>
      </c>
      <c r="D51">
        <v>11</v>
      </c>
      <c r="E51">
        <v>20</v>
      </c>
      <c r="F51">
        <v>9</v>
      </c>
      <c r="G51">
        <v>8</v>
      </c>
      <c r="H51">
        <v>5</v>
      </c>
      <c r="I51" s="202">
        <v>12</v>
      </c>
      <c r="J51" s="165">
        <v>3</v>
      </c>
      <c r="K51" s="165">
        <v>16.029935581659721</v>
      </c>
      <c r="L51" s="179">
        <v>5.9700294582248219</v>
      </c>
      <c r="M51" s="165"/>
      <c r="N51" s="179"/>
      <c r="O51" s="202"/>
      <c r="P51" s="202"/>
      <c r="Q51" s="202"/>
      <c r="R51" s="165"/>
      <c r="S51" s="165"/>
      <c r="T51" s="165"/>
      <c r="U51" s="201"/>
      <c r="V51" s="166"/>
      <c r="W51" s="166"/>
      <c r="X51" s="179"/>
      <c r="Y51" s="179"/>
    </row>
    <row r="52" spans="1:25" ht="14.65" customHeight="1">
      <c r="A52" s="186" t="s">
        <v>29</v>
      </c>
      <c r="B52" s="186"/>
      <c r="C52">
        <v>22</v>
      </c>
      <c r="D52">
        <v>7</v>
      </c>
      <c r="E52">
        <v>18</v>
      </c>
      <c r="F52">
        <v>6</v>
      </c>
      <c r="G52">
        <v>17</v>
      </c>
      <c r="H52">
        <v>6</v>
      </c>
      <c r="I52" s="202">
        <v>17</v>
      </c>
      <c r="J52" s="165">
        <v>3</v>
      </c>
      <c r="K52" s="165">
        <v>18.637671462027434</v>
      </c>
      <c r="L52" s="179">
        <v>4.8117810489374149</v>
      </c>
      <c r="M52" s="165"/>
      <c r="N52" s="179"/>
      <c r="O52" s="202"/>
      <c r="P52" s="202"/>
      <c r="Q52" s="202"/>
      <c r="R52" s="165"/>
      <c r="S52" s="165"/>
      <c r="T52" s="165"/>
      <c r="U52" s="201"/>
      <c r="V52" s="166"/>
      <c r="W52" s="166"/>
      <c r="X52" s="179"/>
      <c r="Y52" s="179"/>
    </row>
    <row r="53" spans="1:25" ht="14.65" customHeight="1">
      <c r="A53" s="186" t="s">
        <v>30</v>
      </c>
      <c r="B53" s="186"/>
      <c r="C53">
        <v>19</v>
      </c>
      <c r="D53">
        <v>7</v>
      </c>
      <c r="E53">
        <v>21</v>
      </c>
      <c r="F53">
        <v>12</v>
      </c>
      <c r="G53">
        <v>23</v>
      </c>
      <c r="H53">
        <v>15</v>
      </c>
      <c r="I53" s="202">
        <v>23</v>
      </c>
      <c r="J53" s="165">
        <v>5</v>
      </c>
      <c r="K53" s="165">
        <v>21.215319148936171</v>
      </c>
      <c r="L53" s="179">
        <v>8.1209202076185445</v>
      </c>
      <c r="M53" s="165"/>
      <c r="N53" s="179"/>
      <c r="O53" s="202"/>
      <c r="P53" s="202"/>
      <c r="Q53" s="202"/>
      <c r="R53" s="165"/>
      <c r="S53" s="165"/>
      <c r="T53" s="165"/>
      <c r="U53" s="201"/>
      <c r="V53" s="166"/>
      <c r="W53" s="166"/>
      <c r="X53" s="179"/>
      <c r="Y53" s="179"/>
    </row>
    <row r="54" spans="1:25" ht="14.65" customHeight="1">
      <c r="A54" s="186" t="s">
        <v>31</v>
      </c>
      <c r="B54" s="186"/>
      <c r="C54">
        <v>21</v>
      </c>
      <c r="D54">
        <v>6</v>
      </c>
      <c r="E54">
        <v>22</v>
      </c>
      <c r="F54">
        <v>8</v>
      </c>
      <c r="G54">
        <v>21</v>
      </c>
      <c r="H54">
        <v>9</v>
      </c>
      <c r="I54" s="202">
        <v>27</v>
      </c>
      <c r="J54" s="165">
        <v>6</v>
      </c>
      <c r="K54" s="165">
        <v>23.084718923198732</v>
      </c>
      <c r="L54" s="179">
        <v>6.8419940109212609</v>
      </c>
      <c r="M54" s="165"/>
      <c r="N54" s="179"/>
      <c r="O54" s="202"/>
      <c r="P54" s="202"/>
      <c r="Q54" s="202"/>
      <c r="R54" s="165"/>
      <c r="S54" s="165"/>
      <c r="T54" s="165"/>
      <c r="U54" s="202"/>
      <c r="V54" s="204"/>
      <c r="W54" s="204"/>
      <c r="X54" s="179"/>
      <c r="Y54" s="179"/>
    </row>
    <row r="55" spans="1:25" ht="14.65" customHeight="1">
      <c r="A55" s="186" t="s">
        <v>304</v>
      </c>
      <c r="B55" s="186"/>
      <c r="C55">
        <v>32</v>
      </c>
      <c r="D55">
        <v>23</v>
      </c>
      <c r="E55">
        <v>36</v>
      </c>
      <c r="F55">
        <v>29</v>
      </c>
      <c r="G55">
        <v>41</v>
      </c>
      <c r="H55">
        <v>37</v>
      </c>
      <c r="I55" s="202">
        <v>37</v>
      </c>
      <c r="J55" s="165">
        <v>10</v>
      </c>
      <c r="K55" s="165">
        <v>36.476190476190474</v>
      </c>
      <c r="L55" s="179">
        <v>19.152518463198074</v>
      </c>
      <c r="M55" s="165"/>
      <c r="N55" s="179"/>
      <c r="O55" s="202"/>
      <c r="P55" s="202"/>
      <c r="Q55" s="202"/>
      <c r="R55" s="165"/>
      <c r="S55" s="165"/>
      <c r="T55" s="165"/>
      <c r="U55" s="201"/>
      <c r="V55" s="166"/>
      <c r="W55" s="166"/>
      <c r="X55" s="179"/>
      <c r="Y55" s="179"/>
    </row>
    <row r="56" spans="1:25" ht="14.65" customHeight="1">
      <c r="A56" s="186" t="s">
        <v>32</v>
      </c>
      <c r="B56" s="186"/>
      <c r="C56">
        <v>28</v>
      </c>
      <c r="D56">
        <v>33</v>
      </c>
      <c r="E56">
        <v>25</v>
      </c>
      <c r="F56">
        <v>21</v>
      </c>
      <c r="G56">
        <v>25</v>
      </c>
      <c r="H56">
        <v>11</v>
      </c>
      <c r="I56" s="202">
        <v>26</v>
      </c>
      <c r="J56" s="165">
        <v>5</v>
      </c>
      <c r="K56" s="165">
        <v>25.891358910003586</v>
      </c>
      <c r="L56" s="179">
        <v>14.639803234078183</v>
      </c>
      <c r="M56" s="165"/>
      <c r="N56" s="179"/>
      <c r="O56" s="202"/>
      <c r="P56" s="202"/>
      <c r="Q56" s="202"/>
      <c r="R56" s="165"/>
      <c r="S56" s="165"/>
      <c r="T56" s="165"/>
      <c r="U56" s="201"/>
      <c r="V56" s="166"/>
      <c r="W56" s="166"/>
      <c r="X56" s="179"/>
      <c r="Y56" s="179"/>
    </row>
    <row r="57" spans="1:25" ht="14.65" customHeight="1">
      <c r="A57" s="186" t="s">
        <v>33</v>
      </c>
      <c r="B57" s="186"/>
      <c r="C57">
        <v>19</v>
      </c>
      <c r="D57">
        <v>5</v>
      </c>
      <c r="E57">
        <v>16</v>
      </c>
      <c r="F57">
        <v>4</v>
      </c>
      <c r="G57">
        <v>16</v>
      </c>
      <c r="H57">
        <v>4</v>
      </c>
      <c r="I57" s="201">
        <v>17</v>
      </c>
      <c r="J57" s="199">
        <v>3</v>
      </c>
      <c r="K57" s="199">
        <v>16.932161830813239</v>
      </c>
      <c r="L57" s="179">
        <v>3.7566735498404356</v>
      </c>
      <c r="M57" s="199"/>
      <c r="N57" s="179"/>
      <c r="O57" s="201"/>
      <c r="P57" s="201"/>
      <c r="Q57" s="201"/>
      <c r="R57" s="199"/>
      <c r="S57" s="199"/>
      <c r="T57" s="199"/>
      <c r="U57" s="201"/>
      <c r="V57" s="166"/>
      <c r="W57" s="166"/>
      <c r="X57" s="179"/>
      <c r="Y57" s="179"/>
    </row>
    <row r="58" spans="1:25" ht="14.65" customHeight="1">
      <c r="A58" s="186" t="s">
        <v>34</v>
      </c>
      <c r="B58" s="186"/>
      <c r="C58">
        <v>19</v>
      </c>
      <c r="D58">
        <v>5</v>
      </c>
      <c r="E58">
        <v>20</v>
      </c>
      <c r="F58">
        <v>5</v>
      </c>
      <c r="G58">
        <v>18</v>
      </c>
      <c r="H58">
        <v>6</v>
      </c>
      <c r="I58" s="202">
        <v>19</v>
      </c>
      <c r="J58" s="165">
        <v>3</v>
      </c>
      <c r="K58" s="165">
        <v>19.030951471150171</v>
      </c>
      <c r="L58" s="179">
        <v>4.2235507109719759</v>
      </c>
      <c r="M58" s="165"/>
      <c r="N58" s="179"/>
      <c r="O58" s="202"/>
      <c r="P58" s="202"/>
      <c r="Q58" s="202"/>
      <c r="R58" s="165"/>
      <c r="S58" s="165"/>
      <c r="T58" s="165"/>
      <c r="U58" s="201"/>
      <c r="V58" s="166"/>
      <c r="W58" s="166"/>
      <c r="X58" s="179"/>
      <c r="Y58" s="179"/>
    </row>
    <row r="59" spans="1:25" ht="14.65" customHeight="1">
      <c r="A59" s="186" t="s">
        <v>35</v>
      </c>
      <c r="B59" s="186"/>
      <c r="C59">
        <v>15</v>
      </c>
      <c r="D59">
        <v>4</v>
      </c>
      <c r="E59">
        <v>19</v>
      </c>
      <c r="F59">
        <v>6</v>
      </c>
      <c r="G59">
        <v>17</v>
      </c>
      <c r="H59">
        <v>7</v>
      </c>
      <c r="I59" s="202">
        <v>13</v>
      </c>
      <c r="J59" s="165">
        <v>2</v>
      </c>
      <c r="K59" s="165">
        <v>16.004554865424431</v>
      </c>
      <c r="L59" s="179">
        <v>3.9783733188827037</v>
      </c>
      <c r="M59" s="165"/>
      <c r="N59" s="179"/>
      <c r="O59" s="202"/>
      <c r="P59" s="202"/>
      <c r="Q59" s="202"/>
      <c r="R59" s="165"/>
      <c r="S59" s="165"/>
      <c r="T59" s="165"/>
      <c r="U59" s="202"/>
      <c r="V59" s="204"/>
      <c r="W59" s="204"/>
      <c r="X59" s="179"/>
      <c r="Y59" s="179"/>
    </row>
    <row r="60" spans="1:25" ht="14.65" customHeight="1">
      <c r="A60" s="186" t="s">
        <v>305</v>
      </c>
      <c r="B60" s="186"/>
      <c r="C60">
        <v>23</v>
      </c>
      <c r="D60">
        <v>9</v>
      </c>
      <c r="E60">
        <v>28</v>
      </c>
      <c r="F60">
        <v>12</v>
      </c>
      <c r="G60">
        <v>33</v>
      </c>
      <c r="H60">
        <v>18</v>
      </c>
      <c r="I60" s="202">
        <v>38</v>
      </c>
      <c r="J60" s="165">
        <v>6</v>
      </c>
      <c r="K60" s="165">
        <v>30.986323555875472</v>
      </c>
      <c r="L60" s="179">
        <v>9.7215530606334219</v>
      </c>
      <c r="M60" s="165"/>
      <c r="N60" s="179"/>
      <c r="O60" s="202"/>
      <c r="P60" s="202"/>
      <c r="Q60" s="202"/>
      <c r="R60" s="165"/>
      <c r="S60" s="165"/>
      <c r="T60" s="165"/>
      <c r="U60" s="202"/>
      <c r="V60" s="204"/>
      <c r="W60" s="204"/>
      <c r="X60" s="179"/>
      <c r="Y60" s="179"/>
    </row>
    <row r="61" spans="1:25" ht="14.65" customHeight="1">
      <c r="A61" s="186" t="s">
        <v>822</v>
      </c>
      <c r="B61" s="186"/>
      <c r="C61">
        <v>31</v>
      </c>
      <c r="D61">
        <v>15</v>
      </c>
      <c r="E61">
        <v>37</v>
      </c>
      <c r="F61">
        <v>17</v>
      </c>
      <c r="G61">
        <v>33</v>
      </c>
      <c r="H61">
        <v>20</v>
      </c>
      <c r="I61" s="202">
        <v>31</v>
      </c>
      <c r="J61" s="165">
        <v>6</v>
      </c>
      <c r="K61" s="165">
        <v>33.101427371956341</v>
      </c>
      <c r="L61" s="179">
        <v>12.129072959470749</v>
      </c>
      <c r="M61" s="165"/>
      <c r="N61" s="179"/>
      <c r="O61" s="202"/>
      <c r="P61" s="202"/>
      <c r="Q61" s="202"/>
      <c r="R61" s="165"/>
      <c r="S61" s="165"/>
      <c r="T61" s="165"/>
      <c r="U61" s="201"/>
      <c r="V61" s="166"/>
      <c r="W61" s="166"/>
      <c r="X61" s="179"/>
      <c r="Y61" s="179"/>
    </row>
    <row r="62" spans="1:25" ht="14.65" customHeight="1">
      <c r="A62" s="186" t="s">
        <v>36</v>
      </c>
      <c r="B62" s="186"/>
      <c r="C62">
        <v>24</v>
      </c>
      <c r="D62">
        <v>10</v>
      </c>
      <c r="E62">
        <v>29</v>
      </c>
      <c r="F62">
        <v>13</v>
      </c>
      <c r="G62">
        <v>28</v>
      </c>
      <c r="H62">
        <v>14</v>
      </c>
      <c r="I62" s="202">
        <v>29</v>
      </c>
      <c r="J62" s="165">
        <v>5</v>
      </c>
      <c r="K62" s="165">
        <v>27.559176672384218</v>
      </c>
      <c r="L62" s="179">
        <v>8.9520795308920036</v>
      </c>
      <c r="M62" s="165"/>
      <c r="N62" s="179"/>
      <c r="O62" s="202"/>
      <c r="P62" s="202"/>
      <c r="Q62" s="202"/>
      <c r="R62" s="165"/>
      <c r="S62" s="165"/>
      <c r="T62" s="165"/>
      <c r="U62" s="201"/>
      <c r="V62" s="166"/>
      <c r="W62" s="166"/>
      <c r="X62" s="179"/>
      <c r="Y62" s="179"/>
    </row>
    <row r="63" spans="1:25" ht="14.65" customHeight="1">
      <c r="A63" s="186" t="s">
        <v>37</v>
      </c>
      <c r="B63" s="186"/>
      <c r="C63">
        <v>22</v>
      </c>
      <c r="D63">
        <v>6</v>
      </c>
      <c r="E63">
        <v>19</v>
      </c>
      <c r="F63">
        <v>6</v>
      </c>
      <c r="G63">
        <v>21</v>
      </c>
      <c r="H63">
        <v>7</v>
      </c>
      <c r="I63" s="202">
        <v>26</v>
      </c>
      <c r="J63" s="165">
        <v>4</v>
      </c>
      <c r="K63" s="165">
        <v>21.793618116314978</v>
      </c>
      <c r="L63" s="179">
        <v>5.3455858221201185</v>
      </c>
      <c r="M63" s="165"/>
      <c r="N63" s="179"/>
      <c r="O63" s="202"/>
      <c r="P63" s="202"/>
      <c r="Q63" s="202"/>
      <c r="R63" s="165"/>
      <c r="S63" s="165"/>
      <c r="T63" s="165"/>
      <c r="U63" s="201"/>
      <c r="V63" s="166"/>
      <c r="W63" s="166"/>
      <c r="X63" s="179"/>
      <c r="Y63" s="179"/>
    </row>
    <row r="64" spans="1:25" ht="14.65" customHeight="1">
      <c r="A64" s="186" t="s">
        <v>38</v>
      </c>
      <c r="B64" s="186"/>
      <c r="C64">
        <v>12</v>
      </c>
      <c r="D64">
        <v>2</v>
      </c>
      <c r="E64">
        <v>15</v>
      </c>
      <c r="F64">
        <v>3</v>
      </c>
      <c r="G64">
        <v>14</v>
      </c>
      <c r="H64">
        <v>3</v>
      </c>
      <c r="I64" s="202">
        <v>15</v>
      </c>
      <c r="J64" s="165">
        <v>2</v>
      </c>
      <c r="K64" s="165">
        <v>13.935294117647059</v>
      </c>
      <c r="L64" s="179">
        <v>2.7576582709326072</v>
      </c>
      <c r="M64" s="165"/>
      <c r="N64" s="179"/>
      <c r="O64" s="202"/>
      <c r="P64" s="202"/>
      <c r="Q64" s="202"/>
      <c r="R64" s="165"/>
      <c r="S64" s="165"/>
      <c r="T64" s="165"/>
      <c r="U64" s="201"/>
      <c r="V64" s="166"/>
      <c r="W64" s="166"/>
      <c r="X64" s="179"/>
      <c r="Y64" s="179"/>
    </row>
    <row r="65" spans="1:25" ht="14.65" customHeight="1">
      <c r="A65" s="186" t="s">
        <v>39</v>
      </c>
      <c r="B65" s="186"/>
      <c r="C65">
        <v>24</v>
      </c>
      <c r="D65">
        <v>9</v>
      </c>
      <c r="E65">
        <v>22</v>
      </c>
      <c r="F65">
        <v>9</v>
      </c>
      <c r="G65">
        <v>20</v>
      </c>
      <c r="H65">
        <v>9</v>
      </c>
      <c r="I65" s="202">
        <v>21</v>
      </c>
      <c r="J65" s="165">
        <v>4</v>
      </c>
      <c r="K65" s="165">
        <v>21.844522968197879</v>
      </c>
      <c r="L65" s="179">
        <v>7.0023287405394914</v>
      </c>
      <c r="M65" s="165"/>
      <c r="N65" s="179"/>
      <c r="O65" s="202"/>
      <c r="P65" s="202"/>
      <c r="Q65" s="202"/>
      <c r="R65" s="165"/>
      <c r="S65" s="165"/>
      <c r="T65" s="165"/>
      <c r="U65" s="201"/>
      <c r="V65" s="166"/>
      <c r="W65" s="166"/>
      <c r="X65" s="179"/>
      <c r="Y65" s="179"/>
    </row>
    <row r="66" spans="1:25" ht="14.65" customHeight="1">
      <c r="A66" s="186" t="s">
        <v>40</v>
      </c>
      <c r="B66" s="186"/>
      <c r="C66">
        <v>22</v>
      </c>
      <c r="D66">
        <v>10</v>
      </c>
      <c r="E66">
        <v>19</v>
      </c>
      <c r="F66">
        <v>9</v>
      </c>
      <c r="G66">
        <v>19</v>
      </c>
      <c r="H66">
        <v>11</v>
      </c>
      <c r="I66" s="202">
        <v>16</v>
      </c>
      <c r="J66" s="165">
        <v>3</v>
      </c>
      <c r="K66" s="165">
        <v>19.168449197860962</v>
      </c>
      <c r="L66" s="179">
        <v>7.1802740346506626</v>
      </c>
      <c r="M66" s="165"/>
      <c r="N66" s="179"/>
      <c r="O66" s="202"/>
      <c r="P66" s="202"/>
      <c r="Q66" s="202"/>
      <c r="R66" s="165"/>
      <c r="S66" s="165"/>
      <c r="T66" s="165"/>
      <c r="U66" s="201"/>
      <c r="V66" s="166"/>
      <c r="W66" s="166"/>
      <c r="X66" s="179"/>
      <c r="Y66" s="179"/>
    </row>
    <row r="67" spans="1:25" ht="14.65" customHeight="1">
      <c r="A67" s="186" t="s">
        <v>374</v>
      </c>
      <c r="B67" s="186"/>
      <c r="C67">
        <v>18</v>
      </c>
      <c r="D67">
        <v>8</v>
      </c>
      <c r="E67">
        <v>18</v>
      </c>
      <c r="F67">
        <v>7</v>
      </c>
      <c r="G67">
        <v>20</v>
      </c>
      <c r="H67">
        <v>5</v>
      </c>
      <c r="I67" s="202">
        <v>26</v>
      </c>
      <c r="J67" s="165">
        <v>8</v>
      </c>
      <c r="K67" s="165">
        <v>20.726315789473684</v>
      </c>
      <c r="L67" s="179">
        <v>6.3472184896533186</v>
      </c>
      <c r="M67" s="165"/>
      <c r="N67" s="179"/>
      <c r="O67" s="202"/>
      <c r="P67" s="202"/>
      <c r="Q67" s="202"/>
      <c r="R67" s="165"/>
      <c r="S67" s="165"/>
      <c r="T67" s="165"/>
      <c r="U67" s="201"/>
      <c r="V67" s="166"/>
      <c r="W67" s="166"/>
      <c r="X67" s="179"/>
      <c r="Y67" s="179"/>
    </row>
    <row r="68" spans="1:25" ht="14.65" customHeight="1">
      <c r="A68" s="186" t="s">
        <v>41</v>
      </c>
      <c r="B68" s="186"/>
      <c r="C68">
        <v>30</v>
      </c>
      <c r="D68">
        <v>14</v>
      </c>
      <c r="E68">
        <v>31</v>
      </c>
      <c r="F68">
        <v>17</v>
      </c>
      <c r="G68">
        <v>27</v>
      </c>
      <c r="H68">
        <v>17</v>
      </c>
      <c r="I68" s="202">
        <v>23</v>
      </c>
      <c r="J68" s="165">
        <v>6</v>
      </c>
      <c r="K68" s="165">
        <v>27.666069600818833</v>
      </c>
      <c r="L68" s="179">
        <v>11.236641447856401</v>
      </c>
      <c r="M68" s="165"/>
      <c r="N68" s="179"/>
      <c r="O68" s="202"/>
      <c r="P68" s="202"/>
      <c r="Q68" s="202"/>
      <c r="R68" s="165"/>
      <c r="S68" s="165"/>
      <c r="T68" s="165"/>
      <c r="U68" s="202"/>
      <c r="V68" s="204"/>
      <c r="W68" s="204"/>
      <c r="X68" s="179"/>
      <c r="Y68" s="179"/>
    </row>
    <row r="69" spans="1:25" ht="14.65" customHeight="1">
      <c r="A69" s="186" t="s">
        <v>42</v>
      </c>
      <c r="B69" s="186"/>
      <c r="C69">
        <v>24</v>
      </c>
      <c r="D69">
        <v>16</v>
      </c>
      <c r="E69">
        <v>22</v>
      </c>
      <c r="F69">
        <v>13</v>
      </c>
      <c r="G69">
        <v>24</v>
      </c>
      <c r="H69">
        <v>17</v>
      </c>
      <c r="I69" s="202">
        <v>26</v>
      </c>
      <c r="J69" s="165">
        <v>6</v>
      </c>
      <c r="K69" s="165">
        <v>23.867437722419929</v>
      </c>
      <c r="L69" s="179">
        <v>10.42640922850364</v>
      </c>
      <c r="M69" s="165"/>
      <c r="N69" s="179"/>
      <c r="O69" s="202"/>
      <c r="P69" s="202"/>
      <c r="Q69" s="202"/>
      <c r="R69" s="165"/>
      <c r="S69" s="165"/>
      <c r="T69" s="165"/>
      <c r="U69" s="201"/>
      <c r="V69" s="166"/>
      <c r="W69" s="166"/>
      <c r="X69" s="179"/>
      <c r="Y69" s="179"/>
    </row>
    <row r="70" spans="1:25" ht="14.65" customHeight="1">
      <c r="A70" s="186" t="s">
        <v>43</v>
      </c>
      <c r="B70" s="186"/>
      <c r="C70">
        <v>24</v>
      </c>
      <c r="D70">
        <v>11</v>
      </c>
      <c r="E70">
        <v>14</v>
      </c>
      <c r="F70">
        <v>5</v>
      </c>
      <c r="G70">
        <v>15</v>
      </c>
      <c r="H70">
        <v>7</v>
      </c>
      <c r="I70" s="202">
        <v>14</v>
      </c>
      <c r="J70" s="165">
        <v>3</v>
      </c>
      <c r="K70" s="165">
        <v>17.612917594654789</v>
      </c>
      <c r="L70" s="179">
        <v>5.7270270270270274</v>
      </c>
      <c r="M70" s="165"/>
      <c r="N70" s="179"/>
      <c r="O70" s="202"/>
      <c r="P70" s="202"/>
      <c r="Q70" s="202"/>
      <c r="R70" s="165"/>
      <c r="S70" s="165"/>
      <c r="T70" s="165"/>
      <c r="U70" s="201"/>
      <c r="V70" s="166"/>
      <c r="W70" s="166"/>
      <c r="X70" s="179"/>
      <c r="Y70" s="179"/>
    </row>
    <row r="71" spans="1:25" ht="14.65" customHeight="1">
      <c r="A71" s="186" t="s">
        <v>306</v>
      </c>
      <c r="B71" s="186"/>
      <c r="C71">
        <v>28</v>
      </c>
      <c r="D71">
        <v>15</v>
      </c>
      <c r="E71">
        <v>23</v>
      </c>
      <c r="F71">
        <v>11</v>
      </c>
      <c r="G71">
        <v>20</v>
      </c>
      <c r="H71">
        <v>11</v>
      </c>
      <c r="I71" s="202">
        <v>20</v>
      </c>
      <c r="J71" s="165">
        <v>4</v>
      </c>
      <c r="K71" s="165">
        <v>22.247213375796179</v>
      </c>
      <c r="L71" s="179">
        <v>8.6026086465832048</v>
      </c>
      <c r="M71" s="165"/>
      <c r="N71" s="179"/>
      <c r="O71" s="202"/>
      <c r="P71" s="202"/>
      <c r="Q71" s="202"/>
      <c r="R71" s="165"/>
      <c r="S71" s="165"/>
      <c r="T71" s="165"/>
      <c r="U71" s="201"/>
      <c r="V71" s="166"/>
      <c r="W71" s="166"/>
      <c r="X71" s="179"/>
      <c r="Y71" s="179"/>
    </row>
    <row r="72" spans="1:25" ht="14.65" customHeight="1">
      <c r="A72" s="186" t="s">
        <v>44</v>
      </c>
      <c r="B72" s="186"/>
      <c r="C72">
        <v>11</v>
      </c>
      <c r="D72">
        <v>4</v>
      </c>
      <c r="E72">
        <v>12</v>
      </c>
      <c r="F72">
        <v>4</v>
      </c>
      <c r="G72">
        <v>11</v>
      </c>
      <c r="H72">
        <v>5</v>
      </c>
      <c r="I72" s="202">
        <v>10</v>
      </c>
      <c r="J72" s="165">
        <v>2</v>
      </c>
      <c r="K72" s="165">
        <v>10.972602739726028</v>
      </c>
      <c r="L72" s="179">
        <v>3.4104238618524332</v>
      </c>
      <c r="M72" s="165"/>
      <c r="N72" s="179"/>
      <c r="O72" s="202"/>
      <c r="P72" s="202"/>
      <c r="Q72" s="202"/>
      <c r="R72" s="165"/>
      <c r="S72" s="165"/>
      <c r="T72" s="165"/>
      <c r="U72" s="201"/>
      <c r="V72" s="166"/>
      <c r="W72" s="166"/>
      <c r="X72" s="179"/>
      <c r="Y72" s="179"/>
    </row>
    <row r="73" spans="1:25" ht="14.65" customHeight="1">
      <c r="A73" s="186" t="s">
        <v>267</v>
      </c>
      <c r="B73" s="186"/>
      <c r="C73">
        <v>20</v>
      </c>
      <c r="D73">
        <v>20</v>
      </c>
      <c r="E73">
        <v>21</v>
      </c>
      <c r="F73">
        <v>12</v>
      </c>
      <c r="G73">
        <v>21</v>
      </c>
      <c r="H73">
        <v>10</v>
      </c>
      <c r="I73" s="202">
        <v>22</v>
      </c>
      <c r="J73" s="165">
        <v>4</v>
      </c>
      <c r="K73" s="165">
        <v>21.178634846224874</v>
      </c>
      <c r="L73" s="179">
        <v>9.2709444302658266</v>
      </c>
      <c r="M73" s="165"/>
      <c r="N73" s="179"/>
      <c r="O73" s="202"/>
      <c r="P73" s="202"/>
      <c r="Q73" s="202"/>
      <c r="R73" s="165"/>
      <c r="S73" s="165"/>
      <c r="T73" s="165"/>
      <c r="U73" s="201"/>
      <c r="V73" s="166"/>
      <c r="W73" s="166"/>
      <c r="X73" s="179"/>
      <c r="Y73" s="179"/>
    </row>
    <row r="74" spans="1:25" ht="14.65" customHeight="1">
      <c r="A74" s="186" t="s">
        <v>229</v>
      </c>
      <c r="B74" s="186"/>
      <c r="C74">
        <v>24</v>
      </c>
      <c r="D74">
        <v>16</v>
      </c>
      <c r="E74">
        <v>24</v>
      </c>
      <c r="F74">
        <v>22</v>
      </c>
      <c r="G74">
        <v>21</v>
      </c>
      <c r="H74">
        <v>18</v>
      </c>
      <c r="I74" s="202">
        <v>20</v>
      </c>
      <c r="J74" s="165">
        <v>5</v>
      </c>
      <c r="K74" s="165">
        <v>22.164536569648803</v>
      </c>
      <c r="L74" s="179">
        <v>12.711334293470641</v>
      </c>
      <c r="M74" s="165"/>
      <c r="N74" s="179"/>
      <c r="O74" s="202"/>
      <c r="P74" s="202"/>
      <c r="Q74" s="202"/>
      <c r="R74" s="165"/>
      <c r="S74" s="165"/>
      <c r="T74" s="165"/>
      <c r="U74" s="201"/>
      <c r="V74" s="166"/>
      <c r="W74" s="166"/>
      <c r="X74" s="179"/>
      <c r="Y74" s="179"/>
    </row>
    <row r="75" spans="1:25" ht="14.65" customHeight="1">
      <c r="A75" s="186" t="s">
        <v>45</v>
      </c>
      <c r="B75" s="186"/>
      <c r="C75">
        <v>24</v>
      </c>
      <c r="D75">
        <v>10</v>
      </c>
      <c r="E75">
        <v>24</v>
      </c>
      <c r="F75">
        <v>9</v>
      </c>
      <c r="G75">
        <v>27</v>
      </c>
      <c r="H75">
        <v>9</v>
      </c>
      <c r="I75" s="202">
        <v>25</v>
      </c>
      <c r="J75" s="165">
        <v>3</v>
      </c>
      <c r="K75" s="165">
        <v>24.979338842975206</v>
      </c>
      <c r="L75" s="179">
        <v>6.4517194957777502</v>
      </c>
      <c r="M75" s="165"/>
      <c r="N75" s="179"/>
      <c r="O75" s="202"/>
      <c r="P75" s="202"/>
      <c r="Q75" s="202"/>
      <c r="R75" s="165"/>
      <c r="S75" s="165"/>
      <c r="T75" s="165"/>
      <c r="U75" s="201"/>
      <c r="V75" s="166"/>
      <c r="W75" s="166"/>
      <c r="X75" s="179"/>
      <c r="Y75" s="179"/>
    </row>
    <row r="76" spans="1:25" ht="14.65" customHeight="1">
      <c r="A76" s="186" t="s">
        <v>46</v>
      </c>
      <c r="B76" s="186"/>
      <c r="C76">
        <v>13</v>
      </c>
      <c r="D76">
        <v>3</v>
      </c>
      <c r="E76">
        <v>14</v>
      </c>
      <c r="F76">
        <v>4</v>
      </c>
      <c r="G76">
        <v>13</v>
      </c>
      <c r="H76">
        <v>5</v>
      </c>
      <c r="I76" s="202">
        <v>13</v>
      </c>
      <c r="J76" s="165" t="s">
        <v>3</v>
      </c>
      <c r="K76" s="165">
        <v>13.114886731391586</v>
      </c>
      <c r="L76" s="179" t="s">
        <v>3</v>
      </c>
      <c r="M76" s="165"/>
      <c r="N76" s="179"/>
      <c r="O76" s="202"/>
      <c r="P76" s="202"/>
      <c r="Q76" s="202"/>
      <c r="R76" s="165"/>
      <c r="S76" s="165"/>
      <c r="T76" s="165"/>
      <c r="U76" s="202"/>
      <c r="V76" s="204"/>
      <c r="W76" s="204"/>
      <c r="X76" s="179"/>
      <c r="Y76" s="179"/>
    </row>
    <row r="77" spans="1:25" ht="14.65" customHeight="1">
      <c r="A77" s="186" t="s">
        <v>202</v>
      </c>
      <c r="B77" s="186"/>
      <c r="C77">
        <v>27</v>
      </c>
      <c r="D77">
        <v>5</v>
      </c>
      <c r="E77">
        <v>24</v>
      </c>
      <c r="F77">
        <v>6</v>
      </c>
      <c r="G77">
        <v>23</v>
      </c>
      <c r="H77" t="s">
        <v>3</v>
      </c>
      <c r="I77" s="202">
        <v>23</v>
      </c>
      <c r="J77" s="165">
        <v>3</v>
      </c>
      <c r="K77" s="165">
        <v>24.49354073292908</v>
      </c>
      <c r="L77" s="179" t="s">
        <v>3</v>
      </c>
      <c r="M77" s="165"/>
      <c r="N77" s="179"/>
      <c r="O77" s="202"/>
      <c r="P77" s="202"/>
      <c r="Q77" s="202"/>
      <c r="R77" s="165"/>
      <c r="S77" s="165"/>
      <c r="T77" s="165"/>
      <c r="U77" s="202"/>
      <c r="V77" s="204"/>
      <c r="W77" s="204"/>
      <c r="X77" s="179"/>
      <c r="Y77" s="179"/>
    </row>
    <row r="78" spans="1:25" ht="14.65" customHeight="1">
      <c r="A78" s="186" t="s">
        <v>47</v>
      </c>
      <c r="B78" s="186"/>
      <c r="C78">
        <v>32</v>
      </c>
      <c r="D78">
        <v>10</v>
      </c>
      <c r="E78">
        <v>30</v>
      </c>
      <c r="F78">
        <v>13</v>
      </c>
      <c r="G78">
        <v>29</v>
      </c>
      <c r="H78">
        <v>15</v>
      </c>
      <c r="I78" s="202">
        <v>22</v>
      </c>
      <c r="J78" s="165">
        <v>7</v>
      </c>
      <c r="K78" s="165">
        <v>28.296244296244296</v>
      </c>
      <c r="L78" s="179">
        <v>9.9836593216142617</v>
      </c>
      <c r="M78" s="165"/>
      <c r="N78" s="179"/>
      <c r="O78" s="202"/>
      <c r="P78" s="202"/>
      <c r="Q78" s="202"/>
      <c r="R78" s="165"/>
      <c r="S78" s="165"/>
      <c r="T78" s="165"/>
      <c r="U78" s="201"/>
      <c r="V78" s="166"/>
      <c r="W78" s="166"/>
      <c r="X78" s="179"/>
      <c r="Y78" s="179"/>
    </row>
    <row r="79" spans="1:25" ht="14.65" customHeight="1">
      <c r="A79" s="186" t="s">
        <v>265</v>
      </c>
      <c r="B79" s="186"/>
      <c r="C79">
        <v>9</v>
      </c>
      <c r="D79">
        <v>4</v>
      </c>
      <c r="E79">
        <v>11</v>
      </c>
      <c r="F79">
        <v>4</v>
      </c>
      <c r="G79">
        <v>10</v>
      </c>
      <c r="H79">
        <v>5</v>
      </c>
      <c r="I79" s="201">
        <v>11</v>
      </c>
      <c r="J79" s="199">
        <v>3</v>
      </c>
      <c r="K79" s="199">
        <v>10.189274447949527</v>
      </c>
      <c r="L79" s="179">
        <v>3.6665713332380001</v>
      </c>
      <c r="M79" s="199"/>
      <c r="N79" s="179"/>
      <c r="O79" s="201"/>
      <c r="P79" s="201"/>
      <c r="Q79" s="201"/>
      <c r="R79" s="199"/>
      <c r="S79" s="199"/>
      <c r="T79" s="199"/>
      <c r="U79" s="201"/>
      <c r="V79" s="166"/>
      <c r="W79" s="166"/>
      <c r="X79" s="179"/>
      <c r="Y79" s="179"/>
    </row>
    <row r="80" spans="1:25" ht="14.65" customHeight="1">
      <c r="A80" s="186" t="s">
        <v>48</v>
      </c>
      <c r="B80" s="186"/>
      <c r="C80">
        <v>28</v>
      </c>
      <c r="D80">
        <v>22</v>
      </c>
      <c r="E80">
        <v>24</v>
      </c>
      <c r="F80">
        <v>13</v>
      </c>
      <c r="G80">
        <v>27</v>
      </c>
      <c r="H80">
        <v>14</v>
      </c>
      <c r="I80" s="202">
        <v>28</v>
      </c>
      <c r="J80" s="165">
        <v>6</v>
      </c>
      <c r="K80" s="165">
        <v>26.810668229777256</v>
      </c>
      <c r="L80" s="179">
        <v>11.502347417840376</v>
      </c>
      <c r="M80" s="165"/>
      <c r="N80" s="179"/>
      <c r="O80" s="202"/>
      <c r="P80" s="202"/>
      <c r="Q80" s="202"/>
      <c r="R80" s="165"/>
      <c r="S80" s="165"/>
      <c r="T80" s="165"/>
      <c r="U80" s="201"/>
      <c r="V80" s="166"/>
      <c r="W80" s="166"/>
      <c r="X80" s="179"/>
      <c r="Y80" s="179"/>
    </row>
    <row r="81" spans="1:25" ht="14.65" customHeight="1">
      <c r="A81" s="186" t="s">
        <v>49</v>
      </c>
      <c r="B81" s="186"/>
      <c r="C81">
        <v>31</v>
      </c>
      <c r="D81">
        <v>6</v>
      </c>
      <c r="E81">
        <v>31</v>
      </c>
      <c r="F81">
        <v>5</v>
      </c>
      <c r="G81">
        <v>28</v>
      </c>
      <c r="H81">
        <v>7</v>
      </c>
      <c r="I81" s="202">
        <v>26</v>
      </c>
      <c r="J81" s="165">
        <v>2</v>
      </c>
      <c r="K81" s="165">
        <v>29.226452905811623</v>
      </c>
      <c r="L81" s="179">
        <v>4.0188679245283021</v>
      </c>
      <c r="M81" s="165"/>
      <c r="N81" s="179"/>
      <c r="O81" s="202"/>
      <c r="P81" s="202"/>
      <c r="Q81" s="202"/>
      <c r="R81" s="165"/>
      <c r="S81" s="165"/>
      <c r="T81" s="165"/>
      <c r="U81" s="201"/>
      <c r="V81" s="166"/>
      <c r="W81" s="166"/>
      <c r="X81" s="179"/>
      <c r="Y81" s="179"/>
    </row>
    <row r="82" spans="1:25" ht="14.65" customHeight="1">
      <c r="A82" s="186" t="s">
        <v>266</v>
      </c>
      <c r="B82" s="186"/>
      <c r="C82">
        <v>34</v>
      </c>
      <c r="D82">
        <v>20</v>
      </c>
      <c r="E82">
        <v>47</v>
      </c>
      <c r="F82">
        <v>26</v>
      </c>
      <c r="G82">
        <v>46</v>
      </c>
      <c r="H82">
        <v>28</v>
      </c>
      <c r="I82" s="202">
        <v>38</v>
      </c>
      <c r="J82" s="165">
        <v>13</v>
      </c>
      <c r="K82" s="165">
        <v>40.589195435504841</v>
      </c>
      <c r="L82" s="179">
        <v>20.723388814757591</v>
      </c>
      <c r="M82" s="165"/>
      <c r="N82" s="179"/>
      <c r="O82" s="202"/>
      <c r="P82" s="202"/>
      <c r="Q82" s="202"/>
      <c r="R82" s="165"/>
      <c r="S82" s="165"/>
      <c r="T82" s="165"/>
      <c r="U82" s="201"/>
      <c r="V82" s="166"/>
      <c r="W82" s="166"/>
      <c r="X82" s="179"/>
      <c r="Y82" s="179"/>
    </row>
    <row r="83" spans="1:25" ht="14.65" customHeight="1">
      <c r="A83" s="186" t="s">
        <v>50</v>
      </c>
      <c r="B83" s="186"/>
      <c r="C83">
        <v>27</v>
      </c>
      <c r="D83">
        <v>8</v>
      </c>
      <c r="E83">
        <v>19</v>
      </c>
      <c r="F83">
        <v>5</v>
      </c>
      <c r="G83">
        <v>12</v>
      </c>
      <c r="H83">
        <v>3</v>
      </c>
      <c r="I83" s="202">
        <v>17</v>
      </c>
      <c r="J83" s="165">
        <v>2</v>
      </c>
      <c r="K83" s="165">
        <v>17.971177944862156</v>
      </c>
      <c r="L83" s="179">
        <v>3.663800370932389</v>
      </c>
      <c r="M83" s="165"/>
      <c r="N83" s="179"/>
      <c r="O83" s="202"/>
      <c r="P83" s="202"/>
      <c r="Q83" s="202"/>
      <c r="R83" s="165"/>
      <c r="S83" s="165"/>
      <c r="T83" s="165"/>
      <c r="U83" s="201"/>
      <c r="V83" s="166"/>
      <c r="W83" s="166"/>
      <c r="X83" s="179"/>
      <c r="Y83" s="179"/>
    </row>
    <row r="84" spans="1:25" ht="14.65" customHeight="1">
      <c r="A84" s="186" t="s">
        <v>230</v>
      </c>
      <c r="B84" s="186"/>
      <c r="C84">
        <v>67</v>
      </c>
      <c r="D84">
        <v>11</v>
      </c>
      <c r="E84">
        <v>44</v>
      </c>
      <c r="F84">
        <v>10</v>
      </c>
      <c r="G84">
        <v>43</v>
      </c>
      <c r="H84">
        <v>10</v>
      </c>
      <c r="I84" s="202">
        <v>46</v>
      </c>
      <c r="J84" s="165">
        <v>7</v>
      </c>
      <c r="K84" s="165">
        <v>50.85292109626451</v>
      </c>
      <c r="L84" s="179">
        <v>9.1697849545842711</v>
      </c>
      <c r="M84" s="165"/>
      <c r="N84" s="179"/>
      <c r="O84" s="202"/>
      <c r="P84" s="202"/>
      <c r="Q84" s="202"/>
      <c r="R84" s="165"/>
      <c r="S84" s="165"/>
      <c r="T84" s="165"/>
      <c r="U84" s="201"/>
      <c r="V84" s="166"/>
      <c r="W84" s="166"/>
      <c r="X84" s="179"/>
      <c r="Y84" s="179"/>
    </row>
    <row r="85" spans="1:25" ht="14.65" customHeight="1">
      <c r="A85" s="186" t="s">
        <v>51</v>
      </c>
      <c r="B85" s="186"/>
      <c r="C85">
        <v>12</v>
      </c>
      <c r="D85">
        <v>9</v>
      </c>
      <c r="E85">
        <v>13</v>
      </c>
      <c r="F85">
        <v>10</v>
      </c>
      <c r="G85">
        <v>14</v>
      </c>
      <c r="H85">
        <v>8</v>
      </c>
      <c r="I85" s="202">
        <v>18</v>
      </c>
      <c r="J85" s="165">
        <v>2</v>
      </c>
      <c r="K85" s="165">
        <v>14.23929388689114</v>
      </c>
      <c r="L85" s="179">
        <v>6.0519275399690562</v>
      </c>
      <c r="M85" s="165"/>
      <c r="N85" s="179"/>
      <c r="O85" s="202"/>
      <c r="P85" s="202"/>
      <c r="Q85" s="202"/>
      <c r="R85" s="165"/>
      <c r="S85" s="165"/>
      <c r="T85" s="165"/>
      <c r="U85" s="201"/>
      <c r="V85" s="166"/>
      <c r="W85" s="166"/>
      <c r="X85" s="179"/>
      <c r="Y85" s="179"/>
    </row>
    <row r="86" spans="1:25" ht="14.65" customHeight="1">
      <c r="A86" s="186" t="s">
        <v>231</v>
      </c>
      <c r="B86" s="186"/>
      <c r="C86">
        <v>14</v>
      </c>
      <c r="D86">
        <v>17</v>
      </c>
      <c r="E86">
        <v>15</v>
      </c>
      <c r="F86">
        <v>19</v>
      </c>
      <c r="G86">
        <v>16</v>
      </c>
      <c r="H86">
        <v>22</v>
      </c>
      <c r="I86" s="202">
        <v>17</v>
      </c>
      <c r="J86" s="165">
        <v>7</v>
      </c>
      <c r="K86" s="165">
        <v>15.751428969747664</v>
      </c>
      <c r="L86" s="179">
        <v>13.637372905319841</v>
      </c>
      <c r="M86" s="165"/>
      <c r="N86" s="179"/>
      <c r="O86" s="202"/>
      <c r="P86" s="202"/>
      <c r="Q86" s="202"/>
      <c r="R86" s="165"/>
      <c r="S86" s="165"/>
      <c r="T86" s="165"/>
      <c r="U86" s="202"/>
      <c r="V86" s="204"/>
      <c r="W86" s="204"/>
      <c r="X86" s="179"/>
      <c r="Y86" s="179"/>
    </row>
    <row r="87" spans="1:25" ht="14.65" customHeight="1">
      <c r="A87" s="186" t="s">
        <v>203</v>
      </c>
      <c r="B87" s="186"/>
      <c r="C87">
        <v>24</v>
      </c>
      <c r="D87">
        <v>14</v>
      </c>
      <c r="E87">
        <v>22</v>
      </c>
      <c r="F87">
        <v>13</v>
      </c>
      <c r="G87">
        <v>18</v>
      </c>
      <c r="H87">
        <v>12</v>
      </c>
      <c r="I87" s="202">
        <v>17</v>
      </c>
      <c r="J87" s="165">
        <v>4</v>
      </c>
      <c r="K87" s="165">
        <v>20.091226031377108</v>
      </c>
      <c r="L87" s="179">
        <v>9.6764120815905201</v>
      </c>
      <c r="M87" s="165"/>
      <c r="N87" s="179"/>
      <c r="O87" s="202"/>
      <c r="P87" s="202"/>
      <c r="Q87" s="202"/>
      <c r="R87" s="165"/>
      <c r="S87" s="165"/>
      <c r="T87" s="165"/>
      <c r="U87" s="201"/>
      <c r="V87" s="166"/>
      <c r="W87" s="166"/>
      <c r="X87" s="179"/>
      <c r="Y87" s="179"/>
    </row>
    <row r="88" spans="1:25" ht="14.65" customHeight="1">
      <c r="A88" s="186" t="s">
        <v>52</v>
      </c>
      <c r="B88" s="186"/>
      <c r="C88">
        <v>17</v>
      </c>
      <c r="D88">
        <v>8</v>
      </c>
      <c r="E88">
        <v>22</v>
      </c>
      <c r="F88">
        <v>8</v>
      </c>
      <c r="G88">
        <v>15</v>
      </c>
      <c r="H88">
        <v>7</v>
      </c>
      <c r="I88" s="202">
        <v>12</v>
      </c>
      <c r="J88" s="165">
        <v>2</v>
      </c>
      <c r="K88" s="165">
        <v>16.481717011128776</v>
      </c>
      <c r="L88" s="179">
        <v>5.2753050063104752</v>
      </c>
      <c r="M88" s="165"/>
      <c r="N88" s="179"/>
      <c r="O88" s="202"/>
      <c r="P88" s="202"/>
      <c r="Q88" s="202"/>
      <c r="R88" s="165"/>
      <c r="S88" s="165"/>
      <c r="T88" s="165"/>
      <c r="U88" s="201"/>
      <c r="V88" s="166"/>
      <c r="W88" s="166"/>
      <c r="X88" s="179"/>
      <c r="Y88" s="179"/>
    </row>
    <row r="89" spans="1:25" ht="14.65" customHeight="1">
      <c r="A89" s="186" t="s">
        <v>53</v>
      </c>
      <c r="B89" s="186"/>
      <c r="C89">
        <v>15</v>
      </c>
      <c r="D89">
        <v>7</v>
      </c>
      <c r="E89">
        <v>12</v>
      </c>
      <c r="F89">
        <v>6</v>
      </c>
      <c r="G89">
        <v>11</v>
      </c>
      <c r="H89">
        <v>5</v>
      </c>
      <c r="I89" s="202">
        <v>12</v>
      </c>
      <c r="J89" s="165">
        <v>3</v>
      </c>
      <c r="K89" s="165">
        <v>12.276442307692308</v>
      </c>
      <c r="L89" s="179">
        <v>4.6312603192074846</v>
      </c>
      <c r="M89" s="165"/>
      <c r="N89" s="179"/>
      <c r="O89" s="202"/>
      <c r="P89" s="202"/>
      <c r="Q89" s="202"/>
      <c r="R89" s="165"/>
      <c r="S89" s="165"/>
      <c r="T89" s="165"/>
      <c r="U89" s="201"/>
      <c r="V89" s="166"/>
      <c r="W89" s="166"/>
      <c r="X89" s="179"/>
      <c r="Y89" s="179"/>
    </row>
    <row r="90" spans="1:25" ht="14.65" customHeight="1">
      <c r="A90" s="186" t="s">
        <v>54</v>
      </c>
      <c r="B90" s="186"/>
      <c r="C90">
        <v>23</v>
      </c>
      <c r="D90">
        <v>11</v>
      </c>
      <c r="E90">
        <v>20</v>
      </c>
      <c r="F90">
        <v>10</v>
      </c>
      <c r="G90">
        <v>19</v>
      </c>
      <c r="H90">
        <v>11</v>
      </c>
      <c r="I90" s="202">
        <v>19</v>
      </c>
      <c r="J90" s="165">
        <v>3</v>
      </c>
      <c r="K90" s="165">
        <v>20.392561983471076</v>
      </c>
      <c r="L90" s="179">
        <v>7.5929598413485371</v>
      </c>
      <c r="M90" s="165"/>
      <c r="N90" s="179"/>
      <c r="O90" s="202"/>
      <c r="P90" s="202"/>
      <c r="Q90" s="202"/>
      <c r="R90" s="165"/>
      <c r="S90" s="165"/>
      <c r="T90" s="165"/>
      <c r="U90" s="202"/>
      <c r="V90" s="204"/>
      <c r="W90" s="204"/>
      <c r="X90" s="179"/>
      <c r="Y90" s="179"/>
    </row>
    <row r="91" spans="1:25" ht="14.65" customHeight="1">
      <c r="A91" s="186" t="s">
        <v>55</v>
      </c>
      <c r="B91" s="186"/>
      <c r="C91">
        <v>26</v>
      </c>
      <c r="D91">
        <v>9</v>
      </c>
      <c r="E91">
        <v>20</v>
      </c>
      <c r="F91">
        <v>8</v>
      </c>
      <c r="G91">
        <v>24</v>
      </c>
      <c r="H91">
        <v>6</v>
      </c>
      <c r="I91" s="202">
        <v>21</v>
      </c>
      <c r="J91" s="165">
        <v>3</v>
      </c>
      <c r="K91" s="165">
        <v>22.929980903882878</v>
      </c>
      <c r="L91" s="179">
        <v>5.6096203095423673</v>
      </c>
      <c r="M91" s="165"/>
      <c r="N91" s="179"/>
      <c r="O91" s="202"/>
      <c r="P91" s="202"/>
      <c r="Q91" s="202"/>
      <c r="R91" s="165"/>
      <c r="S91" s="165"/>
      <c r="T91" s="165"/>
      <c r="U91" s="201"/>
      <c r="V91" s="166"/>
      <c r="W91" s="166"/>
      <c r="X91" s="179"/>
      <c r="Y91" s="179"/>
    </row>
    <row r="92" spans="1:25" ht="14.65" customHeight="1">
      <c r="A92" s="186" t="s">
        <v>56</v>
      </c>
      <c r="B92" s="186"/>
      <c r="C92">
        <v>29</v>
      </c>
      <c r="D92">
        <v>9</v>
      </c>
      <c r="E92">
        <v>25</v>
      </c>
      <c r="F92">
        <v>17</v>
      </c>
      <c r="G92">
        <v>19</v>
      </c>
      <c r="H92">
        <v>10</v>
      </c>
      <c r="I92" s="202">
        <v>18</v>
      </c>
      <c r="J92" s="165">
        <v>2</v>
      </c>
      <c r="K92" s="165">
        <v>22.929729729729729</v>
      </c>
      <c r="L92" s="179">
        <v>7.7503097195630142</v>
      </c>
      <c r="M92" s="165"/>
      <c r="N92" s="179"/>
      <c r="O92" s="202"/>
      <c r="P92" s="202"/>
      <c r="Q92" s="202"/>
      <c r="R92" s="165"/>
      <c r="S92" s="165"/>
      <c r="T92" s="165"/>
      <c r="U92" s="201"/>
      <c r="V92" s="166"/>
      <c r="W92" s="166"/>
      <c r="X92" s="179"/>
      <c r="Y92" s="179"/>
    </row>
    <row r="93" spans="1:25" ht="14.65" customHeight="1">
      <c r="A93" s="186" t="s">
        <v>57</v>
      </c>
      <c r="B93" s="186"/>
      <c r="C93">
        <v>17</v>
      </c>
      <c r="D93">
        <v>21</v>
      </c>
      <c r="E93">
        <v>17</v>
      </c>
      <c r="F93">
        <v>18</v>
      </c>
      <c r="G93">
        <v>21</v>
      </c>
      <c r="H93">
        <v>14</v>
      </c>
      <c r="I93" s="202">
        <v>31</v>
      </c>
      <c r="J93" s="165">
        <v>6</v>
      </c>
      <c r="K93" s="165">
        <v>21.51689732861281</v>
      </c>
      <c r="L93" s="179">
        <v>12.603362911522634</v>
      </c>
      <c r="M93" s="165"/>
      <c r="N93" s="179"/>
      <c r="O93" s="202"/>
      <c r="P93" s="202"/>
      <c r="Q93" s="202"/>
      <c r="R93" s="165"/>
      <c r="S93" s="165"/>
      <c r="T93" s="165"/>
      <c r="U93" s="201"/>
      <c r="V93" s="166"/>
      <c r="W93" s="166"/>
      <c r="X93" s="179"/>
      <c r="Y93" s="179"/>
    </row>
    <row r="94" spans="1:25" ht="14.65" customHeight="1">
      <c r="A94" s="186" t="s">
        <v>58</v>
      </c>
      <c r="B94" s="186"/>
      <c r="C94">
        <v>30</v>
      </c>
      <c r="D94">
        <v>12</v>
      </c>
      <c r="E94">
        <v>42</v>
      </c>
      <c r="F94">
        <v>14</v>
      </c>
      <c r="G94">
        <v>41</v>
      </c>
      <c r="H94">
        <v>20</v>
      </c>
      <c r="I94" s="202">
        <v>33</v>
      </c>
      <c r="J94" s="165">
        <v>5</v>
      </c>
      <c r="K94" s="165">
        <v>35.880190605854324</v>
      </c>
      <c r="L94" s="179">
        <v>10.650170955551557</v>
      </c>
      <c r="M94" s="165"/>
      <c r="N94" s="179"/>
      <c r="O94" s="202"/>
      <c r="P94" s="202"/>
      <c r="Q94" s="202"/>
      <c r="R94" s="165"/>
      <c r="S94" s="165"/>
      <c r="T94" s="165"/>
      <c r="U94" s="201"/>
      <c r="V94" s="166"/>
      <c r="W94" s="166"/>
      <c r="X94" s="179"/>
      <c r="Y94" s="179"/>
    </row>
    <row r="95" spans="1:25" ht="14.65" customHeight="1">
      <c r="A95" s="186" t="s">
        <v>268</v>
      </c>
      <c r="B95" s="186"/>
      <c r="C95">
        <v>14</v>
      </c>
      <c r="D95">
        <v>8</v>
      </c>
      <c r="E95">
        <v>17</v>
      </c>
      <c r="F95">
        <v>8</v>
      </c>
      <c r="G95">
        <v>20</v>
      </c>
      <c r="H95">
        <v>10</v>
      </c>
      <c r="I95" s="202">
        <v>20</v>
      </c>
      <c r="J95" s="165">
        <v>4</v>
      </c>
      <c r="K95" s="165">
        <v>18.041772554002542</v>
      </c>
      <c r="L95" s="179">
        <v>6.3463596342702333</v>
      </c>
      <c r="M95" s="165"/>
      <c r="N95" s="179"/>
      <c r="O95" s="202"/>
      <c r="P95" s="202"/>
      <c r="Q95" s="202"/>
      <c r="R95" s="165"/>
      <c r="S95" s="165"/>
      <c r="T95" s="165"/>
      <c r="U95" s="201"/>
      <c r="V95" s="166"/>
      <c r="W95" s="166"/>
      <c r="X95" s="179"/>
      <c r="Y95" s="179"/>
    </row>
    <row r="96" spans="1:25" ht="14.65" customHeight="1">
      <c r="A96" s="186" t="s">
        <v>59</v>
      </c>
      <c r="B96" s="186"/>
      <c r="C96">
        <v>28</v>
      </c>
      <c r="D96">
        <v>10</v>
      </c>
      <c r="E96">
        <v>24</v>
      </c>
      <c r="F96">
        <v>12</v>
      </c>
      <c r="G96">
        <v>21</v>
      </c>
      <c r="H96">
        <v>10</v>
      </c>
      <c r="I96" s="202">
        <v>23</v>
      </c>
      <c r="J96" s="165">
        <v>4</v>
      </c>
      <c r="K96" s="165">
        <v>24.066641133665261</v>
      </c>
      <c r="L96" s="179">
        <v>7.6913685648424828</v>
      </c>
      <c r="M96" s="165"/>
      <c r="N96" s="179"/>
      <c r="O96" s="202"/>
      <c r="P96" s="202"/>
      <c r="Q96" s="202"/>
      <c r="R96" s="165"/>
      <c r="S96" s="165"/>
      <c r="T96" s="165"/>
      <c r="U96" s="201"/>
      <c r="V96" s="166"/>
      <c r="W96" s="166"/>
      <c r="X96" s="179"/>
      <c r="Y96" s="179"/>
    </row>
    <row r="97" spans="1:25" ht="14.65" customHeight="1">
      <c r="A97" s="186" t="s">
        <v>60</v>
      </c>
      <c r="B97" s="186"/>
      <c r="C97">
        <v>22</v>
      </c>
      <c r="D97">
        <v>6</v>
      </c>
      <c r="E97">
        <v>21</v>
      </c>
      <c r="F97">
        <v>6</v>
      </c>
      <c r="G97">
        <v>20</v>
      </c>
      <c r="H97">
        <v>8</v>
      </c>
      <c r="I97" s="202">
        <v>20</v>
      </c>
      <c r="J97" s="165">
        <v>3</v>
      </c>
      <c r="K97" s="165">
        <v>20.75986742994878</v>
      </c>
      <c r="L97" s="179">
        <v>5.1304675716440427</v>
      </c>
      <c r="M97" s="165"/>
      <c r="N97" s="179"/>
      <c r="O97" s="202"/>
      <c r="P97" s="202"/>
      <c r="Q97" s="202"/>
      <c r="R97" s="165"/>
      <c r="S97" s="165"/>
      <c r="T97" s="165"/>
      <c r="U97" s="201"/>
      <c r="V97" s="166"/>
      <c r="W97" s="166"/>
      <c r="X97" s="179"/>
      <c r="Y97" s="179"/>
    </row>
    <row r="98" spans="1:25" ht="14.65" customHeight="1">
      <c r="A98" s="186" t="s">
        <v>61</v>
      </c>
      <c r="B98" s="186"/>
      <c r="C98">
        <v>17</v>
      </c>
      <c r="D98">
        <v>3</v>
      </c>
      <c r="E98">
        <v>14</v>
      </c>
      <c r="F98">
        <v>3</v>
      </c>
      <c r="G98">
        <v>16</v>
      </c>
      <c r="H98">
        <v>3</v>
      </c>
      <c r="I98" s="202">
        <v>18</v>
      </c>
      <c r="J98" s="165">
        <v>2</v>
      </c>
      <c r="K98" s="165">
        <v>15.927528393726339</v>
      </c>
      <c r="L98" s="179">
        <v>2.6180457895032907</v>
      </c>
      <c r="M98" s="165"/>
      <c r="N98" s="179"/>
      <c r="O98" s="202"/>
      <c r="P98" s="202"/>
      <c r="Q98" s="202"/>
      <c r="R98" s="165"/>
      <c r="S98" s="165"/>
      <c r="T98" s="165"/>
      <c r="U98" s="201"/>
      <c r="V98" s="166"/>
      <c r="W98" s="166"/>
      <c r="X98" s="179"/>
      <c r="Y98" s="179"/>
    </row>
    <row r="99" spans="1:25" ht="14.65" customHeight="1">
      <c r="A99" s="186" t="s">
        <v>62</v>
      </c>
      <c r="B99" s="186"/>
      <c r="C99">
        <v>29</v>
      </c>
      <c r="D99">
        <v>17</v>
      </c>
      <c r="E99">
        <v>21</v>
      </c>
      <c r="F99">
        <v>11</v>
      </c>
      <c r="G99">
        <v>22</v>
      </c>
      <c r="H99">
        <v>12</v>
      </c>
      <c r="I99" s="202">
        <v>27</v>
      </c>
      <c r="J99" s="165">
        <v>4</v>
      </c>
      <c r="K99" s="165">
        <v>24.989942528735632</v>
      </c>
      <c r="L99" s="179">
        <v>8.432047477744808</v>
      </c>
      <c r="M99" s="165"/>
      <c r="N99" s="179"/>
      <c r="O99" s="202"/>
      <c r="P99" s="202"/>
      <c r="Q99" s="202"/>
      <c r="R99" s="165"/>
      <c r="S99" s="165"/>
      <c r="T99" s="165"/>
      <c r="U99" s="201"/>
      <c r="V99" s="166"/>
      <c r="W99" s="166"/>
      <c r="X99" s="179"/>
      <c r="Y99" s="179"/>
    </row>
    <row r="100" spans="1:25" ht="14.65" customHeight="1">
      <c r="A100" s="186" t="s">
        <v>63</v>
      </c>
      <c r="B100" s="186"/>
      <c r="C100">
        <v>15</v>
      </c>
      <c r="D100">
        <v>9</v>
      </c>
      <c r="E100">
        <v>13</v>
      </c>
      <c r="F100">
        <v>12</v>
      </c>
      <c r="G100">
        <v>11</v>
      </c>
      <c r="H100">
        <v>7</v>
      </c>
      <c r="I100" s="202">
        <v>11</v>
      </c>
      <c r="J100" s="165">
        <v>3</v>
      </c>
      <c r="K100" s="165">
        <v>12.509273570324575</v>
      </c>
      <c r="L100" s="179">
        <v>7.0106124713879447</v>
      </c>
      <c r="M100" s="165"/>
      <c r="N100" s="179"/>
      <c r="O100" s="202"/>
      <c r="P100" s="202"/>
      <c r="Q100" s="202"/>
      <c r="R100" s="165"/>
      <c r="S100" s="165"/>
      <c r="T100" s="165"/>
      <c r="U100" s="201"/>
      <c r="V100" s="166"/>
      <c r="W100" s="166"/>
      <c r="X100" s="179"/>
      <c r="Y100" s="179"/>
    </row>
    <row r="101" spans="1:25" ht="14.65" customHeight="1">
      <c r="A101" s="186" t="s">
        <v>204</v>
      </c>
      <c r="B101" s="186"/>
      <c r="C101">
        <v>23</v>
      </c>
      <c r="D101">
        <v>7</v>
      </c>
      <c r="E101">
        <v>27</v>
      </c>
      <c r="F101">
        <v>7</v>
      </c>
      <c r="G101">
        <v>22</v>
      </c>
      <c r="H101">
        <v>8</v>
      </c>
      <c r="I101" s="202">
        <v>22</v>
      </c>
      <c r="J101" s="165">
        <v>3</v>
      </c>
      <c r="K101" s="165">
        <v>23.343868795481697</v>
      </c>
      <c r="L101" s="179">
        <v>5.7496231786970355</v>
      </c>
      <c r="M101" s="165"/>
      <c r="N101" s="179"/>
      <c r="O101" s="202"/>
      <c r="P101" s="202"/>
      <c r="Q101" s="202"/>
      <c r="R101" s="165"/>
      <c r="S101" s="165"/>
      <c r="T101" s="165"/>
      <c r="U101" s="201"/>
      <c r="V101" s="166"/>
      <c r="W101" s="166"/>
      <c r="X101" s="179"/>
      <c r="Y101" s="179"/>
    </row>
    <row r="102" spans="1:25" ht="14.65" customHeight="1">
      <c r="A102" s="186" t="s">
        <v>64</v>
      </c>
      <c r="B102" s="186"/>
      <c r="C102">
        <v>29</v>
      </c>
      <c r="D102">
        <v>10</v>
      </c>
      <c r="E102">
        <v>27</v>
      </c>
      <c r="F102">
        <v>8</v>
      </c>
      <c r="G102">
        <v>19</v>
      </c>
      <c r="H102">
        <v>8</v>
      </c>
      <c r="I102" s="202">
        <v>23</v>
      </c>
      <c r="J102" s="165">
        <v>3</v>
      </c>
      <c r="K102" s="165">
        <v>24.452247191011235</v>
      </c>
      <c r="L102" s="179">
        <v>6.0389410022216738</v>
      </c>
      <c r="M102" s="165"/>
      <c r="N102" s="179"/>
      <c r="O102" s="202"/>
      <c r="P102" s="202"/>
      <c r="Q102" s="202"/>
      <c r="R102" s="165"/>
      <c r="S102" s="165"/>
      <c r="T102" s="165"/>
      <c r="U102" s="201"/>
      <c r="V102" s="166"/>
      <c r="W102" s="166"/>
      <c r="X102" s="179"/>
      <c r="Y102" s="179"/>
    </row>
    <row r="103" spans="1:25" ht="14.65" customHeight="1">
      <c r="A103" s="186" t="s">
        <v>347</v>
      </c>
      <c r="B103" s="186"/>
      <c r="C103">
        <v>45</v>
      </c>
      <c r="D103">
        <v>8</v>
      </c>
      <c r="E103">
        <v>52</v>
      </c>
      <c r="F103">
        <v>15</v>
      </c>
      <c r="G103">
        <v>33</v>
      </c>
      <c r="H103">
        <v>19</v>
      </c>
      <c r="I103" s="202">
        <v>26</v>
      </c>
      <c r="J103" s="165">
        <v>3</v>
      </c>
      <c r="K103" s="165">
        <v>39.494529540481402</v>
      </c>
      <c r="L103" s="179">
        <v>9.2927053266859101</v>
      </c>
      <c r="M103" s="165"/>
      <c r="N103" s="179"/>
      <c r="O103" s="202"/>
      <c r="P103" s="202"/>
      <c r="Q103" s="202"/>
      <c r="R103" s="165"/>
      <c r="S103" s="165"/>
      <c r="T103" s="165"/>
      <c r="U103" s="201"/>
      <c r="V103" s="166"/>
      <c r="W103" s="166"/>
      <c r="X103" s="179"/>
      <c r="Y103" s="179"/>
    </row>
    <row r="104" spans="1:25" ht="14.65" customHeight="1">
      <c r="A104" s="186" t="s">
        <v>65</v>
      </c>
      <c r="B104" s="186"/>
      <c r="C104">
        <v>18</v>
      </c>
      <c r="D104">
        <v>7</v>
      </c>
      <c r="E104">
        <v>20</v>
      </c>
      <c r="F104">
        <v>7</v>
      </c>
      <c r="G104">
        <v>21</v>
      </c>
      <c r="H104">
        <v>10</v>
      </c>
      <c r="I104" s="202">
        <v>17</v>
      </c>
      <c r="J104" s="165">
        <v>4</v>
      </c>
      <c r="K104" s="165">
        <v>18.864208242950109</v>
      </c>
      <c r="L104" s="179">
        <v>5.9822073734509145</v>
      </c>
      <c r="M104" s="165"/>
      <c r="N104" s="179"/>
      <c r="O104" s="202"/>
      <c r="P104" s="202"/>
      <c r="Q104" s="202"/>
      <c r="R104" s="165"/>
      <c r="S104" s="165"/>
      <c r="T104" s="165"/>
      <c r="U104" s="201"/>
      <c r="V104" s="166"/>
      <c r="W104" s="166"/>
      <c r="X104" s="179"/>
      <c r="Y104" s="179"/>
    </row>
    <row r="105" spans="1:25" ht="14.65" customHeight="1">
      <c r="A105" s="186" t="s">
        <v>66</v>
      </c>
      <c r="B105" s="186"/>
      <c r="C105">
        <v>18</v>
      </c>
      <c r="D105">
        <v>19</v>
      </c>
      <c r="E105">
        <v>19</v>
      </c>
      <c r="F105">
        <v>16</v>
      </c>
      <c r="G105">
        <v>17</v>
      </c>
      <c r="H105">
        <v>10</v>
      </c>
      <c r="I105" s="202">
        <v>19</v>
      </c>
      <c r="J105" s="165">
        <v>5</v>
      </c>
      <c r="K105" s="165">
        <v>18.378428927680797</v>
      </c>
      <c r="L105" s="179">
        <v>10.970383275261325</v>
      </c>
      <c r="M105" s="165"/>
      <c r="N105" s="179"/>
      <c r="O105" s="202"/>
      <c r="P105" s="202"/>
      <c r="Q105" s="202"/>
      <c r="R105" s="165"/>
      <c r="S105" s="165"/>
      <c r="T105" s="165"/>
      <c r="U105" s="201"/>
      <c r="V105" s="166"/>
      <c r="W105" s="166"/>
      <c r="X105" s="179"/>
      <c r="Y105" s="179"/>
    </row>
    <row r="106" spans="1:25" ht="14.65" customHeight="1">
      <c r="A106" s="186" t="s">
        <v>67</v>
      </c>
      <c r="B106" s="186"/>
      <c r="C106">
        <v>20</v>
      </c>
      <c r="D106">
        <v>6</v>
      </c>
      <c r="E106">
        <v>20</v>
      </c>
      <c r="F106">
        <v>5</v>
      </c>
      <c r="G106">
        <v>20</v>
      </c>
      <c r="H106">
        <v>6</v>
      </c>
      <c r="I106" s="202">
        <v>18</v>
      </c>
      <c r="J106" s="165">
        <v>4</v>
      </c>
      <c r="K106" s="165">
        <v>19.794781382228489</v>
      </c>
      <c r="L106" s="179">
        <v>4.904138641459129</v>
      </c>
      <c r="M106" s="165"/>
      <c r="N106" s="179"/>
      <c r="O106" s="202"/>
      <c r="P106" s="202"/>
      <c r="Q106" s="202"/>
      <c r="R106" s="165"/>
      <c r="S106" s="165"/>
      <c r="T106" s="165"/>
      <c r="U106" s="201"/>
      <c r="V106" s="166"/>
      <c r="W106" s="166"/>
      <c r="X106" s="179"/>
      <c r="Y106" s="179"/>
    </row>
    <row r="107" spans="1:25" ht="14.65" customHeight="1">
      <c r="A107" s="186" t="s">
        <v>68</v>
      </c>
      <c r="B107" s="186"/>
      <c r="C107">
        <v>27</v>
      </c>
      <c r="D107">
        <v>9</v>
      </c>
      <c r="E107">
        <v>22</v>
      </c>
      <c r="F107">
        <v>8</v>
      </c>
      <c r="G107">
        <v>20</v>
      </c>
      <c r="H107">
        <v>7</v>
      </c>
      <c r="I107" s="202">
        <v>17</v>
      </c>
      <c r="J107" s="165">
        <v>3</v>
      </c>
      <c r="K107" s="165">
        <v>21.530874097834804</v>
      </c>
      <c r="L107" s="179">
        <v>5.6660818713450292</v>
      </c>
      <c r="M107" s="165"/>
      <c r="N107" s="179"/>
      <c r="O107" s="202"/>
      <c r="P107" s="202"/>
      <c r="Q107" s="202"/>
      <c r="R107" s="165"/>
      <c r="S107" s="165"/>
      <c r="T107" s="165"/>
      <c r="U107" s="201"/>
      <c r="V107" s="166"/>
      <c r="W107" s="166"/>
      <c r="X107" s="179"/>
      <c r="Y107" s="179"/>
    </row>
    <row r="108" spans="1:25" ht="14.65" customHeight="1">
      <c r="A108" s="186" t="s">
        <v>69</v>
      </c>
      <c r="B108" s="186"/>
      <c r="C108">
        <v>16</v>
      </c>
      <c r="D108">
        <v>6</v>
      </c>
      <c r="E108">
        <v>21</v>
      </c>
      <c r="F108">
        <v>7</v>
      </c>
      <c r="G108">
        <v>14</v>
      </c>
      <c r="H108">
        <v>6</v>
      </c>
      <c r="I108" s="202">
        <v>12</v>
      </c>
      <c r="J108" s="165">
        <v>2</v>
      </c>
      <c r="K108" s="165">
        <v>15.818694601128122</v>
      </c>
      <c r="L108" s="179">
        <v>4.6454097626511421</v>
      </c>
      <c r="M108" s="165"/>
      <c r="N108" s="179"/>
      <c r="O108" s="202"/>
      <c r="P108" s="202"/>
      <c r="Q108" s="202"/>
      <c r="R108" s="165"/>
      <c r="S108" s="165"/>
      <c r="T108" s="165"/>
      <c r="U108" s="201"/>
      <c r="V108" s="166"/>
      <c r="W108" s="166"/>
      <c r="X108" s="179"/>
      <c r="Y108" s="179"/>
    </row>
    <row r="109" spans="1:25" ht="14.65" customHeight="1">
      <c r="A109" s="186" t="s">
        <v>70</v>
      </c>
      <c r="B109" s="186"/>
      <c r="C109">
        <v>10</v>
      </c>
      <c r="D109">
        <v>11</v>
      </c>
      <c r="E109">
        <v>20</v>
      </c>
      <c r="F109">
        <v>9</v>
      </c>
      <c r="G109">
        <v>19</v>
      </c>
      <c r="H109">
        <v>9</v>
      </c>
      <c r="I109" s="202">
        <v>16</v>
      </c>
      <c r="J109" s="165">
        <v>3</v>
      </c>
      <c r="K109" s="165">
        <v>15.336300692383778</v>
      </c>
      <c r="L109" s="179">
        <v>6.4616651881890759</v>
      </c>
      <c r="M109" s="165"/>
      <c r="N109" s="179"/>
      <c r="O109" s="202"/>
      <c r="P109" s="202"/>
      <c r="Q109" s="202"/>
      <c r="R109" s="165"/>
      <c r="S109" s="165"/>
      <c r="T109" s="165"/>
      <c r="U109" s="201"/>
      <c r="V109" s="166"/>
      <c r="W109" s="166"/>
      <c r="X109" s="179"/>
      <c r="Y109" s="179"/>
    </row>
    <row r="110" spans="1:25" ht="14.65" customHeight="1">
      <c r="A110" s="186" t="s">
        <v>71</v>
      </c>
      <c r="B110" s="186"/>
      <c r="C110">
        <v>18</v>
      </c>
      <c r="D110">
        <v>10</v>
      </c>
      <c r="E110">
        <v>19</v>
      </c>
      <c r="F110">
        <v>20</v>
      </c>
      <c r="G110">
        <v>19</v>
      </c>
      <c r="H110">
        <v>23</v>
      </c>
      <c r="I110" s="202">
        <v>17</v>
      </c>
      <c r="J110" s="165">
        <v>6</v>
      </c>
      <c r="K110" s="165">
        <v>18.325224071702944</v>
      </c>
      <c r="L110" s="179">
        <v>13.082076195346458</v>
      </c>
      <c r="M110" s="165"/>
      <c r="N110" s="179"/>
      <c r="O110" s="202"/>
      <c r="P110" s="202"/>
      <c r="Q110" s="202"/>
      <c r="R110" s="165"/>
      <c r="S110" s="165"/>
      <c r="T110" s="165"/>
      <c r="U110" s="201"/>
      <c r="V110" s="166"/>
      <c r="W110" s="166"/>
      <c r="X110" s="179"/>
      <c r="Y110" s="179"/>
    </row>
    <row r="111" spans="1:25" ht="14.65" customHeight="1">
      <c r="A111" s="186" t="s">
        <v>232</v>
      </c>
      <c r="B111" s="186"/>
      <c r="C111">
        <v>27</v>
      </c>
      <c r="D111">
        <v>8</v>
      </c>
      <c r="E111">
        <v>27</v>
      </c>
      <c r="F111">
        <v>10</v>
      </c>
      <c r="G111">
        <v>30</v>
      </c>
      <c r="H111">
        <v>9</v>
      </c>
      <c r="I111" s="202">
        <v>26</v>
      </c>
      <c r="J111" s="165">
        <v>5</v>
      </c>
      <c r="K111" s="165">
        <v>27.31029740416022</v>
      </c>
      <c r="L111" s="179">
        <v>7.8523049677431009</v>
      </c>
      <c r="M111" s="165"/>
      <c r="N111" s="179"/>
      <c r="O111" s="202"/>
      <c r="P111" s="202"/>
      <c r="Q111" s="202"/>
      <c r="R111" s="165"/>
      <c r="S111" s="165"/>
      <c r="T111" s="165"/>
      <c r="U111" s="201"/>
      <c r="V111" s="166"/>
      <c r="W111" s="166"/>
      <c r="X111" s="179"/>
      <c r="Y111" s="179"/>
    </row>
    <row r="112" spans="1:25" ht="14.65" customHeight="1">
      <c r="A112" s="186" t="s">
        <v>72</v>
      </c>
      <c r="B112" s="186"/>
      <c r="C112">
        <v>14</v>
      </c>
      <c r="D112">
        <v>4</v>
      </c>
      <c r="E112">
        <v>11</v>
      </c>
      <c r="F112">
        <v>3</v>
      </c>
      <c r="G112">
        <v>10</v>
      </c>
      <c r="H112">
        <v>3</v>
      </c>
      <c r="I112" s="202">
        <v>12</v>
      </c>
      <c r="J112" s="165">
        <v>2</v>
      </c>
      <c r="K112" s="165">
        <v>11.959700093720713</v>
      </c>
      <c r="L112" s="179">
        <v>2.6425392560248553</v>
      </c>
      <c r="M112" s="165"/>
      <c r="N112" s="179"/>
      <c r="O112" s="202"/>
      <c r="P112" s="202"/>
      <c r="Q112" s="202"/>
      <c r="R112" s="165"/>
      <c r="S112" s="165"/>
      <c r="T112" s="165"/>
      <c r="U112" s="201"/>
      <c r="V112" s="166"/>
      <c r="W112" s="166"/>
      <c r="X112" s="179"/>
      <c r="Y112" s="179"/>
    </row>
    <row r="113" spans="1:25" ht="14.65" customHeight="1">
      <c r="A113" s="186" t="s">
        <v>73</v>
      </c>
      <c r="B113" s="186"/>
      <c r="C113">
        <v>16</v>
      </c>
      <c r="D113">
        <v>12</v>
      </c>
      <c r="E113">
        <v>17</v>
      </c>
      <c r="F113">
        <v>8</v>
      </c>
      <c r="G113">
        <v>21</v>
      </c>
      <c r="H113">
        <v>8</v>
      </c>
      <c r="I113" s="202">
        <v>19</v>
      </c>
      <c r="J113" s="165">
        <v>4</v>
      </c>
      <c r="K113" s="165">
        <v>17.859143155694881</v>
      </c>
      <c r="L113" s="179">
        <v>7.0889522368956888</v>
      </c>
      <c r="M113" s="165"/>
      <c r="N113" s="179"/>
      <c r="O113" s="202"/>
      <c r="P113" s="202"/>
      <c r="Q113" s="202"/>
      <c r="R113" s="165"/>
      <c r="S113" s="165"/>
      <c r="T113" s="165"/>
      <c r="U113" s="201"/>
      <c r="V113" s="166"/>
      <c r="W113" s="166"/>
      <c r="X113" s="179"/>
      <c r="Y113" s="179"/>
    </row>
    <row r="114" spans="1:25" ht="14.65" customHeight="1">
      <c r="A114" s="186" t="s">
        <v>74</v>
      </c>
      <c r="B114" s="186"/>
      <c r="C114">
        <v>15</v>
      </c>
      <c r="D114">
        <v>8</v>
      </c>
      <c r="E114">
        <v>14</v>
      </c>
      <c r="F114">
        <v>5</v>
      </c>
      <c r="G114">
        <v>15</v>
      </c>
      <c r="H114">
        <v>8</v>
      </c>
      <c r="I114" s="202">
        <v>23</v>
      </c>
      <c r="J114" s="165">
        <v>6</v>
      </c>
      <c r="K114" s="165">
        <v>16.417638114546374</v>
      </c>
      <c r="L114" s="179">
        <v>6.5646317618944163</v>
      </c>
      <c r="M114" s="165"/>
      <c r="N114" s="179"/>
      <c r="O114" s="202"/>
      <c r="P114" s="202"/>
      <c r="Q114" s="202"/>
      <c r="R114" s="165"/>
      <c r="S114" s="165"/>
      <c r="T114" s="165"/>
      <c r="U114" s="201"/>
      <c r="V114" s="166"/>
      <c r="W114" s="166"/>
      <c r="X114" s="179"/>
      <c r="Y114" s="179"/>
    </row>
    <row r="115" spans="1:25" ht="14.65" customHeight="1">
      <c r="A115" s="186" t="s">
        <v>75</v>
      </c>
      <c r="B115" s="186"/>
      <c r="C115">
        <v>29</v>
      </c>
      <c r="D115">
        <v>10</v>
      </c>
      <c r="E115">
        <v>27</v>
      </c>
      <c r="F115">
        <v>10</v>
      </c>
      <c r="G115">
        <v>18</v>
      </c>
      <c r="H115">
        <v>8</v>
      </c>
      <c r="I115" s="202">
        <v>16</v>
      </c>
      <c r="J115" s="165">
        <v>2</v>
      </c>
      <c r="K115" s="165">
        <v>22.52095347943099</v>
      </c>
      <c r="L115" s="179">
        <v>4.8138569604086845</v>
      </c>
      <c r="M115" s="165"/>
      <c r="N115" s="179"/>
      <c r="O115" s="202"/>
      <c r="P115" s="202"/>
      <c r="Q115" s="202"/>
      <c r="R115" s="165"/>
      <c r="S115" s="165"/>
      <c r="T115" s="165"/>
      <c r="U115" s="201"/>
      <c r="V115" s="166"/>
      <c r="W115" s="166"/>
      <c r="X115" s="179"/>
      <c r="Y115" s="179"/>
    </row>
    <row r="116" spans="1:25" ht="14.65" customHeight="1">
      <c r="A116" s="186" t="s">
        <v>76</v>
      </c>
      <c r="B116" s="186"/>
      <c r="C116">
        <v>25</v>
      </c>
      <c r="D116">
        <v>14</v>
      </c>
      <c r="E116">
        <v>29</v>
      </c>
      <c r="F116">
        <v>15</v>
      </c>
      <c r="G116">
        <v>29</v>
      </c>
      <c r="H116">
        <v>17</v>
      </c>
      <c r="I116" s="202">
        <v>29</v>
      </c>
      <c r="J116" s="165">
        <v>6</v>
      </c>
      <c r="K116" s="165">
        <v>28.022016512384287</v>
      </c>
      <c r="L116" s="179">
        <v>10.808453548759378</v>
      </c>
      <c r="M116" s="165"/>
      <c r="N116" s="179"/>
      <c r="O116" s="202"/>
      <c r="P116" s="202"/>
      <c r="Q116" s="202"/>
      <c r="R116" s="165"/>
      <c r="S116" s="165"/>
      <c r="T116" s="165"/>
      <c r="U116" s="202"/>
      <c r="V116" s="204"/>
      <c r="W116" s="204"/>
      <c r="X116" s="179"/>
      <c r="Y116" s="179"/>
    </row>
    <row r="117" spans="1:25" ht="14.65" customHeight="1">
      <c r="A117" s="186" t="s">
        <v>205</v>
      </c>
      <c r="B117" s="186"/>
      <c r="C117">
        <v>44</v>
      </c>
      <c r="D117">
        <v>25</v>
      </c>
      <c r="E117">
        <v>43</v>
      </c>
      <c r="F117">
        <v>39</v>
      </c>
      <c r="G117">
        <v>34</v>
      </c>
      <c r="H117">
        <v>54</v>
      </c>
      <c r="I117" s="202">
        <v>30</v>
      </c>
      <c r="J117" s="165">
        <v>22</v>
      </c>
      <c r="K117" s="165">
        <v>38.168829532568978</v>
      </c>
      <c r="L117" s="179">
        <v>31.326320562853844</v>
      </c>
      <c r="M117" s="165"/>
      <c r="N117" s="179"/>
      <c r="O117" s="202"/>
      <c r="P117" s="202"/>
      <c r="Q117" s="202"/>
      <c r="R117" s="165"/>
      <c r="S117" s="165"/>
      <c r="T117" s="165"/>
      <c r="U117" s="201"/>
      <c r="V117" s="166"/>
      <c r="W117" s="166"/>
      <c r="X117" s="179"/>
      <c r="Y117" s="179"/>
    </row>
    <row r="118" spans="1:25" ht="14.65" customHeight="1">
      <c r="A118" s="186" t="s">
        <v>77</v>
      </c>
      <c r="B118" s="186"/>
      <c r="C118">
        <v>19</v>
      </c>
      <c r="D118">
        <v>7</v>
      </c>
      <c r="E118">
        <v>18</v>
      </c>
      <c r="F118">
        <v>6</v>
      </c>
      <c r="G118">
        <v>21</v>
      </c>
      <c r="H118">
        <v>6</v>
      </c>
      <c r="I118" s="202">
        <v>20</v>
      </c>
      <c r="J118" s="165">
        <v>4</v>
      </c>
      <c r="K118" s="165">
        <v>19.586610486891384</v>
      </c>
      <c r="L118" s="179">
        <v>5.157262484107151</v>
      </c>
      <c r="M118" s="165"/>
      <c r="N118" s="179"/>
      <c r="O118" s="202"/>
      <c r="P118" s="202"/>
      <c r="Q118" s="202"/>
      <c r="R118" s="165"/>
      <c r="S118" s="165"/>
      <c r="T118" s="165"/>
      <c r="U118" s="201"/>
      <c r="V118" s="166"/>
      <c r="W118" s="166"/>
      <c r="X118" s="179"/>
      <c r="Y118" s="179"/>
    </row>
    <row r="119" spans="1:25" ht="14.65" customHeight="1">
      <c r="A119" s="186" t="s">
        <v>206</v>
      </c>
      <c r="B119" s="186"/>
      <c r="C119">
        <v>19</v>
      </c>
      <c r="D119">
        <v>14</v>
      </c>
      <c r="E119">
        <v>21</v>
      </c>
      <c r="F119">
        <v>15</v>
      </c>
      <c r="G119">
        <v>19</v>
      </c>
      <c r="H119">
        <v>18</v>
      </c>
      <c r="I119" s="202">
        <v>21</v>
      </c>
      <c r="J119" s="165">
        <v>7</v>
      </c>
      <c r="K119" s="165">
        <v>19.951310462390794</v>
      </c>
      <c r="L119" s="179">
        <v>11.995953403955848</v>
      </c>
      <c r="M119" s="165"/>
      <c r="N119" s="179"/>
      <c r="O119" s="202"/>
      <c r="P119" s="202"/>
      <c r="Q119" s="202"/>
      <c r="R119" s="165"/>
      <c r="S119" s="165"/>
      <c r="T119" s="165"/>
      <c r="U119" s="201"/>
      <c r="V119" s="166"/>
      <c r="W119" s="166"/>
      <c r="X119" s="179"/>
      <c r="Y119" s="179"/>
    </row>
    <row r="120" spans="1:25" ht="14.65" customHeight="1">
      <c r="A120" s="186" t="s">
        <v>269</v>
      </c>
      <c r="B120" s="186"/>
      <c r="C120">
        <v>15</v>
      </c>
      <c r="D120">
        <v>3</v>
      </c>
      <c r="E120">
        <v>15</v>
      </c>
      <c r="F120">
        <v>3</v>
      </c>
      <c r="G120">
        <v>14</v>
      </c>
      <c r="H120">
        <v>3</v>
      </c>
      <c r="I120" s="201">
        <v>15</v>
      </c>
      <c r="J120" s="199">
        <v>2</v>
      </c>
      <c r="K120" s="199">
        <v>14.778051029818629</v>
      </c>
      <c r="L120" s="179" t="s">
        <v>3</v>
      </c>
      <c r="M120" s="199"/>
      <c r="N120" s="179"/>
      <c r="O120" s="201"/>
      <c r="P120" s="201"/>
      <c r="Q120" s="201"/>
      <c r="R120" s="199"/>
      <c r="S120" s="199"/>
      <c r="T120" s="199"/>
      <c r="U120" s="201"/>
      <c r="V120" s="166"/>
      <c r="W120" s="166"/>
      <c r="X120" s="179"/>
      <c r="Y120" s="179"/>
    </row>
    <row r="121" spans="1:25" ht="14.65" customHeight="1">
      <c r="A121" s="186" t="s">
        <v>78</v>
      </c>
      <c r="B121" s="186"/>
      <c r="C121">
        <v>33</v>
      </c>
      <c r="D121">
        <v>17</v>
      </c>
      <c r="E121">
        <v>25</v>
      </c>
      <c r="F121">
        <v>21</v>
      </c>
      <c r="G121">
        <v>19</v>
      </c>
      <c r="H121">
        <v>12</v>
      </c>
      <c r="I121" s="202">
        <v>24</v>
      </c>
      <c r="J121" s="165">
        <v>6</v>
      </c>
      <c r="K121" s="165">
        <v>25.827480916030535</v>
      </c>
      <c r="L121" s="179">
        <v>13.285353535353535</v>
      </c>
      <c r="M121" s="165"/>
      <c r="N121" s="179"/>
      <c r="O121" s="202"/>
      <c r="P121" s="202"/>
      <c r="Q121" s="202"/>
      <c r="R121" s="165"/>
      <c r="S121" s="165"/>
      <c r="T121" s="165"/>
      <c r="U121" s="201"/>
      <c r="V121" s="166"/>
      <c r="W121" s="166"/>
      <c r="X121" s="179"/>
      <c r="Y121" s="179"/>
    </row>
    <row r="122" spans="1:25" ht="14.65" customHeight="1">
      <c r="A122" s="186" t="s">
        <v>339</v>
      </c>
      <c r="B122" s="186"/>
      <c r="C122">
        <v>27</v>
      </c>
      <c r="D122">
        <v>21</v>
      </c>
      <c r="E122">
        <v>29</v>
      </c>
      <c r="F122">
        <v>30</v>
      </c>
      <c r="G122">
        <v>33</v>
      </c>
      <c r="H122">
        <v>24</v>
      </c>
      <c r="I122" s="202">
        <v>36</v>
      </c>
      <c r="J122" s="165">
        <v>8</v>
      </c>
      <c r="K122" s="165">
        <v>30.799538638985005</v>
      </c>
      <c r="L122" s="179">
        <v>18.349785974739735</v>
      </c>
      <c r="M122" s="165"/>
      <c r="N122" s="179"/>
      <c r="O122" s="202"/>
      <c r="P122" s="202"/>
      <c r="Q122" s="202"/>
      <c r="R122" s="165"/>
      <c r="S122" s="165"/>
      <c r="T122" s="165"/>
      <c r="U122" s="201"/>
      <c r="V122" s="166"/>
      <c r="W122" s="166"/>
      <c r="X122" s="179"/>
      <c r="Y122" s="179"/>
    </row>
    <row r="123" spans="1:25" ht="14.65" customHeight="1">
      <c r="A123" s="186" t="s">
        <v>79</v>
      </c>
      <c r="B123" s="186"/>
      <c r="C123">
        <v>24</v>
      </c>
      <c r="D123">
        <v>14</v>
      </c>
      <c r="E123">
        <v>17</v>
      </c>
      <c r="F123">
        <v>9</v>
      </c>
      <c r="G123">
        <v>17</v>
      </c>
      <c r="H123">
        <v>9</v>
      </c>
      <c r="I123" s="202">
        <v>17</v>
      </c>
      <c r="J123" s="165">
        <v>3</v>
      </c>
      <c r="K123" s="165">
        <v>18.828125</v>
      </c>
      <c r="L123" s="179">
        <v>6.950458190148912</v>
      </c>
      <c r="M123" s="165"/>
      <c r="N123" s="179"/>
      <c r="O123" s="202"/>
      <c r="P123" s="202"/>
      <c r="Q123" s="202"/>
      <c r="R123" s="165"/>
      <c r="S123" s="165"/>
      <c r="T123" s="165"/>
      <c r="U123" s="201"/>
      <c r="V123" s="166"/>
      <c r="W123" s="166"/>
      <c r="X123" s="179"/>
      <c r="Y123" s="179"/>
    </row>
    <row r="124" spans="1:25" ht="14.65" customHeight="1">
      <c r="A124" s="186" t="s">
        <v>207</v>
      </c>
      <c r="B124" s="186"/>
      <c r="C124">
        <v>46</v>
      </c>
      <c r="D124">
        <v>13</v>
      </c>
      <c r="E124">
        <v>46</v>
      </c>
      <c r="F124">
        <v>15</v>
      </c>
      <c r="G124">
        <v>33</v>
      </c>
      <c r="H124">
        <v>19</v>
      </c>
      <c r="I124" s="202">
        <v>29</v>
      </c>
      <c r="J124" s="165">
        <v>11</v>
      </c>
      <c r="K124" s="165">
        <v>38.279747739171825</v>
      </c>
      <c r="L124" s="179">
        <v>13.737300468764362</v>
      </c>
      <c r="M124" s="165"/>
      <c r="N124" s="179"/>
      <c r="O124" s="202"/>
      <c r="P124" s="202"/>
      <c r="Q124" s="202"/>
      <c r="R124" s="165"/>
      <c r="S124" s="165"/>
      <c r="T124" s="165"/>
      <c r="U124" s="201"/>
      <c r="V124" s="166"/>
      <c r="W124" s="166"/>
      <c r="X124" s="179"/>
      <c r="Y124" s="179"/>
    </row>
    <row r="125" spans="1:25" ht="14.65" customHeight="1">
      <c r="A125" s="186" t="s">
        <v>80</v>
      </c>
      <c r="B125" s="186"/>
      <c r="C125">
        <v>20</v>
      </c>
      <c r="D125">
        <v>15</v>
      </c>
      <c r="E125">
        <v>22</v>
      </c>
      <c r="F125">
        <v>11</v>
      </c>
      <c r="G125">
        <v>20</v>
      </c>
      <c r="H125">
        <v>13</v>
      </c>
      <c r="I125" s="202">
        <v>26</v>
      </c>
      <c r="J125" s="165">
        <v>6</v>
      </c>
      <c r="K125" s="165">
        <v>22.128278688524592</v>
      </c>
      <c r="L125" s="179">
        <v>9.896448206018519</v>
      </c>
      <c r="M125" s="165"/>
      <c r="N125" s="179"/>
      <c r="O125" s="202"/>
      <c r="P125" s="202"/>
      <c r="Q125" s="202"/>
      <c r="R125" s="165"/>
      <c r="S125" s="165"/>
      <c r="T125" s="165"/>
      <c r="U125" s="201"/>
      <c r="V125" s="166"/>
      <c r="W125" s="166"/>
      <c r="X125" s="179"/>
      <c r="Y125" s="179"/>
    </row>
    <row r="126" spans="1:25" ht="14.65" customHeight="1">
      <c r="A126" s="186" t="s">
        <v>81</v>
      </c>
      <c r="B126" s="186"/>
      <c r="C126">
        <v>26</v>
      </c>
      <c r="D126">
        <v>7</v>
      </c>
      <c r="E126">
        <v>26</v>
      </c>
      <c r="F126">
        <v>7</v>
      </c>
      <c r="G126">
        <v>27</v>
      </c>
      <c r="H126">
        <v>7</v>
      </c>
      <c r="I126" s="202">
        <v>28</v>
      </c>
      <c r="J126" s="165">
        <v>4</v>
      </c>
      <c r="K126" s="165">
        <v>26.715576592082616</v>
      </c>
      <c r="L126" s="179">
        <v>5.7191469732453335</v>
      </c>
      <c r="M126" s="165"/>
      <c r="N126" s="179"/>
      <c r="O126" s="202"/>
      <c r="P126" s="202"/>
      <c r="Q126" s="202"/>
      <c r="R126" s="165"/>
      <c r="S126" s="165"/>
      <c r="T126" s="165"/>
      <c r="U126" s="201"/>
      <c r="V126" s="166"/>
      <c r="W126" s="166"/>
      <c r="X126" s="179"/>
      <c r="Y126" s="179"/>
    </row>
    <row r="127" spans="1:25" ht="14.65" customHeight="1">
      <c r="A127" s="186" t="s">
        <v>208</v>
      </c>
      <c r="B127" s="186"/>
      <c r="C127">
        <v>21</v>
      </c>
      <c r="D127">
        <v>9</v>
      </c>
      <c r="E127">
        <v>20</v>
      </c>
      <c r="F127">
        <v>8</v>
      </c>
      <c r="G127">
        <v>21</v>
      </c>
      <c r="H127">
        <v>11</v>
      </c>
      <c r="I127" s="202">
        <v>20</v>
      </c>
      <c r="J127" s="165">
        <v>4</v>
      </c>
      <c r="K127" s="165">
        <v>20.544677020031511</v>
      </c>
      <c r="L127" s="179">
        <v>7.2833021603720161</v>
      </c>
      <c r="M127" s="165"/>
      <c r="N127" s="179"/>
      <c r="O127" s="202"/>
      <c r="P127" s="202"/>
      <c r="Q127" s="202"/>
      <c r="R127" s="165"/>
      <c r="S127" s="165"/>
      <c r="T127" s="165"/>
      <c r="U127" s="201"/>
      <c r="V127" s="166"/>
      <c r="W127" s="166"/>
      <c r="X127" s="179"/>
      <c r="Y127" s="179"/>
    </row>
    <row r="128" spans="1:25" ht="14.65" customHeight="1">
      <c r="A128" s="186" t="s">
        <v>82</v>
      </c>
      <c r="B128" s="186"/>
      <c r="C128">
        <v>21</v>
      </c>
      <c r="D128">
        <v>8</v>
      </c>
      <c r="E128">
        <v>20</v>
      </c>
      <c r="F128">
        <v>14</v>
      </c>
      <c r="G128">
        <v>20</v>
      </c>
      <c r="H128">
        <v>11</v>
      </c>
      <c r="I128" s="202">
        <v>20</v>
      </c>
      <c r="J128" s="165">
        <v>3</v>
      </c>
      <c r="K128" s="165">
        <v>20.39801699716714</v>
      </c>
      <c r="L128" s="179">
        <v>6.9974772502027207</v>
      </c>
      <c r="M128" s="165"/>
      <c r="N128" s="179"/>
      <c r="O128" s="202"/>
      <c r="P128" s="202"/>
      <c r="Q128" s="202"/>
      <c r="R128" s="165"/>
      <c r="S128" s="165"/>
      <c r="T128" s="165"/>
      <c r="U128" s="202"/>
      <c r="V128" s="204"/>
      <c r="W128" s="204"/>
      <c r="X128" s="179"/>
      <c r="Y128" s="179"/>
    </row>
    <row r="129" spans="1:25" ht="14.65" customHeight="1">
      <c r="A129" s="186" t="s">
        <v>270</v>
      </c>
      <c r="B129" s="186"/>
      <c r="C129">
        <v>19</v>
      </c>
      <c r="D129">
        <v>11</v>
      </c>
      <c r="E129">
        <v>19</v>
      </c>
      <c r="F129">
        <v>9</v>
      </c>
      <c r="G129">
        <v>21</v>
      </c>
      <c r="H129">
        <v>10</v>
      </c>
      <c r="I129" s="202">
        <v>21</v>
      </c>
      <c r="J129" s="165">
        <v>5</v>
      </c>
      <c r="K129" s="165">
        <v>20.160720353380903</v>
      </c>
      <c r="L129" s="179">
        <v>7.4503470500743676</v>
      </c>
      <c r="M129" s="165"/>
      <c r="N129" s="179"/>
      <c r="O129" s="202"/>
      <c r="P129" s="202"/>
      <c r="Q129" s="202"/>
      <c r="R129" s="165"/>
      <c r="S129" s="165"/>
      <c r="T129" s="165"/>
      <c r="U129" s="201"/>
      <c r="V129" s="166"/>
      <c r="W129" s="166"/>
      <c r="X129" s="179"/>
      <c r="Y129" s="179"/>
    </row>
    <row r="130" spans="1:25" ht="14.65" customHeight="1">
      <c r="A130" s="186" t="s">
        <v>83</v>
      </c>
      <c r="B130" s="186"/>
      <c r="C130">
        <v>13</v>
      </c>
      <c r="D130">
        <v>5</v>
      </c>
      <c r="E130">
        <v>12</v>
      </c>
      <c r="F130">
        <v>4</v>
      </c>
      <c r="G130">
        <v>10</v>
      </c>
      <c r="H130">
        <v>5</v>
      </c>
      <c r="I130" s="202">
        <v>11</v>
      </c>
      <c r="J130" s="165" t="s">
        <v>3</v>
      </c>
      <c r="K130" s="165">
        <v>11.572357723577236</v>
      </c>
      <c r="L130" s="179" t="s">
        <v>3</v>
      </c>
      <c r="M130" s="165"/>
      <c r="N130" s="179"/>
      <c r="O130" s="202"/>
      <c r="P130" s="202"/>
      <c r="Q130" s="202"/>
      <c r="R130" s="165"/>
      <c r="S130" s="165"/>
      <c r="T130" s="165"/>
      <c r="U130" s="201"/>
      <c r="V130" s="166"/>
      <c r="W130" s="166"/>
      <c r="X130" s="179"/>
      <c r="Y130" s="179"/>
    </row>
    <row r="131" spans="1:25" ht="14.65" customHeight="1">
      <c r="A131" s="186" t="s">
        <v>84</v>
      </c>
      <c r="B131" s="186"/>
      <c r="C131">
        <v>14</v>
      </c>
      <c r="D131">
        <v>8</v>
      </c>
      <c r="E131">
        <v>16</v>
      </c>
      <c r="F131">
        <v>8</v>
      </c>
      <c r="G131">
        <v>16</v>
      </c>
      <c r="H131">
        <v>7</v>
      </c>
      <c r="I131" s="202">
        <v>15</v>
      </c>
      <c r="J131" s="165">
        <v>3</v>
      </c>
      <c r="K131" s="165">
        <v>15.080126515550869</v>
      </c>
      <c r="L131" s="179">
        <v>5.7146600617416903</v>
      </c>
      <c r="M131" s="165"/>
      <c r="N131" s="179"/>
      <c r="O131" s="202"/>
      <c r="P131" s="202"/>
      <c r="Q131" s="202"/>
      <c r="R131" s="165"/>
      <c r="S131" s="165"/>
      <c r="T131" s="165"/>
      <c r="U131" s="201"/>
      <c r="V131" s="166"/>
      <c r="W131" s="166"/>
      <c r="X131" s="179"/>
      <c r="Y131" s="179"/>
    </row>
    <row r="132" spans="1:25" ht="14.65" customHeight="1">
      <c r="A132" s="186" t="s">
        <v>209</v>
      </c>
      <c r="B132" s="186"/>
      <c r="C132">
        <v>41</v>
      </c>
      <c r="D132">
        <v>19</v>
      </c>
      <c r="E132">
        <v>29</v>
      </c>
      <c r="F132">
        <v>13</v>
      </c>
      <c r="G132">
        <v>21</v>
      </c>
      <c r="H132">
        <v>15</v>
      </c>
      <c r="I132" s="202">
        <v>17</v>
      </c>
      <c r="J132" s="165">
        <v>5</v>
      </c>
      <c r="K132" s="165">
        <v>26.912046908315563</v>
      </c>
      <c r="L132" s="179">
        <v>10.648190935635395</v>
      </c>
      <c r="M132" s="165"/>
      <c r="N132" s="179"/>
      <c r="O132" s="202"/>
      <c r="P132" s="202"/>
      <c r="Q132" s="202"/>
      <c r="R132" s="165"/>
      <c r="S132" s="165"/>
      <c r="T132" s="165"/>
      <c r="U132" s="201"/>
      <c r="V132" s="166"/>
      <c r="W132" s="166"/>
      <c r="X132" s="179"/>
      <c r="Y132" s="179"/>
    </row>
    <row r="133" spans="1:25" ht="14.65" customHeight="1">
      <c r="A133" s="186" t="s">
        <v>826</v>
      </c>
      <c r="B133" s="186"/>
      <c r="C133">
        <v>11</v>
      </c>
      <c r="D133">
        <v>12</v>
      </c>
      <c r="E133">
        <v>13</v>
      </c>
      <c r="F133">
        <v>14</v>
      </c>
      <c r="G133">
        <v>11</v>
      </c>
      <c r="H133">
        <v>8</v>
      </c>
      <c r="I133" s="202">
        <v>13</v>
      </c>
      <c r="J133" s="165">
        <v>5</v>
      </c>
      <c r="K133" s="165">
        <v>12.187860291624279</v>
      </c>
      <c r="L133" s="179">
        <v>9.3734238178633973</v>
      </c>
      <c r="M133" s="165"/>
      <c r="N133" s="179"/>
      <c r="O133" s="202"/>
      <c r="P133" s="202"/>
      <c r="Q133" s="202"/>
      <c r="R133" s="165"/>
      <c r="S133" s="165"/>
      <c r="T133" s="165"/>
      <c r="U133" s="201"/>
      <c r="V133" s="166"/>
      <c r="W133" s="166"/>
      <c r="X133" s="179"/>
      <c r="Y133" s="179"/>
    </row>
    <row r="134" spans="1:25" ht="14.65" customHeight="1">
      <c r="A134" s="186" t="s">
        <v>85</v>
      </c>
      <c r="B134" s="186"/>
      <c r="C134">
        <v>15</v>
      </c>
      <c r="D134">
        <v>7</v>
      </c>
      <c r="E134">
        <v>18</v>
      </c>
      <c r="F134">
        <v>8</v>
      </c>
      <c r="G134">
        <v>16</v>
      </c>
      <c r="H134">
        <v>7</v>
      </c>
      <c r="I134" s="202">
        <v>19</v>
      </c>
      <c r="J134" s="165">
        <v>3</v>
      </c>
      <c r="K134" s="165">
        <v>16.98149290561382</v>
      </c>
      <c r="L134" s="179">
        <v>5.6297994009258421</v>
      </c>
      <c r="M134" s="165"/>
      <c r="N134" s="179"/>
      <c r="O134" s="202"/>
      <c r="P134" s="202"/>
      <c r="Q134" s="202"/>
      <c r="R134" s="165"/>
      <c r="S134" s="165"/>
      <c r="T134" s="165"/>
      <c r="U134" s="201"/>
      <c r="V134" s="166"/>
      <c r="W134" s="166"/>
      <c r="X134" s="179"/>
      <c r="Y134" s="179"/>
    </row>
    <row r="135" spans="1:25" ht="14.65" customHeight="1">
      <c r="A135" s="186" t="s">
        <v>86</v>
      </c>
      <c r="B135" s="186"/>
      <c r="C135">
        <v>21</v>
      </c>
      <c r="D135">
        <v>8</v>
      </c>
      <c r="E135">
        <v>17</v>
      </c>
      <c r="F135">
        <v>7</v>
      </c>
      <c r="G135">
        <v>17</v>
      </c>
      <c r="H135">
        <v>8</v>
      </c>
      <c r="I135" s="202">
        <v>16</v>
      </c>
      <c r="J135" s="165">
        <v>3</v>
      </c>
      <c r="K135" s="165">
        <v>17.821253071253071</v>
      </c>
      <c r="L135" s="179">
        <v>5.3362110311750603</v>
      </c>
      <c r="M135" s="165"/>
      <c r="N135" s="179"/>
      <c r="O135" s="202"/>
      <c r="P135" s="202"/>
      <c r="Q135" s="202"/>
      <c r="R135" s="165"/>
      <c r="S135" s="165"/>
      <c r="T135" s="165"/>
      <c r="U135" s="201"/>
      <c r="V135" s="166"/>
      <c r="W135" s="166"/>
      <c r="X135" s="179"/>
      <c r="Y135" s="179"/>
    </row>
    <row r="136" spans="1:25" ht="14.65" customHeight="1">
      <c r="A136" s="186" t="s">
        <v>210</v>
      </c>
      <c r="B136" s="186"/>
      <c r="C136">
        <v>12</v>
      </c>
      <c r="D136">
        <v>7</v>
      </c>
      <c r="E136">
        <v>9</v>
      </c>
      <c r="F136">
        <v>7</v>
      </c>
      <c r="G136">
        <v>10</v>
      </c>
      <c r="H136">
        <v>9</v>
      </c>
      <c r="I136" s="202">
        <v>10</v>
      </c>
      <c r="J136" s="165">
        <v>5</v>
      </c>
      <c r="K136" s="165">
        <v>10.140207972270364</v>
      </c>
      <c r="L136" s="179">
        <v>6.6297319763653926</v>
      </c>
      <c r="M136" s="165"/>
      <c r="N136" s="179"/>
      <c r="O136" s="202"/>
      <c r="P136" s="202"/>
      <c r="Q136" s="202"/>
      <c r="R136" s="165"/>
      <c r="S136" s="165"/>
      <c r="T136" s="165"/>
      <c r="U136" s="201"/>
      <c r="V136" s="166"/>
      <c r="W136" s="166"/>
      <c r="X136" s="179"/>
      <c r="Y136" s="179"/>
    </row>
    <row r="137" spans="1:25" ht="14.65" customHeight="1">
      <c r="A137" s="186" t="s">
        <v>348</v>
      </c>
      <c r="B137" s="186"/>
      <c r="C137">
        <v>21</v>
      </c>
      <c r="D137">
        <v>13</v>
      </c>
      <c r="E137">
        <v>18</v>
      </c>
      <c r="F137">
        <v>10</v>
      </c>
      <c r="G137">
        <v>16</v>
      </c>
      <c r="H137">
        <v>9</v>
      </c>
      <c r="I137" s="202">
        <v>18</v>
      </c>
      <c r="J137" s="165">
        <v>4</v>
      </c>
      <c r="K137" s="165">
        <v>18.025948103792416</v>
      </c>
      <c r="L137" s="179">
        <v>7.216631782321687</v>
      </c>
      <c r="M137" s="165"/>
      <c r="N137" s="179"/>
      <c r="O137" s="202"/>
      <c r="P137" s="202"/>
      <c r="Q137" s="202"/>
      <c r="R137" s="165"/>
      <c r="S137" s="165"/>
      <c r="T137" s="165"/>
      <c r="U137" s="201"/>
      <c r="V137" s="166"/>
      <c r="W137" s="166"/>
      <c r="X137" s="179"/>
      <c r="Y137" s="179"/>
    </row>
    <row r="138" spans="1:25" ht="14.65" customHeight="1">
      <c r="A138" s="186" t="s">
        <v>87</v>
      </c>
      <c r="B138" s="186"/>
      <c r="C138">
        <v>18</v>
      </c>
      <c r="D138">
        <v>15</v>
      </c>
      <c r="E138">
        <v>16</v>
      </c>
      <c r="F138">
        <v>9</v>
      </c>
      <c r="G138">
        <v>15</v>
      </c>
      <c r="H138">
        <v>12</v>
      </c>
      <c r="I138" s="202">
        <v>16</v>
      </c>
      <c r="J138" s="165">
        <v>5</v>
      </c>
      <c r="K138" s="165">
        <v>16.367454068241472</v>
      </c>
      <c r="L138" s="179">
        <v>8.7661691542288551</v>
      </c>
      <c r="M138" s="165"/>
      <c r="N138" s="179"/>
      <c r="O138" s="202"/>
      <c r="P138" s="202"/>
      <c r="Q138" s="202"/>
      <c r="R138" s="165"/>
      <c r="S138" s="165"/>
      <c r="T138" s="165"/>
      <c r="U138" s="201"/>
      <c r="V138" s="166"/>
      <c r="W138" s="166"/>
      <c r="X138" s="179"/>
      <c r="Y138" s="179"/>
    </row>
    <row r="139" spans="1:25" ht="14.65" customHeight="1">
      <c r="A139" s="186" t="s">
        <v>211</v>
      </c>
      <c r="B139" s="186"/>
      <c r="C139">
        <v>18</v>
      </c>
      <c r="D139">
        <v>7</v>
      </c>
      <c r="E139">
        <v>23</v>
      </c>
      <c r="F139">
        <v>7</v>
      </c>
      <c r="G139">
        <v>20</v>
      </c>
      <c r="H139">
        <v>8</v>
      </c>
      <c r="I139" s="202">
        <v>19</v>
      </c>
      <c r="J139" s="165">
        <v>4</v>
      </c>
      <c r="K139" s="165">
        <v>20.125297923050731</v>
      </c>
      <c r="L139" s="179">
        <v>5.7546704217796556</v>
      </c>
      <c r="M139" s="165"/>
      <c r="N139" s="179"/>
      <c r="O139" s="202"/>
      <c r="P139" s="202"/>
      <c r="Q139" s="202"/>
      <c r="R139" s="165"/>
      <c r="S139" s="165"/>
      <c r="T139" s="165"/>
      <c r="U139" s="201"/>
      <c r="V139" s="166"/>
      <c r="W139" s="166"/>
      <c r="X139" s="179"/>
      <c r="Y139" s="179"/>
    </row>
    <row r="140" spans="1:25" ht="14.65" customHeight="1">
      <c r="A140" s="186" t="s">
        <v>88</v>
      </c>
      <c r="B140" s="186"/>
      <c r="C140">
        <v>27</v>
      </c>
      <c r="D140">
        <v>9</v>
      </c>
      <c r="E140">
        <v>23</v>
      </c>
      <c r="F140">
        <v>6</v>
      </c>
      <c r="G140">
        <v>24</v>
      </c>
      <c r="H140">
        <v>8</v>
      </c>
      <c r="I140" s="202">
        <v>25</v>
      </c>
      <c r="J140" s="165">
        <v>3</v>
      </c>
      <c r="K140" s="165">
        <v>24.843976777939041</v>
      </c>
      <c r="L140" s="179">
        <v>5.777402186421174</v>
      </c>
      <c r="M140" s="165"/>
      <c r="N140" s="179"/>
      <c r="O140" s="202"/>
      <c r="P140" s="202"/>
      <c r="Q140" s="202"/>
      <c r="R140" s="165"/>
      <c r="S140" s="165"/>
      <c r="T140" s="165"/>
      <c r="U140" s="201"/>
      <c r="V140" s="166"/>
      <c r="W140" s="166"/>
      <c r="X140" s="179"/>
      <c r="Y140" s="179"/>
    </row>
    <row r="141" spans="1:25" ht="14.65" customHeight="1">
      <c r="A141" s="186" t="s">
        <v>89</v>
      </c>
      <c r="B141" s="186"/>
      <c r="C141">
        <v>25</v>
      </c>
      <c r="D141">
        <v>9</v>
      </c>
      <c r="E141">
        <v>19</v>
      </c>
      <c r="F141">
        <v>7</v>
      </c>
      <c r="G141">
        <v>15</v>
      </c>
      <c r="H141">
        <v>5</v>
      </c>
      <c r="I141" s="202">
        <v>17</v>
      </c>
      <c r="J141" s="165">
        <v>3</v>
      </c>
      <c r="K141" s="165">
        <v>19.201480263157894</v>
      </c>
      <c r="L141" s="179">
        <v>5.5407377985204311</v>
      </c>
      <c r="M141" s="165"/>
      <c r="N141" s="179"/>
      <c r="O141" s="202"/>
      <c r="P141" s="202"/>
      <c r="Q141" s="202"/>
      <c r="R141" s="165"/>
      <c r="S141" s="165"/>
      <c r="T141" s="165"/>
      <c r="U141" s="201"/>
      <c r="V141" s="166"/>
      <c r="W141" s="166"/>
      <c r="X141" s="179"/>
      <c r="Y141" s="179"/>
    </row>
    <row r="142" spans="1:25" ht="14.65" customHeight="1">
      <c r="A142" s="186" t="s">
        <v>90</v>
      </c>
      <c r="B142" s="186"/>
      <c r="C142">
        <v>23</v>
      </c>
      <c r="D142">
        <v>8</v>
      </c>
      <c r="E142">
        <v>21</v>
      </c>
      <c r="F142">
        <v>7</v>
      </c>
      <c r="G142">
        <v>20</v>
      </c>
      <c r="H142">
        <v>8</v>
      </c>
      <c r="I142" s="202">
        <v>21</v>
      </c>
      <c r="J142" s="165">
        <v>4</v>
      </c>
      <c r="K142" s="165">
        <v>21.376541961577352</v>
      </c>
      <c r="L142" s="179">
        <v>6.6065132659319783</v>
      </c>
      <c r="M142" s="165"/>
      <c r="N142" s="179"/>
      <c r="O142" s="202"/>
      <c r="P142" s="202"/>
      <c r="Q142" s="202"/>
      <c r="R142" s="165"/>
      <c r="S142" s="165"/>
      <c r="T142" s="165"/>
      <c r="U142" s="201"/>
      <c r="V142" s="166"/>
      <c r="W142" s="166"/>
      <c r="X142" s="179"/>
      <c r="Y142" s="179"/>
    </row>
    <row r="143" spans="1:25" ht="14.65" customHeight="1">
      <c r="A143" s="186" t="s">
        <v>819</v>
      </c>
      <c r="B143" s="186"/>
      <c r="C143">
        <v>22</v>
      </c>
      <c r="D143">
        <v>10</v>
      </c>
      <c r="E143">
        <v>24</v>
      </c>
      <c r="F143">
        <v>10</v>
      </c>
      <c r="G143">
        <v>21</v>
      </c>
      <c r="H143">
        <v>10</v>
      </c>
      <c r="I143" s="202">
        <v>19</v>
      </c>
      <c r="J143" s="165">
        <v>4</v>
      </c>
      <c r="K143" s="165">
        <v>21.550568521843207</v>
      </c>
      <c r="L143" s="179">
        <v>7.3797090117009692</v>
      </c>
      <c r="M143" s="165"/>
      <c r="N143" s="179"/>
      <c r="O143" s="202"/>
      <c r="P143" s="202"/>
      <c r="Q143" s="202"/>
      <c r="R143" s="165"/>
      <c r="S143" s="165"/>
      <c r="T143" s="165"/>
      <c r="U143" s="201"/>
      <c r="V143" s="166"/>
      <c r="W143" s="166"/>
      <c r="X143" s="179"/>
      <c r="Y143" s="179"/>
    </row>
    <row r="144" spans="1:25" ht="14.65" customHeight="1">
      <c r="A144" s="186" t="s">
        <v>2</v>
      </c>
      <c r="B144" s="186"/>
      <c r="C144" t="s">
        <v>3</v>
      </c>
      <c r="D144" t="s">
        <v>3</v>
      </c>
      <c r="E144" t="s">
        <v>3</v>
      </c>
      <c r="F144" t="s">
        <v>3</v>
      </c>
      <c r="G144" t="s">
        <v>3</v>
      </c>
      <c r="H144" t="s">
        <v>3</v>
      </c>
      <c r="I144" s="202" t="s">
        <v>3</v>
      </c>
      <c r="J144" s="165" t="s">
        <v>3</v>
      </c>
      <c r="K144" s="165" t="s">
        <v>3</v>
      </c>
      <c r="L144" s="179" t="s">
        <v>3</v>
      </c>
      <c r="M144" s="165"/>
      <c r="N144" s="179"/>
      <c r="O144" s="202"/>
      <c r="P144" s="202"/>
      <c r="Q144" s="202"/>
      <c r="R144" s="165"/>
      <c r="S144" s="165"/>
      <c r="T144" s="165"/>
      <c r="U144" s="201"/>
      <c r="V144" s="166"/>
      <c r="W144" s="166"/>
      <c r="X144" s="179"/>
      <c r="Y144" s="179"/>
    </row>
    <row r="145" spans="1:25" ht="14.65" customHeight="1">
      <c r="A145" s="186" t="s">
        <v>212</v>
      </c>
      <c r="B145" s="186"/>
      <c r="C145">
        <v>18</v>
      </c>
      <c r="D145">
        <v>5</v>
      </c>
      <c r="E145">
        <v>18</v>
      </c>
      <c r="F145">
        <v>4</v>
      </c>
      <c r="G145">
        <v>17</v>
      </c>
      <c r="H145">
        <v>5</v>
      </c>
      <c r="I145" s="202">
        <v>18</v>
      </c>
      <c r="J145" s="165">
        <v>2</v>
      </c>
      <c r="K145" s="165">
        <v>17.727399944024629</v>
      </c>
      <c r="L145" s="179">
        <v>3.7133059133775381</v>
      </c>
      <c r="M145" s="165"/>
      <c r="N145" s="179"/>
      <c r="O145" s="202"/>
      <c r="P145" s="202"/>
      <c r="Q145" s="202"/>
      <c r="R145" s="165"/>
      <c r="S145" s="165"/>
      <c r="T145" s="165"/>
      <c r="U145" s="201"/>
      <c r="V145" s="166"/>
      <c r="W145" s="166"/>
      <c r="X145" s="179"/>
      <c r="Y145" s="179"/>
    </row>
    <row r="146" spans="1:25" ht="14.65" customHeight="1">
      <c r="A146" s="186" t="s">
        <v>340</v>
      </c>
      <c r="B146" s="186"/>
      <c r="C146">
        <v>18</v>
      </c>
      <c r="D146">
        <v>7</v>
      </c>
      <c r="E146">
        <v>18</v>
      </c>
      <c r="F146">
        <v>5</v>
      </c>
      <c r="G146">
        <v>17</v>
      </c>
      <c r="H146">
        <v>4</v>
      </c>
      <c r="I146" s="202">
        <v>15</v>
      </c>
      <c r="J146" s="165">
        <v>3</v>
      </c>
      <c r="K146" s="165">
        <v>16.960571710202071</v>
      </c>
      <c r="L146" s="179">
        <v>4.3992960132515151</v>
      </c>
      <c r="M146" s="165"/>
      <c r="N146" s="179"/>
      <c r="O146" s="202"/>
      <c r="P146" s="202"/>
      <c r="Q146" s="202"/>
      <c r="R146" s="165"/>
      <c r="S146" s="165"/>
      <c r="T146" s="165"/>
      <c r="U146" s="201"/>
      <c r="V146" s="166"/>
      <c r="W146" s="166"/>
      <c r="X146" s="179"/>
      <c r="Y146" s="179"/>
    </row>
    <row r="147" spans="1:25" ht="14.65" customHeight="1">
      <c r="A147" s="186" t="s">
        <v>91</v>
      </c>
      <c r="B147" s="186"/>
      <c r="C147">
        <v>17</v>
      </c>
      <c r="D147">
        <v>9</v>
      </c>
      <c r="E147">
        <v>16</v>
      </c>
      <c r="F147">
        <v>8</v>
      </c>
      <c r="G147">
        <v>12</v>
      </c>
      <c r="H147">
        <v>7</v>
      </c>
      <c r="I147" s="202">
        <v>15</v>
      </c>
      <c r="J147" s="165">
        <v>3</v>
      </c>
      <c r="K147" s="165">
        <v>15.020774845592364</v>
      </c>
      <c r="L147" s="179">
        <v>6.1096268491940826</v>
      </c>
      <c r="M147" s="165"/>
      <c r="N147" s="179"/>
      <c r="O147" s="202"/>
      <c r="P147" s="202"/>
      <c r="Q147" s="202"/>
      <c r="R147" s="165"/>
      <c r="S147" s="165"/>
      <c r="T147" s="165"/>
      <c r="U147" s="201"/>
      <c r="V147" s="166"/>
      <c r="W147" s="166"/>
      <c r="X147" s="179"/>
      <c r="Y147" s="179"/>
    </row>
    <row r="148" spans="1:25" ht="14.65" customHeight="1">
      <c r="A148" s="186" t="s">
        <v>381</v>
      </c>
      <c r="B148" s="186"/>
      <c r="C148">
        <v>24</v>
      </c>
      <c r="D148">
        <v>14</v>
      </c>
      <c r="E148">
        <v>18</v>
      </c>
      <c r="F148">
        <v>17</v>
      </c>
      <c r="G148">
        <v>20</v>
      </c>
      <c r="H148">
        <v>11</v>
      </c>
      <c r="I148" s="202">
        <v>19</v>
      </c>
      <c r="J148" s="165">
        <v>6</v>
      </c>
      <c r="K148" s="165">
        <v>20.263094521372668</v>
      </c>
      <c r="L148" s="179">
        <v>10.861514105525421</v>
      </c>
      <c r="M148" s="165"/>
      <c r="N148" s="179"/>
      <c r="O148" s="202"/>
      <c r="P148" s="202"/>
      <c r="Q148" s="202"/>
      <c r="R148" s="165"/>
      <c r="S148" s="165"/>
      <c r="T148" s="165"/>
      <c r="U148" s="202"/>
      <c r="V148" s="204"/>
      <c r="W148" s="204"/>
      <c r="X148" s="179"/>
      <c r="Y148" s="179"/>
    </row>
    <row r="149" spans="1:25" ht="14.65" customHeight="1">
      <c r="A149" s="186" t="s">
        <v>827</v>
      </c>
      <c r="B149" s="186"/>
      <c r="C149">
        <v>29</v>
      </c>
      <c r="D149">
        <v>20</v>
      </c>
      <c r="E149">
        <v>26</v>
      </c>
      <c r="F149">
        <v>19</v>
      </c>
      <c r="G149">
        <v>24</v>
      </c>
      <c r="H149">
        <v>16</v>
      </c>
      <c r="I149" s="202">
        <v>24</v>
      </c>
      <c r="J149" s="165">
        <v>6</v>
      </c>
      <c r="K149" s="165">
        <v>25.673504128010894</v>
      </c>
      <c r="L149" s="179">
        <v>12.63815230863824</v>
      </c>
      <c r="M149" s="165"/>
      <c r="N149" s="179"/>
      <c r="O149" s="202"/>
      <c r="P149" s="202"/>
      <c r="Q149" s="202"/>
      <c r="R149" s="165"/>
      <c r="S149" s="165"/>
      <c r="T149" s="165"/>
      <c r="U149" s="202"/>
      <c r="V149" s="204"/>
      <c r="W149" s="204"/>
      <c r="X149" s="179"/>
      <c r="Y149" s="179"/>
    </row>
    <row r="150" spans="1:25" ht="14.65" customHeight="1">
      <c r="A150" s="186" t="s">
        <v>400</v>
      </c>
      <c r="B150" s="186"/>
      <c r="C150">
        <v>30</v>
      </c>
      <c r="D150">
        <v>9</v>
      </c>
      <c r="E150">
        <v>28</v>
      </c>
      <c r="F150">
        <v>5</v>
      </c>
      <c r="G150">
        <v>24</v>
      </c>
      <c r="H150">
        <v>8</v>
      </c>
      <c r="I150" s="202">
        <v>26</v>
      </c>
      <c r="J150" s="165">
        <v>4</v>
      </c>
      <c r="K150" s="165">
        <v>27.078389830508474</v>
      </c>
      <c r="L150" s="179">
        <v>5.7674943566591423</v>
      </c>
      <c r="M150" s="165"/>
      <c r="N150" s="179"/>
      <c r="O150" s="202"/>
      <c r="P150" s="202"/>
      <c r="Q150" s="202"/>
      <c r="R150" s="165"/>
      <c r="S150" s="165"/>
      <c r="T150" s="165"/>
      <c r="U150" s="201"/>
      <c r="V150" s="166"/>
      <c r="W150" s="166"/>
      <c r="X150" s="179"/>
      <c r="Y150" s="179"/>
    </row>
    <row r="151" spans="1:25" ht="14.65" customHeight="1">
      <c r="A151" s="186" t="s">
        <v>233</v>
      </c>
      <c r="B151" s="186"/>
      <c r="C151">
        <v>23</v>
      </c>
      <c r="D151">
        <v>8</v>
      </c>
      <c r="E151">
        <v>21</v>
      </c>
      <c r="F151">
        <v>8</v>
      </c>
      <c r="G151">
        <v>22</v>
      </c>
      <c r="H151">
        <v>11</v>
      </c>
      <c r="I151" s="201">
        <v>26</v>
      </c>
      <c r="J151" s="199">
        <v>5</v>
      </c>
      <c r="K151" s="199">
        <v>23.128555389221557</v>
      </c>
      <c r="L151" s="179">
        <v>7.0875616253789389</v>
      </c>
      <c r="M151" s="199"/>
      <c r="N151" s="179"/>
      <c r="O151" s="201"/>
      <c r="P151" s="201"/>
      <c r="Q151" s="201"/>
      <c r="R151" s="199"/>
      <c r="S151" s="199"/>
      <c r="T151" s="199"/>
      <c r="U151" s="201"/>
      <c r="V151" s="166"/>
      <c r="W151" s="166"/>
      <c r="X151" s="179"/>
      <c r="Y151" s="179"/>
    </row>
    <row r="152" spans="1:25" ht="14.65" customHeight="1">
      <c r="A152" s="186" t="s">
        <v>234</v>
      </c>
      <c r="B152" s="186"/>
      <c r="C152">
        <v>28</v>
      </c>
      <c r="D152">
        <v>6</v>
      </c>
      <c r="E152">
        <v>28</v>
      </c>
      <c r="F152">
        <v>7</v>
      </c>
      <c r="G152">
        <v>31</v>
      </c>
      <c r="H152">
        <v>8</v>
      </c>
      <c r="I152" s="202">
        <v>37</v>
      </c>
      <c r="J152" s="165">
        <v>3</v>
      </c>
      <c r="K152" s="165">
        <v>31.026433026433025</v>
      </c>
      <c r="L152" s="179">
        <v>4.8188200572382538</v>
      </c>
      <c r="M152" s="165"/>
      <c r="N152" s="179"/>
      <c r="O152" s="202"/>
      <c r="P152" s="202"/>
      <c r="Q152" s="202"/>
      <c r="R152" s="165"/>
      <c r="S152" s="165"/>
      <c r="T152" s="165"/>
      <c r="U152" s="201"/>
      <c r="V152" s="166"/>
      <c r="W152" s="166"/>
      <c r="X152" s="179"/>
      <c r="Y152" s="179"/>
    </row>
    <row r="153" spans="1:25" ht="14.65" customHeight="1">
      <c r="A153" s="186" t="s">
        <v>213</v>
      </c>
      <c r="B153" s="186"/>
      <c r="C153">
        <v>26</v>
      </c>
      <c r="D153">
        <v>10</v>
      </c>
      <c r="E153">
        <v>26</v>
      </c>
      <c r="F153">
        <v>10</v>
      </c>
      <c r="G153">
        <v>26</v>
      </c>
      <c r="H153">
        <v>12</v>
      </c>
      <c r="I153" s="202">
        <v>22</v>
      </c>
      <c r="J153" s="165">
        <v>5</v>
      </c>
      <c r="K153" s="165">
        <v>25.097488372093022</v>
      </c>
      <c r="L153" s="179">
        <v>8.1208931703981211</v>
      </c>
      <c r="M153" s="165"/>
      <c r="N153" s="179"/>
      <c r="O153" s="202"/>
      <c r="P153" s="202"/>
      <c r="Q153" s="202"/>
      <c r="R153" s="165"/>
      <c r="S153" s="165"/>
      <c r="T153" s="165"/>
      <c r="U153" s="201"/>
      <c r="V153" s="166"/>
      <c r="W153" s="166"/>
      <c r="X153" s="179"/>
      <c r="Y153" s="179"/>
    </row>
    <row r="154" spans="1:25" ht="14.65" customHeight="1">
      <c r="A154" s="186" t="s">
        <v>92</v>
      </c>
      <c r="B154" s="186"/>
      <c r="C154">
        <v>28</v>
      </c>
      <c r="D154">
        <v>14</v>
      </c>
      <c r="E154">
        <v>21</v>
      </c>
      <c r="F154">
        <v>12</v>
      </c>
      <c r="G154">
        <v>17</v>
      </c>
      <c r="H154">
        <v>10</v>
      </c>
      <c r="I154" s="202">
        <v>18</v>
      </c>
      <c r="J154" s="165">
        <v>4</v>
      </c>
      <c r="K154" s="165">
        <v>20.890525610980916</v>
      </c>
      <c r="L154" s="179">
        <v>9.1441911740864441</v>
      </c>
      <c r="M154" s="165"/>
      <c r="N154" s="179"/>
      <c r="O154" s="202"/>
      <c r="P154" s="202"/>
      <c r="Q154" s="202"/>
      <c r="R154" s="165"/>
      <c r="S154" s="165"/>
      <c r="T154" s="165"/>
      <c r="U154" s="201"/>
      <c r="V154" s="166"/>
      <c r="W154" s="166"/>
      <c r="X154" s="179"/>
      <c r="Y154" s="179"/>
    </row>
    <row r="155" spans="1:25" ht="14.65" customHeight="1">
      <c r="A155" s="186" t="s">
        <v>235</v>
      </c>
      <c r="B155" s="186"/>
      <c r="C155">
        <v>32</v>
      </c>
      <c r="D155">
        <v>18</v>
      </c>
      <c r="E155">
        <v>26</v>
      </c>
      <c r="F155">
        <v>19</v>
      </c>
      <c r="G155">
        <v>30</v>
      </c>
      <c r="H155">
        <v>18</v>
      </c>
      <c r="I155" s="202">
        <v>30</v>
      </c>
      <c r="J155" s="165">
        <v>7</v>
      </c>
      <c r="K155" s="165">
        <v>29.533082118038564</v>
      </c>
      <c r="L155" s="179">
        <v>12.599985981635943</v>
      </c>
      <c r="M155" s="165"/>
      <c r="N155" s="179"/>
      <c r="O155" s="202"/>
      <c r="P155" s="202"/>
      <c r="Q155" s="202"/>
      <c r="R155" s="165"/>
      <c r="S155" s="165"/>
      <c r="T155" s="165"/>
      <c r="U155" s="201"/>
      <c r="V155" s="166"/>
      <c r="W155" s="166"/>
      <c r="X155" s="179"/>
      <c r="Y155" s="179"/>
    </row>
    <row r="156" spans="1:25" ht="14.65" customHeight="1">
      <c r="A156" s="186" t="s">
        <v>272</v>
      </c>
      <c r="B156" s="186"/>
      <c r="C156">
        <v>21</v>
      </c>
      <c r="D156">
        <v>18</v>
      </c>
      <c r="E156">
        <v>23</v>
      </c>
      <c r="F156">
        <v>18</v>
      </c>
      <c r="G156">
        <v>22</v>
      </c>
      <c r="H156">
        <v>19</v>
      </c>
      <c r="I156" s="202">
        <v>22</v>
      </c>
      <c r="J156" s="165">
        <v>7</v>
      </c>
      <c r="K156" s="165">
        <v>21.880040020010004</v>
      </c>
      <c r="L156" s="179">
        <v>13.158652043494563</v>
      </c>
      <c r="M156" s="165"/>
      <c r="N156" s="179"/>
      <c r="O156" s="202"/>
      <c r="P156" s="202"/>
      <c r="Q156" s="202"/>
      <c r="R156" s="165"/>
      <c r="S156" s="165"/>
      <c r="T156" s="165"/>
      <c r="U156" s="201"/>
      <c r="V156" s="166"/>
      <c r="W156" s="166"/>
      <c r="X156" s="179"/>
      <c r="Y156" s="179"/>
    </row>
    <row r="157" spans="1:25" ht="14.65" customHeight="1">
      <c r="A157" s="186" t="s">
        <v>93</v>
      </c>
      <c r="B157" s="186"/>
      <c r="C157">
        <v>19</v>
      </c>
      <c r="D157">
        <v>7</v>
      </c>
      <c r="E157">
        <v>22</v>
      </c>
      <c r="F157">
        <v>7</v>
      </c>
      <c r="G157">
        <v>19</v>
      </c>
      <c r="H157">
        <v>7</v>
      </c>
      <c r="I157" s="202">
        <v>19</v>
      </c>
      <c r="J157" s="165">
        <v>3</v>
      </c>
      <c r="K157" s="165">
        <v>19.539809714571859</v>
      </c>
      <c r="L157" s="179">
        <v>5.341253584596477</v>
      </c>
      <c r="M157" s="165"/>
      <c r="N157" s="179"/>
      <c r="O157" s="202"/>
      <c r="P157" s="202"/>
      <c r="Q157" s="202"/>
      <c r="R157" s="165"/>
      <c r="S157" s="165"/>
      <c r="T157" s="165"/>
      <c r="U157" s="201"/>
      <c r="V157" s="166"/>
      <c r="W157" s="166"/>
      <c r="X157" s="179"/>
      <c r="Y157" s="179"/>
    </row>
    <row r="158" spans="1:25" ht="14.65" customHeight="1">
      <c r="A158" s="186" t="s">
        <v>214</v>
      </c>
      <c r="B158" s="186"/>
      <c r="C158">
        <v>16</v>
      </c>
      <c r="D158">
        <v>5</v>
      </c>
      <c r="E158">
        <v>14</v>
      </c>
      <c r="F158">
        <v>7</v>
      </c>
      <c r="G158">
        <v>14</v>
      </c>
      <c r="H158">
        <v>9</v>
      </c>
      <c r="I158" s="202">
        <v>12</v>
      </c>
      <c r="J158" s="165">
        <v>4</v>
      </c>
      <c r="K158" s="165">
        <v>13.915693084938427</v>
      </c>
      <c r="L158" s="179">
        <v>5.8029969018112491</v>
      </c>
      <c r="M158" s="165"/>
      <c r="N158" s="179"/>
      <c r="O158" s="202"/>
      <c r="P158" s="202"/>
      <c r="Q158" s="202"/>
      <c r="R158" s="165"/>
      <c r="S158" s="165"/>
      <c r="T158" s="165"/>
      <c r="U158" s="201"/>
      <c r="V158" s="166"/>
      <c r="W158" s="166"/>
      <c r="X158" s="179"/>
      <c r="Y158" s="179"/>
    </row>
    <row r="159" spans="1:25" ht="14.65" customHeight="1">
      <c r="A159" s="186" t="s">
        <v>94</v>
      </c>
      <c r="B159" s="186"/>
      <c r="C159">
        <v>27</v>
      </c>
      <c r="D159">
        <v>9</v>
      </c>
      <c r="E159">
        <v>24</v>
      </c>
      <c r="F159">
        <v>11</v>
      </c>
      <c r="G159">
        <v>24</v>
      </c>
      <c r="H159">
        <v>10</v>
      </c>
      <c r="I159" s="202">
        <v>25</v>
      </c>
      <c r="J159" s="165">
        <v>4</v>
      </c>
      <c r="K159" s="165">
        <v>25.165384615384614</v>
      </c>
      <c r="L159" s="179">
        <v>7.5318864562118124</v>
      </c>
      <c r="M159" s="165"/>
      <c r="N159" s="179"/>
      <c r="O159" s="202"/>
      <c r="P159" s="202"/>
      <c r="Q159" s="202"/>
      <c r="R159" s="165"/>
      <c r="S159" s="165"/>
      <c r="T159" s="165"/>
      <c r="U159" s="201"/>
      <c r="V159" s="166"/>
      <c r="W159" s="166"/>
      <c r="X159" s="179"/>
      <c r="Y159" s="179"/>
    </row>
    <row r="160" spans="1:25" ht="14.65" customHeight="1">
      <c r="A160" s="186" t="s">
        <v>95</v>
      </c>
      <c r="B160" s="186"/>
      <c r="C160">
        <v>16</v>
      </c>
      <c r="D160">
        <v>14</v>
      </c>
      <c r="E160">
        <v>25</v>
      </c>
      <c r="F160">
        <v>14</v>
      </c>
      <c r="G160">
        <v>25</v>
      </c>
      <c r="H160">
        <v>23</v>
      </c>
      <c r="I160" s="202">
        <v>31</v>
      </c>
      <c r="J160" s="165">
        <v>7</v>
      </c>
      <c r="K160" s="165">
        <v>24.179508196721311</v>
      </c>
      <c r="L160" s="179">
        <v>12.6431380605776</v>
      </c>
      <c r="M160" s="165"/>
      <c r="N160" s="179"/>
      <c r="O160" s="202"/>
      <c r="P160" s="202"/>
      <c r="Q160" s="202"/>
      <c r="R160" s="165"/>
      <c r="S160" s="165"/>
      <c r="T160" s="165"/>
      <c r="U160" s="202"/>
      <c r="V160" s="204"/>
      <c r="W160" s="204"/>
      <c r="X160" s="179"/>
      <c r="Y160" s="179"/>
    </row>
    <row r="161" spans="1:25" ht="14.65" customHeight="1">
      <c r="A161" s="186" t="s">
        <v>236</v>
      </c>
      <c r="B161" s="186"/>
      <c r="C161">
        <v>27</v>
      </c>
      <c r="D161">
        <v>12</v>
      </c>
      <c r="E161">
        <v>24</v>
      </c>
      <c r="F161">
        <v>10</v>
      </c>
      <c r="G161">
        <v>23</v>
      </c>
      <c r="H161">
        <v>11</v>
      </c>
      <c r="I161" s="202">
        <v>23</v>
      </c>
      <c r="J161" s="165">
        <v>7</v>
      </c>
      <c r="K161" s="165">
        <v>24.18714566376649</v>
      </c>
      <c r="L161" s="179">
        <v>9.7140704613493529</v>
      </c>
      <c r="M161" s="165"/>
      <c r="N161" s="179"/>
      <c r="O161" s="202"/>
      <c r="P161" s="202"/>
      <c r="Q161" s="202"/>
      <c r="R161" s="165"/>
      <c r="S161" s="165"/>
      <c r="T161" s="165"/>
      <c r="U161" s="201"/>
      <c r="V161" s="166"/>
      <c r="W161" s="166"/>
      <c r="X161" s="179"/>
      <c r="Y161" s="179"/>
    </row>
    <row r="162" spans="1:25" ht="14.65" customHeight="1">
      <c r="A162" s="186" t="s">
        <v>818</v>
      </c>
      <c r="B162" s="186"/>
      <c r="C162" t="s">
        <v>3</v>
      </c>
      <c r="D162" t="s">
        <v>3</v>
      </c>
      <c r="E162" t="s">
        <v>3</v>
      </c>
      <c r="F162" t="s">
        <v>3</v>
      </c>
      <c r="G162" t="s">
        <v>3</v>
      </c>
      <c r="H162" t="s">
        <v>3</v>
      </c>
      <c r="I162" s="202" t="s">
        <v>3</v>
      </c>
      <c r="J162" s="165" t="s">
        <v>3</v>
      </c>
      <c r="K162" s="165" t="s">
        <v>3</v>
      </c>
      <c r="L162" s="179" t="s">
        <v>3</v>
      </c>
      <c r="M162" s="165"/>
      <c r="N162" s="179"/>
      <c r="O162" s="202"/>
      <c r="P162" s="202"/>
      <c r="Q162" s="202"/>
      <c r="R162" s="165"/>
      <c r="S162" s="165"/>
      <c r="T162" s="165"/>
      <c r="U162" s="201"/>
      <c r="V162" s="166"/>
      <c r="W162" s="166"/>
      <c r="X162" s="179"/>
      <c r="Y162" s="179"/>
    </row>
    <row r="163" spans="1:25" ht="14.65" customHeight="1">
      <c r="A163" s="186" t="s">
        <v>273</v>
      </c>
      <c r="B163" s="186"/>
      <c r="C163">
        <v>23</v>
      </c>
      <c r="D163">
        <v>17</v>
      </c>
      <c r="E163">
        <v>22</v>
      </c>
      <c r="F163">
        <v>20</v>
      </c>
      <c r="G163">
        <v>19</v>
      </c>
      <c r="H163">
        <v>18</v>
      </c>
      <c r="I163" s="202">
        <v>23</v>
      </c>
      <c r="J163" s="165">
        <v>6</v>
      </c>
      <c r="K163" s="165">
        <v>21.738749570594297</v>
      </c>
      <c r="L163" s="179">
        <v>13.025457811893922</v>
      </c>
      <c r="M163" s="165"/>
      <c r="N163" s="179"/>
      <c r="O163" s="202"/>
      <c r="P163" s="202"/>
      <c r="Q163" s="202"/>
      <c r="R163" s="165"/>
      <c r="S163" s="165"/>
      <c r="T163" s="165"/>
      <c r="U163" s="202"/>
      <c r="V163" s="166"/>
      <c r="W163" s="166"/>
      <c r="X163" s="179"/>
      <c r="Y163" s="179"/>
    </row>
    <row r="164" spans="1:25" ht="14.65" customHeight="1">
      <c r="A164" s="186" t="s">
        <v>96</v>
      </c>
      <c r="B164" s="186"/>
      <c r="C164">
        <v>18</v>
      </c>
      <c r="D164">
        <v>10</v>
      </c>
      <c r="E164">
        <v>13</v>
      </c>
      <c r="F164">
        <v>7</v>
      </c>
      <c r="G164">
        <v>14</v>
      </c>
      <c r="H164">
        <v>10</v>
      </c>
      <c r="I164" s="202">
        <v>14</v>
      </c>
      <c r="J164" s="165">
        <v>4</v>
      </c>
      <c r="K164" s="165">
        <v>14.689123071132856</v>
      </c>
      <c r="L164" s="179">
        <v>6.6760875010436669</v>
      </c>
      <c r="M164" s="165"/>
      <c r="N164" s="179"/>
      <c r="O164" s="202"/>
      <c r="P164" s="202"/>
      <c r="Q164" s="202"/>
      <c r="R164" s="165"/>
      <c r="S164" s="165"/>
      <c r="T164" s="165"/>
      <c r="U164" s="202"/>
      <c r="V164" s="204"/>
      <c r="W164" s="204"/>
      <c r="X164" s="179"/>
      <c r="Y164" s="179"/>
    </row>
    <row r="165" spans="1:25" ht="14.65" customHeight="1">
      <c r="A165" s="187" t="s">
        <v>97</v>
      </c>
      <c r="B165" s="186"/>
      <c r="C165">
        <v>11</v>
      </c>
      <c r="D165">
        <v>12</v>
      </c>
      <c r="E165">
        <v>17</v>
      </c>
      <c r="F165">
        <v>12</v>
      </c>
      <c r="G165">
        <v>15</v>
      </c>
      <c r="H165">
        <v>10</v>
      </c>
      <c r="I165" s="202">
        <v>14</v>
      </c>
      <c r="J165" s="165">
        <v>3</v>
      </c>
      <c r="K165" s="165">
        <v>14.201248049921997</v>
      </c>
      <c r="L165" s="179">
        <v>7.8483732351135664</v>
      </c>
      <c r="M165" s="165"/>
      <c r="N165" s="179"/>
      <c r="O165" s="202"/>
      <c r="P165" s="202"/>
      <c r="Q165" s="202"/>
      <c r="R165" s="165"/>
      <c r="S165" s="165"/>
      <c r="T165" s="165"/>
      <c r="U165" s="201"/>
      <c r="V165" s="166"/>
      <c r="W165" s="166"/>
      <c r="X165" s="179"/>
      <c r="Y165" s="179"/>
    </row>
    <row r="166" spans="1:25" ht="14.65" customHeight="1">
      <c r="A166" s="186" t="s">
        <v>98</v>
      </c>
      <c r="B166" s="186"/>
      <c r="C166">
        <v>22</v>
      </c>
      <c r="D166">
        <v>9</v>
      </c>
      <c r="E166">
        <v>19</v>
      </c>
      <c r="F166">
        <v>7</v>
      </c>
      <c r="G166">
        <v>18</v>
      </c>
      <c r="H166">
        <v>9</v>
      </c>
      <c r="I166" s="202">
        <v>19</v>
      </c>
      <c r="J166" s="165">
        <v>4</v>
      </c>
      <c r="K166" s="165">
        <v>19.370912220309812</v>
      </c>
      <c r="L166" s="179">
        <v>6.2759835079883182</v>
      </c>
      <c r="M166" s="165"/>
      <c r="N166" s="179"/>
      <c r="O166" s="202"/>
      <c r="P166" s="202"/>
      <c r="Q166" s="202"/>
      <c r="R166" s="165"/>
      <c r="S166" s="165"/>
      <c r="T166" s="165"/>
      <c r="U166" s="201"/>
      <c r="V166" s="166"/>
      <c r="W166" s="166"/>
      <c r="X166" s="179"/>
      <c r="Y166" s="179"/>
    </row>
    <row r="167" spans="1:25" ht="14.65" customHeight="1">
      <c r="A167" s="186" t="s">
        <v>237</v>
      </c>
      <c r="B167" s="186"/>
      <c r="C167">
        <v>28</v>
      </c>
      <c r="D167">
        <v>15</v>
      </c>
      <c r="E167">
        <v>27</v>
      </c>
      <c r="F167">
        <v>14</v>
      </c>
      <c r="G167">
        <v>29</v>
      </c>
      <c r="H167">
        <v>17</v>
      </c>
      <c r="I167" s="202">
        <v>30</v>
      </c>
      <c r="J167" s="165">
        <v>5</v>
      </c>
      <c r="K167" s="165">
        <v>28.415308929327125</v>
      </c>
      <c r="L167" s="179">
        <v>10.180175832606368</v>
      </c>
      <c r="M167" s="165"/>
      <c r="N167" s="179"/>
      <c r="O167" s="202"/>
      <c r="P167" s="202"/>
      <c r="Q167" s="202"/>
      <c r="R167" s="165"/>
      <c r="S167" s="165"/>
      <c r="T167" s="165"/>
      <c r="U167" s="201"/>
      <c r="V167" s="166"/>
      <c r="W167" s="166"/>
      <c r="X167" s="179"/>
      <c r="Y167" s="179"/>
    </row>
    <row r="168" spans="1:25" ht="14.65" customHeight="1">
      <c r="A168" s="186" t="s">
        <v>99</v>
      </c>
      <c r="B168" s="186"/>
      <c r="C168">
        <v>29</v>
      </c>
      <c r="D168">
        <v>12</v>
      </c>
      <c r="E168">
        <v>29</v>
      </c>
      <c r="F168">
        <v>15</v>
      </c>
      <c r="G168">
        <v>29</v>
      </c>
      <c r="H168">
        <v>17</v>
      </c>
      <c r="I168" s="202">
        <v>25</v>
      </c>
      <c r="J168" s="165">
        <v>5</v>
      </c>
      <c r="K168" s="165">
        <v>27.841279420639712</v>
      </c>
      <c r="L168" s="179">
        <v>10.439509519606608</v>
      </c>
      <c r="M168" s="165"/>
      <c r="N168" s="179"/>
      <c r="O168" s="202"/>
      <c r="P168" s="202"/>
      <c r="Q168" s="202"/>
      <c r="R168" s="165"/>
      <c r="S168" s="165"/>
      <c r="T168" s="165"/>
      <c r="U168" s="201"/>
      <c r="V168" s="166"/>
      <c r="W168" s="166"/>
      <c r="X168" s="179"/>
      <c r="Y168" s="179"/>
    </row>
    <row r="169" spans="1:25" ht="14.65" customHeight="1">
      <c r="A169" s="186" t="s">
        <v>274</v>
      </c>
      <c r="B169" s="186"/>
      <c r="C169">
        <v>33</v>
      </c>
      <c r="D169">
        <v>13</v>
      </c>
      <c r="E169">
        <v>28</v>
      </c>
      <c r="F169">
        <v>15</v>
      </c>
      <c r="G169">
        <v>30</v>
      </c>
      <c r="H169">
        <v>17</v>
      </c>
      <c r="I169" s="202">
        <v>34</v>
      </c>
      <c r="J169" s="165">
        <v>6</v>
      </c>
      <c r="K169" s="165">
        <v>31.146839546191249</v>
      </c>
      <c r="L169" s="179">
        <v>11.269644475605794</v>
      </c>
      <c r="M169" s="165"/>
      <c r="N169" s="179"/>
      <c r="O169" s="202"/>
      <c r="P169" s="202"/>
      <c r="Q169" s="202"/>
      <c r="R169" s="165"/>
      <c r="S169" s="165"/>
      <c r="T169" s="165"/>
      <c r="U169" s="201"/>
      <c r="V169" s="166"/>
      <c r="W169" s="166"/>
      <c r="X169" s="179"/>
      <c r="Y169" s="179"/>
    </row>
    <row r="170" spans="1:25" ht="14.65" customHeight="1">
      <c r="A170" s="186" t="s">
        <v>100</v>
      </c>
      <c r="B170" s="186"/>
      <c r="C170">
        <v>16</v>
      </c>
      <c r="D170">
        <v>14</v>
      </c>
      <c r="E170">
        <v>14</v>
      </c>
      <c r="F170">
        <v>10</v>
      </c>
      <c r="G170">
        <v>12</v>
      </c>
      <c r="H170">
        <v>10</v>
      </c>
      <c r="I170" s="202">
        <v>12</v>
      </c>
      <c r="J170" s="165">
        <v>5</v>
      </c>
      <c r="K170" s="165">
        <v>13.605042016806722</v>
      </c>
      <c r="L170" s="179">
        <v>7.9435675373655537</v>
      </c>
      <c r="M170" s="165"/>
      <c r="N170" s="179"/>
      <c r="O170" s="202"/>
      <c r="P170" s="202"/>
      <c r="Q170" s="202"/>
      <c r="R170" s="165"/>
      <c r="S170" s="165"/>
      <c r="T170" s="165"/>
      <c r="U170" s="201"/>
      <c r="V170" s="166"/>
      <c r="W170" s="166"/>
      <c r="X170" s="179"/>
      <c r="Y170" s="179"/>
    </row>
    <row r="171" spans="1:25" ht="14.65" customHeight="1">
      <c r="A171" s="186" t="s">
        <v>101</v>
      </c>
      <c r="B171" s="186"/>
      <c r="C171">
        <v>16</v>
      </c>
      <c r="D171">
        <v>10</v>
      </c>
      <c r="E171">
        <v>20</v>
      </c>
      <c r="F171">
        <v>9</v>
      </c>
      <c r="G171">
        <v>16</v>
      </c>
      <c r="H171">
        <v>10</v>
      </c>
      <c r="I171" s="202">
        <v>23</v>
      </c>
      <c r="J171" s="165">
        <v>5</v>
      </c>
      <c r="K171" s="165">
        <v>18.797587834294703</v>
      </c>
      <c r="L171" s="179">
        <v>7.6510906543926351</v>
      </c>
      <c r="M171" s="165"/>
      <c r="N171" s="179"/>
      <c r="O171" s="202"/>
      <c r="P171" s="202"/>
      <c r="Q171" s="202"/>
      <c r="R171" s="165"/>
      <c r="S171" s="165"/>
      <c r="T171" s="165"/>
      <c r="U171" s="201"/>
      <c r="V171" s="166"/>
      <c r="W171" s="166"/>
      <c r="X171" s="179"/>
      <c r="Y171" s="179"/>
    </row>
    <row r="172" spans="1:25" ht="14.65" customHeight="1">
      <c r="A172" s="186" t="s">
        <v>215</v>
      </c>
      <c r="B172" s="186"/>
      <c r="C172">
        <v>26</v>
      </c>
      <c r="D172">
        <v>11</v>
      </c>
      <c r="E172">
        <v>34</v>
      </c>
      <c r="F172">
        <v>11</v>
      </c>
      <c r="G172">
        <v>28</v>
      </c>
      <c r="H172">
        <v>12</v>
      </c>
      <c r="I172" s="202">
        <v>36</v>
      </c>
      <c r="J172" s="165">
        <v>6</v>
      </c>
      <c r="K172" s="165">
        <v>30.588248001728235</v>
      </c>
      <c r="L172" s="179">
        <v>8.8082515330776392</v>
      </c>
      <c r="M172" s="165"/>
      <c r="N172" s="179"/>
      <c r="O172" s="202"/>
      <c r="P172" s="202"/>
      <c r="Q172" s="202"/>
      <c r="R172" s="165"/>
      <c r="S172" s="165"/>
      <c r="T172" s="165"/>
      <c r="U172" s="201"/>
      <c r="V172" s="166"/>
      <c r="W172" s="166"/>
      <c r="X172" s="179"/>
      <c r="Y172" s="179"/>
    </row>
    <row r="173" spans="1:25" ht="14.65" customHeight="1">
      <c r="A173" s="186" t="s">
        <v>102</v>
      </c>
      <c r="B173" s="186"/>
      <c r="C173">
        <v>23</v>
      </c>
      <c r="D173">
        <v>10</v>
      </c>
      <c r="E173">
        <v>18</v>
      </c>
      <c r="F173">
        <v>10</v>
      </c>
      <c r="G173">
        <v>17</v>
      </c>
      <c r="H173">
        <v>7</v>
      </c>
      <c r="I173" s="202">
        <v>17</v>
      </c>
      <c r="J173" s="165">
        <v>3</v>
      </c>
      <c r="K173" s="165">
        <v>18.684210526315791</v>
      </c>
      <c r="L173" s="179">
        <v>6.7234507897934384</v>
      </c>
      <c r="M173" s="165"/>
      <c r="N173" s="179"/>
      <c r="O173" s="202"/>
      <c r="P173" s="202"/>
      <c r="Q173" s="202"/>
      <c r="R173" s="165"/>
      <c r="S173" s="165"/>
      <c r="T173" s="165"/>
      <c r="U173" s="201"/>
      <c r="V173" s="166"/>
      <c r="W173" s="166"/>
      <c r="X173" s="179"/>
      <c r="Y173" s="179"/>
    </row>
    <row r="174" spans="1:25" ht="14.65" customHeight="1">
      <c r="A174" s="186" t="s">
        <v>103</v>
      </c>
      <c r="B174" s="186"/>
      <c r="C174">
        <v>28</v>
      </c>
      <c r="D174">
        <v>11</v>
      </c>
      <c r="E174">
        <v>23</v>
      </c>
      <c r="F174">
        <v>8</v>
      </c>
      <c r="G174">
        <v>24</v>
      </c>
      <c r="H174">
        <v>9</v>
      </c>
      <c r="I174" s="202">
        <v>23</v>
      </c>
      <c r="J174" s="165">
        <v>5</v>
      </c>
      <c r="K174" s="165">
        <v>24.344927536231886</v>
      </c>
      <c r="L174" s="179">
        <v>7.2477904808238058</v>
      </c>
      <c r="M174" s="165"/>
      <c r="N174" s="179"/>
      <c r="O174" s="202"/>
      <c r="P174" s="202"/>
      <c r="Q174" s="202"/>
      <c r="R174" s="165"/>
      <c r="S174" s="165"/>
      <c r="T174" s="165"/>
      <c r="U174" s="201"/>
      <c r="V174" s="166"/>
      <c r="W174" s="166"/>
      <c r="X174" s="179"/>
      <c r="Y174" s="179"/>
    </row>
    <row r="175" spans="1:25" ht="14.65" customHeight="1">
      <c r="A175" s="186" t="s">
        <v>104</v>
      </c>
      <c r="B175" s="186"/>
      <c r="C175">
        <v>17</v>
      </c>
      <c r="D175">
        <v>11</v>
      </c>
      <c r="E175">
        <v>16</v>
      </c>
      <c r="F175">
        <v>9</v>
      </c>
      <c r="G175">
        <v>16</v>
      </c>
      <c r="H175">
        <v>11</v>
      </c>
      <c r="I175" s="202">
        <v>17</v>
      </c>
      <c r="J175" s="165">
        <v>5</v>
      </c>
      <c r="K175" s="165">
        <v>16.485229415461973</v>
      </c>
      <c r="L175" s="179">
        <v>7.8779915736437474</v>
      </c>
      <c r="M175" s="165"/>
      <c r="N175" s="179"/>
      <c r="O175" s="202"/>
      <c r="P175" s="202"/>
      <c r="Q175" s="202"/>
      <c r="R175" s="165"/>
      <c r="S175" s="165"/>
      <c r="T175" s="165"/>
      <c r="U175" s="201"/>
      <c r="V175" s="166"/>
      <c r="W175" s="166"/>
      <c r="X175" s="179"/>
      <c r="Y175" s="179"/>
    </row>
    <row r="176" spans="1:25" ht="14.65" customHeight="1">
      <c r="A176" s="186" t="s">
        <v>275</v>
      </c>
      <c r="B176" s="186"/>
      <c r="C176">
        <v>20</v>
      </c>
      <c r="D176">
        <v>5</v>
      </c>
      <c r="E176">
        <v>23</v>
      </c>
      <c r="F176">
        <v>6</v>
      </c>
      <c r="G176">
        <v>25</v>
      </c>
      <c r="H176">
        <v>8</v>
      </c>
      <c r="I176" s="202">
        <v>16</v>
      </c>
      <c r="J176" s="165">
        <v>3</v>
      </c>
      <c r="K176" s="165">
        <v>21.061842808768489</v>
      </c>
      <c r="L176" s="179">
        <v>4.6533180933719773</v>
      </c>
      <c r="M176" s="165"/>
      <c r="N176" s="179"/>
      <c r="O176" s="202"/>
      <c r="P176" s="202"/>
      <c r="Q176" s="202"/>
      <c r="R176" s="165"/>
      <c r="S176" s="165"/>
      <c r="T176" s="165"/>
      <c r="U176" s="201"/>
      <c r="V176" s="166"/>
      <c r="W176" s="166"/>
      <c r="X176" s="179"/>
      <c r="Y176" s="179"/>
    </row>
    <row r="177" spans="1:25" ht="14.65" customHeight="1">
      <c r="A177" s="186" t="s">
        <v>276</v>
      </c>
      <c r="B177" s="186"/>
      <c r="C177">
        <v>21</v>
      </c>
      <c r="D177">
        <v>7</v>
      </c>
      <c r="E177">
        <v>24</v>
      </c>
      <c r="F177">
        <v>7</v>
      </c>
      <c r="G177">
        <v>20</v>
      </c>
      <c r="H177">
        <v>6</v>
      </c>
      <c r="I177" s="202">
        <v>15</v>
      </c>
      <c r="J177" s="165">
        <v>3</v>
      </c>
      <c r="K177" s="165">
        <v>19.920873929731325</v>
      </c>
      <c r="L177" s="179">
        <v>5.0834355276037035</v>
      </c>
      <c r="M177" s="165"/>
      <c r="N177" s="179"/>
      <c r="O177" s="202"/>
      <c r="P177" s="202"/>
      <c r="Q177" s="202"/>
      <c r="R177" s="165"/>
      <c r="S177" s="165"/>
      <c r="T177" s="165"/>
      <c r="U177" s="201"/>
      <c r="V177" s="166"/>
      <c r="W177" s="166"/>
      <c r="X177" s="179"/>
      <c r="Y177" s="179"/>
    </row>
    <row r="178" spans="1:25" ht="14.65" customHeight="1">
      <c r="A178" s="186" t="s">
        <v>105</v>
      </c>
      <c r="B178" s="186"/>
      <c r="C178">
        <v>24</v>
      </c>
      <c r="D178">
        <v>7</v>
      </c>
      <c r="E178">
        <v>19</v>
      </c>
      <c r="F178">
        <v>5</v>
      </c>
      <c r="G178">
        <v>20</v>
      </c>
      <c r="H178">
        <v>7</v>
      </c>
      <c r="I178" s="202">
        <v>22</v>
      </c>
      <c r="J178" s="165">
        <v>3</v>
      </c>
      <c r="K178" s="165">
        <v>21.31285988483685</v>
      </c>
      <c r="L178" s="179">
        <v>4.9530446169675431</v>
      </c>
      <c r="M178" s="165"/>
      <c r="N178" s="179"/>
      <c r="O178" s="202"/>
      <c r="P178" s="202"/>
      <c r="Q178" s="202"/>
      <c r="R178" s="165"/>
      <c r="S178" s="165"/>
      <c r="T178" s="165"/>
      <c r="U178" s="201"/>
      <c r="V178" s="166"/>
      <c r="W178" s="166"/>
      <c r="X178" s="179"/>
      <c r="Y178" s="179"/>
    </row>
    <row r="179" spans="1:25" ht="14.65" customHeight="1">
      <c r="A179" s="186" t="s">
        <v>106</v>
      </c>
      <c r="B179" s="186"/>
      <c r="C179">
        <v>18</v>
      </c>
      <c r="D179">
        <v>5</v>
      </c>
      <c r="E179">
        <v>17</v>
      </c>
      <c r="F179">
        <v>5</v>
      </c>
      <c r="G179">
        <v>20</v>
      </c>
      <c r="H179">
        <v>5</v>
      </c>
      <c r="I179" s="202">
        <v>18</v>
      </c>
      <c r="J179" s="165">
        <v>3</v>
      </c>
      <c r="K179" s="165">
        <v>18.022094926350245</v>
      </c>
      <c r="L179" s="179">
        <v>4.0396610336502929</v>
      </c>
      <c r="M179" s="165"/>
      <c r="N179" s="179"/>
      <c r="O179" s="202"/>
      <c r="P179" s="202"/>
      <c r="Q179" s="202"/>
      <c r="R179" s="165"/>
      <c r="S179" s="165"/>
      <c r="T179" s="165"/>
      <c r="U179" s="201"/>
      <c r="V179" s="166"/>
      <c r="W179" s="166"/>
      <c r="X179" s="179"/>
      <c r="Y179" s="179"/>
    </row>
    <row r="180" spans="1:25" ht="14.65" customHeight="1">
      <c r="A180" s="186" t="s">
        <v>349</v>
      </c>
      <c r="B180" s="186"/>
      <c r="C180">
        <v>41</v>
      </c>
      <c r="D180">
        <v>8</v>
      </c>
      <c r="E180">
        <v>40</v>
      </c>
      <c r="F180">
        <v>12</v>
      </c>
      <c r="G180">
        <v>34</v>
      </c>
      <c r="H180">
        <v>12</v>
      </c>
      <c r="I180" s="202">
        <v>24</v>
      </c>
      <c r="J180" s="165">
        <v>4</v>
      </c>
      <c r="K180" s="165">
        <v>34.340938441670254</v>
      </c>
      <c r="L180" s="179">
        <v>7.3292522955837338</v>
      </c>
      <c r="M180" s="165"/>
      <c r="N180" s="179"/>
      <c r="O180" s="202"/>
      <c r="P180" s="202"/>
      <c r="Q180" s="202"/>
      <c r="R180" s="165"/>
      <c r="S180" s="165"/>
      <c r="T180" s="165"/>
      <c r="U180" s="201"/>
      <c r="V180" s="166"/>
      <c r="W180" s="166"/>
      <c r="X180" s="179"/>
      <c r="Y180" s="179"/>
    </row>
    <row r="181" spans="1:25" ht="14.65" customHeight="1">
      <c r="A181" s="186" t="s">
        <v>238</v>
      </c>
      <c r="B181" s="186"/>
      <c r="C181">
        <v>26</v>
      </c>
      <c r="D181">
        <v>8</v>
      </c>
      <c r="E181">
        <v>30</v>
      </c>
      <c r="F181">
        <v>9</v>
      </c>
      <c r="G181">
        <v>33</v>
      </c>
      <c r="H181">
        <v>10</v>
      </c>
      <c r="I181" s="202">
        <v>37</v>
      </c>
      <c r="J181" s="165">
        <v>5</v>
      </c>
      <c r="K181" s="165">
        <v>31.773990027475325</v>
      </c>
      <c r="L181" s="179">
        <v>6.8791563074808479</v>
      </c>
      <c r="M181" s="165"/>
      <c r="N181" s="179"/>
      <c r="O181" s="202"/>
      <c r="P181" s="202"/>
      <c r="Q181" s="202"/>
      <c r="R181" s="165"/>
      <c r="S181" s="165"/>
      <c r="T181" s="165"/>
      <c r="U181" s="201"/>
      <c r="V181" s="166"/>
      <c r="W181" s="166"/>
      <c r="X181" s="179"/>
      <c r="Y181" s="179"/>
    </row>
    <row r="182" spans="1:25" ht="14.65" customHeight="1">
      <c r="A182" s="186" t="s">
        <v>107</v>
      </c>
      <c r="B182" s="186"/>
      <c r="C182">
        <v>29</v>
      </c>
      <c r="D182">
        <v>11</v>
      </c>
      <c r="E182">
        <v>38</v>
      </c>
      <c r="F182">
        <v>16</v>
      </c>
      <c r="G182">
        <v>34</v>
      </c>
      <c r="H182">
        <v>11</v>
      </c>
      <c r="I182" s="202">
        <v>28</v>
      </c>
      <c r="J182" s="165">
        <v>4</v>
      </c>
      <c r="K182" s="165">
        <v>31.952973183054802</v>
      </c>
      <c r="L182" s="179">
        <v>8.98118369006691</v>
      </c>
      <c r="M182" s="165"/>
      <c r="N182" s="179"/>
      <c r="O182" s="202"/>
      <c r="P182" s="202"/>
      <c r="Q182" s="202"/>
      <c r="R182" s="165"/>
      <c r="S182" s="165"/>
      <c r="T182" s="165"/>
      <c r="U182" s="201"/>
      <c r="V182" s="166"/>
      <c r="W182" s="166"/>
      <c r="X182" s="179"/>
      <c r="Y182" s="179"/>
    </row>
    <row r="183" spans="1:25" ht="14.65" customHeight="1">
      <c r="A183" s="186" t="s">
        <v>216</v>
      </c>
      <c r="B183" s="186"/>
      <c r="C183">
        <v>33</v>
      </c>
      <c r="D183">
        <v>11</v>
      </c>
      <c r="E183">
        <v>29</v>
      </c>
      <c r="F183">
        <v>8</v>
      </c>
      <c r="G183">
        <v>29</v>
      </c>
      <c r="H183">
        <v>8</v>
      </c>
      <c r="I183" s="202">
        <v>30</v>
      </c>
      <c r="J183" s="165">
        <v>5</v>
      </c>
      <c r="K183" s="165">
        <v>30.053167082294266</v>
      </c>
      <c r="L183" s="179">
        <v>7.5361547314103277</v>
      </c>
      <c r="M183" s="165"/>
      <c r="N183" s="179"/>
      <c r="O183" s="202"/>
      <c r="P183" s="202"/>
      <c r="Q183" s="202"/>
      <c r="R183" s="165"/>
      <c r="S183" s="165"/>
      <c r="T183" s="165"/>
      <c r="U183" s="201"/>
      <c r="V183" s="166"/>
      <c r="W183" s="166"/>
      <c r="X183" s="179"/>
      <c r="Y183" s="179"/>
    </row>
    <row r="184" spans="1:25" ht="14.65" customHeight="1">
      <c r="A184" s="186" t="s">
        <v>108</v>
      </c>
      <c r="B184" s="186"/>
      <c r="C184">
        <v>17</v>
      </c>
      <c r="D184">
        <v>5</v>
      </c>
      <c r="E184">
        <v>13</v>
      </c>
      <c r="F184">
        <v>6</v>
      </c>
      <c r="G184">
        <v>13</v>
      </c>
      <c r="H184">
        <v>9</v>
      </c>
      <c r="I184" s="202">
        <v>13</v>
      </c>
      <c r="J184" s="165">
        <v>3</v>
      </c>
      <c r="K184" s="165">
        <v>14.05104305370617</v>
      </c>
      <c r="L184" s="179">
        <v>5.0284566454636757</v>
      </c>
      <c r="M184" s="165"/>
      <c r="N184" s="179"/>
      <c r="O184" s="202"/>
      <c r="P184" s="202"/>
      <c r="Q184" s="202"/>
      <c r="R184" s="165"/>
      <c r="S184" s="165"/>
      <c r="T184" s="165"/>
      <c r="U184" s="201"/>
      <c r="V184" s="166"/>
      <c r="W184" s="166"/>
      <c r="X184" s="179"/>
      <c r="Y184" s="179"/>
    </row>
    <row r="185" spans="1:25" ht="14.65" customHeight="1">
      <c r="A185" s="186" t="s">
        <v>109</v>
      </c>
      <c r="B185" s="186"/>
      <c r="C185">
        <v>23</v>
      </c>
      <c r="D185">
        <v>11</v>
      </c>
      <c r="E185">
        <v>24</v>
      </c>
      <c r="F185">
        <v>11</v>
      </c>
      <c r="G185">
        <v>19</v>
      </c>
      <c r="H185">
        <v>12</v>
      </c>
      <c r="I185" s="202">
        <v>20</v>
      </c>
      <c r="J185" s="165">
        <v>3</v>
      </c>
      <c r="K185" s="165">
        <v>21.505859375</v>
      </c>
      <c r="L185" s="179">
        <v>7.9104083031430532</v>
      </c>
      <c r="M185" s="165"/>
      <c r="N185" s="179"/>
      <c r="O185" s="202"/>
      <c r="P185" s="202"/>
      <c r="Q185" s="202"/>
      <c r="R185" s="165"/>
      <c r="S185" s="165"/>
      <c r="T185" s="165"/>
      <c r="U185" s="201"/>
      <c r="V185" s="166"/>
      <c r="W185" s="166"/>
      <c r="X185" s="179"/>
      <c r="Y185" s="179"/>
    </row>
    <row r="186" spans="1:25" ht="14.65" customHeight="1">
      <c r="A186" s="186" t="s">
        <v>110</v>
      </c>
      <c r="B186" s="186"/>
      <c r="C186">
        <v>22</v>
      </c>
      <c r="D186">
        <v>10</v>
      </c>
      <c r="E186">
        <v>22</v>
      </c>
      <c r="F186">
        <v>12</v>
      </c>
      <c r="G186">
        <v>20</v>
      </c>
      <c r="H186">
        <v>11</v>
      </c>
      <c r="I186" s="202">
        <v>21</v>
      </c>
      <c r="J186" s="165">
        <v>3</v>
      </c>
      <c r="K186" s="165">
        <v>21.313432835820894</v>
      </c>
      <c r="L186" s="179">
        <v>7.0662689664116201</v>
      </c>
      <c r="M186" s="165"/>
      <c r="N186" s="179"/>
      <c r="O186" s="202"/>
      <c r="P186" s="202"/>
      <c r="Q186" s="202"/>
      <c r="R186" s="165"/>
      <c r="S186" s="165"/>
      <c r="T186" s="165"/>
      <c r="U186" s="201"/>
      <c r="V186" s="166"/>
      <c r="W186" s="166"/>
      <c r="X186" s="179"/>
      <c r="Y186" s="179"/>
    </row>
    <row r="187" spans="1:25" ht="14.65" customHeight="1">
      <c r="A187" s="186" t="s">
        <v>277</v>
      </c>
      <c r="B187" s="186"/>
      <c r="C187">
        <v>32</v>
      </c>
      <c r="D187">
        <v>20</v>
      </c>
      <c r="E187">
        <v>31</v>
      </c>
      <c r="F187">
        <v>15</v>
      </c>
      <c r="G187">
        <v>28</v>
      </c>
      <c r="H187">
        <v>15</v>
      </c>
      <c r="I187" s="202">
        <v>34</v>
      </c>
      <c r="J187" s="165">
        <v>7</v>
      </c>
      <c r="K187" s="165">
        <v>31.157499083241657</v>
      </c>
      <c r="L187" s="179">
        <v>12.03570506070059</v>
      </c>
      <c r="M187" s="165"/>
      <c r="N187" s="179"/>
      <c r="O187" s="202"/>
      <c r="P187" s="202"/>
      <c r="Q187" s="202"/>
      <c r="R187" s="165"/>
      <c r="S187" s="165"/>
      <c r="T187" s="165"/>
      <c r="U187" s="201"/>
      <c r="V187" s="166"/>
      <c r="W187" s="166"/>
      <c r="X187" s="179"/>
      <c r="Y187" s="179"/>
    </row>
    <row r="188" spans="1:25" ht="14.65" customHeight="1">
      <c r="A188" s="186" t="s">
        <v>111</v>
      </c>
      <c r="B188" s="186"/>
      <c r="C188">
        <v>25</v>
      </c>
      <c r="D188">
        <v>12</v>
      </c>
      <c r="E188">
        <v>28</v>
      </c>
      <c r="F188">
        <v>10</v>
      </c>
      <c r="G188">
        <v>17</v>
      </c>
      <c r="H188">
        <v>7</v>
      </c>
      <c r="I188" s="202">
        <v>19</v>
      </c>
      <c r="J188" s="165">
        <v>3</v>
      </c>
      <c r="K188" s="165">
        <v>22.720518358531319</v>
      </c>
      <c r="L188" s="179">
        <v>6.8188577811910909</v>
      </c>
      <c r="M188" s="165"/>
      <c r="N188" s="179"/>
      <c r="O188" s="202"/>
      <c r="P188" s="202"/>
      <c r="Q188" s="202"/>
      <c r="R188" s="165"/>
      <c r="S188" s="165"/>
      <c r="T188" s="165"/>
      <c r="U188" s="201"/>
      <c r="V188" s="166"/>
      <c r="W188" s="166"/>
      <c r="X188" s="179"/>
      <c r="Y188" s="179"/>
    </row>
    <row r="189" spans="1:25" ht="14.65" customHeight="1">
      <c r="A189" s="186" t="s">
        <v>112</v>
      </c>
      <c r="B189" s="186"/>
      <c r="C189">
        <v>13</v>
      </c>
      <c r="D189">
        <v>8</v>
      </c>
      <c r="E189">
        <v>11</v>
      </c>
      <c r="F189">
        <v>7</v>
      </c>
      <c r="G189">
        <v>12</v>
      </c>
      <c r="H189">
        <v>6</v>
      </c>
      <c r="I189" s="202">
        <v>10</v>
      </c>
      <c r="J189" s="165">
        <v>2</v>
      </c>
      <c r="K189" s="165">
        <v>11.515073765234124</v>
      </c>
      <c r="L189" s="179">
        <v>4.9679826270950498</v>
      </c>
      <c r="M189" s="165"/>
      <c r="N189" s="179"/>
      <c r="O189" s="202"/>
      <c r="P189" s="202"/>
      <c r="Q189" s="202"/>
      <c r="R189" s="165"/>
      <c r="S189" s="165"/>
      <c r="T189" s="165"/>
      <c r="U189" s="201"/>
      <c r="V189" s="166"/>
      <c r="W189" s="166"/>
      <c r="X189" s="179"/>
      <c r="Y189" s="179"/>
    </row>
    <row r="190" spans="1:25" ht="14.65" customHeight="1">
      <c r="A190" s="186" t="s">
        <v>278</v>
      </c>
      <c r="B190" s="186"/>
      <c r="C190">
        <v>40</v>
      </c>
      <c r="D190">
        <v>24</v>
      </c>
      <c r="E190">
        <v>37</v>
      </c>
      <c r="F190" t="s">
        <v>3</v>
      </c>
      <c r="G190">
        <v>34</v>
      </c>
      <c r="H190">
        <v>21</v>
      </c>
      <c r="I190" s="202">
        <v>36</v>
      </c>
      <c r="J190" s="165">
        <v>6</v>
      </c>
      <c r="K190" s="165">
        <v>37.026943984873554</v>
      </c>
      <c r="L190" s="179" t="s">
        <v>3</v>
      </c>
      <c r="M190" s="165"/>
      <c r="N190" s="179"/>
      <c r="O190" s="202"/>
      <c r="P190" s="202"/>
      <c r="Q190" s="202"/>
      <c r="R190" s="165"/>
      <c r="S190" s="165"/>
      <c r="T190" s="165"/>
      <c r="U190" s="201"/>
      <c r="V190" s="166"/>
      <c r="W190" s="166"/>
      <c r="X190" s="179"/>
      <c r="Y190" s="179"/>
    </row>
    <row r="191" spans="1:25" ht="14.65" customHeight="1">
      <c r="A191" s="186" t="s">
        <v>113</v>
      </c>
      <c r="B191" s="186"/>
      <c r="C191" t="s">
        <v>3</v>
      </c>
      <c r="D191" t="s">
        <v>3</v>
      </c>
      <c r="E191">
        <v>21</v>
      </c>
      <c r="F191">
        <v>20</v>
      </c>
      <c r="G191">
        <v>20</v>
      </c>
      <c r="H191">
        <v>30</v>
      </c>
      <c r="I191" s="202">
        <v>18</v>
      </c>
      <c r="J191" s="165">
        <v>5</v>
      </c>
      <c r="K191" s="165" t="s">
        <v>3</v>
      </c>
      <c r="L191" s="179" t="s">
        <v>3</v>
      </c>
      <c r="M191" s="165"/>
      <c r="N191" s="179"/>
      <c r="O191" s="202"/>
      <c r="P191" s="202"/>
      <c r="Q191" s="202"/>
      <c r="R191" s="165"/>
      <c r="S191" s="165"/>
      <c r="T191" s="165"/>
      <c r="U191" s="201"/>
      <c r="V191" s="166"/>
      <c r="W191" s="166"/>
      <c r="X191" s="179"/>
      <c r="Y191" s="179"/>
    </row>
    <row r="192" spans="1:25" ht="14.65" customHeight="1">
      <c r="A192" s="186" t="s">
        <v>279</v>
      </c>
      <c r="B192" s="186"/>
      <c r="C192">
        <v>21</v>
      </c>
      <c r="D192">
        <v>7</v>
      </c>
      <c r="E192">
        <v>21</v>
      </c>
      <c r="F192">
        <v>7</v>
      </c>
      <c r="G192">
        <v>20</v>
      </c>
      <c r="H192">
        <v>8</v>
      </c>
      <c r="I192" s="202">
        <v>21</v>
      </c>
      <c r="J192" s="165">
        <v>3</v>
      </c>
      <c r="K192" s="165">
        <v>20.484228684080829</v>
      </c>
      <c r="L192" s="179">
        <v>5.1375173050299958</v>
      </c>
      <c r="M192" s="165"/>
      <c r="N192" s="179"/>
      <c r="O192" s="202"/>
      <c r="P192" s="202"/>
      <c r="Q192" s="202"/>
      <c r="R192" s="165"/>
      <c r="S192" s="165"/>
      <c r="T192" s="165"/>
      <c r="U192" s="201"/>
      <c r="V192" s="166"/>
      <c r="W192" s="166"/>
      <c r="X192" s="179"/>
      <c r="Y192" s="179"/>
    </row>
    <row r="193" spans="1:196" ht="14.65" customHeight="1">
      <c r="A193" s="186" t="s">
        <v>239</v>
      </c>
      <c r="B193" s="186"/>
      <c r="C193">
        <v>22</v>
      </c>
      <c r="D193">
        <v>19</v>
      </c>
      <c r="E193">
        <v>27</v>
      </c>
      <c r="F193">
        <v>18</v>
      </c>
      <c r="G193">
        <v>20</v>
      </c>
      <c r="H193">
        <v>9</v>
      </c>
      <c r="I193" s="202">
        <v>25</v>
      </c>
      <c r="J193" s="165">
        <v>4</v>
      </c>
      <c r="K193" s="165">
        <v>23.679027355623099</v>
      </c>
      <c r="L193" s="179">
        <v>9.8923141814447355</v>
      </c>
      <c r="M193" s="165"/>
      <c r="N193" s="179"/>
      <c r="O193" s="202"/>
      <c r="P193" s="202"/>
      <c r="Q193" s="202"/>
      <c r="R193" s="165"/>
      <c r="S193" s="165"/>
      <c r="T193" s="165"/>
      <c r="U193" s="201"/>
      <c r="V193" s="166"/>
      <c r="W193" s="166"/>
      <c r="X193" s="179"/>
      <c r="Y193" s="179"/>
    </row>
    <row r="194" spans="1:196" ht="14.65" customHeight="1">
      <c r="A194" s="186" t="s">
        <v>114</v>
      </c>
      <c r="B194" s="186"/>
      <c r="C194">
        <v>19</v>
      </c>
      <c r="D194">
        <v>7</v>
      </c>
      <c r="E194">
        <v>17</v>
      </c>
      <c r="F194">
        <v>7</v>
      </c>
      <c r="G194">
        <v>19</v>
      </c>
      <c r="H194">
        <v>6</v>
      </c>
      <c r="I194" s="202">
        <v>22</v>
      </c>
      <c r="J194" s="165">
        <v>3</v>
      </c>
      <c r="K194" s="165">
        <v>19.290640394088669</v>
      </c>
      <c r="L194" s="179">
        <v>5.3113094690346925</v>
      </c>
      <c r="M194" s="165"/>
      <c r="N194" s="179"/>
      <c r="O194" s="202"/>
      <c r="P194" s="202"/>
      <c r="Q194" s="202"/>
      <c r="R194" s="165"/>
      <c r="S194" s="165"/>
      <c r="T194" s="165"/>
      <c r="U194" s="201"/>
      <c r="V194" s="166"/>
      <c r="W194" s="166"/>
      <c r="X194" s="179"/>
      <c r="Y194" s="179"/>
    </row>
    <row r="195" spans="1:196" ht="14.65" customHeight="1">
      <c r="A195" s="186" t="s">
        <v>115</v>
      </c>
      <c r="B195" s="186"/>
      <c r="C195">
        <v>23</v>
      </c>
      <c r="D195">
        <v>14</v>
      </c>
      <c r="E195">
        <v>19</v>
      </c>
      <c r="F195">
        <v>10</v>
      </c>
      <c r="G195">
        <v>16</v>
      </c>
      <c r="H195">
        <v>9</v>
      </c>
      <c r="I195" s="202">
        <v>18</v>
      </c>
      <c r="J195" s="165">
        <v>3</v>
      </c>
      <c r="K195" s="165">
        <v>18.900338983050847</v>
      </c>
      <c r="L195" s="179">
        <v>7.1450692109173382</v>
      </c>
      <c r="M195" s="165"/>
      <c r="N195" s="179"/>
      <c r="O195" s="202"/>
      <c r="P195" s="202"/>
      <c r="Q195" s="202"/>
      <c r="R195" s="165"/>
      <c r="S195" s="165"/>
      <c r="T195" s="165"/>
      <c r="U195" s="201"/>
      <c r="V195" s="166"/>
      <c r="W195" s="166"/>
      <c r="X195" s="179"/>
      <c r="Y195" s="179"/>
    </row>
    <row r="196" spans="1:196" ht="14.65" customHeight="1">
      <c r="A196" s="186" t="s">
        <v>116</v>
      </c>
      <c r="B196" s="186"/>
      <c r="C196">
        <v>28</v>
      </c>
      <c r="D196">
        <v>13</v>
      </c>
      <c r="E196">
        <v>28</v>
      </c>
      <c r="F196">
        <v>9</v>
      </c>
      <c r="G196">
        <v>25</v>
      </c>
      <c r="H196">
        <v>13</v>
      </c>
      <c r="I196" s="202">
        <v>24</v>
      </c>
      <c r="J196" s="165">
        <v>5</v>
      </c>
      <c r="K196" s="165">
        <v>26.378275290215587</v>
      </c>
      <c r="L196" s="179">
        <v>8.5021167029981353</v>
      </c>
      <c r="M196" s="165"/>
      <c r="N196" s="179"/>
      <c r="O196" s="202"/>
      <c r="P196" s="202"/>
      <c r="Q196" s="202"/>
      <c r="R196" s="165"/>
      <c r="S196" s="165"/>
      <c r="T196" s="199"/>
      <c r="U196" s="201"/>
      <c r="V196" s="166"/>
      <c r="W196" s="166"/>
      <c r="X196" s="179"/>
      <c r="Y196" s="179"/>
    </row>
    <row r="197" spans="1:196" ht="14.65" customHeight="1">
      <c r="A197" s="186" t="s">
        <v>323</v>
      </c>
      <c r="B197" s="186"/>
      <c r="C197">
        <v>20</v>
      </c>
      <c r="D197">
        <v>11</v>
      </c>
      <c r="E197">
        <v>20</v>
      </c>
      <c r="F197">
        <v>10</v>
      </c>
      <c r="G197">
        <v>16</v>
      </c>
      <c r="H197">
        <v>8</v>
      </c>
      <c r="I197" s="202">
        <v>15</v>
      </c>
      <c r="J197" s="165">
        <v>3</v>
      </c>
      <c r="K197" s="165">
        <v>17.588345323741006</v>
      </c>
      <c r="L197" s="179">
        <v>6.2896981916703423</v>
      </c>
      <c r="M197" s="165"/>
      <c r="N197" s="179"/>
      <c r="O197" s="202"/>
      <c r="P197" s="202"/>
      <c r="Q197" s="202"/>
      <c r="R197" s="165"/>
      <c r="S197" s="165"/>
      <c r="T197" s="165"/>
      <c r="U197" s="201"/>
      <c r="V197" s="166"/>
      <c r="W197" s="166"/>
      <c r="X197" s="179"/>
      <c r="Y197" s="179"/>
    </row>
    <row r="198" spans="1:196" ht="14.65" customHeight="1">
      <c r="A198" s="186" t="s">
        <v>117</v>
      </c>
      <c r="B198" s="186"/>
      <c r="C198">
        <v>42</v>
      </c>
      <c r="D198">
        <v>16</v>
      </c>
      <c r="E198">
        <v>32</v>
      </c>
      <c r="F198">
        <v>25</v>
      </c>
      <c r="G198">
        <v>20</v>
      </c>
      <c r="H198">
        <v>12</v>
      </c>
      <c r="I198" s="202">
        <v>22</v>
      </c>
      <c r="J198" s="165">
        <v>7</v>
      </c>
      <c r="K198" s="165">
        <v>28.942553969996339</v>
      </c>
      <c r="L198" s="179">
        <v>13.44885164494103</v>
      </c>
      <c r="M198" s="165"/>
      <c r="N198" s="179"/>
      <c r="O198" s="202"/>
      <c r="P198" s="202"/>
      <c r="Q198" s="202"/>
      <c r="R198" s="165"/>
      <c r="S198" s="165"/>
      <c r="T198" s="165"/>
      <c r="U198" s="202"/>
      <c r="V198" s="204"/>
      <c r="W198" s="204"/>
      <c r="X198" s="179"/>
      <c r="Y198" s="179"/>
    </row>
    <row r="199" spans="1:196" ht="14.65" customHeight="1">
      <c r="A199" s="186" t="s">
        <v>280</v>
      </c>
      <c r="B199" s="186"/>
      <c r="C199">
        <v>50</v>
      </c>
      <c r="D199">
        <v>26</v>
      </c>
      <c r="E199">
        <v>44</v>
      </c>
      <c r="F199">
        <v>25</v>
      </c>
      <c r="G199">
        <v>35</v>
      </c>
      <c r="H199">
        <v>17</v>
      </c>
      <c r="I199" s="201">
        <v>34</v>
      </c>
      <c r="J199" s="199">
        <v>7</v>
      </c>
      <c r="K199" s="199">
        <v>40.626253710984514</v>
      </c>
      <c r="L199" s="179">
        <v>15.352243080645559</v>
      </c>
      <c r="M199" s="199"/>
      <c r="N199" s="179"/>
      <c r="O199" s="201"/>
      <c r="P199" s="201"/>
      <c r="Q199" s="201"/>
      <c r="R199" s="199"/>
      <c r="S199" s="199"/>
      <c r="T199" s="199"/>
      <c r="U199" s="201"/>
      <c r="V199" s="166"/>
      <c r="W199" s="166"/>
      <c r="X199" s="179"/>
      <c r="Y199" s="179"/>
    </row>
    <row r="200" spans="1:196" ht="14.65" customHeight="1">
      <c r="A200" s="186" t="s">
        <v>350</v>
      </c>
      <c r="B200" s="186"/>
      <c r="C200">
        <v>18</v>
      </c>
      <c r="D200">
        <v>11</v>
      </c>
      <c r="E200">
        <v>16</v>
      </c>
      <c r="F200">
        <v>12</v>
      </c>
      <c r="G200">
        <v>14</v>
      </c>
      <c r="H200">
        <v>9</v>
      </c>
      <c r="I200" s="202">
        <v>18</v>
      </c>
      <c r="J200" s="165">
        <v>4</v>
      </c>
      <c r="K200" s="165">
        <v>16.63574351978172</v>
      </c>
      <c r="L200" s="179">
        <v>7.3195143849787252</v>
      </c>
      <c r="M200" s="165"/>
      <c r="N200" s="179"/>
      <c r="O200" s="202"/>
      <c r="P200" s="202"/>
      <c r="Q200" s="202"/>
      <c r="R200" s="165"/>
      <c r="S200" s="165"/>
      <c r="T200" s="165"/>
      <c r="U200" s="202"/>
      <c r="V200" s="204"/>
      <c r="W200" s="204"/>
      <c r="X200" s="179"/>
      <c r="Y200" s="179"/>
    </row>
    <row r="201" spans="1:196" ht="14.65" customHeight="1">
      <c r="A201" s="186" t="s">
        <v>351</v>
      </c>
      <c r="B201" s="186"/>
      <c r="C201">
        <v>14</v>
      </c>
      <c r="D201">
        <v>7</v>
      </c>
      <c r="E201">
        <v>15</v>
      </c>
      <c r="F201">
        <v>7</v>
      </c>
      <c r="G201">
        <v>14</v>
      </c>
      <c r="H201">
        <v>8</v>
      </c>
      <c r="I201" s="202">
        <v>14</v>
      </c>
      <c r="J201" s="165">
        <v>3</v>
      </c>
      <c r="K201" s="165">
        <v>14.244034707158351</v>
      </c>
      <c r="L201" s="179">
        <v>5.5815371525808279</v>
      </c>
      <c r="M201" s="165"/>
      <c r="N201" s="179"/>
      <c r="O201" s="202"/>
      <c r="P201" s="202"/>
      <c r="Q201" s="202"/>
      <c r="R201" s="165"/>
      <c r="S201" s="165"/>
      <c r="T201" s="165"/>
      <c r="U201" s="201"/>
      <c r="V201" s="166"/>
      <c r="W201" s="166"/>
      <c r="X201" s="179"/>
      <c r="Y201" s="179"/>
    </row>
    <row r="202" spans="1:196" ht="14.65" customHeight="1">
      <c r="A202" s="186" t="s">
        <v>240</v>
      </c>
      <c r="B202" s="186"/>
      <c r="C202">
        <v>28</v>
      </c>
      <c r="D202">
        <v>7</v>
      </c>
      <c r="E202">
        <v>24</v>
      </c>
      <c r="F202">
        <v>7</v>
      </c>
      <c r="G202">
        <v>30</v>
      </c>
      <c r="H202">
        <v>10</v>
      </c>
      <c r="I202" s="202">
        <v>29</v>
      </c>
      <c r="J202" s="165">
        <v>5</v>
      </c>
      <c r="K202" s="165">
        <v>27.769850595937552</v>
      </c>
      <c r="L202" s="179">
        <v>6.8471926616505288</v>
      </c>
      <c r="M202" s="165"/>
      <c r="N202" s="179"/>
      <c r="O202" s="202"/>
      <c r="P202" s="202"/>
      <c r="Q202" s="202"/>
      <c r="R202" s="165"/>
      <c r="S202" s="165"/>
      <c r="T202" s="165"/>
      <c r="U202" s="201"/>
      <c r="V202" s="166"/>
      <c r="W202" s="166"/>
      <c r="X202" s="179"/>
      <c r="Y202" s="179"/>
    </row>
    <row r="203" spans="1:196" ht="14.65" customHeight="1">
      <c r="A203" s="186" t="s">
        <v>118</v>
      </c>
      <c r="B203" s="186"/>
      <c r="C203">
        <v>24</v>
      </c>
      <c r="D203">
        <v>14</v>
      </c>
      <c r="E203">
        <v>18</v>
      </c>
      <c r="F203">
        <v>10</v>
      </c>
      <c r="G203">
        <v>14</v>
      </c>
      <c r="H203">
        <v>9</v>
      </c>
      <c r="I203" s="202">
        <v>13</v>
      </c>
      <c r="J203" s="165">
        <v>4</v>
      </c>
      <c r="K203" s="165">
        <v>17.977641653905053</v>
      </c>
      <c r="L203" s="179">
        <v>8.1518984120521178</v>
      </c>
      <c r="M203" s="165"/>
      <c r="N203" s="179"/>
      <c r="O203" s="202"/>
      <c r="P203" s="202"/>
      <c r="Q203" s="202"/>
      <c r="R203" s="165"/>
      <c r="S203" s="165"/>
      <c r="T203" s="165"/>
      <c r="U203" s="201"/>
      <c r="V203" s="166"/>
      <c r="W203" s="166"/>
      <c r="X203" s="179"/>
      <c r="Y203" s="179"/>
    </row>
    <row r="204" spans="1:196" ht="14.65" customHeight="1">
      <c r="A204" s="186" t="s">
        <v>119</v>
      </c>
      <c r="B204" s="186"/>
      <c r="C204">
        <v>18</v>
      </c>
      <c r="D204">
        <v>8</v>
      </c>
      <c r="E204">
        <v>27</v>
      </c>
      <c r="F204">
        <v>8</v>
      </c>
      <c r="G204">
        <v>30</v>
      </c>
      <c r="H204">
        <v>11</v>
      </c>
      <c r="I204" s="202">
        <v>24</v>
      </c>
      <c r="J204" s="165">
        <v>4</v>
      </c>
      <c r="K204" s="165">
        <v>25.066330814441645</v>
      </c>
      <c r="L204" s="179">
        <v>6.87052</v>
      </c>
      <c r="M204" s="165"/>
      <c r="N204" s="179"/>
      <c r="O204" s="202"/>
      <c r="P204" s="202"/>
      <c r="Q204" s="202"/>
      <c r="R204" s="165"/>
      <c r="S204" s="165"/>
      <c r="T204" s="165"/>
      <c r="U204" s="201"/>
      <c r="V204" s="166"/>
      <c r="W204" s="166"/>
      <c r="X204" s="179"/>
      <c r="Y204" s="179"/>
    </row>
    <row r="205" spans="1:196" ht="14.65" customHeight="1">
      <c r="A205" s="186" t="s">
        <v>281</v>
      </c>
      <c r="B205" s="186"/>
      <c r="C205">
        <v>38</v>
      </c>
      <c r="D205">
        <v>28</v>
      </c>
      <c r="E205">
        <v>32</v>
      </c>
      <c r="F205">
        <v>37</v>
      </c>
      <c r="G205">
        <v>27</v>
      </c>
      <c r="H205">
        <v>40</v>
      </c>
      <c r="I205" s="202">
        <v>34</v>
      </c>
      <c r="J205" s="165">
        <v>12</v>
      </c>
      <c r="K205" s="165">
        <v>32.726662299377658</v>
      </c>
      <c r="L205" s="179">
        <v>22.69448711814038</v>
      </c>
      <c r="M205" s="165"/>
      <c r="N205" s="179"/>
      <c r="O205" s="202"/>
      <c r="P205" s="202"/>
      <c r="Q205" s="202"/>
      <c r="R205" s="165"/>
      <c r="S205" s="165"/>
      <c r="T205" s="165"/>
      <c r="U205" s="202"/>
      <c r="V205" s="204"/>
      <c r="W205" s="204"/>
      <c r="X205" s="179"/>
      <c r="Y205" s="179"/>
    </row>
    <row r="206" spans="1:196" ht="14.65" customHeight="1">
      <c r="A206" s="186" t="s">
        <v>282</v>
      </c>
      <c r="B206" s="186"/>
      <c r="C206">
        <v>14</v>
      </c>
      <c r="D206">
        <v>11</v>
      </c>
      <c r="E206">
        <v>12</v>
      </c>
      <c r="F206">
        <v>9</v>
      </c>
      <c r="G206">
        <v>10</v>
      </c>
      <c r="H206">
        <v>9</v>
      </c>
      <c r="I206" s="202">
        <v>17</v>
      </c>
      <c r="J206" s="165">
        <v>5</v>
      </c>
      <c r="K206" s="165">
        <v>13.210231067183118</v>
      </c>
      <c r="L206" s="179">
        <v>7.5532974790982506</v>
      </c>
      <c r="M206" s="165"/>
      <c r="N206" s="179"/>
      <c r="O206" s="202"/>
      <c r="P206" s="202"/>
      <c r="Q206" s="202"/>
      <c r="R206" s="165"/>
      <c r="S206" s="165"/>
      <c r="T206" s="165"/>
      <c r="U206" s="201"/>
      <c r="V206" s="166"/>
      <c r="W206" s="166"/>
      <c r="X206" s="179"/>
      <c r="Y206" s="179"/>
    </row>
    <row r="207" spans="1:196" ht="14.65" customHeight="1">
      <c r="A207" s="226" t="s">
        <v>283</v>
      </c>
      <c r="B207" s="226"/>
      <c r="C207">
        <v>20</v>
      </c>
      <c r="D207">
        <v>15</v>
      </c>
      <c r="E207">
        <v>20</v>
      </c>
      <c r="F207">
        <v>17</v>
      </c>
      <c r="G207">
        <v>23</v>
      </c>
      <c r="H207">
        <v>16</v>
      </c>
      <c r="I207" s="202">
        <v>20</v>
      </c>
      <c r="J207" s="165">
        <v>4</v>
      </c>
      <c r="K207" s="165">
        <v>20.732318104906938</v>
      </c>
      <c r="L207" s="179">
        <v>10.787436662234521</v>
      </c>
      <c r="M207" s="165"/>
      <c r="N207" s="179"/>
      <c r="O207" s="202"/>
      <c r="P207" s="202"/>
      <c r="Q207" s="202"/>
      <c r="R207" s="165"/>
      <c r="S207" s="165"/>
      <c r="T207" s="165"/>
      <c r="U207" s="201"/>
      <c r="V207" s="166"/>
      <c r="W207" s="166"/>
      <c r="X207" s="179"/>
      <c r="Y207" s="179"/>
    </row>
    <row r="208" spans="1:196" s="230" customFormat="1" ht="11.25" customHeight="1">
      <c r="A208" s="227" t="s">
        <v>284</v>
      </c>
      <c r="B208" s="227"/>
      <c r="C208">
        <v>31</v>
      </c>
      <c r="D208">
        <v>14</v>
      </c>
      <c r="E208">
        <v>30</v>
      </c>
      <c r="F208">
        <v>12</v>
      </c>
      <c r="G208">
        <v>27</v>
      </c>
      <c r="H208">
        <v>11</v>
      </c>
      <c r="I208" s="228">
        <v>29</v>
      </c>
      <c r="J208" s="228">
        <v>5</v>
      </c>
      <c r="K208" s="228">
        <v>29.316905444126075</v>
      </c>
      <c r="L208" s="228">
        <v>9.3762941993656792</v>
      </c>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20</v>
      </c>
      <c r="D209">
        <v>16</v>
      </c>
      <c r="E209">
        <v>22</v>
      </c>
      <c r="F209">
        <v>12</v>
      </c>
      <c r="G209">
        <v>15</v>
      </c>
      <c r="H209">
        <v>12</v>
      </c>
      <c r="I209" s="202">
        <v>16</v>
      </c>
      <c r="J209" s="165">
        <v>4</v>
      </c>
      <c r="K209" s="165">
        <v>18.213059386434001</v>
      </c>
      <c r="L209" s="179">
        <v>9.2943856742289057</v>
      </c>
      <c r="M209" s="165"/>
      <c r="N209" s="179"/>
      <c r="O209" s="202"/>
      <c r="P209" s="202"/>
      <c r="Q209" s="202"/>
      <c r="R209" s="165"/>
      <c r="S209" s="165"/>
      <c r="T209" s="165"/>
      <c r="U209" s="201"/>
      <c r="V209" s="166"/>
      <c r="W209" s="166"/>
      <c r="X209" s="179"/>
      <c r="Y209" s="179"/>
    </row>
    <row r="210" spans="1:25" ht="14.65" customHeight="1">
      <c r="A210" s="197" t="s">
        <v>121</v>
      </c>
      <c r="B210" s="247"/>
      <c r="C210">
        <v>29</v>
      </c>
      <c r="D210">
        <v>10</v>
      </c>
      <c r="E210">
        <v>19</v>
      </c>
      <c r="F210">
        <v>9</v>
      </c>
      <c r="G210">
        <v>21</v>
      </c>
      <c r="H210">
        <v>9</v>
      </c>
      <c r="I210" s="202">
        <v>29</v>
      </c>
      <c r="J210" s="165">
        <v>5</v>
      </c>
      <c r="K210" s="165">
        <v>24.586764705882352</v>
      </c>
      <c r="L210" s="179">
        <v>7.2417544265709983</v>
      </c>
      <c r="M210" s="165"/>
      <c r="N210" s="179"/>
      <c r="O210" s="202"/>
      <c r="P210" s="202"/>
      <c r="Q210" s="202"/>
      <c r="R210" s="165"/>
      <c r="S210" s="165"/>
      <c r="T210" s="165"/>
      <c r="U210" s="201"/>
      <c r="V210" s="166"/>
      <c r="W210" s="166"/>
      <c r="X210" s="179"/>
      <c r="Y210" s="179"/>
    </row>
    <row r="211" spans="1:25" ht="14.65" customHeight="1">
      <c r="A211" s="163" t="s">
        <v>285</v>
      </c>
      <c r="B211" s="247"/>
      <c r="C211">
        <v>21</v>
      </c>
      <c r="D211">
        <v>16</v>
      </c>
      <c r="E211">
        <v>18</v>
      </c>
      <c r="F211">
        <v>17</v>
      </c>
      <c r="G211">
        <v>15</v>
      </c>
      <c r="H211">
        <v>14</v>
      </c>
      <c r="I211" s="202">
        <v>16</v>
      </c>
      <c r="J211" s="165">
        <v>6</v>
      </c>
      <c r="K211" s="165">
        <v>17.339617834394904</v>
      </c>
      <c r="L211" s="179">
        <v>11.990735682915638</v>
      </c>
      <c r="M211" s="165"/>
      <c r="N211" s="179"/>
      <c r="O211" s="202"/>
      <c r="P211" s="202"/>
      <c r="Q211" s="202"/>
      <c r="R211" s="165"/>
      <c r="S211" s="165"/>
      <c r="T211" s="165"/>
      <c r="U211" s="201"/>
      <c r="V211" s="166"/>
      <c r="W211" s="166"/>
      <c r="X211" s="179"/>
      <c r="Y211" s="179"/>
    </row>
    <row r="212" spans="1:25" ht="14.65" customHeight="1">
      <c r="A212" s="163" t="s">
        <v>217</v>
      </c>
      <c r="B212" s="247"/>
      <c r="C212">
        <v>27</v>
      </c>
      <c r="D212">
        <v>5</v>
      </c>
      <c r="E212">
        <v>28</v>
      </c>
      <c r="F212">
        <v>5</v>
      </c>
      <c r="G212">
        <v>26</v>
      </c>
      <c r="H212">
        <v>6</v>
      </c>
      <c r="I212" s="202">
        <v>27</v>
      </c>
      <c r="J212" s="165">
        <v>3</v>
      </c>
      <c r="K212" s="165">
        <v>26.919437340153454</v>
      </c>
      <c r="L212" s="179">
        <v>4.5181465418854145</v>
      </c>
      <c r="M212" s="165"/>
      <c r="N212" s="179"/>
      <c r="O212" s="202"/>
      <c r="P212" s="202"/>
      <c r="Q212" s="202"/>
      <c r="R212" s="165"/>
      <c r="S212" s="165"/>
      <c r="T212" s="165"/>
      <c r="U212" s="202"/>
      <c r="V212" s="204"/>
      <c r="W212" s="204"/>
      <c r="X212" s="179"/>
      <c r="Y212" s="179"/>
    </row>
    <row r="213" spans="1:25" ht="14.65" customHeight="1">
      <c r="A213" s="163" t="s">
        <v>817</v>
      </c>
      <c r="B213" s="247"/>
      <c r="C213">
        <v>26</v>
      </c>
      <c r="D213">
        <v>11</v>
      </c>
      <c r="E213">
        <v>25</v>
      </c>
      <c r="F213">
        <v>9</v>
      </c>
      <c r="G213">
        <v>27</v>
      </c>
      <c r="H213">
        <v>13</v>
      </c>
      <c r="I213" s="202">
        <v>21</v>
      </c>
      <c r="J213" s="165">
        <v>4</v>
      </c>
      <c r="K213" s="165">
        <v>24.365638766519822</v>
      </c>
      <c r="L213" s="179">
        <v>7.9200881466017163</v>
      </c>
      <c r="M213" s="165"/>
      <c r="N213" s="179"/>
      <c r="O213" s="202"/>
      <c r="P213" s="202"/>
      <c r="Q213" s="202"/>
      <c r="R213" s="165"/>
      <c r="S213" s="165"/>
      <c r="T213" s="165"/>
      <c r="U213" s="201"/>
      <c r="V213" s="166"/>
      <c r="W213" s="166"/>
      <c r="X213" s="179"/>
      <c r="Y213" s="179"/>
    </row>
    <row r="214" spans="1:25" ht="14.65" customHeight="1">
      <c r="A214" s="163" t="s">
        <v>122</v>
      </c>
      <c r="B214" s="247"/>
      <c r="C214">
        <v>11</v>
      </c>
      <c r="D214">
        <v>6</v>
      </c>
      <c r="E214">
        <v>18</v>
      </c>
      <c r="F214">
        <v>6</v>
      </c>
      <c r="G214">
        <v>14</v>
      </c>
      <c r="H214">
        <v>7</v>
      </c>
      <c r="I214" s="202">
        <v>16</v>
      </c>
      <c r="J214" s="165">
        <v>3</v>
      </c>
      <c r="K214" s="165">
        <v>14.181267662494953</v>
      </c>
      <c r="L214" s="179">
        <v>4.591202399345633</v>
      </c>
      <c r="M214" s="165"/>
      <c r="N214" s="179"/>
      <c r="O214" s="202"/>
      <c r="P214" s="202"/>
      <c r="Q214" s="202"/>
      <c r="R214" s="165"/>
      <c r="S214" s="165"/>
      <c r="T214" s="165"/>
      <c r="U214" s="201"/>
      <c r="V214" s="166"/>
      <c r="W214" s="166"/>
      <c r="X214" s="179"/>
      <c r="Y214" s="179"/>
    </row>
    <row r="215" spans="1:25" ht="14.65" customHeight="1">
      <c r="A215" s="163" t="s">
        <v>352</v>
      </c>
      <c r="B215" s="247"/>
      <c r="C215">
        <v>27</v>
      </c>
      <c r="D215">
        <v>7</v>
      </c>
      <c r="E215">
        <v>20</v>
      </c>
      <c r="F215">
        <v>6</v>
      </c>
      <c r="G215">
        <v>20</v>
      </c>
      <c r="H215">
        <v>8</v>
      </c>
      <c r="I215" s="202">
        <v>21</v>
      </c>
      <c r="J215" s="165">
        <v>3</v>
      </c>
      <c r="K215" s="165">
        <v>21.866634799235182</v>
      </c>
      <c r="L215" s="179">
        <v>5.4934971404363484</v>
      </c>
      <c r="M215" s="165"/>
      <c r="N215" s="179"/>
      <c r="O215" s="202"/>
      <c r="P215" s="202"/>
      <c r="Q215" s="202"/>
      <c r="R215" s="165"/>
      <c r="S215" s="165"/>
      <c r="T215" s="165"/>
      <c r="U215" s="202"/>
      <c r="V215" s="204"/>
      <c r="W215" s="204"/>
      <c r="X215" s="179"/>
      <c r="Y215" s="179"/>
    </row>
    <row r="216" spans="1:25" ht="14.65" customHeight="1">
      <c r="A216" s="163" t="s">
        <v>123</v>
      </c>
      <c r="B216" s="247"/>
      <c r="C216">
        <v>24</v>
      </c>
      <c r="D216">
        <v>8</v>
      </c>
      <c r="E216">
        <v>20</v>
      </c>
      <c r="F216">
        <v>7</v>
      </c>
      <c r="G216">
        <v>24</v>
      </c>
      <c r="H216">
        <v>9</v>
      </c>
      <c r="I216" s="202">
        <v>24</v>
      </c>
      <c r="J216" s="165">
        <v>6</v>
      </c>
      <c r="K216" s="165">
        <v>22.92412746585736</v>
      </c>
      <c r="L216" s="179">
        <v>6.8634482758620692</v>
      </c>
      <c r="M216" s="165"/>
      <c r="N216" s="179"/>
      <c r="O216" s="202"/>
      <c r="P216" s="202"/>
      <c r="Q216" s="202"/>
      <c r="R216" s="165"/>
      <c r="S216" s="165"/>
      <c r="T216" s="165"/>
      <c r="U216" s="201"/>
      <c r="V216" s="166"/>
      <c r="W216" s="166"/>
      <c r="X216" s="179"/>
      <c r="Y216" s="179"/>
    </row>
    <row r="217" spans="1:25" ht="14.65" customHeight="1">
      <c r="A217" s="163" t="s">
        <v>401</v>
      </c>
      <c r="B217" s="247"/>
      <c r="C217">
        <v>19</v>
      </c>
      <c r="D217">
        <v>8</v>
      </c>
      <c r="E217">
        <v>19</v>
      </c>
      <c r="F217">
        <v>9</v>
      </c>
      <c r="G217">
        <v>19</v>
      </c>
      <c r="H217">
        <v>7</v>
      </c>
      <c r="I217" s="202">
        <v>17</v>
      </c>
      <c r="J217" s="165">
        <v>4</v>
      </c>
      <c r="K217" s="165">
        <v>18.747147589252851</v>
      </c>
      <c r="L217" s="179">
        <v>6.7920499716070415</v>
      </c>
      <c r="M217" s="165"/>
      <c r="N217" s="179"/>
      <c r="O217" s="202"/>
      <c r="P217" s="202"/>
      <c r="Q217" s="202"/>
      <c r="R217" s="165"/>
      <c r="S217" s="165"/>
      <c r="T217" s="165"/>
      <c r="U217" s="201"/>
      <c r="V217" s="166"/>
      <c r="W217" s="166"/>
      <c r="X217" s="179"/>
      <c r="Y217" s="179"/>
    </row>
    <row r="218" spans="1:25" ht="14.65" customHeight="1">
      <c r="A218" s="163" t="s">
        <v>124</v>
      </c>
      <c r="B218" s="247"/>
      <c r="C218">
        <v>36</v>
      </c>
      <c r="D218">
        <v>20</v>
      </c>
      <c r="E218">
        <v>40</v>
      </c>
      <c r="F218">
        <v>21</v>
      </c>
      <c r="G218">
        <v>24</v>
      </c>
      <c r="H218">
        <v>13</v>
      </c>
      <c r="I218" s="202">
        <v>45</v>
      </c>
      <c r="J218" s="165" t="s">
        <v>3</v>
      </c>
      <c r="K218" s="165">
        <v>36.59110473457676</v>
      </c>
      <c r="L218" s="179" t="s">
        <v>3</v>
      </c>
      <c r="M218" s="165"/>
      <c r="N218" s="179"/>
      <c r="O218" s="202"/>
      <c r="P218" s="202"/>
      <c r="Q218" s="202"/>
      <c r="R218" s="165"/>
      <c r="S218" s="165"/>
      <c r="T218" s="165"/>
      <c r="U218" s="201"/>
      <c r="V218" s="166"/>
      <c r="W218" s="166"/>
      <c r="X218" s="179"/>
      <c r="Y218" s="179"/>
    </row>
    <row r="219" spans="1:25" ht="14.65" customHeight="1">
      <c r="A219" s="163" t="s">
        <v>241</v>
      </c>
      <c r="B219" s="247"/>
      <c r="C219">
        <v>23</v>
      </c>
      <c r="D219">
        <v>21</v>
      </c>
      <c r="E219">
        <v>27</v>
      </c>
      <c r="F219">
        <v>20</v>
      </c>
      <c r="G219">
        <v>27</v>
      </c>
      <c r="H219">
        <v>22</v>
      </c>
      <c r="I219" s="202">
        <v>27</v>
      </c>
      <c r="J219" s="165">
        <v>6</v>
      </c>
      <c r="K219" s="165">
        <v>25.897063322116857</v>
      </c>
      <c r="L219" s="179">
        <v>14.027802255111766</v>
      </c>
      <c r="M219" s="165"/>
      <c r="N219" s="179"/>
      <c r="O219" s="202"/>
      <c r="P219" s="202"/>
      <c r="Q219" s="202"/>
      <c r="R219" s="165"/>
      <c r="S219" s="165"/>
      <c r="T219" s="165"/>
      <c r="U219" s="201"/>
      <c r="V219" s="166"/>
      <c r="W219" s="166"/>
      <c r="X219" s="179"/>
      <c r="Y219" s="179"/>
    </row>
    <row r="220" spans="1:25" ht="14.65" customHeight="1">
      <c r="A220" s="163" t="s">
        <v>125</v>
      </c>
      <c r="B220" s="247"/>
      <c r="C220">
        <v>21</v>
      </c>
      <c r="D220">
        <v>13</v>
      </c>
      <c r="E220">
        <v>25</v>
      </c>
      <c r="F220">
        <v>14</v>
      </c>
      <c r="G220">
        <v>23</v>
      </c>
      <c r="H220">
        <v>14</v>
      </c>
      <c r="I220" s="202">
        <v>18</v>
      </c>
      <c r="J220" s="165">
        <v>3</v>
      </c>
      <c r="K220" s="165">
        <v>21.558394160583941</v>
      </c>
      <c r="L220" s="179">
        <v>9.253033472803347</v>
      </c>
      <c r="M220" s="165"/>
      <c r="N220" s="179"/>
      <c r="O220" s="202"/>
      <c r="P220" s="202"/>
      <c r="Q220" s="202"/>
      <c r="R220" s="165"/>
      <c r="S220" s="165"/>
      <c r="T220" s="165"/>
      <c r="U220" s="202"/>
      <c r="V220" s="204"/>
      <c r="W220" s="204"/>
      <c r="X220" s="179"/>
      <c r="Y220" s="179"/>
    </row>
    <row r="221" spans="1:25" ht="14.65" customHeight="1">
      <c r="A221" s="163" t="s">
        <v>126</v>
      </c>
      <c r="B221" s="247"/>
      <c r="C221">
        <v>25</v>
      </c>
      <c r="D221">
        <v>6</v>
      </c>
      <c r="E221">
        <v>26</v>
      </c>
      <c r="F221">
        <v>9</v>
      </c>
      <c r="G221">
        <v>30</v>
      </c>
      <c r="H221">
        <v>12</v>
      </c>
      <c r="I221" s="202">
        <v>24</v>
      </c>
      <c r="J221" s="165">
        <v>4</v>
      </c>
      <c r="K221" s="165">
        <v>26.411111111111111</v>
      </c>
      <c r="L221" s="179">
        <v>6.3330967741935487</v>
      </c>
      <c r="M221" s="165"/>
      <c r="N221" s="179"/>
      <c r="O221" s="202"/>
      <c r="P221" s="202"/>
      <c r="Q221" s="202"/>
      <c r="R221" s="165"/>
      <c r="S221" s="165"/>
      <c r="T221" s="165"/>
      <c r="U221" s="201"/>
      <c r="V221" s="166"/>
      <c r="W221" s="166"/>
      <c r="X221" s="179"/>
      <c r="Y221" s="179"/>
    </row>
    <row r="222" spans="1:25" ht="14.65" customHeight="1">
      <c r="A222" s="163" t="s">
        <v>127</v>
      </c>
      <c r="B222" s="247"/>
      <c r="C222">
        <v>20</v>
      </c>
      <c r="D222">
        <v>12</v>
      </c>
      <c r="E222">
        <v>21</v>
      </c>
      <c r="F222">
        <v>16</v>
      </c>
      <c r="G222">
        <v>24</v>
      </c>
      <c r="H222">
        <v>17</v>
      </c>
      <c r="I222" s="202">
        <v>31</v>
      </c>
      <c r="J222" s="165">
        <v>7</v>
      </c>
      <c r="K222" s="165">
        <v>24.436742934051143</v>
      </c>
      <c r="L222" s="179">
        <v>11.180386673151752</v>
      </c>
      <c r="M222" s="165"/>
      <c r="N222" s="179"/>
      <c r="O222" s="202"/>
      <c r="P222" s="202"/>
      <c r="Q222" s="202"/>
      <c r="R222" s="165"/>
      <c r="S222" s="165"/>
      <c r="T222" s="165"/>
      <c r="U222" s="201"/>
      <c r="V222" s="166"/>
      <c r="W222" s="166"/>
      <c r="X222" s="179"/>
      <c r="Y222" s="179"/>
    </row>
    <row r="223" spans="1:25" ht="14.65" customHeight="1">
      <c r="A223" s="163" t="s">
        <v>242</v>
      </c>
      <c r="B223" s="247"/>
      <c r="C223">
        <v>19</v>
      </c>
      <c r="D223">
        <v>8</v>
      </c>
      <c r="E223">
        <v>19</v>
      </c>
      <c r="F223">
        <v>9</v>
      </c>
      <c r="G223">
        <v>21</v>
      </c>
      <c r="H223">
        <v>10</v>
      </c>
      <c r="I223" s="202">
        <v>21</v>
      </c>
      <c r="J223" s="165">
        <v>4</v>
      </c>
      <c r="K223" s="165">
        <v>20.40758541427228</v>
      </c>
      <c r="L223" s="179">
        <v>6.6859978740733581</v>
      </c>
      <c r="M223" s="165"/>
      <c r="N223" s="179"/>
      <c r="O223" s="202"/>
      <c r="P223" s="202"/>
      <c r="Q223" s="202"/>
      <c r="R223" s="165"/>
      <c r="S223" s="165"/>
      <c r="T223" s="165"/>
      <c r="U223" s="201"/>
      <c r="V223" s="166"/>
      <c r="W223" s="166"/>
      <c r="X223" s="179"/>
      <c r="Y223" s="179"/>
    </row>
    <row r="224" spans="1:25" ht="14.65" customHeight="1">
      <c r="A224" s="163" t="s">
        <v>128</v>
      </c>
      <c r="B224" s="247"/>
      <c r="C224">
        <v>22</v>
      </c>
      <c r="D224">
        <v>11</v>
      </c>
      <c r="E224">
        <v>23</v>
      </c>
      <c r="F224">
        <v>11</v>
      </c>
      <c r="G224">
        <v>23</v>
      </c>
      <c r="H224">
        <v>13</v>
      </c>
      <c r="I224" s="202">
        <v>23</v>
      </c>
      <c r="J224" s="165">
        <v>5</v>
      </c>
      <c r="K224" s="165">
        <v>22.514661274014156</v>
      </c>
      <c r="L224" s="179">
        <v>8.8856982927511901</v>
      </c>
      <c r="M224" s="165"/>
      <c r="N224" s="179"/>
      <c r="O224" s="202"/>
      <c r="P224" s="202"/>
      <c r="Q224" s="202"/>
      <c r="R224" s="165"/>
      <c r="S224" s="165"/>
      <c r="T224" s="165"/>
      <c r="U224" s="201"/>
      <c r="V224" s="166"/>
      <c r="W224" s="166"/>
      <c r="X224" s="179"/>
      <c r="Y224" s="179"/>
    </row>
    <row r="225" spans="1:25" ht="14.65" customHeight="1">
      <c r="A225" s="163" t="s">
        <v>129</v>
      </c>
      <c r="B225" s="247"/>
      <c r="C225">
        <v>15</v>
      </c>
      <c r="D225">
        <v>3</v>
      </c>
      <c r="E225">
        <v>16</v>
      </c>
      <c r="F225">
        <v>4</v>
      </c>
      <c r="G225">
        <v>17</v>
      </c>
      <c r="H225">
        <v>4</v>
      </c>
      <c r="I225" s="202">
        <v>17</v>
      </c>
      <c r="J225" s="165">
        <v>2</v>
      </c>
      <c r="K225" s="165">
        <v>16.664435146443516</v>
      </c>
      <c r="L225" s="179">
        <v>2.9632132610774624</v>
      </c>
      <c r="M225" s="165"/>
      <c r="N225" s="179"/>
      <c r="O225" s="202"/>
      <c r="P225" s="202"/>
      <c r="Q225" s="202"/>
      <c r="R225" s="165"/>
      <c r="S225" s="165"/>
      <c r="T225" s="165"/>
      <c r="U225" s="201"/>
      <c r="V225" s="166"/>
      <c r="W225" s="166"/>
      <c r="X225" s="179"/>
      <c r="Y225" s="179"/>
    </row>
    <row r="226" spans="1:25" ht="14.65" customHeight="1">
      <c r="A226" s="163" t="s">
        <v>130</v>
      </c>
      <c r="B226" s="247"/>
      <c r="C226">
        <v>12</v>
      </c>
      <c r="D226">
        <v>4</v>
      </c>
      <c r="E226">
        <v>12</v>
      </c>
      <c r="F226">
        <v>4</v>
      </c>
      <c r="G226">
        <v>12</v>
      </c>
      <c r="H226">
        <v>5</v>
      </c>
      <c r="I226" s="202">
        <v>13</v>
      </c>
      <c r="J226" s="165">
        <v>2</v>
      </c>
      <c r="K226" s="165">
        <v>12.278296988577363</v>
      </c>
      <c r="L226" s="179">
        <v>3.466943866943867</v>
      </c>
      <c r="M226" s="165"/>
      <c r="N226" s="179"/>
      <c r="O226" s="202"/>
      <c r="P226" s="202"/>
      <c r="Q226" s="202"/>
      <c r="R226" s="165"/>
      <c r="S226" s="165"/>
      <c r="T226" s="165"/>
      <c r="U226" s="201"/>
      <c r="V226" s="166"/>
      <c r="W226" s="166"/>
      <c r="X226" s="179"/>
      <c r="Y226" s="179"/>
    </row>
    <row r="227" spans="1:25" ht="14.65" customHeight="1">
      <c r="A227" s="163" t="s">
        <v>131</v>
      </c>
      <c r="B227" s="247"/>
      <c r="C227">
        <v>5</v>
      </c>
      <c r="D227">
        <v>1</v>
      </c>
      <c r="E227">
        <v>5</v>
      </c>
      <c r="F227">
        <v>1</v>
      </c>
      <c r="G227">
        <v>4</v>
      </c>
      <c r="H227">
        <v>2</v>
      </c>
      <c r="I227" s="202">
        <v>4</v>
      </c>
      <c r="J227" s="165">
        <v>1</v>
      </c>
      <c r="K227" s="165">
        <v>4.9037656903765692</v>
      </c>
      <c r="L227" s="179">
        <v>1.4250348135540771</v>
      </c>
      <c r="M227" s="165"/>
      <c r="N227" s="179"/>
      <c r="O227" s="202"/>
      <c r="P227" s="202"/>
      <c r="Q227" s="202"/>
      <c r="R227" s="165"/>
      <c r="S227" s="165"/>
      <c r="T227" s="165"/>
      <c r="U227" s="202"/>
      <c r="V227" s="204"/>
      <c r="W227" s="204"/>
      <c r="X227" s="179"/>
      <c r="Y227" s="179"/>
    </row>
    <row r="228" spans="1:25" ht="14.65" customHeight="1">
      <c r="A228" s="163" t="s">
        <v>286</v>
      </c>
      <c r="B228" s="247"/>
      <c r="C228">
        <v>21</v>
      </c>
      <c r="D228">
        <v>8</v>
      </c>
      <c r="E228">
        <v>20</v>
      </c>
      <c r="F228">
        <v>9</v>
      </c>
      <c r="G228">
        <v>17</v>
      </c>
      <c r="H228">
        <v>9</v>
      </c>
      <c r="I228" s="202">
        <v>18</v>
      </c>
      <c r="J228" s="165">
        <v>3</v>
      </c>
      <c r="K228" s="165">
        <v>19.134564643799472</v>
      </c>
      <c r="L228" s="179">
        <v>5.6495946213169868</v>
      </c>
      <c r="M228" s="165"/>
      <c r="N228" s="179"/>
      <c r="O228" s="202"/>
      <c r="P228" s="202"/>
      <c r="Q228" s="202"/>
      <c r="R228" s="165"/>
      <c r="S228" s="165"/>
      <c r="T228" s="165"/>
      <c r="U228" s="201"/>
      <c r="V228" s="166"/>
      <c r="W228" s="166"/>
      <c r="X228" s="179"/>
      <c r="Y228" s="179"/>
    </row>
    <row r="229" spans="1:25" ht="14.65" customHeight="1">
      <c r="A229" s="163" t="s">
        <v>132</v>
      </c>
      <c r="B229" s="247"/>
      <c r="C229">
        <v>58</v>
      </c>
      <c r="D229">
        <v>11</v>
      </c>
      <c r="E229">
        <v>68</v>
      </c>
      <c r="F229">
        <v>19</v>
      </c>
      <c r="G229">
        <v>67</v>
      </c>
      <c r="H229">
        <v>16</v>
      </c>
      <c r="I229" s="202">
        <v>60</v>
      </c>
      <c r="J229" s="165">
        <v>10</v>
      </c>
      <c r="K229" s="165">
        <v>64.129761904761907</v>
      </c>
      <c r="L229" s="179">
        <v>13.754559009060673</v>
      </c>
      <c r="M229" s="165"/>
      <c r="N229" s="179"/>
      <c r="O229" s="202"/>
      <c r="P229" s="202"/>
      <c r="Q229" s="202"/>
      <c r="R229" s="165"/>
      <c r="S229" s="165"/>
      <c r="T229" s="165"/>
      <c r="U229" s="202"/>
      <c r="V229" s="204"/>
      <c r="W229" s="204"/>
      <c r="X229" s="179"/>
      <c r="Y229" s="179"/>
    </row>
    <row r="230" spans="1:25" ht="14.65" customHeight="1">
      <c r="A230" s="163" t="s">
        <v>243</v>
      </c>
      <c r="B230" s="247"/>
      <c r="C230">
        <v>30</v>
      </c>
      <c r="D230">
        <v>12</v>
      </c>
      <c r="E230">
        <v>24</v>
      </c>
      <c r="F230">
        <v>10</v>
      </c>
      <c r="G230">
        <v>21</v>
      </c>
      <c r="H230">
        <v>9</v>
      </c>
      <c r="I230" s="202">
        <v>24</v>
      </c>
      <c r="J230" s="165">
        <v>6</v>
      </c>
      <c r="K230" s="165">
        <v>25.09900276342665</v>
      </c>
      <c r="L230" s="179">
        <v>8.1890497505762969</v>
      </c>
      <c r="M230" s="165"/>
      <c r="N230" s="179"/>
      <c r="O230" s="202"/>
      <c r="P230" s="202"/>
      <c r="Q230" s="202"/>
      <c r="R230" s="165"/>
      <c r="S230" s="165"/>
      <c r="T230" s="165"/>
      <c r="U230" s="201"/>
      <c r="V230" s="166"/>
      <c r="W230" s="166"/>
      <c r="X230" s="179"/>
      <c r="Y230" s="179"/>
    </row>
    <row r="231" spans="1:25" ht="14.65" customHeight="1">
      <c r="A231" s="163" t="s">
        <v>244</v>
      </c>
      <c r="B231" s="247"/>
      <c r="C231">
        <v>24</v>
      </c>
      <c r="D231">
        <v>9</v>
      </c>
      <c r="E231">
        <v>22</v>
      </c>
      <c r="F231">
        <v>8</v>
      </c>
      <c r="G231">
        <v>23</v>
      </c>
      <c r="H231">
        <v>10</v>
      </c>
      <c r="I231" s="202">
        <v>25</v>
      </c>
      <c r="J231" s="165">
        <v>4</v>
      </c>
      <c r="K231" s="165">
        <v>23.633976366023635</v>
      </c>
      <c r="L231" s="179">
        <v>7.102816459009528</v>
      </c>
      <c r="M231" s="165"/>
      <c r="N231" s="179"/>
      <c r="O231" s="202"/>
      <c r="P231" s="202"/>
      <c r="Q231" s="202"/>
      <c r="R231" s="165"/>
      <c r="S231" s="165"/>
      <c r="T231" s="165"/>
      <c r="U231" s="202"/>
      <c r="V231" s="166"/>
      <c r="W231" s="166"/>
      <c r="X231" s="179"/>
      <c r="Y231" s="179"/>
    </row>
    <row r="232" spans="1:25" ht="14.65" customHeight="1">
      <c r="A232" s="163" t="s">
        <v>133</v>
      </c>
      <c r="B232" s="247"/>
      <c r="C232">
        <v>17</v>
      </c>
      <c r="D232">
        <v>6</v>
      </c>
      <c r="E232">
        <v>20</v>
      </c>
      <c r="F232">
        <v>8</v>
      </c>
      <c r="G232">
        <v>17</v>
      </c>
      <c r="H232">
        <v>9</v>
      </c>
      <c r="I232" s="202">
        <v>19</v>
      </c>
      <c r="J232" s="165">
        <v>4</v>
      </c>
      <c r="K232" s="165">
        <v>18.211183819155266</v>
      </c>
      <c r="L232" s="179">
        <v>6.3579752736116744</v>
      </c>
      <c r="M232" s="165"/>
      <c r="N232" s="179"/>
      <c r="O232" s="202"/>
      <c r="P232" s="202"/>
      <c r="Q232" s="202"/>
      <c r="R232" s="165"/>
      <c r="S232" s="165"/>
      <c r="T232" s="165"/>
      <c r="U232" s="201"/>
      <c r="V232" s="166"/>
      <c r="W232" s="166"/>
      <c r="X232" s="179"/>
      <c r="Y232" s="179"/>
    </row>
    <row r="233" spans="1:25" ht="14.65" customHeight="1">
      <c r="A233" s="163" t="s">
        <v>134</v>
      </c>
      <c r="B233" s="246"/>
      <c r="C233">
        <v>9</v>
      </c>
      <c r="D233">
        <v>7</v>
      </c>
      <c r="E233">
        <v>10</v>
      </c>
      <c r="F233">
        <v>6</v>
      </c>
      <c r="G233">
        <v>8</v>
      </c>
      <c r="H233">
        <v>6</v>
      </c>
      <c r="I233" s="201">
        <v>9</v>
      </c>
      <c r="J233" s="199">
        <v>3</v>
      </c>
      <c r="K233" s="199">
        <v>9.0952189634391321</v>
      </c>
      <c r="L233" s="179">
        <v>4.5784836987975046</v>
      </c>
      <c r="M233" s="199"/>
      <c r="N233" s="179"/>
      <c r="O233" s="201"/>
      <c r="P233" s="201"/>
      <c r="Q233" s="201"/>
      <c r="R233" s="199"/>
      <c r="S233" s="199"/>
      <c r="T233" s="199"/>
      <c r="U233" s="201"/>
      <c r="V233" s="166"/>
      <c r="W233" s="166"/>
      <c r="X233" s="179"/>
      <c r="Y233" s="179"/>
    </row>
    <row r="234" spans="1:25" ht="14.65" customHeight="1">
      <c r="A234" s="163" t="s">
        <v>245</v>
      </c>
      <c r="B234" s="247"/>
      <c r="C234">
        <v>22</v>
      </c>
      <c r="D234">
        <v>27</v>
      </c>
      <c r="E234">
        <v>20</v>
      </c>
      <c r="F234">
        <v>27</v>
      </c>
      <c r="G234">
        <v>27</v>
      </c>
      <c r="H234">
        <v>26</v>
      </c>
      <c r="I234" s="202">
        <v>29</v>
      </c>
      <c r="J234" s="165">
        <v>7</v>
      </c>
      <c r="K234" s="165">
        <v>24.575194537081149</v>
      </c>
      <c r="L234" s="179">
        <v>17.044834346991038</v>
      </c>
      <c r="M234" s="165"/>
      <c r="N234" s="179"/>
      <c r="O234" s="202"/>
      <c r="P234" s="202"/>
      <c r="Q234" s="202"/>
      <c r="R234" s="165"/>
      <c r="S234" s="165"/>
      <c r="T234" s="165"/>
      <c r="U234" s="202"/>
      <c r="V234" s="204"/>
      <c r="W234" s="204"/>
      <c r="X234" s="179"/>
      <c r="Y234" s="179"/>
    </row>
    <row r="235" spans="1:25" ht="14.65" customHeight="1">
      <c r="A235" s="163" t="s">
        <v>135</v>
      </c>
      <c r="B235" s="247"/>
      <c r="C235">
        <v>25</v>
      </c>
      <c r="D235">
        <v>7</v>
      </c>
      <c r="E235">
        <v>20</v>
      </c>
      <c r="F235">
        <v>6</v>
      </c>
      <c r="G235">
        <v>23</v>
      </c>
      <c r="H235">
        <v>7</v>
      </c>
      <c r="I235" s="202">
        <v>21</v>
      </c>
      <c r="J235" s="165">
        <v>3</v>
      </c>
      <c r="K235" s="165">
        <v>22.105439892545334</v>
      </c>
      <c r="L235" s="179">
        <v>5.166774089590719</v>
      </c>
      <c r="M235" s="165"/>
      <c r="N235" s="179"/>
      <c r="O235" s="202"/>
      <c r="P235" s="202"/>
      <c r="Q235" s="202"/>
      <c r="R235" s="165"/>
      <c r="S235" s="165"/>
      <c r="T235" s="165"/>
      <c r="U235" s="201"/>
      <c r="V235" s="166"/>
      <c r="W235" s="166"/>
      <c r="X235" s="179"/>
      <c r="Y235" s="179"/>
    </row>
    <row r="236" spans="1:25" ht="14.65" customHeight="1">
      <c r="A236" s="163" t="s">
        <v>136</v>
      </c>
      <c r="B236" s="247"/>
      <c r="C236">
        <v>29</v>
      </c>
      <c r="D236">
        <v>17</v>
      </c>
      <c r="E236">
        <v>26</v>
      </c>
      <c r="F236">
        <v>14</v>
      </c>
      <c r="G236">
        <v>28</v>
      </c>
      <c r="H236">
        <v>13</v>
      </c>
      <c r="I236" s="202">
        <v>31</v>
      </c>
      <c r="J236" s="165">
        <v>5</v>
      </c>
      <c r="K236" s="165">
        <v>28.421494542401344</v>
      </c>
      <c r="L236" s="179">
        <v>9.710198431010614</v>
      </c>
      <c r="M236" s="165"/>
      <c r="N236" s="179"/>
      <c r="O236" s="202"/>
      <c r="P236" s="202"/>
      <c r="Q236" s="202"/>
      <c r="R236" s="165"/>
      <c r="S236" s="165"/>
      <c r="T236" s="165"/>
      <c r="U236" s="201"/>
      <c r="V236" s="166"/>
      <c r="W236" s="166"/>
      <c r="X236" s="179"/>
      <c r="Y236" s="179"/>
    </row>
    <row r="237" spans="1:25" ht="14.65" customHeight="1">
      <c r="A237" s="163" t="s">
        <v>246</v>
      </c>
      <c r="B237" s="247"/>
      <c r="C237">
        <v>23</v>
      </c>
      <c r="D237">
        <v>19</v>
      </c>
      <c r="E237">
        <v>20</v>
      </c>
      <c r="F237">
        <v>15</v>
      </c>
      <c r="G237">
        <v>21</v>
      </c>
      <c r="H237">
        <v>15</v>
      </c>
      <c r="I237" s="202">
        <v>21</v>
      </c>
      <c r="J237" s="165">
        <v>4</v>
      </c>
      <c r="K237" s="165">
        <v>21.319092410425792</v>
      </c>
      <c r="L237" s="179">
        <v>10.227885144486502</v>
      </c>
      <c r="M237" s="165"/>
      <c r="N237" s="179"/>
      <c r="O237" s="202"/>
      <c r="P237" s="202"/>
      <c r="Q237" s="202"/>
      <c r="R237" s="165"/>
      <c r="S237" s="165"/>
      <c r="T237" s="165"/>
      <c r="U237" s="201"/>
      <c r="V237" s="166"/>
      <c r="W237" s="166"/>
      <c r="X237" s="179"/>
      <c r="Y237" s="179"/>
    </row>
    <row r="238" spans="1:25" ht="14.65" customHeight="1">
      <c r="A238" s="163" t="s">
        <v>137</v>
      </c>
      <c r="B238" s="247"/>
      <c r="C238">
        <v>12</v>
      </c>
      <c r="D238">
        <v>5</v>
      </c>
      <c r="E238">
        <v>11</v>
      </c>
      <c r="F238">
        <v>4</v>
      </c>
      <c r="G238">
        <v>13</v>
      </c>
      <c r="H238">
        <v>6</v>
      </c>
      <c r="I238" s="202">
        <v>14</v>
      </c>
      <c r="J238" s="165">
        <v>3</v>
      </c>
      <c r="K238" s="165">
        <v>12.222265778126225</v>
      </c>
      <c r="L238" s="179">
        <v>4.3933456361267913</v>
      </c>
      <c r="M238" s="165"/>
      <c r="N238" s="179"/>
      <c r="O238" s="202"/>
      <c r="P238" s="202"/>
      <c r="Q238" s="202"/>
      <c r="R238" s="165"/>
      <c r="S238" s="165"/>
      <c r="T238" s="165"/>
      <c r="U238" s="202"/>
      <c r="V238" s="204"/>
      <c r="W238" s="204"/>
      <c r="X238" s="179"/>
      <c r="Y238" s="179"/>
    </row>
    <row r="239" spans="1:25" ht="14.65" customHeight="1">
      <c r="A239" s="49" t="s">
        <v>326</v>
      </c>
      <c r="B239" s="247"/>
      <c r="C239">
        <v>40</v>
      </c>
      <c r="D239">
        <v>15</v>
      </c>
      <c r="E239">
        <v>41</v>
      </c>
      <c r="F239">
        <v>13</v>
      </c>
      <c r="G239">
        <v>39</v>
      </c>
      <c r="H239">
        <v>12</v>
      </c>
      <c r="I239" s="202">
        <v>36</v>
      </c>
      <c r="J239" s="165">
        <v>4</v>
      </c>
      <c r="K239" s="165">
        <v>39.024232295801127</v>
      </c>
      <c r="L239" s="179">
        <v>8.7791826597426059</v>
      </c>
      <c r="M239" s="165"/>
      <c r="N239" s="179"/>
      <c r="O239" s="202"/>
      <c r="P239" s="202"/>
      <c r="Q239" s="202"/>
      <c r="R239" s="165"/>
      <c r="S239" s="165"/>
      <c r="T239" s="165"/>
      <c r="U239" s="201"/>
      <c r="V239" s="166"/>
      <c r="W239" s="166"/>
      <c r="X239" s="179"/>
      <c r="Y239" s="179"/>
    </row>
    <row r="240" spans="1:25" ht="14.65" customHeight="1">
      <c r="A240" s="49" t="s">
        <v>287</v>
      </c>
      <c r="B240" s="247"/>
      <c r="C240">
        <v>23</v>
      </c>
      <c r="D240">
        <v>11</v>
      </c>
      <c r="E240">
        <v>21</v>
      </c>
      <c r="F240">
        <v>11</v>
      </c>
      <c r="G240">
        <v>18</v>
      </c>
      <c r="H240">
        <v>11</v>
      </c>
      <c r="I240" s="202">
        <v>19</v>
      </c>
      <c r="J240" s="165">
        <v>4</v>
      </c>
      <c r="K240" s="165">
        <v>20.42526864213611</v>
      </c>
      <c r="L240" s="179">
        <v>8.5039151427213362</v>
      </c>
      <c r="M240" s="165"/>
      <c r="N240" s="179"/>
      <c r="O240" s="202"/>
      <c r="P240" s="202"/>
      <c r="Q240" s="202"/>
      <c r="R240" s="165"/>
      <c r="S240" s="165"/>
      <c r="T240" s="165"/>
      <c r="U240" s="201"/>
      <c r="V240" s="166"/>
      <c r="W240" s="166"/>
      <c r="X240" s="179"/>
      <c r="Y240" s="179"/>
    </row>
    <row r="241" spans="1:25" ht="14.65" customHeight="1">
      <c r="A241" s="163" t="s">
        <v>247</v>
      </c>
      <c r="B241" s="247"/>
      <c r="C241">
        <v>28</v>
      </c>
      <c r="D241">
        <v>9</v>
      </c>
      <c r="E241">
        <v>33</v>
      </c>
      <c r="F241">
        <v>15</v>
      </c>
      <c r="G241">
        <v>24</v>
      </c>
      <c r="H241">
        <v>10</v>
      </c>
      <c r="I241" s="202">
        <v>22</v>
      </c>
      <c r="J241" s="165">
        <v>5</v>
      </c>
      <c r="K241" s="165">
        <v>26.990979381443299</v>
      </c>
      <c r="L241" s="179">
        <v>8.7330109744246123</v>
      </c>
      <c r="M241" s="165"/>
      <c r="N241" s="179"/>
      <c r="O241" s="202"/>
      <c r="P241" s="202"/>
      <c r="Q241" s="202"/>
      <c r="R241" s="165"/>
      <c r="S241" s="165"/>
      <c r="T241" s="165"/>
      <c r="U241" s="201"/>
      <c r="V241" s="166"/>
      <c r="W241" s="166"/>
      <c r="X241" s="179"/>
      <c r="Y241" s="179"/>
    </row>
    <row r="242" spans="1:25" ht="14.65" customHeight="1">
      <c r="A242" s="163" t="s">
        <v>138</v>
      </c>
      <c r="B242" s="247"/>
      <c r="C242">
        <v>13</v>
      </c>
      <c r="D242">
        <v>7</v>
      </c>
      <c r="E242">
        <v>19</v>
      </c>
      <c r="F242">
        <v>11</v>
      </c>
      <c r="G242">
        <v>18</v>
      </c>
      <c r="H242">
        <v>11</v>
      </c>
      <c r="I242" s="202">
        <v>18</v>
      </c>
      <c r="J242" s="165">
        <v>4</v>
      </c>
      <c r="K242" s="165">
        <v>17.046875</v>
      </c>
      <c r="L242" s="179">
        <v>6.9685308705318967</v>
      </c>
      <c r="M242" s="165"/>
      <c r="N242" s="179"/>
      <c r="O242" s="202"/>
      <c r="P242" s="202"/>
      <c r="Q242" s="202"/>
      <c r="R242" s="165"/>
      <c r="S242" s="165"/>
      <c r="T242" s="165"/>
      <c r="U242" s="201"/>
      <c r="V242" s="166"/>
      <c r="W242" s="166"/>
      <c r="X242" s="179"/>
      <c r="Y242" s="179"/>
    </row>
    <row r="243" spans="1:25" ht="14.65" customHeight="1">
      <c r="A243" s="163" t="s">
        <v>139</v>
      </c>
      <c r="B243" s="247"/>
      <c r="C243">
        <v>13</v>
      </c>
      <c r="D243">
        <v>11</v>
      </c>
      <c r="E243">
        <v>13</v>
      </c>
      <c r="F243">
        <v>10</v>
      </c>
      <c r="G243">
        <v>13</v>
      </c>
      <c r="H243">
        <v>11</v>
      </c>
      <c r="I243" s="202">
        <v>13</v>
      </c>
      <c r="J243" s="165">
        <v>5</v>
      </c>
      <c r="K243" s="165">
        <v>13.012174875484227</v>
      </c>
      <c r="L243" s="179">
        <v>7.7518356265811068</v>
      </c>
      <c r="M243" s="165"/>
      <c r="N243" s="179"/>
      <c r="O243" s="202"/>
      <c r="P243" s="202"/>
      <c r="Q243" s="202"/>
      <c r="R243" s="165"/>
      <c r="S243" s="165"/>
      <c r="T243" s="165"/>
      <c r="U243" s="201"/>
      <c r="V243" s="166"/>
      <c r="W243" s="166"/>
      <c r="X243" s="179"/>
      <c r="Y243" s="179"/>
    </row>
    <row r="244" spans="1:25" ht="14.65" customHeight="1">
      <c r="A244" s="163" t="s">
        <v>140</v>
      </c>
      <c r="B244" s="247"/>
      <c r="C244">
        <v>18</v>
      </c>
      <c r="D244">
        <v>15</v>
      </c>
      <c r="E244">
        <v>16</v>
      </c>
      <c r="F244">
        <v>17</v>
      </c>
      <c r="G244">
        <v>11</v>
      </c>
      <c r="H244">
        <v>15</v>
      </c>
      <c r="I244" s="202">
        <v>16</v>
      </c>
      <c r="J244" s="165">
        <v>4</v>
      </c>
      <c r="K244" s="165">
        <v>15.393894266567386</v>
      </c>
      <c r="L244" s="179">
        <v>10.725261108160737</v>
      </c>
      <c r="M244" s="165"/>
      <c r="N244" s="179"/>
      <c r="O244" s="202"/>
      <c r="P244" s="202"/>
      <c r="Q244" s="202"/>
      <c r="R244" s="165"/>
      <c r="S244" s="165"/>
      <c r="T244" s="165"/>
      <c r="U244" s="201"/>
      <c r="V244" s="166"/>
      <c r="W244" s="166"/>
      <c r="X244" s="179"/>
      <c r="Y244" s="179"/>
    </row>
    <row r="245" spans="1:25" ht="14.65" customHeight="1">
      <c r="A245" s="163" t="s">
        <v>288</v>
      </c>
      <c r="B245" s="247"/>
      <c r="C245">
        <v>35</v>
      </c>
      <c r="D245">
        <v>11</v>
      </c>
      <c r="E245">
        <v>30</v>
      </c>
      <c r="F245">
        <v>10</v>
      </c>
      <c r="G245">
        <v>33</v>
      </c>
      <c r="H245">
        <v>13</v>
      </c>
      <c r="I245" s="202">
        <v>34</v>
      </c>
      <c r="J245" s="165">
        <v>6</v>
      </c>
      <c r="K245" s="165">
        <v>32.959018603397141</v>
      </c>
      <c r="L245" s="179">
        <v>9.1667596668526663</v>
      </c>
      <c r="M245" s="165"/>
      <c r="N245" s="179"/>
      <c r="O245" s="202"/>
      <c r="P245" s="202"/>
      <c r="Q245" s="202"/>
      <c r="R245" s="165"/>
      <c r="S245" s="165"/>
      <c r="T245" s="165"/>
      <c r="U245" s="201"/>
      <c r="V245" s="166"/>
      <c r="W245" s="166"/>
      <c r="X245" s="179"/>
      <c r="Y245" s="179"/>
    </row>
    <row r="246" spans="1:25" ht="14.65" customHeight="1">
      <c r="A246" s="163" t="s">
        <v>141</v>
      </c>
      <c r="B246" s="247"/>
      <c r="C246">
        <v>35</v>
      </c>
      <c r="D246">
        <v>14</v>
      </c>
      <c r="E246">
        <v>33</v>
      </c>
      <c r="F246">
        <v>11</v>
      </c>
      <c r="G246">
        <v>25</v>
      </c>
      <c r="H246">
        <v>7</v>
      </c>
      <c r="I246" s="202">
        <v>28</v>
      </c>
      <c r="J246" s="165">
        <v>4</v>
      </c>
      <c r="K246" s="165">
        <v>29.857879234167893</v>
      </c>
      <c r="L246" s="179">
        <v>7.1255790866975515</v>
      </c>
      <c r="M246" s="165"/>
      <c r="N246" s="179"/>
      <c r="O246" s="202"/>
      <c r="P246" s="202"/>
      <c r="Q246" s="202"/>
      <c r="R246" s="165"/>
      <c r="S246" s="165"/>
      <c r="T246" s="165"/>
      <c r="U246" s="201"/>
      <c r="V246" s="166"/>
      <c r="W246" s="166"/>
      <c r="X246" s="179"/>
      <c r="Y246" s="179"/>
    </row>
    <row r="247" spans="1:25" ht="14.65" customHeight="1">
      <c r="A247" s="163" t="s">
        <v>142</v>
      </c>
      <c r="B247" s="247"/>
      <c r="C247">
        <v>19</v>
      </c>
      <c r="D247">
        <v>20</v>
      </c>
      <c r="E247">
        <v>18</v>
      </c>
      <c r="F247">
        <v>16</v>
      </c>
      <c r="G247">
        <v>22</v>
      </c>
      <c r="H247">
        <v>13</v>
      </c>
      <c r="I247" s="202">
        <v>31</v>
      </c>
      <c r="J247" s="165">
        <v>6</v>
      </c>
      <c r="K247" s="165">
        <v>22.707301173402868</v>
      </c>
      <c r="L247" s="179">
        <v>11.597382545401073</v>
      </c>
      <c r="M247" s="165"/>
      <c r="N247" s="179"/>
      <c r="O247" s="202"/>
      <c r="P247" s="202"/>
      <c r="Q247" s="202"/>
      <c r="R247" s="165"/>
      <c r="S247" s="165"/>
      <c r="T247" s="165"/>
      <c r="U247" s="201"/>
      <c r="V247" s="166"/>
      <c r="W247" s="166"/>
      <c r="X247" s="179"/>
      <c r="Y247" s="179"/>
    </row>
    <row r="248" spans="1:25" ht="14.65" customHeight="1">
      <c r="A248" s="163" t="s">
        <v>143</v>
      </c>
      <c r="B248" s="247"/>
      <c r="C248">
        <v>16</v>
      </c>
      <c r="D248">
        <v>5</v>
      </c>
      <c r="E248">
        <v>13</v>
      </c>
      <c r="F248">
        <v>5</v>
      </c>
      <c r="G248">
        <v>13</v>
      </c>
      <c r="H248">
        <v>4</v>
      </c>
      <c r="I248" s="202">
        <v>9</v>
      </c>
      <c r="J248" s="165">
        <v>2</v>
      </c>
      <c r="K248" s="165">
        <v>12.333714285714287</v>
      </c>
      <c r="L248" s="179">
        <v>3.8215256477394579</v>
      </c>
      <c r="M248" s="165"/>
      <c r="N248" s="179"/>
      <c r="O248" s="202"/>
      <c r="P248" s="202"/>
      <c r="Q248" s="202"/>
      <c r="R248" s="165"/>
      <c r="S248" s="165"/>
      <c r="T248" s="165"/>
      <c r="U248" s="201"/>
      <c r="V248" s="166"/>
      <c r="W248" s="166"/>
      <c r="X248" s="179"/>
      <c r="Y248" s="179"/>
    </row>
    <row r="249" spans="1:25" ht="14.65" customHeight="1">
      <c r="A249" s="163" t="s">
        <v>144</v>
      </c>
      <c r="B249" s="247"/>
      <c r="C249">
        <v>31</v>
      </c>
      <c r="D249">
        <v>14</v>
      </c>
      <c r="E249">
        <v>28</v>
      </c>
      <c r="F249">
        <v>9</v>
      </c>
      <c r="G249">
        <v>24</v>
      </c>
      <c r="H249">
        <v>14</v>
      </c>
      <c r="I249" s="202">
        <v>26</v>
      </c>
      <c r="J249" s="165">
        <v>7</v>
      </c>
      <c r="K249" s="165">
        <v>27.280149812734081</v>
      </c>
      <c r="L249" s="179">
        <v>9.7799246317231923</v>
      </c>
      <c r="M249" s="165"/>
      <c r="N249" s="179"/>
      <c r="O249" s="202"/>
      <c r="P249" s="202"/>
      <c r="Q249" s="202"/>
      <c r="R249" s="165"/>
      <c r="S249" s="165"/>
      <c r="T249" s="165"/>
      <c r="U249" s="201"/>
      <c r="V249" s="166"/>
      <c r="W249" s="166"/>
      <c r="X249" s="179"/>
      <c r="Y249" s="179"/>
    </row>
    <row r="250" spans="1:25" ht="14.65" customHeight="1">
      <c r="A250" s="163" t="s">
        <v>145</v>
      </c>
      <c r="B250" s="247"/>
      <c r="C250">
        <v>11</v>
      </c>
      <c r="D250">
        <v>6</v>
      </c>
      <c r="E250">
        <v>13</v>
      </c>
      <c r="F250">
        <v>5</v>
      </c>
      <c r="G250">
        <v>13</v>
      </c>
      <c r="H250">
        <v>6</v>
      </c>
      <c r="I250" s="202">
        <v>13</v>
      </c>
      <c r="J250" s="165">
        <v>2</v>
      </c>
      <c r="K250" s="165">
        <v>12.097546728971963</v>
      </c>
      <c r="L250" s="179">
        <v>4.0574549581500925</v>
      </c>
      <c r="M250" s="165"/>
      <c r="N250" s="179"/>
      <c r="O250" s="202"/>
      <c r="P250" s="202"/>
      <c r="Q250" s="202"/>
      <c r="R250" s="165"/>
      <c r="S250" s="165"/>
      <c r="T250" s="165"/>
      <c r="U250" s="201"/>
      <c r="V250" s="166"/>
      <c r="W250" s="166"/>
      <c r="X250" s="179"/>
      <c r="Y250" s="179"/>
    </row>
    <row r="251" spans="1:25" ht="14.65" customHeight="1">
      <c r="A251" s="163" t="s">
        <v>146</v>
      </c>
      <c r="B251" s="247"/>
      <c r="C251">
        <v>8</v>
      </c>
      <c r="D251">
        <v>5</v>
      </c>
      <c r="E251">
        <v>9</v>
      </c>
      <c r="F251">
        <v>4</v>
      </c>
      <c r="G251">
        <v>10</v>
      </c>
      <c r="H251">
        <v>3</v>
      </c>
      <c r="I251" s="202">
        <v>10</v>
      </c>
      <c r="J251" s="165">
        <v>2</v>
      </c>
      <c r="K251" s="165">
        <v>9.1985018726591754</v>
      </c>
      <c r="L251" s="179">
        <v>2.9200943149069949</v>
      </c>
      <c r="M251" s="165"/>
      <c r="N251" s="179"/>
      <c r="O251" s="202"/>
      <c r="P251" s="202"/>
      <c r="Q251" s="202"/>
      <c r="R251" s="165"/>
      <c r="S251" s="165"/>
      <c r="T251" s="165"/>
      <c r="U251" s="201"/>
      <c r="V251" s="166"/>
      <c r="W251" s="166"/>
      <c r="X251" s="179"/>
      <c r="Y251" s="179"/>
    </row>
    <row r="252" spans="1:25" ht="14.65" customHeight="1">
      <c r="A252" s="163" t="s">
        <v>147</v>
      </c>
      <c r="B252" s="247"/>
      <c r="C252">
        <v>10</v>
      </c>
      <c r="D252">
        <v>7</v>
      </c>
      <c r="E252">
        <v>13</v>
      </c>
      <c r="F252" t="s">
        <v>3</v>
      </c>
      <c r="G252">
        <v>16</v>
      </c>
      <c r="H252">
        <v>6</v>
      </c>
      <c r="I252" s="202">
        <v>15</v>
      </c>
      <c r="J252" s="165">
        <v>3</v>
      </c>
      <c r="K252" s="165">
        <v>13.491472868217054</v>
      </c>
      <c r="L252" s="179" t="s">
        <v>3</v>
      </c>
      <c r="M252" s="165"/>
      <c r="N252" s="179"/>
      <c r="O252" s="202"/>
      <c r="P252" s="202"/>
      <c r="Q252" s="202"/>
      <c r="R252" s="165"/>
      <c r="S252" s="165"/>
      <c r="T252" s="165"/>
      <c r="U252" s="201"/>
      <c r="V252" s="166"/>
      <c r="W252" s="166"/>
      <c r="X252" s="179"/>
      <c r="Y252" s="179"/>
    </row>
    <row r="253" spans="1:25" ht="14.65" customHeight="1">
      <c r="A253" s="163" t="s">
        <v>148</v>
      </c>
      <c r="B253" s="247"/>
      <c r="C253">
        <v>25</v>
      </c>
      <c r="D253">
        <v>13</v>
      </c>
      <c r="E253">
        <v>23</v>
      </c>
      <c r="F253">
        <v>13</v>
      </c>
      <c r="G253">
        <v>22</v>
      </c>
      <c r="H253">
        <v>11</v>
      </c>
      <c r="I253" s="202">
        <v>22</v>
      </c>
      <c r="J253" s="165">
        <v>5</v>
      </c>
      <c r="K253" s="165">
        <v>22.914007571660356</v>
      </c>
      <c r="L253" s="179">
        <v>8.818432374294165</v>
      </c>
      <c r="M253" s="165"/>
      <c r="N253" s="179"/>
      <c r="O253" s="202"/>
      <c r="P253" s="202"/>
      <c r="Q253" s="202"/>
      <c r="R253" s="165"/>
      <c r="S253" s="165"/>
      <c r="T253" s="165"/>
      <c r="U253" s="201"/>
      <c r="V253" s="166"/>
      <c r="W253" s="166"/>
      <c r="X253" s="179"/>
      <c r="Y253" s="179"/>
    </row>
    <row r="254" spans="1:25" ht="14.65" customHeight="1">
      <c r="A254" s="163" t="s">
        <v>149</v>
      </c>
      <c r="B254" s="247"/>
      <c r="C254">
        <v>51</v>
      </c>
      <c r="D254">
        <v>9</v>
      </c>
      <c r="E254">
        <v>41</v>
      </c>
      <c r="F254">
        <v>8</v>
      </c>
      <c r="G254">
        <v>32</v>
      </c>
      <c r="H254">
        <v>8</v>
      </c>
      <c r="I254" s="202">
        <v>30</v>
      </c>
      <c r="J254" s="165">
        <v>3</v>
      </c>
      <c r="K254" s="165">
        <v>38.981154651510622</v>
      </c>
      <c r="L254" s="179">
        <v>6.2872034079821031</v>
      </c>
      <c r="M254" s="165"/>
      <c r="N254" s="179"/>
      <c r="O254" s="202"/>
      <c r="P254" s="202"/>
      <c r="Q254" s="202"/>
      <c r="R254" s="165"/>
      <c r="S254" s="165"/>
      <c r="T254" s="165"/>
      <c r="U254" s="201"/>
      <c r="V254" s="166"/>
      <c r="W254" s="166"/>
      <c r="X254" s="179"/>
      <c r="Y254" s="179"/>
    </row>
    <row r="255" spans="1:25" ht="14.65" customHeight="1">
      <c r="A255" s="163" t="s">
        <v>150</v>
      </c>
      <c r="B255" s="247"/>
      <c r="C255">
        <v>14</v>
      </c>
      <c r="D255">
        <v>5</v>
      </c>
      <c r="E255">
        <v>18</v>
      </c>
      <c r="F255">
        <v>7</v>
      </c>
      <c r="G255">
        <v>13</v>
      </c>
      <c r="H255">
        <v>4</v>
      </c>
      <c r="I255" s="202">
        <v>14</v>
      </c>
      <c r="J255" s="165">
        <v>2</v>
      </c>
      <c r="K255" s="165">
        <v>14.250598563447726</v>
      </c>
      <c r="L255" s="179">
        <v>3.8480672500516779</v>
      </c>
      <c r="M255" s="165"/>
      <c r="N255" s="179"/>
      <c r="O255" s="202"/>
      <c r="P255" s="202"/>
      <c r="Q255" s="202"/>
      <c r="R255" s="165"/>
      <c r="S255" s="165"/>
      <c r="T255" s="165"/>
      <c r="U255" s="201"/>
      <c r="V255" s="166"/>
      <c r="W255" s="166"/>
      <c r="X255" s="179"/>
      <c r="Y255" s="179"/>
    </row>
    <row r="256" spans="1:25" ht="14.65" customHeight="1">
      <c r="A256" s="163" t="s">
        <v>248</v>
      </c>
      <c r="B256" s="247"/>
      <c r="C256">
        <v>29</v>
      </c>
      <c r="D256">
        <v>16</v>
      </c>
      <c r="E256">
        <v>24</v>
      </c>
      <c r="F256">
        <v>18</v>
      </c>
      <c r="G256">
        <v>22</v>
      </c>
      <c r="H256">
        <v>14</v>
      </c>
      <c r="I256" s="202">
        <v>19</v>
      </c>
      <c r="J256" s="165">
        <v>4</v>
      </c>
      <c r="K256" s="165">
        <v>23.435298852887904</v>
      </c>
      <c r="L256" s="179">
        <v>10.235200132799369</v>
      </c>
      <c r="M256" s="165"/>
      <c r="N256" s="179"/>
      <c r="O256" s="202"/>
      <c r="P256" s="202"/>
      <c r="Q256" s="202"/>
      <c r="R256" s="165"/>
      <c r="S256" s="165"/>
      <c r="T256" s="165"/>
      <c r="U256" s="201"/>
      <c r="V256" s="166"/>
      <c r="W256" s="166"/>
      <c r="X256" s="179"/>
      <c r="Y256" s="179"/>
    </row>
    <row r="257" spans="1:25" ht="14.65" customHeight="1">
      <c r="A257" s="163" t="s">
        <v>289</v>
      </c>
      <c r="B257" s="247"/>
      <c r="C257">
        <v>15</v>
      </c>
      <c r="D257">
        <v>14</v>
      </c>
      <c r="E257">
        <v>14</v>
      </c>
      <c r="F257">
        <v>7</v>
      </c>
      <c r="G257">
        <v>15</v>
      </c>
      <c r="H257">
        <v>10</v>
      </c>
      <c r="I257" s="202">
        <v>15</v>
      </c>
      <c r="J257" s="165">
        <v>4</v>
      </c>
      <c r="K257" s="165">
        <v>14.731398908558498</v>
      </c>
      <c r="L257" s="179">
        <v>7.577879049456687</v>
      </c>
      <c r="M257" s="165"/>
      <c r="N257" s="179"/>
      <c r="O257" s="202"/>
      <c r="P257" s="202"/>
      <c r="Q257" s="202"/>
      <c r="R257" s="165"/>
      <c r="S257" s="165"/>
      <c r="T257" s="165"/>
      <c r="U257" s="201"/>
      <c r="V257" s="166"/>
      <c r="W257" s="166"/>
      <c r="X257" s="179"/>
      <c r="Y257" s="179"/>
    </row>
    <row r="258" spans="1:25" ht="14.65" customHeight="1">
      <c r="A258" s="163" t="s">
        <v>290</v>
      </c>
      <c r="B258" s="247"/>
      <c r="C258">
        <v>26</v>
      </c>
      <c r="D258">
        <v>11</v>
      </c>
      <c r="E258">
        <v>16</v>
      </c>
      <c r="F258">
        <v>9</v>
      </c>
      <c r="G258">
        <v>17</v>
      </c>
      <c r="H258">
        <v>11</v>
      </c>
      <c r="I258" s="202">
        <v>26</v>
      </c>
      <c r="J258" s="165">
        <v>5</v>
      </c>
      <c r="K258" s="165">
        <v>21.172611464968153</v>
      </c>
      <c r="L258" s="179">
        <v>8.1378844321233643</v>
      </c>
      <c r="M258" s="165"/>
      <c r="N258" s="179"/>
      <c r="O258" s="202"/>
      <c r="P258" s="202"/>
      <c r="Q258" s="202"/>
      <c r="R258" s="165"/>
      <c r="S258" s="165"/>
      <c r="T258" s="165"/>
      <c r="U258" s="201"/>
      <c r="V258" s="166"/>
      <c r="W258" s="166"/>
      <c r="X258" s="179"/>
      <c r="Y258" s="179"/>
    </row>
    <row r="259" spans="1:25" ht="14.65" customHeight="1">
      <c r="A259" s="163" t="s">
        <v>218</v>
      </c>
      <c r="B259" s="247"/>
      <c r="C259">
        <v>28</v>
      </c>
      <c r="D259">
        <v>9</v>
      </c>
      <c r="E259">
        <v>24</v>
      </c>
      <c r="F259">
        <v>11</v>
      </c>
      <c r="G259">
        <v>16</v>
      </c>
      <c r="H259">
        <v>11</v>
      </c>
      <c r="I259" s="202">
        <v>17</v>
      </c>
      <c r="J259" s="165">
        <v>4</v>
      </c>
      <c r="K259" s="165">
        <v>21.56841607565012</v>
      </c>
      <c r="L259" s="179">
        <v>7.9492104923292342</v>
      </c>
      <c r="M259" s="165"/>
      <c r="N259" s="179"/>
      <c r="O259" s="202"/>
      <c r="P259" s="202"/>
      <c r="Q259" s="202"/>
      <c r="R259" s="165"/>
      <c r="S259" s="165"/>
      <c r="T259" s="165"/>
      <c r="U259" s="201"/>
      <c r="V259" s="166"/>
      <c r="W259" s="166"/>
      <c r="X259" s="179"/>
      <c r="Y259" s="179"/>
    </row>
    <row r="260" spans="1:25" ht="14.65" customHeight="1">
      <c r="A260" s="163" t="s">
        <v>151</v>
      </c>
      <c r="B260" s="247"/>
      <c r="C260">
        <v>28</v>
      </c>
      <c r="D260">
        <v>13</v>
      </c>
      <c r="E260">
        <v>28</v>
      </c>
      <c r="F260">
        <v>10</v>
      </c>
      <c r="G260">
        <v>27</v>
      </c>
      <c r="H260">
        <v>15</v>
      </c>
      <c r="I260" s="202">
        <v>24</v>
      </c>
      <c r="J260" s="165">
        <v>6</v>
      </c>
      <c r="K260" s="165">
        <v>26.499375000000001</v>
      </c>
      <c r="L260" s="179">
        <v>9.8204052098408106</v>
      </c>
      <c r="M260" s="165"/>
      <c r="N260" s="179"/>
      <c r="O260" s="202"/>
      <c r="P260" s="202"/>
      <c r="Q260" s="202"/>
      <c r="R260" s="165"/>
      <c r="S260" s="165"/>
      <c r="T260" s="165"/>
      <c r="U260" s="201"/>
      <c r="V260" s="166"/>
      <c r="W260" s="166"/>
      <c r="X260" s="179"/>
      <c r="Y260" s="179"/>
    </row>
    <row r="261" spans="1:25" ht="14.65" customHeight="1">
      <c r="A261" s="49" t="s">
        <v>152</v>
      </c>
      <c r="B261" s="247"/>
      <c r="C261">
        <v>43</v>
      </c>
      <c r="D261">
        <v>25</v>
      </c>
      <c r="E261">
        <v>39</v>
      </c>
      <c r="F261">
        <v>16</v>
      </c>
      <c r="G261">
        <v>43</v>
      </c>
      <c r="H261">
        <v>15</v>
      </c>
      <c r="I261" s="202">
        <v>30</v>
      </c>
      <c r="J261" s="165">
        <v>4</v>
      </c>
      <c r="K261" s="165">
        <v>38.936898395721926</v>
      </c>
      <c r="L261" s="179">
        <v>11.189828639683926</v>
      </c>
      <c r="M261" s="165"/>
      <c r="N261" s="179"/>
      <c r="O261" s="202"/>
      <c r="P261" s="202"/>
      <c r="Q261" s="202"/>
      <c r="R261" s="165"/>
      <c r="S261" s="165"/>
      <c r="T261" s="165"/>
      <c r="U261" s="201"/>
      <c r="V261" s="166"/>
      <c r="W261" s="166"/>
      <c r="X261" s="179"/>
      <c r="Y261" s="179"/>
    </row>
    <row r="262" spans="1:25" ht="14.65" customHeight="1">
      <c r="A262" s="163" t="s">
        <v>153</v>
      </c>
      <c r="B262" s="247"/>
      <c r="C262">
        <v>15</v>
      </c>
      <c r="D262">
        <v>6</v>
      </c>
      <c r="E262">
        <v>17</v>
      </c>
      <c r="F262">
        <v>7</v>
      </c>
      <c r="G262">
        <v>12</v>
      </c>
      <c r="H262">
        <v>5</v>
      </c>
      <c r="I262" s="202">
        <v>10</v>
      </c>
      <c r="J262" s="165">
        <v>2</v>
      </c>
      <c r="K262" s="165">
        <v>13.322951605174893</v>
      </c>
      <c r="L262" s="179">
        <v>4.329063375168551</v>
      </c>
      <c r="M262" s="165"/>
      <c r="N262" s="179"/>
      <c r="O262" s="202"/>
      <c r="P262" s="202"/>
      <c r="Q262" s="202"/>
      <c r="R262" s="165"/>
      <c r="S262" s="165"/>
      <c r="T262" s="165"/>
      <c r="U262" s="201"/>
      <c r="V262" s="166"/>
      <c r="W262" s="166"/>
      <c r="X262" s="179"/>
      <c r="Y262" s="179"/>
    </row>
    <row r="263" spans="1:25" ht="14.65" customHeight="1">
      <c r="A263" s="163" t="s">
        <v>249</v>
      </c>
      <c r="B263" s="247"/>
      <c r="C263">
        <v>25</v>
      </c>
      <c r="D263">
        <v>11</v>
      </c>
      <c r="E263">
        <v>27</v>
      </c>
      <c r="F263">
        <v>11</v>
      </c>
      <c r="G263">
        <v>28</v>
      </c>
      <c r="H263">
        <v>13</v>
      </c>
      <c r="I263" s="202">
        <v>25</v>
      </c>
      <c r="J263" s="165">
        <v>4</v>
      </c>
      <c r="K263" s="165">
        <v>26.455897126783203</v>
      </c>
      <c r="L263" s="179">
        <v>8.3501127836854945</v>
      </c>
      <c r="M263" s="165"/>
      <c r="N263" s="179"/>
      <c r="O263" s="202"/>
      <c r="P263" s="202"/>
      <c r="Q263" s="202"/>
      <c r="R263" s="165"/>
      <c r="S263" s="165"/>
      <c r="T263" s="165"/>
      <c r="U263" s="201"/>
      <c r="V263" s="166"/>
      <c r="W263" s="166"/>
      <c r="X263" s="179"/>
      <c r="Y263" s="179"/>
    </row>
    <row r="264" spans="1:25" ht="14.65" customHeight="1">
      <c r="A264" s="49" t="s">
        <v>154</v>
      </c>
      <c r="B264" s="247"/>
      <c r="C264">
        <v>19</v>
      </c>
      <c r="D264">
        <v>19</v>
      </c>
      <c r="E264">
        <v>15</v>
      </c>
      <c r="F264">
        <v>7</v>
      </c>
      <c r="G264">
        <v>11</v>
      </c>
      <c r="H264">
        <v>5</v>
      </c>
      <c r="I264" s="202">
        <v>16</v>
      </c>
      <c r="J264" s="165">
        <v>3</v>
      </c>
      <c r="K264" s="165">
        <v>15.502944640753828</v>
      </c>
      <c r="L264" s="179">
        <v>7.8723311966841774</v>
      </c>
      <c r="M264" s="165"/>
      <c r="N264" s="179"/>
      <c r="O264" s="202"/>
      <c r="P264" s="202"/>
      <c r="Q264" s="202"/>
      <c r="R264" s="165"/>
      <c r="S264" s="165"/>
      <c r="T264" s="165"/>
      <c r="U264" s="202"/>
      <c r="V264" s="204"/>
      <c r="W264" s="204"/>
      <c r="X264" s="179"/>
      <c r="Y264" s="179"/>
    </row>
    <row r="265" spans="1:25" ht="14.65" customHeight="1">
      <c r="A265" s="163" t="s">
        <v>155</v>
      </c>
      <c r="B265" s="247"/>
      <c r="C265">
        <v>26</v>
      </c>
      <c r="D265">
        <v>8</v>
      </c>
      <c r="E265">
        <v>17</v>
      </c>
      <c r="F265">
        <v>9</v>
      </c>
      <c r="G265">
        <v>19</v>
      </c>
      <c r="H265">
        <v>9</v>
      </c>
      <c r="I265" s="202">
        <v>20</v>
      </c>
      <c r="J265" s="165">
        <v>3</v>
      </c>
      <c r="K265" s="165">
        <v>20.307045215562567</v>
      </c>
      <c r="L265" s="179">
        <v>5.8687818253035644</v>
      </c>
      <c r="M265" s="165"/>
      <c r="N265" s="179"/>
      <c r="O265" s="202"/>
      <c r="P265" s="202"/>
      <c r="Q265" s="202"/>
      <c r="R265" s="165"/>
      <c r="S265" s="165"/>
      <c r="T265" s="165"/>
      <c r="U265" s="202"/>
      <c r="V265" s="204"/>
      <c r="W265" s="204"/>
      <c r="X265" s="179"/>
      <c r="Y265" s="179"/>
    </row>
    <row r="266" spans="1:25" ht="14.65" customHeight="1">
      <c r="A266" s="49" t="s">
        <v>156</v>
      </c>
      <c r="B266" s="247"/>
      <c r="C266">
        <v>44</v>
      </c>
      <c r="D266">
        <v>23</v>
      </c>
      <c r="E266">
        <v>33</v>
      </c>
      <c r="F266">
        <v>24</v>
      </c>
      <c r="G266">
        <v>26</v>
      </c>
      <c r="H266">
        <v>13</v>
      </c>
      <c r="I266" s="202">
        <v>18</v>
      </c>
      <c r="J266" s="165">
        <v>2</v>
      </c>
      <c r="K266" s="165">
        <v>30.031190926275993</v>
      </c>
      <c r="L266" s="179">
        <v>10.908317143121472</v>
      </c>
      <c r="M266" s="165"/>
      <c r="N266" s="179"/>
      <c r="O266" s="202"/>
      <c r="P266" s="202"/>
      <c r="Q266" s="202"/>
      <c r="R266" s="165"/>
      <c r="S266" s="165"/>
      <c r="T266" s="165"/>
      <c r="U266" s="201"/>
      <c r="V266" s="166"/>
      <c r="W266" s="166"/>
      <c r="X266" s="179"/>
      <c r="Y266" s="179"/>
    </row>
    <row r="267" spans="1:25" ht="14.65" customHeight="1">
      <c r="A267" s="163" t="s">
        <v>250</v>
      </c>
      <c r="B267" s="247"/>
      <c r="C267">
        <v>14</v>
      </c>
      <c r="D267">
        <v>15</v>
      </c>
      <c r="E267">
        <v>25</v>
      </c>
      <c r="F267">
        <v>12</v>
      </c>
      <c r="G267">
        <v>19</v>
      </c>
      <c r="H267">
        <v>11</v>
      </c>
      <c r="I267" s="202">
        <v>17</v>
      </c>
      <c r="J267" s="165">
        <v>3</v>
      </c>
      <c r="K267" s="165">
        <v>18.143794423182065</v>
      </c>
      <c r="L267" s="179">
        <v>7.9645177693655009</v>
      </c>
      <c r="M267" s="165"/>
      <c r="N267" s="179"/>
      <c r="O267" s="202"/>
      <c r="P267" s="202"/>
      <c r="Q267" s="202"/>
      <c r="R267" s="165"/>
      <c r="S267" s="165"/>
      <c r="T267" s="165"/>
      <c r="U267" s="201"/>
      <c r="V267" s="166"/>
      <c r="W267" s="166"/>
      <c r="X267" s="179"/>
      <c r="Y267" s="179"/>
    </row>
    <row r="268" spans="1:25" ht="14.65" customHeight="1">
      <c r="A268" s="163" t="s">
        <v>291</v>
      </c>
      <c r="B268" s="247"/>
      <c r="C268">
        <v>17</v>
      </c>
      <c r="D268">
        <v>9</v>
      </c>
      <c r="E268">
        <v>18</v>
      </c>
      <c r="F268">
        <v>10</v>
      </c>
      <c r="G268">
        <v>17</v>
      </c>
      <c r="H268">
        <v>10</v>
      </c>
      <c r="I268" s="202">
        <v>23</v>
      </c>
      <c r="J268" s="165">
        <v>4</v>
      </c>
      <c r="K268" s="165">
        <v>18.901736309864528</v>
      </c>
      <c r="L268" s="179">
        <v>6.8886995936230075</v>
      </c>
      <c r="M268" s="165"/>
      <c r="N268" s="179"/>
      <c r="O268" s="202"/>
      <c r="P268" s="202"/>
      <c r="Q268" s="202"/>
      <c r="R268" s="165"/>
      <c r="S268" s="165"/>
      <c r="T268" s="165"/>
      <c r="U268" s="201"/>
      <c r="V268" s="166"/>
      <c r="W268" s="166"/>
      <c r="X268" s="179"/>
      <c r="Y268" s="179"/>
    </row>
    <row r="269" spans="1:25" ht="14.65" customHeight="1">
      <c r="A269" s="163" t="s">
        <v>292</v>
      </c>
      <c r="B269" s="247"/>
      <c r="C269">
        <v>15</v>
      </c>
      <c r="D269">
        <v>11</v>
      </c>
      <c r="E269">
        <v>15</v>
      </c>
      <c r="F269">
        <v>15</v>
      </c>
      <c r="G269">
        <v>15</v>
      </c>
      <c r="H269">
        <v>16</v>
      </c>
      <c r="I269" s="202">
        <v>15</v>
      </c>
      <c r="J269" s="165">
        <v>4</v>
      </c>
      <c r="K269" s="165">
        <v>14.998013902681231</v>
      </c>
      <c r="L269" s="179">
        <v>9.5512518483246041</v>
      </c>
      <c r="M269" s="165"/>
      <c r="N269" s="179"/>
      <c r="O269" s="202"/>
      <c r="P269" s="202"/>
      <c r="Q269" s="202"/>
      <c r="R269" s="165"/>
      <c r="S269" s="165"/>
      <c r="T269" s="165"/>
      <c r="U269" s="202"/>
      <c r="V269" s="204"/>
      <c r="W269" s="204"/>
      <c r="X269" s="179"/>
      <c r="Y269" s="179"/>
    </row>
    <row r="270" spans="1:25" ht="14.65" customHeight="1">
      <c r="A270" s="49" t="s">
        <v>157</v>
      </c>
      <c r="B270" s="247"/>
      <c r="C270">
        <v>22</v>
      </c>
      <c r="D270">
        <v>15</v>
      </c>
      <c r="E270">
        <v>17</v>
      </c>
      <c r="F270">
        <v>10</v>
      </c>
      <c r="G270">
        <v>14</v>
      </c>
      <c r="H270">
        <v>6</v>
      </c>
      <c r="I270" s="202">
        <v>28</v>
      </c>
      <c r="J270" s="165">
        <v>4</v>
      </c>
      <c r="K270" s="165">
        <v>20.817204301075268</v>
      </c>
      <c r="L270" s="179">
        <v>7.0145889241278363</v>
      </c>
      <c r="M270" s="165"/>
      <c r="N270" s="179"/>
      <c r="O270" s="202"/>
      <c r="P270" s="202"/>
      <c r="Q270" s="202"/>
      <c r="R270" s="165"/>
      <c r="S270" s="165"/>
      <c r="T270" s="165"/>
      <c r="U270" s="201"/>
      <c r="V270" s="166"/>
      <c r="W270" s="166"/>
      <c r="X270" s="179"/>
      <c r="Y270" s="179"/>
    </row>
    <row r="271" spans="1:25" ht="14.65" customHeight="1">
      <c r="A271" s="49" t="s">
        <v>158</v>
      </c>
      <c r="B271" s="247"/>
      <c r="C271">
        <v>17</v>
      </c>
      <c r="D271">
        <v>13</v>
      </c>
      <c r="E271">
        <v>14</v>
      </c>
      <c r="F271">
        <v>6</v>
      </c>
      <c r="G271">
        <v>13</v>
      </c>
      <c r="H271">
        <v>7</v>
      </c>
      <c r="I271" s="202">
        <v>17</v>
      </c>
      <c r="J271" s="165">
        <v>3</v>
      </c>
      <c r="K271" s="165">
        <v>15.25083426028921</v>
      </c>
      <c r="L271" s="179">
        <v>6.2665420172431698</v>
      </c>
      <c r="M271" s="165"/>
      <c r="N271" s="179"/>
      <c r="O271" s="202"/>
      <c r="P271" s="202"/>
      <c r="Q271" s="202"/>
      <c r="R271" s="165"/>
      <c r="S271" s="165"/>
      <c r="T271" s="165"/>
      <c r="U271" s="202"/>
      <c r="V271" s="204"/>
      <c r="W271" s="204"/>
      <c r="X271" s="179"/>
      <c r="Y271" s="179"/>
    </row>
    <row r="272" spans="1:25" ht="14.65" customHeight="1">
      <c r="A272" s="163" t="s">
        <v>159</v>
      </c>
      <c r="B272" s="247"/>
      <c r="C272">
        <v>35</v>
      </c>
      <c r="D272">
        <v>14</v>
      </c>
      <c r="E272">
        <v>36</v>
      </c>
      <c r="F272">
        <v>9</v>
      </c>
      <c r="G272">
        <v>35</v>
      </c>
      <c r="H272">
        <v>10</v>
      </c>
      <c r="I272" s="202">
        <v>23</v>
      </c>
      <c r="J272" s="165">
        <v>3</v>
      </c>
      <c r="K272" s="165">
        <v>32.110120942075113</v>
      </c>
      <c r="L272" s="179">
        <v>8.0159323687205326</v>
      </c>
      <c r="M272" s="165"/>
      <c r="N272" s="179"/>
      <c r="O272" s="202"/>
      <c r="P272" s="202"/>
      <c r="Q272" s="202"/>
      <c r="R272" s="165"/>
      <c r="S272" s="165"/>
      <c r="T272" s="165"/>
      <c r="U272" s="201"/>
      <c r="V272" s="166"/>
      <c r="W272" s="166"/>
      <c r="X272" s="179"/>
      <c r="Y272" s="179"/>
    </row>
    <row r="273" spans="1:25" ht="14.65" customHeight="1">
      <c r="A273" s="163" t="s">
        <v>251</v>
      </c>
      <c r="B273" s="247"/>
      <c r="C273">
        <v>11</v>
      </c>
      <c r="D273">
        <v>13</v>
      </c>
      <c r="E273">
        <v>23</v>
      </c>
      <c r="F273">
        <v>10</v>
      </c>
      <c r="G273">
        <v>20</v>
      </c>
      <c r="H273">
        <v>10</v>
      </c>
      <c r="I273" s="202">
        <v>22</v>
      </c>
      <c r="J273" s="165">
        <v>4</v>
      </c>
      <c r="K273" s="165">
        <v>17.951325040562466</v>
      </c>
      <c r="L273" s="179">
        <v>7.8425277662049977</v>
      </c>
      <c r="M273" s="165"/>
      <c r="N273" s="179"/>
      <c r="O273" s="202"/>
      <c r="P273" s="202"/>
      <c r="Q273" s="202"/>
      <c r="R273" s="165"/>
      <c r="S273" s="165"/>
      <c r="T273" s="165"/>
      <c r="U273" s="201"/>
      <c r="V273" s="166"/>
      <c r="W273" s="166"/>
      <c r="X273" s="179"/>
      <c r="Y273" s="179"/>
    </row>
    <row r="274" spans="1:25" ht="14.65" customHeight="1">
      <c r="A274" s="163" t="s">
        <v>160</v>
      </c>
      <c r="B274" s="247"/>
      <c r="C274">
        <v>24</v>
      </c>
      <c r="D274">
        <v>10</v>
      </c>
      <c r="E274">
        <v>31</v>
      </c>
      <c r="F274">
        <v>13</v>
      </c>
      <c r="G274">
        <v>22</v>
      </c>
      <c r="H274">
        <v>8</v>
      </c>
      <c r="I274" s="202">
        <v>28</v>
      </c>
      <c r="J274" s="165">
        <v>5</v>
      </c>
      <c r="K274" s="165">
        <v>26.435438265786992</v>
      </c>
      <c r="L274" s="179">
        <v>8.1869023471457556</v>
      </c>
      <c r="M274" s="165"/>
      <c r="N274" s="179"/>
      <c r="O274" s="202"/>
      <c r="P274" s="202"/>
      <c r="Q274" s="202"/>
      <c r="R274" s="165"/>
      <c r="S274" s="165"/>
      <c r="T274" s="165"/>
      <c r="U274" s="201"/>
      <c r="V274" s="166"/>
      <c r="W274" s="166"/>
      <c r="X274" s="179"/>
      <c r="Y274" s="179"/>
    </row>
    <row r="275" spans="1:25" ht="14.65" customHeight="1">
      <c r="A275" s="163" t="s">
        <v>219</v>
      </c>
      <c r="B275" s="247"/>
      <c r="C275">
        <v>18</v>
      </c>
      <c r="D275">
        <v>7</v>
      </c>
      <c r="E275">
        <v>16</v>
      </c>
      <c r="F275">
        <v>8</v>
      </c>
      <c r="G275">
        <v>16</v>
      </c>
      <c r="H275">
        <v>9</v>
      </c>
      <c r="I275" s="202">
        <v>17</v>
      </c>
      <c r="J275" s="165">
        <v>4</v>
      </c>
      <c r="K275" s="165">
        <v>16.663941605839415</v>
      </c>
      <c r="L275" s="179">
        <v>6.0541734638390432</v>
      </c>
      <c r="M275" s="165"/>
      <c r="N275" s="179"/>
      <c r="O275" s="202"/>
      <c r="P275" s="202"/>
      <c r="Q275" s="202"/>
      <c r="R275" s="165"/>
      <c r="S275" s="165"/>
      <c r="T275" s="165"/>
      <c r="U275" s="201"/>
      <c r="V275" s="166"/>
      <c r="W275" s="166"/>
      <c r="X275" s="179"/>
      <c r="Y275" s="179"/>
    </row>
    <row r="276" spans="1:25" ht="14.65" customHeight="1">
      <c r="A276" s="163" t="s">
        <v>161</v>
      </c>
      <c r="B276" s="247"/>
      <c r="C276">
        <v>23</v>
      </c>
      <c r="D276">
        <v>12</v>
      </c>
      <c r="E276">
        <v>17</v>
      </c>
      <c r="F276">
        <v>8</v>
      </c>
      <c r="G276">
        <v>18</v>
      </c>
      <c r="H276">
        <v>7</v>
      </c>
      <c r="I276" s="202">
        <v>16</v>
      </c>
      <c r="J276" s="165">
        <v>3</v>
      </c>
      <c r="K276" s="165">
        <v>18.74064346684176</v>
      </c>
      <c r="L276" s="179">
        <v>6.3791605084244756</v>
      </c>
      <c r="M276" s="165"/>
      <c r="N276" s="179"/>
      <c r="O276" s="202"/>
      <c r="P276" s="202"/>
      <c r="Q276" s="202"/>
      <c r="R276" s="165"/>
      <c r="S276" s="165"/>
      <c r="T276" s="165"/>
      <c r="U276" s="201"/>
      <c r="V276" s="166"/>
      <c r="W276" s="166"/>
      <c r="X276" s="179"/>
      <c r="Y276" s="179"/>
    </row>
    <row r="277" spans="1:25" ht="14.65" customHeight="1">
      <c r="A277" s="163" t="s">
        <v>293</v>
      </c>
      <c r="B277" s="247"/>
      <c r="C277">
        <v>16</v>
      </c>
      <c r="D277">
        <v>7</v>
      </c>
      <c r="E277">
        <v>16</v>
      </c>
      <c r="F277">
        <v>6</v>
      </c>
      <c r="G277">
        <v>16</v>
      </c>
      <c r="H277">
        <v>7</v>
      </c>
      <c r="I277" s="202">
        <v>17</v>
      </c>
      <c r="J277" s="165">
        <v>3</v>
      </c>
      <c r="K277" s="165">
        <v>16.08532240826505</v>
      </c>
      <c r="L277" s="179">
        <v>5.0300970146458406</v>
      </c>
      <c r="M277" s="165"/>
      <c r="N277" s="179"/>
      <c r="O277" s="202"/>
      <c r="P277" s="202"/>
      <c r="Q277" s="202"/>
      <c r="R277" s="165"/>
      <c r="S277" s="165"/>
      <c r="T277" s="165"/>
      <c r="U277" s="201"/>
      <c r="V277" s="166"/>
      <c r="W277" s="166"/>
      <c r="X277" s="179"/>
      <c r="Y277" s="179"/>
    </row>
    <row r="278" spans="1:25" ht="14.65" customHeight="1">
      <c r="A278" s="49" t="s">
        <v>252</v>
      </c>
      <c r="B278" s="247"/>
      <c r="C278">
        <v>33</v>
      </c>
      <c r="D278">
        <v>24</v>
      </c>
      <c r="E278">
        <v>26</v>
      </c>
      <c r="F278">
        <v>20</v>
      </c>
      <c r="G278">
        <v>18</v>
      </c>
      <c r="H278">
        <v>18</v>
      </c>
      <c r="I278" s="202">
        <v>20</v>
      </c>
      <c r="J278" s="165">
        <v>13</v>
      </c>
      <c r="K278" s="165">
        <v>24.40480935299588</v>
      </c>
      <c r="L278" s="179">
        <v>18.375019153174318</v>
      </c>
      <c r="M278" s="165"/>
      <c r="N278" s="179"/>
      <c r="O278" s="202"/>
      <c r="P278" s="202"/>
      <c r="Q278" s="202"/>
      <c r="R278" s="165"/>
      <c r="S278" s="165"/>
      <c r="T278" s="165"/>
      <c r="U278" s="201"/>
      <c r="V278" s="166"/>
      <c r="W278" s="166"/>
      <c r="X278" s="179"/>
      <c r="Y278" s="179"/>
    </row>
    <row r="279" spans="1:25" ht="14.65" customHeight="1">
      <c r="A279" s="163" t="s">
        <v>162</v>
      </c>
      <c r="B279" s="247"/>
      <c r="C279">
        <v>32</v>
      </c>
      <c r="D279">
        <v>13</v>
      </c>
      <c r="E279">
        <v>36</v>
      </c>
      <c r="F279">
        <v>16</v>
      </c>
      <c r="G279">
        <v>31</v>
      </c>
      <c r="H279">
        <v>17</v>
      </c>
      <c r="I279" s="202">
        <v>27</v>
      </c>
      <c r="J279" s="165">
        <v>5</v>
      </c>
      <c r="K279" s="165">
        <v>31.525656324582339</v>
      </c>
      <c r="L279" s="179">
        <v>10.22347475575596</v>
      </c>
      <c r="M279" s="165"/>
      <c r="N279" s="179"/>
      <c r="O279" s="202"/>
      <c r="P279" s="202"/>
      <c r="Q279" s="202"/>
      <c r="R279" s="165"/>
      <c r="S279" s="165"/>
      <c r="T279" s="165"/>
      <c r="U279" s="201"/>
      <c r="V279" s="166"/>
      <c r="W279" s="166"/>
      <c r="X279" s="179"/>
      <c r="Y279" s="179"/>
    </row>
    <row r="280" spans="1:25" ht="14.65" customHeight="1">
      <c r="A280" s="163" t="s">
        <v>163</v>
      </c>
      <c r="B280" s="247"/>
      <c r="C280">
        <v>23</v>
      </c>
      <c r="D280">
        <v>10</v>
      </c>
      <c r="E280">
        <v>20</v>
      </c>
      <c r="F280">
        <v>8</v>
      </c>
      <c r="G280">
        <v>18</v>
      </c>
      <c r="H280">
        <v>8</v>
      </c>
      <c r="I280" s="202">
        <v>18</v>
      </c>
      <c r="J280" s="165">
        <v>4</v>
      </c>
      <c r="K280" s="165">
        <v>19.482320942883046</v>
      </c>
      <c r="L280" s="179">
        <v>6.5627851401260049</v>
      </c>
      <c r="M280" s="165"/>
      <c r="N280" s="179"/>
      <c r="O280" s="202"/>
      <c r="P280" s="202"/>
      <c r="Q280" s="202"/>
      <c r="R280" s="165"/>
      <c r="S280" s="165"/>
      <c r="T280" s="165"/>
      <c r="U280" s="202"/>
      <c r="V280" s="204"/>
      <c r="W280" s="204"/>
      <c r="X280" s="179"/>
      <c r="Y280" s="179"/>
    </row>
    <row r="281" spans="1:25" ht="14.65" customHeight="1">
      <c r="A281" s="49" t="s">
        <v>164</v>
      </c>
      <c r="B281" s="247"/>
      <c r="C281">
        <v>10</v>
      </c>
      <c r="D281">
        <v>6</v>
      </c>
      <c r="E281">
        <v>14</v>
      </c>
      <c r="F281">
        <v>6</v>
      </c>
      <c r="G281">
        <v>17</v>
      </c>
      <c r="H281">
        <v>6</v>
      </c>
      <c r="I281" s="202">
        <v>15</v>
      </c>
      <c r="J281" s="165">
        <v>3</v>
      </c>
      <c r="K281" s="165">
        <v>13.447718631178708</v>
      </c>
      <c r="L281" s="179">
        <v>4.2906208198914157</v>
      </c>
      <c r="M281" s="165"/>
      <c r="N281" s="179"/>
      <c r="O281" s="202"/>
      <c r="P281" s="202"/>
      <c r="Q281" s="202"/>
      <c r="R281" s="165"/>
      <c r="S281" s="165"/>
      <c r="T281" s="165"/>
      <c r="U281" s="201"/>
      <c r="V281" s="166"/>
      <c r="W281" s="166"/>
      <c r="X281" s="179"/>
      <c r="Y281" s="179"/>
    </row>
    <row r="282" spans="1:25" ht="14.65" customHeight="1">
      <c r="A282" s="163" t="s">
        <v>165</v>
      </c>
      <c r="B282" s="247"/>
      <c r="C282">
        <v>16</v>
      </c>
      <c r="D282">
        <v>8</v>
      </c>
      <c r="E282">
        <v>20</v>
      </c>
      <c r="F282">
        <v>8</v>
      </c>
      <c r="G282">
        <v>16</v>
      </c>
      <c r="H282">
        <v>8</v>
      </c>
      <c r="I282" s="202">
        <v>16</v>
      </c>
      <c r="J282" s="165">
        <v>3</v>
      </c>
      <c r="K282" s="165">
        <v>17.154825462012319</v>
      </c>
      <c r="L282" s="179">
        <v>5.1312144486936404</v>
      </c>
      <c r="M282" s="165"/>
      <c r="N282" s="179"/>
      <c r="O282" s="202"/>
      <c r="P282" s="202"/>
      <c r="Q282" s="202"/>
      <c r="R282" s="165"/>
      <c r="S282" s="165"/>
      <c r="T282" s="165"/>
      <c r="U282" s="201"/>
      <c r="V282" s="166"/>
      <c r="W282" s="166"/>
      <c r="X282" s="179"/>
      <c r="Y282" s="179"/>
    </row>
    <row r="283" spans="1:25" ht="14.65" customHeight="1">
      <c r="A283" s="163" t="s">
        <v>823</v>
      </c>
      <c r="B283" s="247"/>
      <c r="C283">
        <v>14</v>
      </c>
      <c r="D283">
        <v>9</v>
      </c>
      <c r="E283">
        <v>11</v>
      </c>
      <c r="F283">
        <v>7</v>
      </c>
      <c r="G283">
        <v>11</v>
      </c>
      <c r="H283">
        <v>6</v>
      </c>
      <c r="I283" s="202">
        <v>12</v>
      </c>
      <c r="J283" s="165">
        <v>3</v>
      </c>
      <c r="K283" s="165">
        <v>12.149090233939845</v>
      </c>
      <c r="L283" s="179">
        <v>5.6698552333774606</v>
      </c>
      <c r="M283" s="165"/>
      <c r="N283" s="179"/>
      <c r="O283" s="202"/>
      <c r="P283" s="202"/>
      <c r="Q283" s="202"/>
      <c r="R283" s="165"/>
      <c r="S283" s="165"/>
      <c r="T283" s="165"/>
      <c r="U283" s="201"/>
      <c r="V283" s="166"/>
      <c r="W283" s="166"/>
      <c r="X283" s="179"/>
      <c r="Y283" s="179"/>
    </row>
    <row r="284" spans="1:25" ht="14.65" customHeight="1">
      <c r="A284" s="163" t="s">
        <v>166</v>
      </c>
      <c r="B284" s="247"/>
      <c r="C284">
        <v>7</v>
      </c>
      <c r="D284">
        <v>5</v>
      </c>
      <c r="E284">
        <v>5</v>
      </c>
      <c r="F284">
        <v>3</v>
      </c>
      <c r="G284">
        <v>6</v>
      </c>
      <c r="H284">
        <v>2</v>
      </c>
      <c r="I284" s="202">
        <v>5</v>
      </c>
      <c r="J284" s="165">
        <v>2</v>
      </c>
      <c r="K284" s="165">
        <v>5.9123249299719891</v>
      </c>
      <c r="L284" s="179">
        <v>2.7058096415327566</v>
      </c>
      <c r="M284" s="165"/>
      <c r="N284" s="179"/>
      <c r="O284" s="202"/>
      <c r="P284" s="202"/>
      <c r="Q284" s="202"/>
      <c r="R284" s="165"/>
      <c r="S284" s="165"/>
      <c r="T284" s="165"/>
      <c r="U284" s="201"/>
      <c r="V284" s="166"/>
      <c r="W284" s="166"/>
      <c r="X284" s="179"/>
      <c r="Y284" s="179"/>
    </row>
    <row r="285" spans="1:25" ht="14.65" customHeight="1">
      <c r="A285" s="163" t="s">
        <v>167</v>
      </c>
      <c r="B285" s="247"/>
      <c r="C285">
        <v>20</v>
      </c>
      <c r="D285">
        <v>9</v>
      </c>
      <c r="E285">
        <v>19</v>
      </c>
      <c r="F285">
        <v>9</v>
      </c>
      <c r="G285">
        <v>20</v>
      </c>
      <c r="H285">
        <v>12</v>
      </c>
      <c r="I285" s="202">
        <v>19</v>
      </c>
      <c r="J285" s="165">
        <v>4</v>
      </c>
      <c r="K285" s="165">
        <v>19.286880466472304</v>
      </c>
      <c r="L285" s="179">
        <v>7.1096578424191694</v>
      </c>
      <c r="M285" s="165"/>
      <c r="N285" s="179"/>
      <c r="O285" s="202"/>
      <c r="P285" s="202"/>
      <c r="Q285" s="202"/>
      <c r="R285" s="165"/>
      <c r="S285" s="165"/>
      <c r="T285" s="165"/>
      <c r="U285" s="201"/>
      <c r="V285" s="166"/>
      <c r="W285" s="166"/>
      <c r="X285" s="179"/>
      <c r="Y285" s="179"/>
    </row>
    <row r="286" spans="1:25" ht="14.65" customHeight="1">
      <c r="A286" s="163" t="s">
        <v>168</v>
      </c>
      <c r="B286" s="247"/>
      <c r="C286">
        <v>28</v>
      </c>
      <c r="D286">
        <v>20</v>
      </c>
      <c r="E286">
        <v>28</v>
      </c>
      <c r="F286">
        <v>14</v>
      </c>
      <c r="G286">
        <v>25</v>
      </c>
      <c r="H286">
        <v>18</v>
      </c>
      <c r="I286" s="202">
        <v>27</v>
      </c>
      <c r="J286" s="165">
        <v>7</v>
      </c>
      <c r="K286" s="165">
        <v>26.928947368421053</v>
      </c>
      <c r="L286" s="179">
        <v>12.835946924004825</v>
      </c>
      <c r="M286" s="165"/>
      <c r="N286" s="179"/>
      <c r="O286" s="202"/>
      <c r="P286" s="202"/>
      <c r="Q286" s="202"/>
      <c r="R286" s="165"/>
      <c r="S286" s="165"/>
      <c r="T286" s="165"/>
      <c r="U286" s="201"/>
      <c r="V286" s="166"/>
      <c r="W286" s="166"/>
      <c r="X286" s="179"/>
      <c r="Y286" s="179"/>
    </row>
    <row r="287" spans="1:25" ht="14.65" customHeight="1">
      <c r="A287" s="163" t="s">
        <v>169</v>
      </c>
      <c r="B287" s="247"/>
      <c r="C287">
        <v>11</v>
      </c>
      <c r="D287">
        <v>7</v>
      </c>
      <c r="E287">
        <v>16</v>
      </c>
      <c r="F287">
        <v>8</v>
      </c>
      <c r="G287">
        <v>18</v>
      </c>
      <c r="H287">
        <v>8</v>
      </c>
      <c r="I287" s="202">
        <v>17</v>
      </c>
      <c r="J287" s="165">
        <v>3</v>
      </c>
      <c r="K287" s="165">
        <v>15.402348117778606</v>
      </c>
      <c r="L287" s="179">
        <v>5.5931467476608843</v>
      </c>
      <c r="M287" s="165"/>
      <c r="N287" s="179"/>
      <c r="O287" s="202"/>
      <c r="P287" s="202"/>
      <c r="Q287" s="202"/>
      <c r="R287" s="165"/>
      <c r="S287" s="165"/>
      <c r="T287" s="165"/>
      <c r="U287" s="201"/>
      <c r="V287" s="166"/>
      <c r="W287" s="166"/>
      <c r="X287" s="179"/>
      <c r="Y287" s="179"/>
    </row>
    <row r="288" spans="1:25" ht="14.65" customHeight="1">
      <c r="A288" s="163" t="s">
        <v>170</v>
      </c>
      <c r="B288" s="247"/>
      <c r="C288">
        <v>21</v>
      </c>
      <c r="D288">
        <v>19</v>
      </c>
      <c r="E288">
        <v>18</v>
      </c>
      <c r="F288">
        <v>22</v>
      </c>
      <c r="G288">
        <v>20</v>
      </c>
      <c r="H288">
        <v>15</v>
      </c>
      <c r="I288" s="202">
        <v>17</v>
      </c>
      <c r="J288" s="165">
        <v>6</v>
      </c>
      <c r="K288" s="165">
        <v>18.850642927794262</v>
      </c>
      <c r="L288" s="179">
        <v>12.737129253050293</v>
      </c>
      <c r="M288" s="165"/>
      <c r="N288" s="179"/>
      <c r="O288" s="202"/>
      <c r="P288" s="202"/>
      <c r="Q288" s="202"/>
      <c r="R288" s="165"/>
      <c r="S288" s="165"/>
      <c r="T288" s="165"/>
      <c r="U288" s="201"/>
      <c r="V288" s="166"/>
      <c r="W288" s="166"/>
      <c r="X288" s="179"/>
      <c r="Y288" s="179"/>
    </row>
    <row r="289" spans="1:25" ht="14.65" customHeight="1">
      <c r="A289" s="163" t="s">
        <v>294</v>
      </c>
      <c r="B289" s="247"/>
      <c r="C289">
        <v>28</v>
      </c>
      <c r="D289">
        <v>9</v>
      </c>
      <c r="E289">
        <v>23</v>
      </c>
      <c r="F289">
        <v>8</v>
      </c>
      <c r="G289">
        <v>31</v>
      </c>
      <c r="H289">
        <v>11</v>
      </c>
      <c r="I289" s="202">
        <v>37</v>
      </c>
      <c r="J289" s="165">
        <v>6</v>
      </c>
      <c r="K289" s="165">
        <v>30.048022598870055</v>
      </c>
      <c r="L289" s="179">
        <v>7.7226100515773064</v>
      </c>
      <c r="M289" s="165"/>
      <c r="N289" s="179"/>
      <c r="O289" s="202"/>
      <c r="P289" s="202"/>
      <c r="Q289" s="202"/>
      <c r="R289" s="165"/>
      <c r="S289" s="165"/>
      <c r="T289" s="165"/>
      <c r="U289" s="201"/>
      <c r="V289" s="166"/>
      <c r="W289" s="166"/>
      <c r="X289" s="179"/>
      <c r="Y289" s="179"/>
    </row>
    <row r="290" spans="1:25" ht="14.65" customHeight="1">
      <c r="A290" s="163" t="s">
        <v>353</v>
      </c>
      <c r="B290" s="247"/>
      <c r="C290">
        <v>36</v>
      </c>
      <c r="D290">
        <v>11</v>
      </c>
      <c r="E290">
        <v>43</v>
      </c>
      <c r="F290">
        <v>13</v>
      </c>
      <c r="G290">
        <v>35</v>
      </c>
      <c r="H290">
        <v>14</v>
      </c>
      <c r="I290" s="202">
        <v>32</v>
      </c>
      <c r="J290" s="165">
        <v>4</v>
      </c>
      <c r="K290" s="165">
        <v>36.443985849056602</v>
      </c>
      <c r="L290" s="179">
        <v>8.6149565689467966</v>
      </c>
      <c r="M290" s="165"/>
      <c r="N290" s="179"/>
      <c r="O290" s="202"/>
      <c r="P290" s="202"/>
      <c r="Q290" s="202"/>
      <c r="R290" s="165"/>
      <c r="S290" s="165"/>
      <c r="T290" s="165"/>
      <c r="U290" s="202"/>
      <c r="V290" s="204"/>
      <c r="W290" s="204"/>
      <c r="X290" s="179"/>
      <c r="Y290" s="179"/>
    </row>
    <row r="291" spans="1:25" ht="14.65" customHeight="1">
      <c r="A291" s="163" t="s">
        <v>295</v>
      </c>
      <c r="B291" s="247"/>
      <c r="C291">
        <v>18</v>
      </c>
      <c r="D291">
        <v>10</v>
      </c>
      <c r="E291">
        <v>23</v>
      </c>
      <c r="F291">
        <v>8</v>
      </c>
      <c r="G291">
        <v>21</v>
      </c>
      <c r="H291">
        <v>9</v>
      </c>
      <c r="I291" s="202">
        <v>31</v>
      </c>
      <c r="J291" s="165">
        <v>6</v>
      </c>
      <c r="K291" s="165">
        <v>22.925659472422062</v>
      </c>
      <c r="L291" s="179">
        <v>7.5616932837453508</v>
      </c>
      <c r="M291" s="165"/>
      <c r="N291" s="179"/>
      <c r="O291" s="202"/>
      <c r="P291" s="202"/>
      <c r="Q291" s="202"/>
      <c r="R291" s="165"/>
      <c r="S291" s="165"/>
      <c r="T291" s="165"/>
      <c r="U291" s="202"/>
      <c r="V291" s="204"/>
      <c r="W291" s="204"/>
      <c r="X291" s="179"/>
      <c r="Y291" s="179"/>
    </row>
    <row r="292" spans="1:25" ht="14.65" customHeight="1">
      <c r="A292" s="163" t="s">
        <v>171</v>
      </c>
      <c r="B292" s="247"/>
      <c r="C292">
        <v>15</v>
      </c>
      <c r="D292">
        <v>5</v>
      </c>
      <c r="E292">
        <v>15</v>
      </c>
      <c r="F292">
        <v>6</v>
      </c>
      <c r="G292">
        <v>15</v>
      </c>
      <c r="H292">
        <v>7</v>
      </c>
      <c r="I292" s="202">
        <v>16</v>
      </c>
      <c r="J292" s="165">
        <v>3</v>
      </c>
      <c r="K292" s="165">
        <v>15.472691807542263</v>
      </c>
      <c r="L292" s="179">
        <v>4.7284090053459833</v>
      </c>
      <c r="M292" s="165"/>
      <c r="N292" s="179"/>
      <c r="O292" s="202"/>
      <c r="P292" s="202"/>
      <c r="Q292" s="202"/>
      <c r="R292" s="165"/>
      <c r="S292" s="165"/>
      <c r="T292" s="165"/>
      <c r="U292" s="201"/>
      <c r="V292" s="166"/>
      <c r="W292" s="166"/>
      <c r="X292" s="179"/>
      <c r="Y292" s="179"/>
    </row>
    <row r="293" spans="1:25" ht="14.65" customHeight="1">
      <c r="A293" s="49" t="s">
        <v>220</v>
      </c>
      <c r="B293" s="247"/>
      <c r="C293">
        <v>25</v>
      </c>
      <c r="D293">
        <v>6</v>
      </c>
      <c r="E293">
        <v>24</v>
      </c>
      <c r="F293">
        <v>4</v>
      </c>
      <c r="G293">
        <v>22</v>
      </c>
      <c r="H293">
        <v>5</v>
      </c>
      <c r="I293" s="202">
        <v>25</v>
      </c>
      <c r="J293" s="165">
        <v>3</v>
      </c>
      <c r="K293" s="165">
        <v>23.932583017606419</v>
      </c>
      <c r="L293" s="179">
        <v>4.2553011822105464</v>
      </c>
      <c r="M293" s="165"/>
      <c r="N293" s="179"/>
      <c r="O293" s="202"/>
      <c r="P293" s="202"/>
      <c r="Q293" s="202"/>
      <c r="R293" s="165"/>
      <c r="S293" s="165"/>
      <c r="T293" s="165"/>
      <c r="U293" s="201"/>
      <c r="V293" s="166"/>
      <c r="W293" s="166"/>
      <c r="X293" s="179"/>
      <c r="Y293" s="179"/>
    </row>
    <row r="294" spans="1:25" ht="14.65" customHeight="1">
      <c r="A294" s="163" t="s">
        <v>253</v>
      </c>
      <c r="B294" s="247"/>
      <c r="C294">
        <v>13</v>
      </c>
      <c r="D294">
        <v>10</v>
      </c>
      <c r="E294">
        <v>22</v>
      </c>
      <c r="F294">
        <v>13</v>
      </c>
      <c r="G294">
        <v>15</v>
      </c>
      <c r="H294">
        <v>15</v>
      </c>
      <c r="I294" s="202">
        <v>15</v>
      </c>
      <c r="J294" s="165">
        <v>5</v>
      </c>
      <c r="K294" s="165">
        <v>16.119587109768378</v>
      </c>
      <c r="L294" s="179">
        <v>8.9460182061238775</v>
      </c>
      <c r="M294" s="165"/>
      <c r="N294" s="179"/>
      <c r="O294" s="202"/>
      <c r="P294" s="202"/>
      <c r="Q294" s="202"/>
      <c r="R294" s="165"/>
      <c r="S294" s="165"/>
      <c r="T294" s="165"/>
      <c r="U294" s="201"/>
      <c r="V294" s="166"/>
      <c r="W294" s="166"/>
      <c r="X294" s="179"/>
      <c r="Y294" s="179"/>
    </row>
    <row r="295" spans="1:25" ht="14.65" customHeight="1">
      <c r="A295" s="163" t="s">
        <v>172</v>
      </c>
      <c r="B295" s="247"/>
      <c r="C295">
        <v>20</v>
      </c>
      <c r="D295">
        <v>10</v>
      </c>
      <c r="E295">
        <v>13</v>
      </c>
      <c r="F295">
        <v>6</v>
      </c>
      <c r="G295">
        <v>15</v>
      </c>
      <c r="H295">
        <v>9</v>
      </c>
      <c r="I295" s="202">
        <v>15</v>
      </c>
      <c r="J295" s="165">
        <v>3</v>
      </c>
      <c r="K295" s="165">
        <v>15.765674477517416</v>
      </c>
      <c r="L295" s="179">
        <v>6.0892448512585808</v>
      </c>
      <c r="M295" s="165"/>
      <c r="N295" s="179"/>
      <c r="O295" s="202"/>
      <c r="P295" s="202"/>
      <c r="Q295" s="202"/>
      <c r="R295" s="165"/>
      <c r="S295" s="165"/>
      <c r="T295" s="165"/>
      <c r="U295" s="201"/>
      <c r="V295" s="166"/>
      <c r="W295" s="166"/>
      <c r="X295" s="179"/>
      <c r="Y295" s="179"/>
    </row>
    <row r="296" spans="1:25" ht="14.65" customHeight="1">
      <c r="A296" s="49" t="s">
        <v>173</v>
      </c>
      <c r="B296" s="247"/>
      <c r="C296">
        <v>21</v>
      </c>
      <c r="D296">
        <v>7</v>
      </c>
      <c r="E296">
        <v>25</v>
      </c>
      <c r="F296">
        <v>7</v>
      </c>
      <c r="G296">
        <v>20</v>
      </c>
      <c r="H296">
        <v>6</v>
      </c>
      <c r="I296" s="202">
        <v>21</v>
      </c>
      <c r="J296" s="165">
        <v>4</v>
      </c>
      <c r="K296" s="165">
        <v>21.62785388127854</v>
      </c>
      <c r="L296" s="179">
        <v>5.3466486120514558</v>
      </c>
      <c r="M296" s="165"/>
      <c r="N296" s="179"/>
      <c r="O296" s="202"/>
      <c r="P296" s="202"/>
      <c r="Q296" s="202"/>
      <c r="R296" s="165"/>
      <c r="S296" s="165"/>
      <c r="T296" s="165"/>
      <c r="U296" s="201"/>
      <c r="V296" s="166"/>
      <c r="W296" s="166"/>
      <c r="X296" s="179"/>
      <c r="Y296" s="179"/>
    </row>
    <row r="297" spans="1:25" ht="14.65" customHeight="1">
      <c r="A297" s="163" t="s">
        <v>174</v>
      </c>
      <c r="B297" s="247"/>
      <c r="C297">
        <v>11</v>
      </c>
      <c r="D297">
        <v>7</v>
      </c>
      <c r="E297">
        <v>12</v>
      </c>
      <c r="F297">
        <v>6</v>
      </c>
      <c r="G297">
        <v>14</v>
      </c>
      <c r="H297">
        <v>8</v>
      </c>
      <c r="I297" s="202">
        <v>16</v>
      </c>
      <c r="J297" s="165">
        <v>4</v>
      </c>
      <c r="K297" s="165">
        <v>13.084697508896797</v>
      </c>
      <c r="L297" s="179">
        <v>5.4202515810688716</v>
      </c>
      <c r="M297" s="165"/>
      <c r="N297" s="179"/>
      <c r="O297" s="202"/>
      <c r="P297" s="202"/>
      <c r="Q297" s="202"/>
      <c r="R297" s="165"/>
      <c r="S297" s="165"/>
      <c r="T297" s="165"/>
      <c r="U297" s="201"/>
      <c r="V297" s="166"/>
      <c r="W297" s="166"/>
      <c r="X297" s="179"/>
      <c r="Y297" s="179"/>
    </row>
    <row r="298" spans="1:25" ht="14.65" customHeight="1">
      <c r="A298" s="49" t="s">
        <v>254</v>
      </c>
      <c r="B298" s="247"/>
      <c r="C298">
        <v>26</v>
      </c>
      <c r="D298">
        <v>14</v>
      </c>
      <c r="E298">
        <v>23</v>
      </c>
      <c r="F298">
        <v>12</v>
      </c>
      <c r="G298">
        <v>24</v>
      </c>
      <c r="H298">
        <v>14</v>
      </c>
      <c r="I298" s="202">
        <v>26</v>
      </c>
      <c r="J298" s="165">
        <v>6</v>
      </c>
      <c r="K298" s="165">
        <v>24.659432933478737</v>
      </c>
      <c r="L298" s="179">
        <v>10.156373761306055</v>
      </c>
      <c r="M298" s="165"/>
      <c r="N298" s="179"/>
      <c r="O298" s="202"/>
      <c r="P298" s="202"/>
      <c r="Q298" s="202"/>
      <c r="R298" s="165"/>
      <c r="S298" s="165"/>
      <c r="T298" s="165"/>
      <c r="U298" s="201"/>
      <c r="V298" s="166"/>
      <c r="W298" s="166"/>
      <c r="X298" s="179"/>
      <c r="Y298" s="179"/>
    </row>
    <row r="299" spans="1:25" ht="14.65" customHeight="1">
      <c r="A299" s="163" t="s">
        <v>255</v>
      </c>
      <c r="B299" s="247"/>
      <c r="C299">
        <v>35</v>
      </c>
      <c r="D299">
        <v>10</v>
      </c>
      <c r="E299">
        <v>34</v>
      </c>
      <c r="F299">
        <v>11</v>
      </c>
      <c r="G299">
        <v>29</v>
      </c>
      <c r="H299">
        <v>11</v>
      </c>
      <c r="I299" s="202">
        <v>31</v>
      </c>
      <c r="J299" s="165">
        <v>4</v>
      </c>
      <c r="K299" s="165">
        <v>32.414830736163353</v>
      </c>
      <c r="L299" s="179">
        <v>7.7379226114472877</v>
      </c>
      <c r="M299" s="165"/>
      <c r="N299" s="179"/>
      <c r="O299" s="202"/>
      <c r="P299" s="202"/>
      <c r="Q299" s="202"/>
      <c r="R299" s="165"/>
      <c r="S299" s="165"/>
      <c r="T299" s="165"/>
      <c r="U299" s="202"/>
      <c r="V299" s="204"/>
      <c r="W299" s="204"/>
      <c r="X299" s="179"/>
      <c r="Y299" s="179"/>
    </row>
    <row r="300" spans="1:25" ht="14.65" customHeight="1">
      <c r="A300" s="163" t="s">
        <v>221</v>
      </c>
      <c r="B300" s="247"/>
      <c r="C300">
        <v>49</v>
      </c>
      <c r="D300">
        <v>21</v>
      </c>
      <c r="E300">
        <v>36</v>
      </c>
      <c r="F300">
        <v>23</v>
      </c>
      <c r="G300">
        <v>24</v>
      </c>
      <c r="H300">
        <v>15</v>
      </c>
      <c r="I300" s="202">
        <v>23</v>
      </c>
      <c r="J300" s="165">
        <v>5</v>
      </c>
      <c r="K300" s="165">
        <v>33.510034033564139</v>
      </c>
      <c r="L300" s="179">
        <v>13.420374220374221</v>
      </c>
      <c r="M300" s="165"/>
      <c r="N300" s="179"/>
      <c r="O300" s="202"/>
      <c r="P300" s="202"/>
      <c r="Q300" s="202"/>
      <c r="R300" s="165"/>
      <c r="S300" s="165"/>
      <c r="T300" s="165"/>
      <c r="U300" s="201"/>
      <c r="V300" s="166"/>
      <c r="W300" s="166"/>
      <c r="X300" s="179"/>
      <c r="Y300" s="179"/>
    </row>
    <row r="301" spans="1:25" ht="14.65" customHeight="1">
      <c r="A301" s="163" t="s">
        <v>222</v>
      </c>
      <c r="B301" s="246"/>
      <c r="C301">
        <v>24</v>
      </c>
      <c r="D301">
        <v>16</v>
      </c>
      <c r="E301">
        <v>22</v>
      </c>
      <c r="F301">
        <v>13</v>
      </c>
      <c r="G301">
        <v>24</v>
      </c>
      <c r="H301">
        <v>15</v>
      </c>
      <c r="I301" s="201">
        <v>25</v>
      </c>
      <c r="J301" s="199">
        <v>6</v>
      </c>
      <c r="K301" s="199">
        <v>23.897027275513331</v>
      </c>
      <c r="L301" s="179">
        <v>10.915796857802881</v>
      </c>
      <c r="M301" s="199"/>
      <c r="N301" s="179"/>
      <c r="O301" s="201"/>
      <c r="P301" s="201"/>
      <c r="Q301" s="201"/>
      <c r="R301" s="199"/>
      <c r="S301" s="199"/>
      <c r="T301" s="199"/>
      <c r="U301" s="201"/>
      <c r="V301" s="166"/>
      <c r="W301" s="166"/>
      <c r="X301" s="179"/>
      <c r="Y301" s="179"/>
    </row>
    <row r="302" spans="1:25" ht="14.65" customHeight="1">
      <c r="A302" s="49" t="s">
        <v>296</v>
      </c>
      <c r="B302" s="247"/>
      <c r="C302">
        <v>29</v>
      </c>
      <c r="D302">
        <v>12</v>
      </c>
      <c r="E302">
        <v>31</v>
      </c>
      <c r="F302">
        <v>13</v>
      </c>
      <c r="G302">
        <v>23</v>
      </c>
      <c r="H302">
        <v>11</v>
      </c>
      <c r="I302" s="202">
        <v>22</v>
      </c>
      <c r="J302" s="165">
        <v>4</v>
      </c>
      <c r="K302" s="165">
        <v>26.247660187185026</v>
      </c>
      <c r="L302" s="179">
        <v>8.2189057496867601</v>
      </c>
      <c r="M302" s="165"/>
      <c r="N302" s="179"/>
      <c r="O302" s="202"/>
      <c r="P302" s="202"/>
      <c r="Q302" s="202"/>
      <c r="R302" s="165"/>
      <c r="S302" s="165"/>
      <c r="T302" s="165"/>
      <c r="U302" s="201"/>
      <c r="V302" s="166"/>
      <c r="W302" s="166"/>
      <c r="X302" s="179"/>
      <c r="Y302" s="179"/>
    </row>
    <row r="303" spans="1:25" ht="14.65" customHeight="1">
      <c r="A303" s="49" t="s">
        <v>175</v>
      </c>
      <c r="B303" s="247"/>
      <c r="C303">
        <v>25</v>
      </c>
      <c r="D303">
        <v>10</v>
      </c>
      <c r="E303">
        <v>23</v>
      </c>
      <c r="F303">
        <v>6</v>
      </c>
      <c r="G303">
        <v>21</v>
      </c>
      <c r="H303">
        <v>5</v>
      </c>
      <c r="I303" s="202">
        <v>26</v>
      </c>
      <c r="J303" s="165">
        <v>7</v>
      </c>
      <c r="K303" s="165">
        <v>23.514594594594595</v>
      </c>
      <c r="L303" s="179">
        <v>6.8947734922047275</v>
      </c>
      <c r="M303" s="165"/>
      <c r="N303" s="179"/>
      <c r="O303" s="202"/>
      <c r="P303" s="202"/>
      <c r="Q303" s="202"/>
      <c r="R303" s="165"/>
      <c r="S303" s="165"/>
      <c r="T303" s="165"/>
      <c r="U303" s="201"/>
      <c r="V303" s="166"/>
      <c r="W303" s="166"/>
      <c r="X303" s="179"/>
      <c r="Y303" s="179"/>
    </row>
    <row r="304" spans="1:25" ht="14.65" customHeight="1">
      <c r="A304" s="49" t="s">
        <v>176</v>
      </c>
      <c r="B304" s="247"/>
      <c r="C304">
        <v>20</v>
      </c>
      <c r="D304">
        <v>63</v>
      </c>
      <c r="E304">
        <v>16</v>
      </c>
      <c r="F304">
        <v>24</v>
      </c>
      <c r="G304">
        <v>17</v>
      </c>
      <c r="H304">
        <v>15</v>
      </c>
      <c r="I304" s="202">
        <v>15</v>
      </c>
      <c r="J304" s="165">
        <v>7</v>
      </c>
      <c r="K304" s="165">
        <v>16.860522022838499</v>
      </c>
      <c r="L304" s="179">
        <v>23.356147855654271</v>
      </c>
      <c r="M304" s="165"/>
      <c r="N304" s="179"/>
      <c r="O304" s="202"/>
      <c r="P304" s="202"/>
      <c r="Q304" s="202"/>
      <c r="R304" s="165"/>
      <c r="S304" s="165"/>
      <c r="T304" s="165"/>
      <c r="U304" s="202"/>
      <c r="V304" s="204"/>
      <c r="W304" s="204"/>
      <c r="X304" s="179"/>
      <c r="Y304" s="179"/>
    </row>
    <row r="305" spans="1:25" ht="14.65" customHeight="1">
      <c r="A305" s="163" t="s">
        <v>177</v>
      </c>
      <c r="B305" s="247"/>
      <c r="C305">
        <v>35</v>
      </c>
      <c r="D305">
        <v>29</v>
      </c>
      <c r="E305">
        <v>36</v>
      </c>
      <c r="F305">
        <v>24</v>
      </c>
      <c r="G305">
        <v>32</v>
      </c>
      <c r="H305">
        <v>14</v>
      </c>
      <c r="I305" s="202">
        <v>26</v>
      </c>
      <c r="J305" s="165">
        <v>5</v>
      </c>
      <c r="K305" s="165">
        <v>32.060634920634918</v>
      </c>
      <c r="L305" s="179">
        <v>15.789827754306142</v>
      </c>
      <c r="M305" s="165"/>
      <c r="N305" s="179"/>
      <c r="O305" s="202"/>
      <c r="P305" s="202"/>
      <c r="Q305" s="202"/>
      <c r="R305" s="165"/>
      <c r="S305" s="165"/>
      <c r="T305" s="165"/>
      <c r="U305" s="201"/>
      <c r="V305" s="166"/>
      <c r="W305" s="166"/>
      <c r="X305" s="179"/>
      <c r="Y305" s="179"/>
    </row>
    <row r="306" spans="1:25" ht="14.65" customHeight="1">
      <c r="A306" s="163" t="s">
        <v>178</v>
      </c>
      <c r="B306" s="247"/>
      <c r="C306">
        <v>18</v>
      </c>
      <c r="D306">
        <v>9</v>
      </c>
      <c r="E306">
        <v>12</v>
      </c>
      <c r="F306">
        <v>7</v>
      </c>
      <c r="G306">
        <v>19</v>
      </c>
      <c r="H306">
        <v>8</v>
      </c>
      <c r="I306" s="202">
        <v>20</v>
      </c>
      <c r="J306" s="165">
        <v>3</v>
      </c>
      <c r="K306" s="165">
        <v>16.56515373352855</v>
      </c>
      <c r="L306" s="179">
        <v>5.8577297001232367</v>
      </c>
      <c r="M306" s="165"/>
      <c r="N306" s="179"/>
      <c r="O306" s="202"/>
      <c r="P306" s="202"/>
      <c r="Q306" s="202"/>
      <c r="R306" s="165"/>
      <c r="S306" s="165"/>
      <c r="T306" s="165"/>
      <c r="U306" s="201"/>
      <c r="V306" s="166"/>
      <c r="W306" s="166"/>
      <c r="X306" s="179"/>
      <c r="Y306" s="179"/>
    </row>
    <row r="307" spans="1:25" ht="14.65" customHeight="1">
      <c r="A307" s="49" t="s">
        <v>179</v>
      </c>
      <c r="B307" s="247"/>
      <c r="C307">
        <v>34</v>
      </c>
      <c r="D307">
        <v>18</v>
      </c>
      <c r="E307">
        <v>27</v>
      </c>
      <c r="F307">
        <v>19</v>
      </c>
      <c r="G307">
        <v>18</v>
      </c>
      <c r="H307">
        <v>13</v>
      </c>
      <c r="I307" s="202">
        <v>22</v>
      </c>
      <c r="J307" s="165">
        <v>7</v>
      </c>
      <c r="K307" s="165">
        <v>25.149829738933029</v>
      </c>
      <c r="L307" s="179">
        <v>12.403643223486412</v>
      </c>
      <c r="M307" s="165"/>
      <c r="N307" s="179"/>
      <c r="O307" s="202"/>
      <c r="P307" s="202"/>
      <c r="Q307" s="202"/>
      <c r="R307" s="165"/>
      <c r="S307" s="165"/>
      <c r="T307" s="165"/>
      <c r="U307" s="202"/>
      <c r="V307" s="204"/>
      <c r="W307" s="204"/>
      <c r="X307" s="179"/>
      <c r="Y307" s="179"/>
    </row>
    <row r="308" spans="1:25" ht="14.65" customHeight="1">
      <c r="A308" s="163" t="s">
        <v>180</v>
      </c>
      <c r="B308" s="247"/>
      <c r="C308">
        <v>25</v>
      </c>
      <c r="D308">
        <v>14</v>
      </c>
      <c r="E308">
        <v>21</v>
      </c>
      <c r="F308">
        <v>15</v>
      </c>
      <c r="G308">
        <v>22</v>
      </c>
      <c r="H308">
        <v>15</v>
      </c>
      <c r="I308" s="202">
        <v>20</v>
      </c>
      <c r="J308" s="165">
        <v>5</v>
      </c>
      <c r="K308" s="165">
        <v>21.737664875427456</v>
      </c>
      <c r="L308" s="179">
        <v>10.687137585661571</v>
      </c>
      <c r="M308" s="165"/>
      <c r="N308" s="179"/>
      <c r="O308" s="202"/>
      <c r="P308" s="202"/>
      <c r="Q308" s="202"/>
      <c r="R308" s="165"/>
      <c r="S308" s="165"/>
      <c r="T308" s="165"/>
      <c r="U308" s="201"/>
      <c r="V308" s="166"/>
      <c r="W308" s="166"/>
      <c r="X308" s="179"/>
      <c r="Y308" s="179"/>
    </row>
    <row r="309" spans="1:25" ht="14.65" customHeight="1">
      <c r="A309" s="163" t="s">
        <v>181</v>
      </c>
      <c r="B309" s="247"/>
      <c r="C309">
        <v>12</v>
      </c>
      <c r="D309">
        <v>8</v>
      </c>
      <c r="E309">
        <v>11</v>
      </c>
      <c r="F309">
        <v>6</v>
      </c>
      <c r="G309">
        <v>14</v>
      </c>
      <c r="H309">
        <v>7</v>
      </c>
      <c r="I309" s="202">
        <v>22</v>
      </c>
      <c r="J309" s="165">
        <v>4</v>
      </c>
      <c r="K309" s="165">
        <v>14.546108861898336</v>
      </c>
      <c r="L309" s="179">
        <v>5.7996616723054615</v>
      </c>
      <c r="M309" s="165"/>
      <c r="N309" s="179"/>
      <c r="O309" s="202"/>
      <c r="P309" s="202"/>
      <c r="Q309" s="202"/>
      <c r="R309" s="165"/>
      <c r="S309" s="165"/>
      <c r="T309" s="165"/>
      <c r="U309" s="201"/>
      <c r="V309" s="166"/>
      <c r="W309" s="166"/>
      <c r="X309" s="179"/>
      <c r="Y309" s="179"/>
    </row>
    <row r="310" spans="1:25" ht="14.65" customHeight="1">
      <c r="A310" s="163" t="s">
        <v>297</v>
      </c>
      <c r="B310" s="247"/>
      <c r="C310">
        <v>19</v>
      </c>
      <c r="D310">
        <v>7</v>
      </c>
      <c r="E310">
        <v>19</v>
      </c>
      <c r="F310">
        <v>7</v>
      </c>
      <c r="G310">
        <v>18</v>
      </c>
      <c r="H310">
        <v>9</v>
      </c>
      <c r="I310" s="202">
        <v>20</v>
      </c>
      <c r="J310" s="165">
        <v>6</v>
      </c>
      <c r="K310" s="165">
        <v>19.242205151378219</v>
      </c>
      <c r="L310" s="179">
        <v>7.0596062352531623</v>
      </c>
      <c r="M310" s="165"/>
      <c r="N310" s="179"/>
      <c r="O310" s="202"/>
      <c r="P310" s="202"/>
      <c r="Q310" s="202"/>
      <c r="R310" s="165"/>
      <c r="S310" s="165"/>
      <c r="T310" s="165"/>
      <c r="U310" s="201"/>
      <c r="V310" s="166"/>
      <c r="W310" s="166"/>
      <c r="X310" s="179"/>
      <c r="Y310" s="179"/>
    </row>
    <row r="311" spans="1:25" ht="14.65" customHeight="1">
      <c r="A311" s="163" t="s">
        <v>182</v>
      </c>
      <c r="B311" s="247"/>
      <c r="C311">
        <v>29</v>
      </c>
      <c r="D311">
        <v>10</v>
      </c>
      <c r="E311">
        <v>26</v>
      </c>
      <c r="F311">
        <v>13</v>
      </c>
      <c r="G311">
        <v>35</v>
      </c>
      <c r="H311">
        <v>16</v>
      </c>
      <c r="I311" s="202">
        <v>22</v>
      </c>
      <c r="J311" s="165">
        <v>5</v>
      </c>
      <c r="K311" s="165">
        <v>28.14327485380117</v>
      </c>
      <c r="L311" s="179">
        <v>9.1597659765976598</v>
      </c>
      <c r="M311" s="165"/>
      <c r="N311" s="179"/>
      <c r="O311" s="202"/>
      <c r="P311" s="202"/>
      <c r="Q311" s="202"/>
      <c r="R311" s="165"/>
      <c r="S311" s="165"/>
      <c r="T311" s="165"/>
      <c r="U311" s="201"/>
      <c r="V311" s="166"/>
      <c r="W311" s="166"/>
      <c r="X311" s="179"/>
      <c r="Y311" s="179"/>
    </row>
    <row r="312" spans="1:25" ht="14.65" customHeight="1">
      <c r="A312" s="163" t="s">
        <v>183</v>
      </c>
      <c r="B312" s="247"/>
      <c r="C312">
        <v>28</v>
      </c>
      <c r="D312">
        <v>12</v>
      </c>
      <c r="E312">
        <v>18</v>
      </c>
      <c r="F312">
        <v>8</v>
      </c>
      <c r="G312">
        <v>18</v>
      </c>
      <c r="H312">
        <v>9</v>
      </c>
      <c r="I312" s="202">
        <v>22</v>
      </c>
      <c r="J312" s="165">
        <v>4</v>
      </c>
      <c r="K312" s="165">
        <v>21.784513805522209</v>
      </c>
      <c r="L312" s="179">
        <v>7.3674714778455828</v>
      </c>
      <c r="M312" s="165"/>
      <c r="N312" s="179"/>
      <c r="O312" s="202"/>
      <c r="P312" s="202"/>
      <c r="Q312" s="202"/>
      <c r="R312" s="165"/>
      <c r="S312" s="165"/>
      <c r="T312" s="165"/>
      <c r="U312" s="201"/>
      <c r="V312" s="166"/>
      <c r="W312" s="166"/>
      <c r="X312" s="179"/>
      <c r="Y312" s="179"/>
    </row>
    <row r="313" spans="1:25" ht="14.65" customHeight="1">
      <c r="A313" s="163" t="s">
        <v>184</v>
      </c>
      <c r="B313" s="247"/>
      <c r="C313">
        <v>31</v>
      </c>
      <c r="D313">
        <v>10</v>
      </c>
      <c r="E313">
        <v>24</v>
      </c>
      <c r="F313">
        <v>9</v>
      </c>
      <c r="G313">
        <v>23</v>
      </c>
      <c r="H313">
        <v>10</v>
      </c>
      <c r="I313" s="202">
        <v>26</v>
      </c>
      <c r="J313" s="165">
        <v>4</v>
      </c>
      <c r="K313" s="165">
        <v>25.768822905620361</v>
      </c>
      <c r="L313" s="179">
        <v>6.8877251780477584</v>
      </c>
      <c r="M313" s="165"/>
      <c r="N313" s="179"/>
      <c r="O313" s="202"/>
      <c r="P313" s="202"/>
      <c r="Q313" s="202"/>
      <c r="R313" s="165"/>
      <c r="S313" s="165"/>
      <c r="T313" s="165"/>
      <c r="U313" s="201"/>
      <c r="V313" s="166"/>
      <c r="W313" s="166"/>
      <c r="X313" s="179"/>
      <c r="Y313" s="179"/>
    </row>
    <row r="314" spans="1:25" ht="14.65" customHeight="1">
      <c r="A314" s="163" t="s">
        <v>185</v>
      </c>
      <c r="B314" s="246"/>
      <c r="C314">
        <v>16</v>
      </c>
      <c r="D314">
        <v>7</v>
      </c>
      <c r="E314">
        <v>19</v>
      </c>
      <c r="F314">
        <v>6</v>
      </c>
      <c r="G314">
        <v>19</v>
      </c>
      <c r="H314">
        <v>7</v>
      </c>
      <c r="I314" s="202">
        <v>24</v>
      </c>
      <c r="J314" s="165">
        <v>4</v>
      </c>
      <c r="K314" s="165">
        <v>19.561829211385909</v>
      </c>
      <c r="L314" s="179">
        <v>5.1492880559769043</v>
      </c>
      <c r="M314" s="165"/>
      <c r="N314" s="179"/>
      <c r="O314" s="202"/>
      <c r="P314" s="202"/>
      <c r="Q314" s="202"/>
      <c r="R314" s="165"/>
      <c r="S314" s="165"/>
      <c r="T314" s="165"/>
      <c r="U314" s="201"/>
      <c r="V314" s="166"/>
      <c r="W314" s="166"/>
      <c r="X314" s="179"/>
      <c r="Y314" s="179"/>
    </row>
    <row r="315" spans="1:25" ht="14.65" customHeight="1">
      <c r="A315" s="163" t="s">
        <v>186</v>
      </c>
      <c r="B315" s="247"/>
      <c r="C315">
        <v>16</v>
      </c>
      <c r="D315">
        <v>5</v>
      </c>
      <c r="E315">
        <v>15</v>
      </c>
      <c r="F315">
        <v>5</v>
      </c>
      <c r="G315">
        <v>12</v>
      </c>
      <c r="H315">
        <v>4</v>
      </c>
      <c r="I315" s="202">
        <v>7</v>
      </c>
      <c r="J315" s="165">
        <v>3</v>
      </c>
      <c r="K315" s="165">
        <v>12.892686261107313</v>
      </c>
      <c r="L315" s="179">
        <v>3.9666061198826323</v>
      </c>
      <c r="M315" s="165"/>
      <c r="N315" s="179"/>
      <c r="O315" s="202"/>
      <c r="P315" s="202"/>
      <c r="Q315" s="202"/>
      <c r="R315" s="165"/>
      <c r="S315" s="165"/>
      <c r="T315" s="165"/>
      <c r="U315" s="201"/>
      <c r="V315" s="166"/>
      <c r="W315" s="166"/>
      <c r="X315" s="179"/>
      <c r="Y315" s="179"/>
    </row>
    <row r="316" spans="1:25" ht="14.65" customHeight="1">
      <c r="A316" s="163" t="s">
        <v>187</v>
      </c>
      <c r="B316" s="247"/>
      <c r="C316">
        <v>22</v>
      </c>
      <c r="D316">
        <v>8</v>
      </c>
      <c r="E316">
        <v>18</v>
      </c>
      <c r="F316">
        <v>6</v>
      </c>
      <c r="G316">
        <v>14</v>
      </c>
      <c r="H316">
        <v>6</v>
      </c>
      <c r="I316" s="202">
        <v>23</v>
      </c>
      <c r="J316" s="165">
        <v>4</v>
      </c>
      <c r="K316" s="165">
        <v>19.467265725288833</v>
      </c>
      <c r="L316" s="179">
        <v>5.8645399357219379</v>
      </c>
      <c r="M316" s="165"/>
      <c r="N316" s="179"/>
      <c r="O316" s="202"/>
      <c r="P316" s="202"/>
      <c r="Q316" s="202"/>
      <c r="R316" s="165"/>
      <c r="S316" s="165"/>
      <c r="T316" s="165"/>
      <c r="U316" s="201"/>
      <c r="V316" s="166"/>
      <c r="W316" s="166"/>
      <c r="X316" s="179"/>
      <c r="Y316" s="179"/>
    </row>
    <row r="317" spans="1:25" ht="14.65" customHeight="1">
      <c r="A317" s="163" t="s">
        <v>188</v>
      </c>
      <c r="B317" s="247"/>
      <c r="C317">
        <v>31</v>
      </c>
      <c r="D317">
        <v>18</v>
      </c>
      <c r="E317">
        <v>29</v>
      </c>
      <c r="F317">
        <v>19</v>
      </c>
      <c r="G317">
        <v>30</v>
      </c>
      <c r="H317">
        <v>15</v>
      </c>
      <c r="I317" s="202">
        <v>27</v>
      </c>
      <c r="J317" s="165">
        <v>9</v>
      </c>
      <c r="K317" s="165">
        <v>29.218602745339069</v>
      </c>
      <c r="L317" s="179" t="s">
        <v>3</v>
      </c>
      <c r="M317" s="165"/>
      <c r="N317" s="179"/>
      <c r="O317" s="202"/>
      <c r="P317" s="202"/>
      <c r="Q317" s="202"/>
      <c r="R317" s="165"/>
      <c r="S317" s="165"/>
      <c r="T317" s="165"/>
      <c r="U317" s="201"/>
      <c r="V317" s="166"/>
      <c r="W317" s="166"/>
      <c r="X317" s="179"/>
      <c r="Y317" s="179"/>
    </row>
    <row r="318" spans="1:25" ht="14.65" customHeight="1">
      <c r="A318" s="163" t="s">
        <v>354</v>
      </c>
      <c r="B318" s="247"/>
      <c r="C318">
        <v>28</v>
      </c>
      <c r="D318">
        <v>13</v>
      </c>
      <c r="E318">
        <v>18</v>
      </c>
      <c r="F318">
        <v>8</v>
      </c>
      <c r="G318">
        <v>18</v>
      </c>
      <c r="H318">
        <v>9</v>
      </c>
      <c r="I318" s="202">
        <v>25</v>
      </c>
      <c r="J318" s="165">
        <v>5</v>
      </c>
      <c r="K318" s="165">
        <v>22.498525073746311</v>
      </c>
      <c r="L318" s="179">
        <v>7.7816406052325284</v>
      </c>
      <c r="M318" s="165"/>
      <c r="N318" s="179"/>
      <c r="O318" s="202"/>
      <c r="P318" s="202"/>
      <c r="Q318" s="202"/>
      <c r="R318" s="165"/>
      <c r="S318" s="165"/>
      <c r="T318" s="165"/>
      <c r="U318" s="201"/>
      <c r="V318" s="166"/>
      <c r="W318" s="166"/>
      <c r="X318" s="179"/>
      <c r="Y318" s="179"/>
    </row>
    <row r="319" spans="1:25" ht="14.65" customHeight="1">
      <c r="A319" s="49" t="s">
        <v>256</v>
      </c>
      <c r="B319" s="247"/>
      <c r="C319">
        <v>35</v>
      </c>
      <c r="D319">
        <v>10</v>
      </c>
      <c r="E319">
        <v>39</v>
      </c>
      <c r="F319">
        <v>14</v>
      </c>
      <c r="G319">
        <v>37</v>
      </c>
      <c r="H319">
        <v>15</v>
      </c>
      <c r="I319" s="202">
        <v>38</v>
      </c>
      <c r="J319" s="165">
        <v>4</v>
      </c>
      <c r="K319" s="165">
        <v>37.372964837871116</v>
      </c>
      <c r="L319" s="179">
        <v>8.5561400189214751</v>
      </c>
      <c r="M319" s="165"/>
      <c r="N319" s="179"/>
      <c r="O319" s="202"/>
      <c r="P319" s="202"/>
      <c r="Q319" s="202"/>
      <c r="R319" s="165"/>
      <c r="S319" s="165"/>
      <c r="T319" s="165"/>
      <c r="U319" s="201"/>
      <c r="V319" s="166"/>
      <c r="W319" s="166"/>
      <c r="X319" s="179"/>
      <c r="Y319" s="179"/>
    </row>
    <row r="320" spans="1:25" ht="14.65" customHeight="1">
      <c r="A320" s="49" t="s">
        <v>298</v>
      </c>
      <c r="B320" s="247"/>
      <c r="C320">
        <v>33</v>
      </c>
      <c r="D320">
        <v>10</v>
      </c>
      <c r="E320">
        <v>27</v>
      </c>
      <c r="F320">
        <v>9</v>
      </c>
      <c r="G320">
        <v>23</v>
      </c>
      <c r="H320">
        <v>8</v>
      </c>
      <c r="I320" s="202">
        <v>27</v>
      </c>
      <c r="J320" s="165">
        <v>3</v>
      </c>
      <c r="K320" s="165">
        <v>27.571598414795243</v>
      </c>
      <c r="L320" s="179">
        <v>6.1195401941264311</v>
      </c>
      <c r="M320" s="165"/>
      <c r="N320" s="179"/>
      <c r="O320" s="202"/>
      <c r="P320" s="202"/>
      <c r="Q320" s="202"/>
      <c r="R320" s="165"/>
      <c r="S320" s="165"/>
      <c r="T320" s="165"/>
      <c r="U320" s="201"/>
      <c r="V320" s="166"/>
      <c r="W320" s="166"/>
      <c r="X320" s="179"/>
      <c r="Y320" s="179"/>
    </row>
    <row r="321" spans="1:25" ht="14.65" customHeight="1">
      <c r="A321" s="49" t="s">
        <v>189</v>
      </c>
      <c r="B321" s="247"/>
      <c r="C321">
        <v>19</v>
      </c>
      <c r="D321">
        <v>5</v>
      </c>
      <c r="E321">
        <v>18</v>
      </c>
      <c r="F321">
        <v>5</v>
      </c>
      <c r="G321">
        <v>16</v>
      </c>
      <c r="H321">
        <v>4</v>
      </c>
      <c r="I321" s="202">
        <v>20</v>
      </c>
      <c r="J321" s="165">
        <v>3</v>
      </c>
      <c r="K321" s="165">
        <v>18.230115361262904</v>
      </c>
      <c r="L321" s="179">
        <v>3.8476451374986831</v>
      </c>
      <c r="M321" s="165"/>
      <c r="N321" s="179"/>
      <c r="O321" s="202"/>
      <c r="P321" s="202"/>
      <c r="Q321" s="202"/>
      <c r="R321" s="165"/>
      <c r="S321" s="165"/>
      <c r="T321" s="165"/>
      <c r="U321" s="201"/>
      <c r="V321" s="166"/>
      <c r="W321" s="166"/>
      <c r="X321" s="179"/>
      <c r="Y321" s="179"/>
    </row>
    <row r="322" spans="1:25" ht="14.65" customHeight="1">
      <c r="A322" s="163" t="s">
        <v>824</v>
      </c>
      <c r="B322" s="247"/>
      <c r="C322">
        <v>24</v>
      </c>
      <c r="D322">
        <v>12</v>
      </c>
      <c r="E322">
        <v>20</v>
      </c>
      <c r="F322">
        <v>9</v>
      </c>
      <c r="G322">
        <v>21</v>
      </c>
      <c r="H322">
        <v>10</v>
      </c>
      <c r="I322" s="202">
        <v>25</v>
      </c>
      <c r="J322" s="165">
        <v>4</v>
      </c>
      <c r="K322" s="165">
        <v>22.586440677966102</v>
      </c>
      <c r="L322" s="179">
        <v>6.982468736911386</v>
      </c>
      <c r="M322" s="165"/>
      <c r="N322" s="179"/>
      <c r="O322" s="202"/>
      <c r="P322" s="202"/>
      <c r="Q322" s="202"/>
      <c r="R322" s="165"/>
      <c r="S322" s="165"/>
      <c r="T322" s="165"/>
      <c r="U322" s="202"/>
      <c r="V322" s="204"/>
      <c r="W322" s="204"/>
      <c r="X322" s="179"/>
      <c r="Y322" s="179"/>
    </row>
    <row r="323" spans="1:25" ht="14.65" customHeight="1">
      <c r="A323" s="163" t="s">
        <v>257</v>
      </c>
      <c r="B323" s="247"/>
      <c r="C323">
        <v>22</v>
      </c>
      <c r="D323">
        <v>11</v>
      </c>
      <c r="E323">
        <v>25</v>
      </c>
      <c r="F323">
        <v>19</v>
      </c>
      <c r="G323">
        <v>25</v>
      </c>
      <c r="H323">
        <v>22</v>
      </c>
      <c r="I323" s="202">
        <v>27</v>
      </c>
      <c r="J323" s="165">
        <v>8</v>
      </c>
      <c r="K323" s="165">
        <v>24.970001456239988</v>
      </c>
      <c r="L323" s="179">
        <v>12.882307711084531</v>
      </c>
      <c r="M323" s="165"/>
      <c r="N323" s="179"/>
      <c r="O323" s="202"/>
      <c r="P323" s="202"/>
      <c r="Q323" s="202"/>
      <c r="R323" s="165"/>
      <c r="S323" s="165"/>
      <c r="T323" s="165"/>
      <c r="U323" s="202"/>
      <c r="V323" s="204"/>
      <c r="W323" s="204"/>
      <c r="X323" s="179"/>
      <c r="Y323" s="179"/>
    </row>
    <row r="324" spans="1:25" ht="14.65" customHeight="1">
      <c r="A324" s="49" t="s">
        <v>190</v>
      </c>
      <c r="B324" s="247"/>
      <c r="C324">
        <v>24</v>
      </c>
      <c r="D324">
        <v>13</v>
      </c>
      <c r="E324">
        <v>21</v>
      </c>
      <c r="F324">
        <v>7</v>
      </c>
      <c r="G324">
        <v>20</v>
      </c>
      <c r="H324">
        <v>8</v>
      </c>
      <c r="I324" s="202">
        <v>22</v>
      </c>
      <c r="J324" s="165">
        <v>5</v>
      </c>
      <c r="K324" s="165">
        <v>21.727380248373745</v>
      </c>
      <c r="L324" s="179">
        <v>7.2132624070603883</v>
      </c>
      <c r="M324" s="165"/>
      <c r="N324" s="179"/>
      <c r="O324" s="202"/>
      <c r="P324" s="202"/>
      <c r="Q324" s="202"/>
      <c r="R324" s="165"/>
      <c r="S324" s="165"/>
      <c r="T324" s="165"/>
      <c r="U324" s="201"/>
      <c r="V324" s="166"/>
      <c r="W324" s="166"/>
      <c r="X324" s="179"/>
      <c r="Y324" s="179"/>
    </row>
    <row r="325" spans="1:25" ht="14.65" customHeight="1">
      <c r="A325" s="163" t="s">
        <v>299</v>
      </c>
      <c r="B325" s="247"/>
      <c r="C325">
        <v>26</v>
      </c>
      <c r="D325">
        <v>8</v>
      </c>
      <c r="E325">
        <v>32</v>
      </c>
      <c r="F325">
        <v>9</v>
      </c>
      <c r="G325">
        <v>36</v>
      </c>
      <c r="H325">
        <v>16</v>
      </c>
      <c r="I325" s="202">
        <v>31</v>
      </c>
      <c r="J325" s="165">
        <v>7</v>
      </c>
      <c r="K325" s="165">
        <v>31.252307692307692</v>
      </c>
      <c r="L325" s="179">
        <v>9.0156986928985319</v>
      </c>
      <c r="M325" s="165"/>
      <c r="N325" s="179"/>
      <c r="O325" s="202"/>
      <c r="P325" s="202"/>
      <c r="Q325" s="202"/>
      <c r="R325" s="165"/>
      <c r="S325" s="165"/>
      <c r="T325" s="165"/>
      <c r="U325" s="201"/>
      <c r="V325" s="166"/>
      <c r="W325" s="166"/>
      <c r="X325" s="179"/>
      <c r="Y325" s="179"/>
    </row>
    <row r="326" spans="1:25" ht="14.65" customHeight="1">
      <c r="A326" s="163" t="s">
        <v>258</v>
      </c>
      <c r="B326" s="247"/>
      <c r="C326">
        <v>27</v>
      </c>
      <c r="D326">
        <v>20</v>
      </c>
      <c r="E326">
        <v>21</v>
      </c>
      <c r="F326">
        <v>18</v>
      </c>
      <c r="G326">
        <v>17</v>
      </c>
      <c r="H326">
        <v>18</v>
      </c>
      <c r="I326" s="202">
        <v>13</v>
      </c>
      <c r="J326" s="165">
        <v>4</v>
      </c>
      <c r="K326" s="165">
        <v>19.216049382716051</v>
      </c>
      <c r="L326" s="179">
        <v>12.234299488226842</v>
      </c>
      <c r="M326" s="165"/>
      <c r="N326" s="179"/>
      <c r="O326" s="202"/>
      <c r="P326" s="202"/>
      <c r="Q326" s="202"/>
      <c r="R326" s="165"/>
      <c r="S326" s="165"/>
      <c r="T326" s="165"/>
      <c r="U326" s="201"/>
      <c r="V326" s="166"/>
      <c r="W326" s="166"/>
      <c r="X326" s="179"/>
      <c r="Y326" s="179"/>
    </row>
    <row r="327" spans="1:25" ht="14.65" customHeight="1">
      <c r="A327" s="163" t="s">
        <v>191</v>
      </c>
      <c r="B327" s="247"/>
      <c r="C327">
        <v>20</v>
      </c>
      <c r="D327">
        <v>9</v>
      </c>
      <c r="E327">
        <v>19</v>
      </c>
      <c r="F327">
        <v>8</v>
      </c>
      <c r="G327">
        <v>15</v>
      </c>
      <c r="H327">
        <v>9</v>
      </c>
      <c r="I327" s="202">
        <v>15</v>
      </c>
      <c r="J327" s="165">
        <v>5</v>
      </c>
      <c r="K327" s="165">
        <v>17.275945017182131</v>
      </c>
      <c r="L327" s="179">
        <v>6.9772429674448002</v>
      </c>
      <c r="M327" s="165"/>
      <c r="N327" s="179"/>
      <c r="O327" s="202"/>
      <c r="P327" s="202"/>
      <c r="Q327" s="202"/>
      <c r="R327" s="165"/>
      <c r="S327" s="165"/>
      <c r="T327" s="165"/>
      <c r="U327" s="202"/>
      <c r="V327" s="166"/>
      <c r="W327" s="166"/>
      <c r="X327" s="179"/>
      <c r="Y327" s="179"/>
    </row>
    <row r="328" spans="1:25" ht="14.65" customHeight="1">
      <c r="A328" s="49" t="s">
        <v>192</v>
      </c>
      <c r="B328" s="247"/>
      <c r="C328">
        <v>25</v>
      </c>
      <c r="D328">
        <v>12</v>
      </c>
      <c r="E328">
        <v>26</v>
      </c>
      <c r="F328">
        <v>12</v>
      </c>
      <c r="G328">
        <v>23</v>
      </c>
      <c r="H328">
        <v>14</v>
      </c>
      <c r="I328" s="202">
        <v>19</v>
      </c>
      <c r="J328" s="165">
        <v>4</v>
      </c>
      <c r="K328" s="165">
        <v>23.204412989175687</v>
      </c>
      <c r="L328" s="179">
        <v>8.8120669599959545</v>
      </c>
      <c r="M328" s="165"/>
      <c r="N328" s="179"/>
      <c r="O328" s="202"/>
      <c r="P328" s="202"/>
      <c r="Q328" s="202"/>
      <c r="R328" s="165"/>
      <c r="S328" s="165"/>
      <c r="T328" s="165"/>
      <c r="U328" s="201"/>
      <c r="V328" s="166"/>
      <c r="W328" s="166"/>
      <c r="X328" s="179"/>
      <c r="Y328" s="179"/>
    </row>
    <row r="329" spans="1:25" ht="14.65" customHeight="1">
      <c r="A329" s="163" t="s">
        <v>193</v>
      </c>
      <c r="B329" s="247"/>
      <c r="C329">
        <v>25</v>
      </c>
      <c r="D329">
        <v>10</v>
      </c>
      <c r="E329">
        <v>21</v>
      </c>
      <c r="F329">
        <v>8</v>
      </c>
      <c r="G329">
        <v>18</v>
      </c>
      <c r="H329">
        <v>9</v>
      </c>
      <c r="I329" s="202">
        <v>17</v>
      </c>
      <c r="J329" s="165">
        <v>4</v>
      </c>
      <c r="K329" s="165">
        <v>20.303770578863517</v>
      </c>
      <c r="L329" s="179">
        <v>6.5498787571194947</v>
      </c>
      <c r="M329" s="165"/>
      <c r="N329" s="179"/>
      <c r="O329" s="202"/>
      <c r="P329" s="202"/>
      <c r="Q329" s="202"/>
      <c r="R329" s="165"/>
      <c r="S329" s="165"/>
      <c r="T329" s="165"/>
      <c r="U329" s="202"/>
      <c r="V329" s="204"/>
      <c r="W329" s="204"/>
      <c r="X329" s="179"/>
      <c r="Y329" s="179"/>
    </row>
    <row r="330" spans="1:25" ht="14.65" customHeight="1">
      <c r="A330" s="163" t="s">
        <v>194</v>
      </c>
      <c r="B330" s="247"/>
      <c r="C330">
        <v>16</v>
      </c>
      <c r="D330">
        <v>12</v>
      </c>
      <c r="E330">
        <v>16</v>
      </c>
      <c r="F330">
        <v>10</v>
      </c>
      <c r="G330">
        <v>17</v>
      </c>
      <c r="H330">
        <v>13</v>
      </c>
      <c r="I330" s="202">
        <v>24</v>
      </c>
      <c r="J330" s="165">
        <v>7</v>
      </c>
      <c r="K330" s="165">
        <v>17.977191413237925</v>
      </c>
      <c r="L330" s="179">
        <v>9.6827120822622099</v>
      </c>
      <c r="M330" s="165"/>
      <c r="N330" s="179"/>
      <c r="O330" s="202"/>
      <c r="P330" s="202"/>
      <c r="Q330" s="202"/>
      <c r="R330" s="165"/>
      <c r="S330" s="165"/>
      <c r="T330" s="165"/>
      <c r="U330" s="202"/>
      <c r="V330" s="204"/>
      <c r="W330" s="204"/>
      <c r="X330" s="179"/>
      <c r="Y330" s="179"/>
    </row>
    <row r="331" spans="1:25" ht="14.65" customHeight="1">
      <c r="A331" s="163" t="s">
        <v>195</v>
      </c>
      <c r="B331" s="247"/>
      <c r="C331">
        <v>14</v>
      </c>
      <c r="D331">
        <v>3</v>
      </c>
      <c r="E331">
        <v>17</v>
      </c>
      <c r="F331">
        <v>3</v>
      </c>
      <c r="G331">
        <v>16</v>
      </c>
      <c r="H331">
        <v>3</v>
      </c>
      <c r="I331" s="202">
        <v>18</v>
      </c>
      <c r="J331" s="165">
        <v>2</v>
      </c>
      <c r="K331" s="165">
        <v>16.436132983377078</v>
      </c>
      <c r="L331" s="179">
        <v>2.8454072904329517</v>
      </c>
      <c r="M331" s="165"/>
      <c r="N331" s="179"/>
      <c r="O331" s="202"/>
      <c r="P331" s="202"/>
      <c r="Q331" s="202"/>
      <c r="R331" s="165"/>
      <c r="S331" s="165"/>
      <c r="T331" s="165"/>
      <c r="U331" s="202"/>
      <c r="V331" s="204"/>
      <c r="W331" s="204"/>
      <c r="X331" s="179"/>
      <c r="Y331" s="179"/>
    </row>
    <row r="332" spans="1:25" ht="14.65" customHeight="1">
      <c r="A332" s="49" t="s">
        <v>196</v>
      </c>
      <c r="B332" s="247"/>
      <c r="C332">
        <v>18</v>
      </c>
      <c r="D332">
        <v>6</v>
      </c>
      <c r="E332">
        <v>21</v>
      </c>
      <c r="F332">
        <v>6</v>
      </c>
      <c r="G332">
        <v>22</v>
      </c>
      <c r="H332">
        <v>6</v>
      </c>
      <c r="I332" s="202">
        <v>23</v>
      </c>
      <c r="J332" s="165">
        <v>3</v>
      </c>
      <c r="K332" s="165">
        <v>20.913682277318642</v>
      </c>
      <c r="L332" s="179">
        <v>4.7471072541165995</v>
      </c>
      <c r="M332" s="165"/>
      <c r="N332" s="179"/>
      <c r="O332" s="202"/>
      <c r="P332" s="202"/>
      <c r="Q332" s="202"/>
      <c r="R332" s="165"/>
      <c r="S332" s="165"/>
      <c r="T332" s="165"/>
      <c r="U332" s="201"/>
      <c r="V332" s="166"/>
      <c r="W332" s="166"/>
      <c r="X332" s="179"/>
      <c r="Y332" s="179"/>
    </row>
    <row r="333" spans="1:25" ht="14.65" customHeight="1">
      <c r="A333" s="163" t="s">
        <v>300</v>
      </c>
      <c r="B333" s="247"/>
      <c r="C333">
        <v>37</v>
      </c>
      <c r="D333">
        <v>11</v>
      </c>
      <c r="E333">
        <v>42</v>
      </c>
      <c r="F333">
        <v>15</v>
      </c>
      <c r="G333">
        <v>37</v>
      </c>
      <c r="H333">
        <v>14</v>
      </c>
      <c r="I333" s="202">
        <v>20</v>
      </c>
      <c r="J333" s="165">
        <v>4</v>
      </c>
      <c r="K333" s="165">
        <v>33.983560090702944</v>
      </c>
      <c r="L333" s="179">
        <v>9.3567520058971958</v>
      </c>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FD4ABE-AA61-4030-9D1D-BEA39E6397FA}">
  <ds:schemaRefs>
    <ds:schemaRef ds:uri="http://purl.org/dc/terms/"/>
    <ds:schemaRef ds:uri="http://schemas.openxmlformats.org/package/2006/metadata/core-properties"/>
    <ds:schemaRef ds:uri="c0c43d4d-b7da-4a2b-8f97-25182fb94a41"/>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B8B44D5-B1A3-4546-87FC-3811789FF6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E3EAC2-1B2D-4C48-B8A7-1CE5EFB761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cp:lastModifiedBy>
  <dcterms:modified xsi:type="dcterms:W3CDTF">2014-10-27T16:22:01Z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