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270723/"/>
    </mc:Choice>
  </mc:AlternateContent>
  <xr:revisionPtr revIDLastSave="0" documentId="8_{42FE599A-7E7C-45BC-A68C-C707DDB7862E}" xr6:coauthVersionLast="47" xr6:coauthVersionMax="47" xr10:uidLastSave="{00000000-0000-0000-0000-000000000000}"/>
  <workbookProtection workbookAlgorithmName="SHA-512" workbookHashValue="GVPhZ+G7R4yUQVNmnmA8FcOtwYEHNB6b7yFsGY2i8itNxlCtWiAL5o6+qVKs8oXD+OAQTX8qfIeUfZtMyeRMTw==" workbookSaltValue="VfMG66R+nAIadWkbnXR/5Q==" workbookSpinCount="100000" lockStructure="1"/>
  <bookViews>
    <workbookView xWindow="-108" yWindow="-108" windowWidth="23256" windowHeight="1245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classifications!$A$1:$L$340</definedName>
    <definedName name="_xlnm._FilterDatabase" localSheetId="3" hidden="1">Data!$A$1:$BY$321</definedName>
    <definedName name="_xlnm._FilterDatabase" localSheetId="1" hidden="1">'Filtered Data'!$A$10:$J$353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Data'!$B$11:$B$21</definedName>
    <definedName name="BotQuart">OFFSET('Filtered Data'!$R$11,0,0,COUNT('Filtered Data'!$M$11:$M$486),1)</definedName>
    <definedName name="fred" hidden="1">'[1]07Model'!$L$6:$L$20</definedName>
    <definedName name="Indicators">OFFSET('Indicator info'!$A$2,0,0,COUNTA('Indicator info'!$A:$A)-1,1)</definedName>
    <definedName name="MarkData">OFFSET('Filtered Data'!$N$11,0,0,COUNT('Filtered Data'!$N$11:$N$486),1)</definedName>
    <definedName name="Marker">OFFSET('Filtered Data'!$S$11,0,0,COUNT('Filtered Data'!$M$11:$M$486),1)</definedName>
    <definedName name="SecQuart">OFFSET('Filtered Data'!$P$11,0,0,COUNT('Filtered Data'!$M$11:$M$486),1)</definedName>
    <definedName name="ThirdQuart">OFFSET('Filtered Data'!$Q$11,0,0,COUNT('Filtered Data'!$M$11:$M$486),1)</definedName>
    <definedName name="TopQuart">OFFSET('Filtered Data'!$O$11,0,0,COUNT('Filtered Data'!$M$11:$M$486),1)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2" i="16" l="1"/>
  <c r="B13" i="16"/>
  <c r="B14" i="16"/>
  <c r="B15" i="16"/>
  <c r="B16" i="16"/>
  <c r="B17" i="16"/>
  <c r="B18" i="16"/>
  <c r="B19" i="16"/>
  <c r="B20" i="16"/>
  <c r="B21" i="16"/>
  <c r="B22" i="16"/>
  <c r="B23" i="16"/>
  <c r="B24" i="16"/>
  <c r="B25" i="16"/>
  <c r="B26" i="16"/>
  <c r="B27" i="16"/>
  <c r="B28" i="16"/>
  <c r="B29" i="16"/>
  <c r="B30" i="16"/>
  <c r="B31" i="16"/>
  <c r="B32" i="16"/>
  <c r="B33" i="16"/>
  <c r="B34" i="16"/>
  <c r="B35" i="16"/>
  <c r="B36" i="16"/>
  <c r="B37" i="16"/>
  <c r="B38" i="16"/>
  <c r="B39" i="16"/>
  <c r="B40" i="16"/>
  <c r="B41" i="16"/>
  <c r="B42" i="16"/>
  <c r="B43" i="16"/>
  <c r="B44" i="16"/>
  <c r="B45" i="16"/>
  <c r="B46" i="16"/>
  <c r="B47" i="16"/>
  <c r="B48" i="16"/>
  <c r="B49" i="16"/>
  <c r="B50" i="16"/>
  <c r="B51" i="16"/>
  <c r="B52" i="16"/>
  <c r="B53" i="16"/>
  <c r="B54" i="16"/>
  <c r="B55" i="16"/>
  <c r="B56" i="16"/>
  <c r="B57" i="16"/>
  <c r="B58" i="16"/>
  <c r="B59" i="16"/>
  <c r="B60" i="16"/>
  <c r="B61" i="16"/>
  <c r="B62" i="16"/>
  <c r="B63" i="16"/>
  <c r="B64" i="16"/>
  <c r="B65" i="16"/>
  <c r="B66" i="16"/>
  <c r="B67" i="16"/>
  <c r="B68" i="16"/>
  <c r="B69" i="16"/>
  <c r="B70" i="16"/>
  <c r="B71" i="16"/>
  <c r="B72" i="16"/>
  <c r="B73" i="16"/>
  <c r="B74" i="16"/>
  <c r="B75" i="16"/>
  <c r="B76" i="16"/>
  <c r="B77" i="16"/>
  <c r="B78" i="16"/>
  <c r="B79" i="16"/>
  <c r="B80" i="16"/>
  <c r="B81" i="16"/>
  <c r="B82" i="16"/>
  <c r="B83" i="16"/>
  <c r="B84" i="16"/>
  <c r="B85" i="16"/>
  <c r="B86" i="16"/>
  <c r="B87" i="16"/>
  <c r="B88" i="16"/>
  <c r="B89" i="16"/>
  <c r="B90" i="16"/>
  <c r="B91" i="16"/>
  <c r="B92" i="16"/>
  <c r="B93" i="16"/>
  <c r="B94" i="16"/>
  <c r="B95" i="16"/>
  <c r="B96" i="16"/>
  <c r="B97" i="16"/>
  <c r="B98" i="16"/>
  <c r="B99" i="16"/>
  <c r="B100" i="16"/>
  <c r="B101" i="16"/>
  <c r="B102" i="16"/>
  <c r="B103" i="16"/>
  <c r="B104" i="16"/>
  <c r="B105" i="16"/>
  <c r="B106" i="16"/>
  <c r="B107" i="16"/>
  <c r="B108" i="16"/>
  <c r="B109" i="16"/>
  <c r="B110" i="16"/>
  <c r="B111" i="16"/>
  <c r="B112" i="16"/>
  <c r="B113" i="16"/>
  <c r="B114" i="16"/>
  <c r="B115" i="16"/>
  <c r="B116" i="16"/>
  <c r="B117" i="16"/>
  <c r="B118" i="16"/>
  <c r="B119" i="16"/>
  <c r="B120" i="16"/>
  <c r="B121" i="16"/>
  <c r="B122" i="16"/>
  <c r="B123" i="16"/>
  <c r="B124" i="16"/>
  <c r="B125" i="16"/>
  <c r="B126" i="16"/>
  <c r="B127" i="16"/>
  <c r="B128" i="16"/>
  <c r="B129" i="16"/>
  <c r="B130" i="16"/>
  <c r="B131" i="16"/>
  <c r="B132" i="16"/>
  <c r="B133" i="16"/>
  <c r="B134" i="16"/>
  <c r="B135" i="16"/>
  <c r="B136" i="16"/>
  <c r="B137" i="16"/>
  <c r="B138" i="16"/>
  <c r="B139" i="16"/>
  <c r="B140" i="16"/>
  <c r="B141" i="16"/>
  <c r="B142" i="16"/>
  <c r="B143" i="16"/>
  <c r="B144" i="16"/>
  <c r="B145" i="16"/>
  <c r="B146" i="16"/>
  <c r="B147" i="16"/>
  <c r="B148" i="16"/>
  <c r="B149" i="16"/>
  <c r="B150" i="16"/>
  <c r="B151" i="16"/>
  <c r="B152" i="16"/>
  <c r="B153" i="16"/>
  <c r="B154" i="16"/>
  <c r="B155" i="16"/>
  <c r="B156" i="16"/>
  <c r="B157" i="16"/>
  <c r="B158" i="16"/>
  <c r="B159" i="16"/>
  <c r="B160" i="16"/>
  <c r="B161" i="16"/>
  <c r="B162" i="16"/>
  <c r="B163" i="16"/>
  <c r="B164" i="16"/>
  <c r="B165" i="16"/>
  <c r="B166" i="16"/>
  <c r="B167" i="16"/>
  <c r="B168" i="16"/>
  <c r="B169" i="16"/>
  <c r="B170" i="16"/>
  <c r="B171" i="16"/>
  <c r="B172" i="16"/>
  <c r="B173" i="16"/>
  <c r="B174" i="16"/>
  <c r="B175" i="16"/>
  <c r="B176" i="16"/>
  <c r="B177" i="16"/>
  <c r="B178" i="16"/>
  <c r="B179" i="16"/>
  <c r="B180" i="16"/>
  <c r="B181" i="16"/>
  <c r="B182" i="16"/>
  <c r="B183" i="16"/>
  <c r="B184" i="16"/>
  <c r="B185" i="16"/>
  <c r="B186" i="16"/>
  <c r="B187" i="16"/>
  <c r="B188" i="16"/>
  <c r="B189" i="16"/>
  <c r="B190" i="16"/>
  <c r="B191" i="16"/>
  <c r="B192" i="16"/>
  <c r="B193" i="16"/>
  <c r="B194" i="16"/>
  <c r="B195" i="16"/>
  <c r="B196" i="16"/>
  <c r="B197" i="16"/>
  <c r="B198" i="16"/>
  <c r="B199" i="16"/>
  <c r="B200" i="16"/>
  <c r="B201" i="16"/>
  <c r="B202" i="16"/>
  <c r="B203" i="16"/>
  <c r="B204" i="16"/>
  <c r="B205" i="16"/>
  <c r="B206" i="16"/>
  <c r="B207" i="16"/>
  <c r="B208" i="16"/>
  <c r="B209" i="16"/>
  <c r="B210" i="16"/>
  <c r="B211" i="16"/>
  <c r="B212" i="16"/>
  <c r="B213" i="16"/>
  <c r="B214" i="16"/>
  <c r="B215" i="16"/>
  <c r="B216" i="16"/>
  <c r="B217" i="16"/>
  <c r="B218" i="16"/>
  <c r="B219" i="16"/>
  <c r="B220" i="16"/>
  <c r="B221" i="16"/>
  <c r="B222" i="16"/>
  <c r="B223" i="16"/>
  <c r="B224" i="16"/>
  <c r="B225" i="16"/>
  <c r="B226" i="16"/>
  <c r="B227" i="16"/>
  <c r="B228" i="16"/>
  <c r="B229" i="16"/>
  <c r="B230" i="16"/>
  <c r="B231" i="16"/>
  <c r="B232" i="16"/>
  <c r="B233" i="16"/>
  <c r="B234" i="16"/>
  <c r="B235" i="16"/>
  <c r="B236" i="16"/>
  <c r="B237" i="16"/>
  <c r="B238" i="16"/>
  <c r="B239" i="16"/>
  <c r="B240" i="16"/>
  <c r="B241" i="16"/>
  <c r="B242" i="16"/>
  <c r="B243" i="16"/>
  <c r="B244" i="16"/>
  <c r="B245" i="16"/>
  <c r="B246" i="16"/>
  <c r="B247" i="16"/>
  <c r="B248" i="16"/>
  <c r="B249" i="16"/>
  <c r="B250" i="16"/>
  <c r="B251" i="16"/>
  <c r="B252" i="16"/>
  <c r="B253" i="16"/>
  <c r="B254" i="16"/>
  <c r="B255" i="16"/>
  <c r="B256" i="16"/>
  <c r="B257" i="16"/>
  <c r="B258" i="16"/>
  <c r="B259" i="16"/>
  <c r="B260" i="16"/>
  <c r="B261" i="16"/>
  <c r="B262" i="16"/>
  <c r="B263" i="16"/>
  <c r="B264" i="16"/>
  <c r="B265" i="16"/>
  <c r="B266" i="16"/>
  <c r="B267" i="16"/>
  <c r="B268" i="16"/>
  <c r="B269" i="16"/>
  <c r="B270" i="16"/>
  <c r="B271" i="16"/>
  <c r="B272" i="16"/>
  <c r="B273" i="16"/>
  <c r="B274" i="16"/>
  <c r="B275" i="16"/>
  <c r="B276" i="16"/>
  <c r="B277" i="16"/>
  <c r="B278" i="16"/>
  <c r="B279" i="16"/>
  <c r="B280" i="16"/>
  <c r="B281" i="16"/>
  <c r="B282" i="16"/>
  <c r="B283" i="16"/>
  <c r="B284" i="16"/>
  <c r="B285" i="16"/>
  <c r="B286" i="16"/>
  <c r="B287" i="16"/>
  <c r="B288" i="16"/>
  <c r="B289" i="16"/>
  <c r="B290" i="16"/>
  <c r="B291" i="16"/>
  <c r="B292" i="16"/>
  <c r="B293" i="16"/>
  <c r="B294" i="16"/>
  <c r="B295" i="16"/>
  <c r="B296" i="16"/>
  <c r="B297" i="16"/>
  <c r="B298" i="16"/>
  <c r="B299" i="16"/>
  <c r="B300" i="16"/>
  <c r="B301" i="16"/>
  <c r="B302" i="16"/>
  <c r="B303" i="16"/>
  <c r="B304" i="16"/>
  <c r="B305" i="16"/>
  <c r="B306" i="16"/>
  <c r="B307" i="16"/>
  <c r="B308" i="16"/>
  <c r="B309" i="16"/>
  <c r="B310" i="16"/>
  <c r="B311" i="16"/>
  <c r="B312" i="16"/>
  <c r="B313" i="16"/>
  <c r="B314" i="16"/>
  <c r="B315" i="16"/>
  <c r="B316" i="16"/>
  <c r="B317" i="16"/>
  <c r="B318" i="16"/>
  <c r="B319" i="16"/>
  <c r="B320" i="16"/>
  <c r="B321" i="16"/>
  <c r="B322" i="16"/>
  <c r="B323" i="16"/>
  <c r="B324" i="16"/>
  <c r="B325" i="16"/>
  <c r="B326" i="16"/>
  <c r="B327" i="16"/>
  <c r="B328" i="16"/>
  <c r="B329" i="16"/>
  <c r="B330" i="16"/>
  <c r="B331" i="16"/>
  <c r="B332" i="16"/>
  <c r="B333" i="16"/>
  <c r="B334" i="16"/>
  <c r="B335" i="16"/>
  <c r="B336" i="16"/>
  <c r="B337" i="16"/>
  <c r="B338" i="16"/>
  <c r="B339" i="16"/>
  <c r="B340" i="16"/>
  <c r="B341" i="16"/>
  <c r="B342" i="16"/>
  <c r="B343" i="16"/>
  <c r="D17" i="16" l="1"/>
  <c r="H17" i="16" s="1"/>
  <c r="I17" i="16" s="1"/>
  <c r="E17" i="16"/>
  <c r="AF17" i="16"/>
  <c r="D18" i="16"/>
  <c r="H18" i="16" s="1"/>
  <c r="I18" i="16" s="1"/>
  <c r="E18" i="16"/>
  <c r="AF18" i="16"/>
  <c r="D19" i="16"/>
  <c r="H19" i="16" s="1"/>
  <c r="I19" i="16" s="1"/>
  <c r="E19" i="16"/>
  <c r="AF19" i="16"/>
  <c r="D20" i="16"/>
  <c r="H20" i="16" s="1"/>
  <c r="I20" i="16" s="1"/>
  <c r="E20" i="16"/>
  <c r="AF20" i="16"/>
  <c r="D21" i="16"/>
  <c r="H21" i="16" s="1"/>
  <c r="I21" i="16" s="1"/>
  <c r="E21" i="16"/>
  <c r="AF21" i="16"/>
  <c r="D22" i="16"/>
  <c r="H22" i="16" s="1"/>
  <c r="I22" i="16" s="1"/>
  <c r="E22" i="16"/>
  <c r="AF22" i="16"/>
  <c r="D23" i="16"/>
  <c r="H23" i="16" s="1"/>
  <c r="I23" i="16" s="1"/>
  <c r="E23" i="16"/>
  <c r="AF23" i="16"/>
  <c r="D24" i="16"/>
  <c r="H24" i="16" s="1"/>
  <c r="I24" i="16" s="1"/>
  <c r="E24" i="16"/>
  <c r="AF24" i="16"/>
  <c r="D25" i="16"/>
  <c r="E25" i="16"/>
  <c r="AF25" i="16"/>
  <c r="D26" i="16"/>
  <c r="E26" i="16"/>
  <c r="AF26" i="16"/>
  <c r="D27" i="16"/>
  <c r="H27" i="16" s="1"/>
  <c r="I27" i="16" s="1"/>
  <c r="E27" i="16"/>
  <c r="AF27" i="16"/>
  <c r="D28" i="16"/>
  <c r="H28" i="16" s="1"/>
  <c r="I28" i="16" s="1"/>
  <c r="E28" i="16"/>
  <c r="AF28" i="16"/>
  <c r="D29" i="16"/>
  <c r="H29" i="16" s="1"/>
  <c r="I29" i="16" s="1"/>
  <c r="E29" i="16"/>
  <c r="AF29" i="16"/>
  <c r="D30" i="16"/>
  <c r="E30" i="16"/>
  <c r="AF30" i="16"/>
  <c r="D31" i="16"/>
  <c r="E31" i="16"/>
  <c r="AF31" i="16"/>
  <c r="D32" i="16"/>
  <c r="H32" i="16" s="1"/>
  <c r="I32" i="16" s="1"/>
  <c r="E32" i="16"/>
  <c r="AF32" i="16"/>
  <c r="D33" i="16"/>
  <c r="H33" i="16" s="1"/>
  <c r="I33" i="16" s="1"/>
  <c r="E33" i="16"/>
  <c r="AF33" i="16"/>
  <c r="D34" i="16"/>
  <c r="H34" i="16" s="1"/>
  <c r="I34" i="16" s="1"/>
  <c r="E34" i="16"/>
  <c r="AF34" i="16"/>
  <c r="D35" i="16"/>
  <c r="E35" i="16"/>
  <c r="AF35" i="16"/>
  <c r="D36" i="16"/>
  <c r="E36" i="16"/>
  <c r="AF36" i="16"/>
  <c r="D37" i="16"/>
  <c r="H37" i="16" s="1"/>
  <c r="I37" i="16" s="1"/>
  <c r="E37" i="16"/>
  <c r="AF37" i="16"/>
  <c r="D38" i="16"/>
  <c r="H38" i="16" s="1"/>
  <c r="I38" i="16" s="1"/>
  <c r="E38" i="16"/>
  <c r="AF38" i="16"/>
  <c r="D39" i="16"/>
  <c r="H39" i="16" s="1"/>
  <c r="I39" i="16" s="1"/>
  <c r="E39" i="16"/>
  <c r="AF39" i="16"/>
  <c r="D40" i="16"/>
  <c r="H40" i="16" s="1"/>
  <c r="I40" i="16" s="1"/>
  <c r="E40" i="16"/>
  <c r="AF40" i="16"/>
  <c r="D41" i="16"/>
  <c r="H41" i="16" s="1"/>
  <c r="I41" i="16" s="1"/>
  <c r="E41" i="16"/>
  <c r="AF41" i="16"/>
  <c r="D42" i="16"/>
  <c r="E42" i="16"/>
  <c r="AF42" i="16"/>
  <c r="D43" i="16"/>
  <c r="E43" i="16"/>
  <c r="AF43" i="16"/>
  <c r="D44" i="16"/>
  <c r="H44" i="16" s="1"/>
  <c r="I44" i="16" s="1"/>
  <c r="E44" i="16"/>
  <c r="AF44" i="16"/>
  <c r="D45" i="16"/>
  <c r="H45" i="16" s="1"/>
  <c r="I45" i="16" s="1"/>
  <c r="E45" i="16"/>
  <c r="AF45" i="16"/>
  <c r="D46" i="16"/>
  <c r="H46" i="16" s="1"/>
  <c r="I46" i="16" s="1"/>
  <c r="E46" i="16"/>
  <c r="AF46" i="16"/>
  <c r="D47" i="16"/>
  <c r="H47" i="16" s="1"/>
  <c r="I47" i="16" s="1"/>
  <c r="E47" i="16"/>
  <c r="AF47" i="16"/>
  <c r="D48" i="16"/>
  <c r="H48" i="16" s="1"/>
  <c r="I48" i="16" s="1"/>
  <c r="E48" i="16"/>
  <c r="AF48" i="16"/>
  <c r="D49" i="16"/>
  <c r="E49" i="16"/>
  <c r="AF49" i="16"/>
  <c r="D50" i="16"/>
  <c r="H50" i="16" s="1"/>
  <c r="I50" i="16" s="1"/>
  <c r="E50" i="16"/>
  <c r="AF50" i="16"/>
  <c r="D51" i="16"/>
  <c r="H51" i="16" s="1"/>
  <c r="I51" i="16" s="1"/>
  <c r="E51" i="16"/>
  <c r="AF51" i="16"/>
  <c r="D52" i="16"/>
  <c r="H52" i="16" s="1"/>
  <c r="I52" i="16" s="1"/>
  <c r="E52" i="16"/>
  <c r="AF52" i="16"/>
  <c r="D53" i="16"/>
  <c r="H53" i="16" s="1"/>
  <c r="I53" i="16" s="1"/>
  <c r="E53" i="16"/>
  <c r="AF53" i="16"/>
  <c r="D54" i="16"/>
  <c r="H54" i="16" s="1"/>
  <c r="I54" i="16" s="1"/>
  <c r="E54" i="16"/>
  <c r="AF54" i="16"/>
  <c r="D55" i="16"/>
  <c r="H55" i="16" s="1"/>
  <c r="I55" i="16" s="1"/>
  <c r="E55" i="16"/>
  <c r="AF55" i="16"/>
  <c r="D56" i="16"/>
  <c r="H56" i="16" s="1"/>
  <c r="I56" i="16" s="1"/>
  <c r="E56" i="16"/>
  <c r="AF56" i="16"/>
  <c r="D57" i="16"/>
  <c r="H57" i="16" s="1"/>
  <c r="I57" i="16" s="1"/>
  <c r="E57" i="16"/>
  <c r="AF57" i="16"/>
  <c r="D58" i="16"/>
  <c r="H58" i="16" s="1"/>
  <c r="I58" i="16" s="1"/>
  <c r="E58" i="16"/>
  <c r="AF58" i="16"/>
  <c r="D59" i="16"/>
  <c r="H59" i="16" s="1"/>
  <c r="I59" i="16" s="1"/>
  <c r="E59" i="16"/>
  <c r="AF59" i="16"/>
  <c r="D60" i="16"/>
  <c r="E60" i="16"/>
  <c r="AF60" i="16"/>
  <c r="D61" i="16"/>
  <c r="H61" i="16" s="1"/>
  <c r="I61" i="16" s="1"/>
  <c r="E61" i="16"/>
  <c r="AF61" i="16"/>
  <c r="D62" i="16"/>
  <c r="H62" i="16" s="1"/>
  <c r="I62" i="16" s="1"/>
  <c r="E62" i="16"/>
  <c r="AF62" i="16"/>
  <c r="D63" i="16"/>
  <c r="H63" i="16" s="1"/>
  <c r="I63" i="16" s="1"/>
  <c r="E63" i="16"/>
  <c r="AF63" i="16"/>
  <c r="D64" i="16"/>
  <c r="H64" i="16" s="1"/>
  <c r="I64" i="16" s="1"/>
  <c r="E64" i="16"/>
  <c r="AF64" i="16"/>
  <c r="D65" i="16"/>
  <c r="E65" i="16"/>
  <c r="AF65" i="16"/>
  <c r="D66" i="16"/>
  <c r="E66" i="16"/>
  <c r="AF66" i="16"/>
  <c r="D67" i="16"/>
  <c r="H67" i="16" s="1"/>
  <c r="I67" i="16" s="1"/>
  <c r="E67" i="16"/>
  <c r="AF67" i="16"/>
  <c r="D68" i="16"/>
  <c r="H68" i="16" s="1"/>
  <c r="I68" i="16" s="1"/>
  <c r="E68" i="16"/>
  <c r="AF68" i="16"/>
  <c r="D69" i="16"/>
  <c r="H69" i="16" s="1"/>
  <c r="I69" i="16" s="1"/>
  <c r="E69" i="16"/>
  <c r="AF69" i="16"/>
  <c r="D70" i="16"/>
  <c r="H70" i="16" s="1"/>
  <c r="I70" i="16" s="1"/>
  <c r="E70" i="16"/>
  <c r="AF70" i="16"/>
  <c r="D71" i="16"/>
  <c r="H71" i="16" s="1"/>
  <c r="I71" i="16" s="1"/>
  <c r="E71" i="16"/>
  <c r="AF71" i="16"/>
  <c r="D72" i="16"/>
  <c r="H72" i="16" s="1"/>
  <c r="I72" i="16" s="1"/>
  <c r="E72" i="16"/>
  <c r="AF72" i="16"/>
  <c r="D73" i="16"/>
  <c r="E73" i="16"/>
  <c r="AF73" i="16"/>
  <c r="D74" i="16"/>
  <c r="E74" i="16"/>
  <c r="AF74" i="16"/>
  <c r="D75" i="16"/>
  <c r="H75" i="16" s="1"/>
  <c r="I75" i="16" s="1"/>
  <c r="E75" i="16"/>
  <c r="AF75" i="16"/>
  <c r="D76" i="16"/>
  <c r="H76" i="16" s="1"/>
  <c r="I76" i="16" s="1"/>
  <c r="E76" i="16"/>
  <c r="AF76" i="16"/>
  <c r="D77" i="16"/>
  <c r="H77" i="16" s="1"/>
  <c r="I77" i="16" s="1"/>
  <c r="E77" i="16"/>
  <c r="AF77" i="16"/>
  <c r="D78" i="16"/>
  <c r="H78" i="16" s="1"/>
  <c r="I78" i="16" s="1"/>
  <c r="E78" i="16"/>
  <c r="AF78" i="16"/>
  <c r="D79" i="16"/>
  <c r="H79" i="16" s="1"/>
  <c r="I79" i="16" s="1"/>
  <c r="E79" i="16"/>
  <c r="AF79" i="16"/>
  <c r="D80" i="16"/>
  <c r="H80" i="16" s="1"/>
  <c r="I80" i="16" s="1"/>
  <c r="E80" i="16"/>
  <c r="AF80" i="16"/>
  <c r="D81" i="16"/>
  <c r="E81" i="16"/>
  <c r="AF81" i="16"/>
  <c r="D82" i="16"/>
  <c r="E82" i="16"/>
  <c r="AF82" i="16"/>
  <c r="D83" i="16"/>
  <c r="E83" i="16"/>
  <c r="AF83" i="16"/>
  <c r="D84" i="16"/>
  <c r="H84" i="16" s="1"/>
  <c r="I84" i="16" s="1"/>
  <c r="E84" i="16"/>
  <c r="AF84" i="16"/>
  <c r="D85" i="16"/>
  <c r="E85" i="16"/>
  <c r="AF85" i="16"/>
  <c r="D86" i="16"/>
  <c r="H86" i="16" s="1"/>
  <c r="I86" i="16" s="1"/>
  <c r="E86" i="16"/>
  <c r="AF86" i="16"/>
  <c r="D87" i="16"/>
  <c r="H87" i="16" s="1"/>
  <c r="I87" i="16" s="1"/>
  <c r="E87" i="16"/>
  <c r="AF87" i="16"/>
  <c r="D88" i="16"/>
  <c r="E88" i="16"/>
  <c r="AF88" i="16"/>
  <c r="D89" i="16"/>
  <c r="H89" i="16" s="1"/>
  <c r="I89" i="16" s="1"/>
  <c r="E89" i="16"/>
  <c r="AF89" i="16"/>
  <c r="D90" i="16"/>
  <c r="E90" i="16"/>
  <c r="AF90" i="16"/>
  <c r="D91" i="16"/>
  <c r="E91" i="16"/>
  <c r="AF91" i="16"/>
  <c r="D92" i="16"/>
  <c r="E92" i="16"/>
  <c r="AF92" i="16"/>
  <c r="D93" i="16"/>
  <c r="H93" i="16" s="1"/>
  <c r="I93" i="16" s="1"/>
  <c r="E93" i="16"/>
  <c r="AF93" i="16"/>
  <c r="D94" i="16"/>
  <c r="H94" i="16" s="1"/>
  <c r="I94" i="16" s="1"/>
  <c r="E94" i="16"/>
  <c r="AF94" i="16"/>
  <c r="D95" i="16"/>
  <c r="H95" i="16" s="1"/>
  <c r="I95" i="16" s="1"/>
  <c r="E95" i="16"/>
  <c r="AF95" i="16"/>
  <c r="D96" i="16"/>
  <c r="H96" i="16" s="1"/>
  <c r="I96" i="16" s="1"/>
  <c r="E96" i="16"/>
  <c r="AF96" i="16"/>
  <c r="D97" i="16"/>
  <c r="H97" i="16" s="1"/>
  <c r="I97" i="16" s="1"/>
  <c r="E97" i="16"/>
  <c r="AF97" i="16"/>
  <c r="D98" i="16"/>
  <c r="E98" i="16"/>
  <c r="AF98" i="16"/>
  <c r="D99" i="16"/>
  <c r="H99" i="16" s="1"/>
  <c r="I99" i="16" s="1"/>
  <c r="E99" i="16"/>
  <c r="AF99" i="16"/>
  <c r="D100" i="16"/>
  <c r="H100" i="16" s="1"/>
  <c r="I100" i="16" s="1"/>
  <c r="E100" i="16"/>
  <c r="AF100" i="16"/>
  <c r="D101" i="16"/>
  <c r="E101" i="16"/>
  <c r="AF101" i="16"/>
  <c r="D102" i="16"/>
  <c r="H102" i="16" s="1"/>
  <c r="I102" i="16" s="1"/>
  <c r="E102" i="16"/>
  <c r="AF102" i="16"/>
  <c r="D103" i="16"/>
  <c r="H103" i="16" s="1"/>
  <c r="I103" i="16" s="1"/>
  <c r="E103" i="16"/>
  <c r="AF103" i="16"/>
  <c r="D104" i="16"/>
  <c r="H104" i="16" s="1"/>
  <c r="I104" i="16" s="1"/>
  <c r="E104" i="16"/>
  <c r="AF104" i="16"/>
  <c r="D105" i="16"/>
  <c r="H105" i="16" s="1"/>
  <c r="I105" i="16" s="1"/>
  <c r="E105" i="16"/>
  <c r="AF105" i="16"/>
  <c r="D106" i="16"/>
  <c r="H106" i="16" s="1"/>
  <c r="I106" i="16" s="1"/>
  <c r="E106" i="16"/>
  <c r="AF106" i="16"/>
  <c r="D107" i="16"/>
  <c r="H107" i="16" s="1"/>
  <c r="I107" i="16" s="1"/>
  <c r="E107" i="16"/>
  <c r="AF107" i="16"/>
  <c r="D108" i="16"/>
  <c r="H108" i="16" s="1"/>
  <c r="I108" i="16" s="1"/>
  <c r="E108" i="16"/>
  <c r="AF108" i="16"/>
  <c r="D109" i="16"/>
  <c r="H109" i="16" s="1"/>
  <c r="I109" i="16" s="1"/>
  <c r="E109" i="16"/>
  <c r="AF109" i="16"/>
  <c r="D110" i="16"/>
  <c r="H110" i="16" s="1"/>
  <c r="I110" i="16" s="1"/>
  <c r="E110" i="16"/>
  <c r="AF110" i="16"/>
  <c r="D111" i="16"/>
  <c r="H111" i="16" s="1"/>
  <c r="I111" i="16" s="1"/>
  <c r="E111" i="16"/>
  <c r="AF111" i="16"/>
  <c r="D112" i="16"/>
  <c r="H112" i="16" s="1"/>
  <c r="I112" i="16" s="1"/>
  <c r="E112" i="16"/>
  <c r="AF112" i="16"/>
  <c r="D113" i="16"/>
  <c r="H113" i="16" s="1"/>
  <c r="I113" i="16" s="1"/>
  <c r="E113" i="16"/>
  <c r="AF113" i="16"/>
  <c r="D114" i="16"/>
  <c r="H114" i="16" s="1"/>
  <c r="I114" i="16" s="1"/>
  <c r="E114" i="16"/>
  <c r="AF114" i="16"/>
  <c r="D115" i="16"/>
  <c r="H115" i="16" s="1"/>
  <c r="I115" i="16" s="1"/>
  <c r="E115" i="16"/>
  <c r="AF115" i="16"/>
  <c r="D116" i="16"/>
  <c r="H116" i="16" s="1"/>
  <c r="I116" i="16" s="1"/>
  <c r="E116" i="16"/>
  <c r="AF116" i="16"/>
  <c r="D117" i="16"/>
  <c r="H117" i="16" s="1"/>
  <c r="I117" i="16" s="1"/>
  <c r="E117" i="16"/>
  <c r="AF117" i="16"/>
  <c r="D118" i="16"/>
  <c r="H118" i="16" s="1"/>
  <c r="I118" i="16" s="1"/>
  <c r="E118" i="16"/>
  <c r="AF118" i="16"/>
  <c r="D119" i="16"/>
  <c r="H119" i="16" s="1"/>
  <c r="I119" i="16" s="1"/>
  <c r="E119" i="16"/>
  <c r="AF119" i="16"/>
  <c r="D120" i="16"/>
  <c r="H120" i="16" s="1"/>
  <c r="I120" i="16" s="1"/>
  <c r="E120" i="16"/>
  <c r="AF120" i="16"/>
  <c r="D121" i="16"/>
  <c r="H121" i="16" s="1"/>
  <c r="I121" i="16" s="1"/>
  <c r="E121" i="16"/>
  <c r="AF121" i="16"/>
  <c r="D122" i="16"/>
  <c r="H122" i="16" s="1"/>
  <c r="I122" i="16" s="1"/>
  <c r="E122" i="16"/>
  <c r="AF122" i="16"/>
  <c r="D123" i="16"/>
  <c r="H123" i="16" s="1"/>
  <c r="I123" i="16" s="1"/>
  <c r="E123" i="16"/>
  <c r="AF123" i="16"/>
  <c r="D124" i="16"/>
  <c r="H124" i="16" s="1"/>
  <c r="I124" i="16" s="1"/>
  <c r="E124" i="16"/>
  <c r="AF124" i="16"/>
  <c r="D125" i="16"/>
  <c r="H125" i="16" s="1"/>
  <c r="I125" i="16" s="1"/>
  <c r="E125" i="16"/>
  <c r="AF125" i="16"/>
  <c r="D126" i="16"/>
  <c r="H126" i="16" s="1"/>
  <c r="I126" i="16" s="1"/>
  <c r="E126" i="16"/>
  <c r="AF126" i="16"/>
  <c r="D127" i="16"/>
  <c r="E127" i="16"/>
  <c r="AF127" i="16"/>
  <c r="D128" i="16"/>
  <c r="H128" i="16" s="1"/>
  <c r="I128" i="16" s="1"/>
  <c r="E128" i="16"/>
  <c r="AF128" i="16"/>
  <c r="D129" i="16"/>
  <c r="E129" i="16"/>
  <c r="AF129" i="16"/>
  <c r="D130" i="16"/>
  <c r="H130" i="16" s="1"/>
  <c r="I130" i="16" s="1"/>
  <c r="E130" i="16"/>
  <c r="AF130" i="16"/>
  <c r="D131" i="16"/>
  <c r="H131" i="16" s="1"/>
  <c r="I131" i="16" s="1"/>
  <c r="E131" i="16"/>
  <c r="AF131" i="16"/>
  <c r="D132" i="16"/>
  <c r="H132" i="16" s="1"/>
  <c r="I132" i="16" s="1"/>
  <c r="E132" i="16"/>
  <c r="AF132" i="16"/>
  <c r="D133" i="16"/>
  <c r="H133" i="16" s="1"/>
  <c r="I133" i="16" s="1"/>
  <c r="E133" i="16"/>
  <c r="AF133" i="16"/>
  <c r="D134" i="16"/>
  <c r="H134" i="16" s="1"/>
  <c r="I134" i="16" s="1"/>
  <c r="E134" i="16"/>
  <c r="AF134" i="16"/>
  <c r="D135" i="16"/>
  <c r="H135" i="16" s="1"/>
  <c r="I135" i="16" s="1"/>
  <c r="E135" i="16"/>
  <c r="AF135" i="16"/>
  <c r="D136" i="16"/>
  <c r="H136" i="16" s="1"/>
  <c r="I136" i="16" s="1"/>
  <c r="E136" i="16"/>
  <c r="AF136" i="16"/>
  <c r="D137" i="16"/>
  <c r="E137" i="16"/>
  <c r="AF137" i="16"/>
  <c r="D138" i="16"/>
  <c r="H138" i="16" s="1"/>
  <c r="I138" i="16" s="1"/>
  <c r="E138" i="16"/>
  <c r="AF138" i="16"/>
  <c r="D139" i="16"/>
  <c r="E139" i="16"/>
  <c r="AF139" i="16"/>
  <c r="D140" i="16"/>
  <c r="H140" i="16" s="1"/>
  <c r="I140" i="16" s="1"/>
  <c r="E140" i="16"/>
  <c r="AF140" i="16"/>
  <c r="D141" i="16"/>
  <c r="E141" i="16"/>
  <c r="AF141" i="16"/>
  <c r="D142" i="16"/>
  <c r="H142" i="16" s="1"/>
  <c r="I142" i="16" s="1"/>
  <c r="E142" i="16"/>
  <c r="AF142" i="16"/>
  <c r="D143" i="16"/>
  <c r="E143" i="16"/>
  <c r="AF143" i="16"/>
  <c r="D144" i="16"/>
  <c r="H144" i="16" s="1"/>
  <c r="I144" i="16" s="1"/>
  <c r="E144" i="16"/>
  <c r="AF144" i="16"/>
  <c r="D145" i="16"/>
  <c r="H145" i="16" s="1"/>
  <c r="I145" i="16" s="1"/>
  <c r="E145" i="16"/>
  <c r="AF145" i="16"/>
  <c r="D146" i="16"/>
  <c r="H146" i="16" s="1"/>
  <c r="I146" i="16" s="1"/>
  <c r="E146" i="16"/>
  <c r="AF146" i="16"/>
  <c r="D147" i="16"/>
  <c r="H147" i="16" s="1"/>
  <c r="I147" i="16" s="1"/>
  <c r="E147" i="16"/>
  <c r="AF147" i="16"/>
  <c r="D148" i="16"/>
  <c r="H148" i="16" s="1"/>
  <c r="I148" i="16" s="1"/>
  <c r="E148" i="16"/>
  <c r="AF148" i="16"/>
  <c r="D149" i="16"/>
  <c r="H149" i="16" s="1"/>
  <c r="I149" i="16" s="1"/>
  <c r="E149" i="16"/>
  <c r="AF149" i="16"/>
  <c r="D150" i="16"/>
  <c r="H150" i="16" s="1"/>
  <c r="I150" i="16" s="1"/>
  <c r="E150" i="16"/>
  <c r="AF150" i="16"/>
  <c r="D151" i="16"/>
  <c r="H151" i="16" s="1"/>
  <c r="I151" i="16" s="1"/>
  <c r="E151" i="16"/>
  <c r="AF151" i="16"/>
  <c r="D152" i="16"/>
  <c r="E152" i="16"/>
  <c r="AF152" i="16"/>
  <c r="D153" i="16"/>
  <c r="H153" i="16" s="1"/>
  <c r="I153" i="16" s="1"/>
  <c r="E153" i="16"/>
  <c r="AF153" i="16"/>
  <c r="D154" i="16"/>
  <c r="E154" i="16"/>
  <c r="AF154" i="16"/>
  <c r="D155" i="16"/>
  <c r="H155" i="16" s="1"/>
  <c r="I155" i="16" s="1"/>
  <c r="E155" i="16"/>
  <c r="AF155" i="16"/>
  <c r="D156" i="16"/>
  <c r="H156" i="16" s="1"/>
  <c r="I156" i="16" s="1"/>
  <c r="E156" i="16"/>
  <c r="AF156" i="16"/>
  <c r="D157" i="16"/>
  <c r="H157" i="16" s="1"/>
  <c r="I157" i="16" s="1"/>
  <c r="E157" i="16"/>
  <c r="AF157" i="16"/>
  <c r="D158" i="16"/>
  <c r="E158" i="16"/>
  <c r="AF158" i="16"/>
  <c r="D159" i="16"/>
  <c r="H159" i="16" s="1"/>
  <c r="I159" i="16" s="1"/>
  <c r="E159" i="16"/>
  <c r="AF159" i="16"/>
  <c r="D160" i="16"/>
  <c r="H160" i="16" s="1"/>
  <c r="I160" i="16" s="1"/>
  <c r="E160" i="16"/>
  <c r="AF160" i="16"/>
  <c r="D161" i="16"/>
  <c r="E161" i="16"/>
  <c r="AF161" i="16"/>
  <c r="D162" i="16"/>
  <c r="H162" i="16" s="1"/>
  <c r="I162" i="16" s="1"/>
  <c r="E162" i="16"/>
  <c r="AF162" i="16"/>
  <c r="D163" i="16"/>
  <c r="H163" i="16" s="1"/>
  <c r="I163" i="16" s="1"/>
  <c r="E163" i="16"/>
  <c r="AF163" i="16"/>
  <c r="D164" i="16"/>
  <c r="H164" i="16" s="1"/>
  <c r="I164" i="16" s="1"/>
  <c r="E164" i="16"/>
  <c r="AF164" i="16"/>
  <c r="D165" i="16"/>
  <c r="H165" i="16" s="1"/>
  <c r="I165" i="16" s="1"/>
  <c r="E165" i="16"/>
  <c r="AF165" i="16"/>
  <c r="D166" i="16"/>
  <c r="E166" i="16"/>
  <c r="AF166" i="16"/>
  <c r="D167" i="16"/>
  <c r="H167" i="16" s="1"/>
  <c r="I167" i="16" s="1"/>
  <c r="E167" i="16"/>
  <c r="AF167" i="16"/>
  <c r="D168" i="16"/>
  <c r="H168" i="16" s="1"/>
  <c r="I168" i="16" s="1"/>
  <c r="E168" i="16"/>
  <c r="AF168" i="16"/>
  <c r="D169" i="16"/>
  <c r="E169" i="16"/>
  <c r="AF169" i="16"/>
  <c r="D170" i="16"/>
  <c r="H170" i="16" s="1"/>
  <c r="I170" i="16" s="1"/>
  <c r="E170" i="16"/>
  <c r="AF170" i="16"/>
  <c r="D171" i="16"/>
  <c r="H171" i="16" s="1"/>
  <c r="I171" i="16" s="1"/>
  <c r="E171" i="16"/>
  <c r="AF171" i="16"/>
  <c r="D172" i="16"/>
  <c r="H172" i="16" s="1"/>
  <c r="I172" i="16" s="1"/>
  <c r="E172" i="16"/>
  <c r="AF172" i="16"/>
  <c r="D173" i="16"/>
  <c r="H173" i="16" s="1"/>
  <c r="I173" i="16" s="1"/>
  <c r="E173" i="16"/>
  <c r="AF173" i="16"/>
  <c r="D174" i="16"/>
  <c r="E174" i="16"/>
  <c r="AF174" i="16"/>
  <c r="D175" i="16"/>
  <c r="H175" i="16" s="1"/>
  <c r="I175" i="16" s="1"/>
  <c r="E175" i="16"/>
  <c r="AF175" i="16"/>
  <c r="D176" i="16"/>
  <c r="H176" i="16" s="1"/>
  <c r="I176" i="16" s="1"/>
  <c r="E176" i="16"/>
  <c r="AF176" i="16"/>
  <c r="D177" i="16"/>
  <c r="E177" i="16"/>
  <c r="AF177" i="16"/>
  <c r="D178" i="16"/>
  <c r="H178" i="16" s="1"/>
  <c r="I178" i="16" s="1"/>
  <c r="E178" i="16"/>
  <c r="AF178" i="16"/>
  <c r="D179" i="16"/>
  <c r="H179" i="16" s="1"/>
  <c r="I179" i="16" s="1"/>
  <c r="E179" i="16"/>
  <c r="AF179" i="16"/>
  <c r="D180" i="16"/>
  <c r="E180" i="16"/>
  <c r="AF180" i="16"/>
  <c r="D181" i="16"/>
  <c r="H181" i="16" s="1"/>
  <c r="I181" i="16" s="1"/>
  <c r="E181" i="16"/>
  <c r="AF181" i="16"/>
  <c r="D182" i="16"/>
  <c r="H182" i="16" s="1"/>
  <c r="I182" i="16" s="1"/>
  <c r="E182" i="16"/>
  <c r="AF182" i="16"/>
  <c r="D183" i="16"/>
  <c r="E183" i="16"/>
  <c r="AF183" i="16"/>
  <c r="D184" i="16"/>
  <c r="H184" i="16" s="1"/>
  <c r="I184" i="16" s="1"/>
  <c r="E184" i="16"/>
  <c r="AF184" i="16"/>
  <c r="D185" i="16"/>
  <c r="H185" i="16" s="1"/>
  <c r="I185" i="16" s="1"/>
  <c r="E185" i="16"/>
  <c r="AF185" i="16"/>
  <c r="D186" i="16"/>
  <c r="H186" i="16" s="1"/>
  <c r="I186" i="16" s="1"/>
  <c r="E186" i="16"/>
  <c r="AF186" i="16"/>
  <c r="D187" i="16"/>
  <c r="E187" i="16"/>
  <c r="AF187" i="16"/>
  <c r="D188" i="16"/>
  <c r="E188" i="16"/>
  <c r="AF188" i="16"/>
  <c r="D189" i="16"/>
  <c r="H189" i="16" s="1"/>
  <c r="I189" i="16" s="1"/>
  <c r="E189" i="16"/>
  <c r="AF189" i="16"/>
  <c r="D190" i="16"/>
  <c r="E190" i="16"/>
  <c r="AF190" i="16"/>
  <c r="D191" i="16"/>
  <c r="E191" i="16"/>
  <c r="AF191" i="16"/>
  <c r="D192" i="16"/>
  <c r="H192" i="16" s="1"/>
  <c r="I192" i="16" s="1"/>
  <c r="E192" i="16"/>
  <c r="AF192" i="16"/>
  <c r="D193" i="16"/>
  <c r="H193" i="16" s="1"/>
  <c r="I193" i="16" s="1"/>
  <c r="E193" i="16"/>
  <c r="AF193" i="16"/>
  <c r="D194" i="16"/>
  <c r="H194" i="16" s="1"/>
  <c r="I194" i="16" s="1"/>
  <c r="E194" i="16"/>
  <c r="AF194" i="16"/>
  <c r="D195" i="16"/>
  <c r="H195" i="16" s="1"/>
  <c r="I195" i="16" s="1"/>
  <c r="E195" i="16"/>
  <c r="AF195" i="16"/>
  <c r="D196" i="16"/>
  <c r="H196" i="16" s="1"/>
  <c r="I196" i="16" s="1"/>
  <c r="E196" i="16"/>
  <c r="AF196" i="16"/>
  <c r="D197" i="16"/>
  <c r="H197" i="16" s="1"/>
  <c r="I197" i="16" s="1"/>
  <c r="E197" i="16"/>
  <c r="AF197" i="16"/>
  <c r="D198" i="16"/>
  <c r="E198" i="16"/>
  <c r="AF198" i="16"/>
  <c r="D199" i="16"/>
  <c r="H199" i="16" s="1"/>
  <c r="I199" i="16" s="1"/>
  <c r="E199" i="16"/>
  <c r="AF199" i="16"/>
  <c r="D200" i="16"/>
  <c r="H200" i="16" s="1"/>
  <c r="I200" i="16" s="1"/>
  <c r="E200" i="16"/>
  <c r="AF200" i="16"/>
  <c r="D201" i="16"/>
  <c r="E201" i="16"/>
  <c r="AF201" i="16"/>
  <c r="D202" i="16"/>
  <c r="H202" i="16" s="1"/>
  <c r="I202" i="16" s="1"/>
  <c r="E202" i="16"/>
  <c r="AF202" i="16"/>
  <c r="D203" i="16"/>
  <c r="E203" i="16"/>
  <c r="AF203" i="16"/>
  <c r="D204" i="16"/>
  <c r="E204" i="16"/>
  <c r="AF204" i="16"/>
  <c r="D205" i="16"/>
  <c r="H205" i="16" s="1"/>
  <c r="I205" i="16" s="1"/>
  <c r="E205" i="16"/>
  <c r="AF205" i="16"/>
  <c r="D206" i="16"/>
  <c r="E206" i="16"/>
  <c r="AF206" i="16"/>
  <c r="D207" i="16"/>
  <c r="H207" i="16" s="1"/>
  <c r="I207" i="16" s="1"/>
  <c r="E207" i="16"/>
  <c r="AF207" i="16"/>
  <c r="D208" i="16"/>
  <c r="H208" i="16" s="1"/>
  <c r="I208" i="16" s="1"/>
  <c r="E208" i="16"/>
  <c r="AF208" i="16"/>
  <c r="D209" i="16"/>
  <c r="E209" i="16"/>
  <c r="AF209" i="16"/>
  <c r="D210" i="16"/>
  <c r="H210" i="16" s="1"/>
  <c r="I210" i="16" s="1"/>
  <c r="E210" i="16"/>
  <c r="AF210" i="16"/>
  <c r="D211" i="16"/>
  <c r="E211" i="16"/>
  <c r="AF211" i="16"/>
  <c r="D212" i="16"/>
  <c r="H212" i="16" s="1"/>
  <c r="I212" i="16" s="1"/>
  <c r="E212" i="16"/>
  <c r="AF212" i="16"/>
  <c r="D213" i="16"/>
  <c r="E213" i="16"/>
  <c r="AF213" i="16"/>
  <c r="D214" i="16"/>
  <c r="H214" i="16" s="1"/>
  <c r="I214" i="16" s="1"/>
  <c r="E214" i="16"/>
  <c r="AF214" i="16"/>
  <c r="D215" i="16"/>
  <c r="E215" i="16"/>
  <c r="AF215" i="16"/>
  <c r="D216" i="16"/>
  <c r="H216" i="16" s="1"/>
  <c r="I216" i="16" s="1"/>
  <c r="E216" i="16"/>
  <c r="AF216" i="16"/>
  <c r="D217" i="16"/>
  <c r="H217" i="16" s="1"/>
  <c r="I217" i="16" s="1"/>
  <c r="E217" i="16"/>
  <c r="AF217" i="16"/>
  <c r="D218" i="16"/>
  <c r="H218" i="16" s="1"/>
  <c r="I218" i="16" s="1"/>
  <c r="E218" i="16"/>
  <c r="AF218" i="16"/>
  <c r="D219" i="16"/>
  <c r="E219" i="16"/>
  <c r="AF219" i="16"/>
  <c r="D220" i="16"/>
  <c r="E220" i="16"/>
  <c r="AF220" i="16"/>
  <c r="D221" i="16"/>
  <c r="E221" i="16"/>
  <c r="AF221" i="16"/>
  <c r="D222" i="16"/>
  <c r="H222" i="16" s="1"/>
  <c r="I222" i="16" s="1"/>
  <c r="E222" i="16"/>
  <c r="AF222" i="16"/>
  <c r="D223" i="16"/>
  <c r="E223" i="16"/>
  <c r="AF223" i="16"/>
  <c r="D224" i="16"/>
  <c r="E224" i="16"/>
  <c r="AF224" i="16"/>
  <c r="D225" i="16"/>
  <c r="E225" i="16"/>
  <c r="AF225" i="16"/>
  <c r="D226" i="16"/>
  <c r="H226" i="16" s="1"/>
  <c r="I226" i="16" s="1"/>
  <c r="E226" i="16"/>
  <c r="AF226" i="16"/>
  <c r="D227" i="16"/>
  <c r="E227" i="16"/>
  <c r="AF227" i="16"/>
  <c r="D228" i="16"/>
  <c r="H228" i="16" s="1"/>
  <c r="I228" i="16" s="1"/>
  <c r="E228" i="16"/>
  <c r="AF228" i="16"/>
  <c r="D229" i="16"/>
  <c r="E229" i="16"/>
  <c r="AF229" i="16"/>
  <c r="D230" i="16"/>
  <c r="H230" i="16" s="1"/>
  <c r="I230" i="16" s="1"/>
  <c r="E230" i="16"/>
  <c r="AF230" i="16"/>
  <c r="D231" i="16"/>
  <c r="H231" i="16" s="1"/>
  <c r="I231" i="16" s="1"/>
  <c r="E231" i="16"/>
  <c r="AF231" i="16"/>
  <c r="D232" i="16"/>
  <c r="H232" i="16" s="1"/>
  <c r="I232" i="16" s="1"/>
  <c r="E232" i="16"/>
  <c r="AF232" i="16"/>
  <c r="D233" i="16"/>
  <c r="H233" i="16" s="1"/>
  <c r="I233" i="16" s="1"/>
  <c r="E233" i="16"/>
  <c r="AF233" i="16"/>
  <c r="D234" i="16"/>
  <c r="H234" i="16" s="1"/>
  <c r="I234" i="16" s="1"/>
  <c r="E234" i="16"/>
  <c r="AF234" i="16"/>
  <c r="D235" i="16"/>
  <c r="H235" i="16" s="1"/>
  <c r="I235" i="16" s="1"/>
  <c r="E235" i="16"/>
  <c r="AF235" i="16"/>
  <c r="D236" i="16"/>
  <c r="H236" i="16" s="1"/>
  <c r="I236" i="16" s="1"/>
  <c r="E236" i="16"/>
  <c r="AF236" i="16"/>
  <c r="D237" i="16"/>
  <c r="H237" i="16" s="1"/>
  <c r="I237" i="16" s="1"/>
  <c r="E237" i="16"/>
  <c r="AF237" i="16"/>
  <c r="D238" i="16"/>
  <c r="H238" i="16" s="1"/>
  <c r="I238" i="16" s="1"/>
  <c r="E238" i="16"/>
  <c r="AF238" i="16"/>
  <c r="D239" i="16"/>
  <c r="H239" i="16" s="1"/>
  <c r="I239" i="16" s="1"/>
  <c r="E239" i="16"/>
  <c r="AF239" i="16"/>
  <c r="D240" i="16"/>
  <c r="E240" i="16"/>
  <c r="AF240" i="16"/>
  <c r="D241" i="16"/>
  <c r="H241" i="16" s="1"/>
  <c r="I241" i="16" s="1"/>
  <c r="E241" i="16"/>
  <c r="AF241" i="16"/>
  <c r="D242" i="16"/>
  <c r="H242" i="16" s="1"/>
  <c r="I242" i="16" s="1"/>
  <c r="E242" i="16"/>
  <c r="AF242" i="16"/>
  <c r="D243" i="16"/>
  <c r="H243" i="16" s="1"/>
  <c r="I243" i="16" s="1"/>
  <c r="E243" i="16"/>
  <c r="AF243" i="16"/>
  <c r="D244" i="16"/>
  <c r="E244" i="16"/>
  <c r="AF244" i="16"/>
  <c r="D245" i="16"/>
  <c r="H245" i="16" s="1"/>
  <c r="I245" i="16" s="1"/>
  <c r="E245" i="16"/>
  <c r="AF245" i="16"/>
  <c r="D246" i="16"/>
  <c r="H246" i="16" s="1"/>
  <c r="I246" i="16" s="1"/>
  <c r="E246" i="16"/>
  <c r="AF246" i="16"/>
  <c r="D247" i="16"/>
  <c r="H247" i="16" s="1"/>
  <c r="I247" i="16" s="1"/>
  <c r="E247" i="16"/>
  <c r="AF247" i="16"/>
  <c r="D248" i="16"/>
  <c r="H248" i="16" s="1"/>
  <c r="I248" i="16" s="1"/>
  <c r="E248" i="16"/>
  <c r="AF248" i="16"/>
  <c r="D249" i="16"/>
  <c r="H249" i="16" s="1"/>
  <c r="I249" i="16" s="1"/>
  <c r="E249" i="16"/>
  <c r="AF249" i="16"/>
  <c r="D250" i="16"/>
  <c r="E250" i="16"/>
  <c r="AF250" i="16"/>
  <c r="D251" i="16"/>
  <c r="E251" i="16"/>
  <c r="AF251" i="16"/>
  <c r="D252" i="16"/>
  <c r="H252" i="16" s="1"/>
  <c r="I252" i="16" s="1"/>
  <c r="E252" i="16"/>
  <c r="AF252" i="16"/>
  <c r="D253" i="16"/>
  <c r="E253" i="16"/>
  <c r="H253" i="16"/>
  <c r="I253" i="16" s="1"/>
  <c r="AF253" i="16"/>
  <c r="D254" i="16"/>
  <c r="H254" i="16" s="1"/>
  <c r="I254" i="16" s="1"/>
  <c r="E254" i="16"/>
  <c r="AF254" i="16"/>
  <c r="D255" i="16"/>
  <c r="E255" i="16"/>
  <c r="AF255" i="16"/>
  <c r="D256" i="16"/>
  <c r="E256" i="16"/>
  <c r="AF256" i="16"/>
  <c r="D257" i="16"/>
  <c r="E257" i="16"/>
  <c r="AF257" i="16"/>
  <c r="D258" i="16"/>
  <c r="H258" i="16" s="1"/>
  <c r="I258" i="16" s="1"/>
  <c r="E258" i="16"/>
  <c r="AF258" i="16"/>
  <c r="D259" i="16"/>
  <c r="H259" i="16" s="1"/>
  <c r="I259" i="16" s="1"/>
  <c r="E259" i="16"/>
  <c r="AF259" i="16"/>
  <c r="D260" i="16"/>
  <c r="H260" i="16" s="1"/>
  <c r="I260" i="16" s="1"/>
  <c r="E260" i="16"/>
  <c r="AF260" i="16"/>
  <c r="D261" i="16"/>
  <c r="H261" i="16" s="1"/>
  <c r="I261" i="16" s="1"/>
  <c r="E261" i="16"/>
  <c r="AF261" i="16"/>
  <c r="D262" i="16"/>
  <c r="E262" i="16"/>
  <c r="AF262" i="16"/>
  <c r="D263" i="16"/>
  <c r="H263" i="16" s="1"/>
  <c r="I263" i="16" s="1"/>
  <c r="E263" i="16"/>
  <c r="AF263" i="16"/>
  <c r="D264" i="16"/>
  <c r="H264" i="16" s="1"/>
  <c r="I264" i="16" s="1"/>
  <c r="E264" i="16"/>
  <c r="AF264" i="16"/>
  <c r="D265" i="16"/>
  <c r="H265" i="16" s="1"/>
  <c r="I265" i="16" s="1"/>
  <c r="E265" i="16"/>
  <c r="AF265" i="16"/>
  <c r="D266" i="16"/>
  <c r="H266" i="16" s="1"/>
  <c r="I266" i="16" s="1"/>
  <c r="E266" i="16"/>
  <c r="AF266" i="16"/>
  <c r="D267" i="16"/>
  <c r="H267" i="16" s="1"/>
  <c r="I267" i="16" s="1"/>
  <c r="E267" i="16"/>
  <c r="AF267" i="16"/>
  <c r="D268" i="16"/>
  <c r="E268" i="16"/>
  <c r="AF268" i="16"/>
  <c r="D269" i="16"/>
  <c r="E269" i="16"/>
  <c r="AF269" i="16"/>
  <c r="D270" i="16"/>
  <c r="H270" i="16" s="1"/>
  <c r="I270" i="16" s="1"/>
  <c r="E270" i="16"/>
  <c r="AF270" i="16"/>
  <c r="D271" i="16"/>
  <c r="H271" i="16" s="1"/>
  <c r="I271" i="16" s="1"/>
  <c r="E271" i="16"/>
  <c r="AF271" i="16"/>
  <c r="D272" i="16"/>
  <c r="E272" i="16"/>
  <c r="H272" i="16"/>
  <c r="I272" i="16" s="1"/>
  <c r="AF272" i="16"/>
  <c r="D273" i="16"/>
  <c r="H273" i="16" s="1"/>
  <c r="I273" i="16" s="1"/>
  <c r="E273" i="16"/>
  <c r="AF273" i="16"/>
  <c r="D274" i="16"/>
  <c r="E274" i="16"/>
  <c r="AF274" i="16"/>
  <c r="D275" i="16"/>
  <c r="E275" i="16"/>
  <c r="AF275" i="16"/>
  <c r="D276" i="16"/>
  <c r="H276" i="16" s="1"/>
  <c r="I276" i="16" s="1"/>
  <c r="E276" i="16"/>
  <c r="AF276" i="16"/>
  <c r="D277" i="16"/>
  <c r="H277" i="16" s="1"/>
  <c r="I277" i="16" s="1"/>
  <c r="E277" i="16"/>
  <c r="AF277" i="16"/>
  <c r="D278" i="16"/>
  <c r="H278" i="16" s="1"/>
  <c r="I278" i="16" s="1"/>
  <c r="E278" i="16"/>
  <c r="AF278" i="16"/>
  <c r="D279" i="16"/>
  <c r="E279" i="16"/>
  <c r="AF279" i="16"/>
  <c r="D280" i="16"/>
  <c r="E280" i="16"/>
  <c r="AF280" i="16"/>
  <c r="D281" i="16"/>
  <c r="H281" i="16" s="1"/>
  <c r="I281" i="16" s="1"/>
  <c r="E281" i="16"/>
  <c r="AF281" i="16"/>
  <c r="D282" i="16"/>
  <c r="H282" i="16" s="1"/>
  <c r="I282" i="16" s="1"/>
  <c r="E282" i="16"/>
  <c r="AF282" i="16"/>
  <c r="D283" i="16"/>
  <c r="H283" i="16" s="1"/>
  <c r="I283" i="16" s="1"/>
  <c r="E283" i="16"/>
  <c r="AF283" i="16"/>
  <c r="D284" i="16"/>
  <c r="H284" i="16" s="1"/>
  <c r="I284" i="16" s="1"/>
  <c r="E284" i="16"/>
  <c r="AF284" i="16"/>
  <c r="D285" i="16"/>
  <c r="E285" i="16"/>
  <c r="AF285" i="16"/>
  <c r="D286" i="16"/>
  <c r="E286" i="16"/>
  <c r="AF286" i="16"/>
  <c r="D287" i="16"/>
  <c r="E287" i="16"/>
  <c r="H287" i="16"/>
  <c r="I287" i="16" s="1"/>
  <c r="AF287" i="16"/>
  <c r="D288" i="16"/>
  <c r="H288" i="16" s="1"/>
  <c r="I288" i="16" s="1"/>
  <c r="E288" i="16"/>
  <c r="AF288" i="16"/>
  <c r="D289" i="16"/>
  <c r="E289" i="16"/>
  <c r="AF289" i="16"/>
  <c r="D290" i="16"/>
  <c r="H290" i="16" s="1"/>
  <c r="I290" i="16" s="1"/>
  <c r="E290" i="16"/>
  <c r="AF290" i="16"/>
  <c r="D291" i="16"/>
  <c r="H291" i="16" s="1"/>
  <c r="I291" i="16" s="1"/>
  <c r="E291" i="16"/>
  <c r="AF291" i="16"/>
  <c r="D292" i="16"/>
  <c r="H292" i="16" s="1"/>
  <c r="I292" i="16" s="1"/>
  <c r="E292" i="16"/>
  <c r="AF292" i="16"/>
  <c r="D293" i="16"/>
  <c r="H293" i="16" s="1"/>
  <c r="I293" i="16" s="1"/>
  <c r="E293" i="16"/>
  <c r="AF293" i="16"/>
  <c r="D294" i="16"/>
  <c r="E294" i="16"/>
  <c r="AF294" i="16"/>
  <c r="D295" i="16"/>
  <c r="E295" i="16"/>
  <c r="AF295" i="16"/>
  <c r="D296" i="16"/>
  <c r="H296" i="16" s="1"/>
  <c r="I296" i="16" s="1"/>
  <c r="E296" i="16"/>
  <c r="AF296" i="16"/>
  <c r="D297" i="16"/>
  <c r="H297" i="16" s="1"/>
  <c r="I297" i="16" s="1"/>
  <c r="E297" i="16"/>
  <c r="AF297" i="16"/>
  <c r="D298" i="16"/>
  <c r="H298" i="16" s="1"/>
  <c r="I298" i="16" s="1"/>
  <c r="E298" i="16"/>
  <c r="AF298" i="16"/>
  <c r="D299" i="16"/>
  <c r="H299" i="16" s="1"/>
  <c r="I299" i="16" s="1"/>
  <c r="E299" i="16"/>
  <c r="AF299" i="16"/>
  <c r="D300" i="16"/>
  <c r="E300" i="16"/>
  <c r="AF300" i="16"/>
  <c r="D301" i="16"/>
  <c r="H301" i="16" s="1"/>
  <c r="I301" i="16" s="1"/>
  <c r="E301" i="16"/>
  <c r="AF301" i="16"/>
  <c r="D302" i="16"/>
  <c r="E302" i="16"/>
  <c r="AF302" i="16"/>
  <c r="D303" i="16"/>
  <c r="E303" i="16"/>
  <c r="H303" i="16"/>
  <c r="I303" i="16" s="1"/>
  <c r="AF303" i="16"/>
  <c r="D304" i="16"/>
  <c r="H304" i="16" s="1"/>
  <c r="I304" i="16" s="1"/>
  <c r="E304" i="16"/>
  <c r="AF304" i="16"/>
  <c r="D305" i="16"/>
  <c r="H305" i="16" s="1"/>
  <c r="I305" i="16" s="1"/>
  <c r="E305" i="16"/>
  <c r="AF305" i="16"/>
  <c r="D306" i="16"/>
  <c r="E306" i="16"/>
  <c r="AF306" i="16"/>
  <c r="D307" i="16"/>
  <c r="H307" i="16" s="1"/>
  <c r="I307" i="16" s="1"/>
  <c r="E307" i="16"/>
  <c r="AF307" i="16"/>
  <c r="D308" i="16"/>
  <c r="E308" i="16"/>
  <c r="AF308" i="16"/>
  <c r="D309" i="16"/>
  <c r="H309" i="16" s="1"/>
  <c r="I309" i="16" s="1"/>
  <c r="E309" i="16"/>
  <c r="AF309" i="16"/>
  <c r="D310" i="16"/>
  <c r="H310" i="16" s="1"/>
  <c r="I310" i="16" s="1"/>
  <c r="E310" i="16"/>
  <c r="AF310" i="16"/>
  <c r="D311" i="16"/>
  <c r="H311" i="16" s="1"/>
  <c r="I311" i="16" s="1"/>
  <c r="E311" i="16"/>
  <c r="AF311" i="16"/>
  <c r="D312" i="16"/>
  <c r="H312" i="16" s="1"/>
  <c r="I312" i="16" s="1"/>
  <c r="E312" i="16"/>
  <c r="AF312" i="16"/>
  <c r="D313" i="16"/>
  <c r="E313" i="16"/>
  <c r="AF313" i="16"/>
  <c r="D314" i="16"/>
  <c r="H314" i="16" s="1"/>
  <c r="I314" i="16" s="1"/>
  <c r="E314" i="16"/>
  <c r="AF314" i="16"/>
  <c r="D315" i="16"/>
  <c r="H315" i="16" s="1"/>
  <c r="I315" i="16" s="1"/>
  <c r="E315" i="16"/>
  <c r="AF315" i="16"/>
  <c r="D316" i="16"/>
  <c r="H316" i="16" s="1"/>
  <c r="I316" i="16" s="1"/>
  <c r="E316" i="16"/>
  <c r="AF316" i="16"/>
  <c r="D317" i="16"/>
  <c r="H317" i="16" s="1"/>
  <c r="I317" i="16" s="1"/>
  <c r="E317" i="16"/>
  <c r="AF317" i="16"/>
  <c r="D318" i="16"/>
  <c r="H318" i="16" s="1"/>
  <c r="I318" i="16" s="1"/>
  <c r="E318" i="16"/>
  <c r="AF318" i="16"/>
  <c r="D319" i="16"/>
  <c r="E319" i="16"/>
  <c r="AF319" i="16"/>
  <c r="D320" i="16"/>
  <c r="E320" i="16"/>
  <c r="AF320" i="16"/>
  <c r="D321" i="16"/>
  <c r="H321" i="16" s="1"/>
  <c r="I321" i="16" s="1"/>
  <c r="E321" i="16"/>
  <c r="AF321" i="16"/>
  <c r="D322" i="16"/>
  <c r="H322" i="16" s="1"/>
  <c r="I322" i="16" s="1"/>
  <c r="E322" i="16"/>
  <c r="AF322" i="16"/>
  <c r="D323" i="16"/>
  <c r="H323" i="16" s="1"/>
  <c r="I323" i="16" s="1"/>
  <c r="E323" i="16"/>
  <c r="AF323" i="16"/>
  <c r="D324" i="16"/>
  <c r="E324" i="16"/>
  <c r="AF324" i="16"/>
  <c r="D325" i="16"/>
  <c r="H325" i="16" s="1"/>
  <c r="I325" i="16" s="1"/>
  <c r="E325" i="16"/>
  <c r="AF325" i="16"/>
  <c r="D326" i="16"/>
  <c r="H326" i="16" s="1"/>
  <c r="I326" i="16" s="1"/>
  <c r="E326" i="16"/>
  <c r="AF326" i="16"/>
  <c r="D327" i="16"/>
  <c r="E327" i="16"/>
  <c r="AF327" i="16"/>
  <c r="D328" i="16"/>
  <c r="H328" i="16" s="1"/>
  <c r="I328" i="16" s="1"/>
  <c r="E328" i="16"/>
  <c r="AF328" i="16"/>
  <c r="D329" i="16"/>
  <c r="H329" i="16" s="1"/>
  <c r="I329" i="16" s="1"/>
  <c r="E329" i="16"/>
  <c r="AF329" i="16"/>
  <c r="D330" i="16"/>
  <c r="E330" i="16"/>
  <c r="AF330" i="16"/>
  <c r="D331" i="16"/>
  <c r="H331" i="16" s="1"/>
  <c r="I331" i="16" s="1"/>
  <c r="E331" i="16"/>
  <c r="AF331" i="16"/>
  <c r="D332" i="16"/>
  <c r="E332" i="16"/>
  <c r="AF332" i="16"/>
  <c r="D333" i="16"/>
  <c r="H333" i="16" s="1"/>
  <c r="I333" i="16" s="1"/>
  <c r="E333" i="16"/>
  <c r="AF333" i="16"/>
  <c r="D334" i="16"/>
  <c r="H334" i="16" s="1"/>
  <c r="I334" i="16" s="1"/>
  <c r="E334" i="16"/>
  <c r="AF334" i="16"/>
  <c r="D335" i="16"/>
  <c r="E335" i="16"/>
  <c r="AF335" i="16"/>
  <c r="D336" i="16"/>
  <c r="E336" i="16"/>
  <c r="AF336" i="16"/>
  <c r="D337" i="16"/>
  <c r="H337" i="16" s="1"/>
  <c r="I337" i="16" s="1"/>
  <c r="E337" i="16"/>
  <c r="AF337" i="16"/>
  <c r="D338" i="16"/>
  <c r="E338" i="16"/>
  <c r="AF338" i="16"/>
  <c r="D339" i="16"/>
  <c r="H339" i="16" s="1"/>
  <c r="I339" i="16" s="1"/>
  <c r="E339" i="16"/>
  <c r="AF339" i="16"/>
  <c r="D340" i="16"/>
  <c r="H340" i="16" s="1"/>
  <c r="I340" i="16" s="1"/>
  <c r="E340" i="16"/>
  <c r="AF340" i="16"/>
  <c r="D341" i="16"/>
  <c r="E341" i="16"/>
  <c r="AF341" i="16"/>
  <c r="D342" i="16"/>
  <c r="H342" i="16" s="1"/>
  <c r="I342" i="16" s="1"/>
  <c r="E342" i="16"/>
  <c r="AF342" i="16"/>
  <c r="D343" i="16"/>
  <c r="E343" i="16"/>
  <c r="AF343" i="16"/>
  <c r="A334" i="11" l="1"/>
  <c r="A333" i="11"/>
  <c r="A332" i="11"/>
  <c r="A331" i="11"/>
  <c r="A330" i="11"/>
  <c r="A329" i="11"/>
  <c r="A328" i="11"/>
  <c r="A327" i="11"/>
  <c r="A326" i="11"/>
  <c r="A325" i="11"/>
  <c r="A324" i="11"/>
  <c r="A323" i="11"/>
  <c r="A322" i="11"/>
  <c r="A321" i="11"/>
  <c r="A320" i="11"/>
  <c r="A319" i="11"/>
  <c r="A318" i="11"/>
  <c r="A317" i="11"/>
  <c r="A316" i="11"/>
  <c r="A315" i="11"/>
  <c r="A314" i="11"/>
  <c r="A313" i="11"/>
  <c r="A312" i="11"/>
  <c r="A311" i="11"/>
  <c r="A310" i="11"/>
  <c r="A309" i="11"/>
  <c r="A308" i="11"/>
  <c r="A307" i="11"/>
  <c r="A306" i="11"/>
  <c r="A305" i="11"/>
  <c r="A304" i="11"/>
  <c r="A303" i="11"/>
  <c r="A302" i="11"/>
  <c r="A301" i="11"/>
  <c r="A300" i="11"/>
  <c r="A299" i="11"/>
  <c r="A298" i="11"/>
  <c r="A297" i="11"/>
  <c r="A296" i="11"/>
  <c r="A295" i="11"/>
  <c r="A294" i="11"/>
  <c r="A293" i="11"/>
  <c r="A292" i="11"/>
  <c r="A291" i="11"/>
  <c r="A290" i="11"/>
  <c r="A289" i="11"/>
  <c r="A288" i="11"/>
  <c r="A287" i="11"/>
  <c r="A286" i="11"/>
  <c r="A285" i="11"/>
  <c r="A284" i="11"/>
  <c r="A283" i="11"/>
  <c r="A282" i="11"/>
  <c r="A281" i="11"/>
  <c r="A280" i="11"/>
  <c r="A279" i="11"/>
  <c r="A278" i="11"/>
  <c r="A277" i="11"/>
  <c r="A276" i="11"/>
  <c r="A275" i="11"/>
  <c r="A274" i="11"/>
  <c r="A273" i="11"/>
  <c r="A272" i="11"/>
  <c r="A271" i="11"/>
  <c r="A270" i="11"/>
  <c r="A269" i="11"/>
  <c r="A268" i="11"/>
  <c r="A267" i="11"/>
  <c r="A266" i="11"/>
  <c r="A265" i="11"/>
  <c r="A264" i="11"/>
  <c r="A263" i="11"/>
  <c r="A262" i="11"/>
  <c r="A261" i="11"/>
  <c r="A260" i="11"/>
  <c r="A259" i="11"/>
  <c r="A258" i="11"/>
  <c r="A257" i="11"/>
  <c r="A256" i="11"/>
  <c r="A255" i="11"/>
  <c r="A254" i="11"/>
  <c r="A253" i="11"/>
  <c r="A252" i="11"/>
  <c r="A251" i="11"/>
  <c r="A250" i="11"/>
  <c r="A249" i="11"/>
  <c r="A248" i="11"/>
  <c r="A247" i="11"/>
  <c r="A246" i="11"/>
  <c r="A245" i="11"/>
  <c r="A244" i="11"/>
  <c r="A243" i="11"/>
  <c r="A242" i="11"/>
  <c r="A241" i="11"/>
  <c r="A240" i="11"/>
  <c r="A239" i="11"/>
  <c r="A238" i="11"/>
  <c r="A237" i="11"/>
  <c r="A236" i="11"/>
  <c r="A235" i="11"/>
  <c r="A234" i="11"/>
  <c r="A233" i="11"/>
  <c r="A232" i="11"/>
  <c r="A231" i="11"/>
  <c r="A230" i="11"/>
  <c r="A229" i="11"/>
  <c r="A228" i="11"/>
  <c r="A227" i="11"/>
  <c r="A226" i="11"/>
  <c r="A225" i="11"/>
  <c r="A224" i="11"/>
  <c r="A223" i="11"/>
  <c r="A222" i="11"/>
  <c r="A221" i="11"/>
  <c r="A220" i="11"/>
  <c r="A219" i="11"/>
  <c r="A218" i="11"/>
  <c r="A217" i="11"/>
  <c r="A216" i="11"/>
  <c r="A215" i="11"/>
  <c r="A214" i="11"/>
  <c r="A213" i="11"/>
  <c r="A212" i="11"/>
  <c r="A211" i="11"/>
  <c r="A210" i="11"/>
  <c r="A209" i="11"/>
  <c r="A208" i="11"/>
  <c r="A207" i="11"/>
  <c r="A206" i="11"/>
  <c r="A205" i="11"/>
  <c r="A204" i="11"/>
  <c r="A203" i="11"/>
  <c r="A202" i="11"/>
  <c r="A201" i="11"/>
  <c r="A200" i="11"/>
  <c r="A199" i="11"/>
  <c r="A198" i="11"/>
  <c r="A197" i="11"/>
  <c r="A196" i="11"/>
  <c r="A195" i="11"/>
  <c r="A194" i="11"/>
  <c r="A193" i="11"/>
  <c r="A192" i="11"/>
  <c r="A191" i="11"/>
  <c r="A190" i="11"/>
  <c r="A189" i="11"/>
  <c r="A188" i="11"/>
  <c r="A187" i="11"/>
  <c r="A186" i="11"/>
  <c r="A185" i="11"/>
  <c r="A184" i="11"/>
  <c r="A183" i="11"/>
  <c r="A182" i="11"/>
  <c r="A181" i="11"/>
  <c r="A180" i="11"/>
  <c r="A179" i="11"/>
  <c r="A178" i="11"/>
  <c r="A177" i="11"/>
  <c r="A176" i="11"/>
  <c r="A175" i="11"/>
  <c r="A174" i="11"/>
  <c r="A173" i="11"/>
  <c r="A172" i="11"/>
  <c r="A171" i="11"/>
  <c r="A170" i="11"/>
  <c r="A169" i="11"/>
  <c r="A168" i="11"/>
  <c r="A167" i="11"/>
  <c r="A166" i="11"/>
  <c r="A165" i="11"/>
  <c r="A164" i="11"/>
  <c r="A163" i="11"/>
  <c r="A162" i="11"/>
  <c r="A161" i="11"/>
  <c r="A160" i="11"/>
  <c r="A159" i="11"/>
  <c r="A158" i="11"/>
  <c r="A157" i="11"/>
  <c r="A156" i="11"/>
  <c r="A155" i="11"/>
  <c r="A154" i="11"/>
  <c r="A153" i="11"/>
  <c r="A152" i="11"/>
  <c r="A151" i="11"/>
  <c r="A150" i="11"/>
  <c r="A149" i="11"/>
  <c r="A148" i="11"/>
  <c r="A147" i="11"/>
  <c r="A146" i="11"/>
  <c r="A145" i="11"/>
  <c r="A144" i="11"/>
  <c r="A143" i="11"/>
  <c r="A142" i="11"/>
  <c r="A141" i="11"/>
  <c r="A140" i="11"/>
  <c r="A139" i="1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90"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B10" i="11"/>
  <c r="A9" i="11"/>
  <c r="B8" i="11"/>
  <c r="A8" i="11"/>
  <c r="B7" i="11"/>
  <c r="A7" i="11"/>
  <c r="B6" i="11"/>
  <c r="A6" i="11"/>
  <c r="B5" i="11"/>
  <c r="A5" i="11"/>
  <c r="B4" i="11"/>
  <c r="A4" i="11"/>
  <c r="B3" i="11"/>
  <c r="A3" i="11"/>
  <c r="B2" i="11"/>
  <c r="A2" i="11"/>
  <c r="B18" i="11" l="1"/>
  <c r="B80" i="11"/>
  <c r="B100" i="11"/>
  <c r="B110" i="11"/>
  <c r="B113" i="11"/>
  <c r="B122" i="11"/>
  <c r="B154" i="11"/>
  <c r="B156" i="11"/>
  <c r="B161" i="11"/>
  <c r="B189" i="11"/>
  <c r="B249" i="11"/>
  <c r="B272" i="11"/>
  <c r="B281" i="11"/>
  <c r="B325" i="11"/>
  <c r="B42" i="11"/>
  <c r="B77" i="11"/>
  <c r="B133" i="11"/>
  <c r="B163" i="11"/>
  <c r="B166" i="11"/>
  <c r="B186" i="11"/>
  <c r="B230" i="11"/>
  <c r="B237" i="11"/>
  <c r="B333" i="11"/>
  <c r="B45" i="11"/>
  <c r="B61" i="11"/>
  <c r="B334" i="11"/>
  <c r="B13" i="11"/>
  <c r="B19" i="11"/>
  <c r="B67" i="11"/>
  <c r="B70" i="11"/>
  <c r="B79" i="11"/>
  <c r="B95" i="11"/>
  <c r="B123" i="11"/>
  <c r="B135" i="11"/>
  <c r="B138" i="11"/>
  <c r="B155" i="11"/>
  <c r="B188" i="11"/>
  <c r="B198" i="11"/>
  <c r="B207" i="11"/>
  <c r="B210" i="11"/>
  <c r="B226" i="11"/>
  <c r="B248" i="11"/>
  <c r="B282" i="11"/>
  <c r="B302" i="11"/>
  <c r="B326" i="11"/>
  <c r="B74" i="11"/>
  <c r="B36" i="11"/>
  <c r="B85" i="11"/>
  <c r="B28" i="11"/>
  <c r="B84" i="11"/>
  <c r="B104" i="11"/>
  <c r="B117" i="11"/>
  <c r="B125" i="11"/>
  <c r="B128" i="11"/>
  <c r="B147" i="11"/>
  <c r="B149" i="11"/>
  <c r="B159" i="11"/>
  <c r="B167" i="11"/>
  <c r="B177" i="11"/>
  <c r="B203" i="11"/>
  <c r="B212" i="11"/>
  <c r="B219" i="11"/>
  <c r="B241" i="11"/>
  <c r="B244" i="11"/>
  <c r="B264" i="11"/>
  <c r="B267" i="11"/>
  <c r="B284" i="11"/>
  <c r="B287" i="11"/>
  <c r="B307" i="11"/>
  <c r="B22" i="11"/>
  <c r="B40" i="11"/>
  <c r="B71" i="11"/>
  <c r="B86" i="11"/>
  <c r="B90" i="11"/>
  <c r="B94" i="11"/>
  <c r="B119" i="11"/>
  <c r="B148" i="11"/>
  <c r="B179" i="11"/>
  <c r="B181" i="11"/>
  <c r="B183" i="11"/>
  <c r="B185" i="11"/>
  <c r="B199" i="11"/>
  <c r="B201" i="11"/>
  <c r="B204" i="11"/>
  <c r="B206" i="11"/>
  <c r="B211" i="11"/>
  <c r="B220" i="11"/>
  <c r="B222" i="11"/>
  <c r="B224" i="11"/>
  <c r="B227" i="11"/>
  <c r="B229" i="11"/>
  <c r="B238" i="11"/>
  <c r="B243" i="11"/>
  <c r="B266" i="11"/>
  <c r="B271" i="11"/>
  <c r="B276" i="11"/>
  <c r="B278" i="11"/>
  <c r="B280" i="11"/>
  <c r="B286" i="11"/>
  <c r="B309" i="11"/>
  <c r="B314" i="11"/>
  <c r="B316" i="11"/>
  <c r="B318" i="11"/>
  <c r="B320" i="11"/>
  <c r="B322" i="11"/>
  <c r="B324" i="11"/>
  <c r="B332" i="11"/>
  <c r="B38" i="11"/>
  <c r="B43" i="11"/>
  <c r="B46" i="11"/>
  <c r="B64" i="11"/>
  <c r="B88" i="11"/>
  <c r="B92" i="11"/>
  <c r="B101" i="11"/>
  <c r="B103" i="11"/>
  <c r="B151" i="11"/>
  <c r="B153" i="11"/>
  <c r="B160" i="11"/>
  <c r="B165" i="11"/>
  <c r="B32" i="11"/>
  <c r="B41" i="11"/>
  <c r="B44" i="11"/>
  <c r="B49" i="11"/>
  <c r="B53" i="11"/>
  <c r="B57" i="11"/>
  <c r="B60" i="11"/>
  <c r="B69" i="11"/>
  <c r="B72" i="11"/>
  <c r="B76" i="11"/>
  <c r="B97" i="11"/>
  <c r="B99" i="11"/>
  <c r="B106" i="11"/>
  <c r="B108" i="11"/>
  <c r="B115" i="11"/>
  <c r="B120" i="11"/>
  <c r="B130" i="11"/>
  <c r="B132" i="11"/>
  <c r="B137" i="11"/>
  <c r="B142" i="11"/>
  <c r="B144" i="11"/>
  <c r="B146" i="11"/>
  <c r="B158" i="11"/>
  <c r="B173" i="11"/>
  <c r="B175" i="11"/>
  <c r="B191" i="11"/>
  <c r="B193" i="11"/>
  <c r="B195" i="11"/>
  <c r="B197" i="11"/>
  <c r="B202" i="11"/>
  <c r="B209" i="11"/>
  <c r="B214" i="11"/>
  <c r="B216" i="11"/>
  <c r="B218" i="11"/>
  <c r="B225" i="11"/>
  <c r="B232" i="11"/>
  <c r="B234" i="11"/>
  <c r="B236" i="11"/>
  <c r="B239" i="11"/>
  <c r="B246" i="11"/>
  <c r="B252" i="11"/>
  <c r="B254" i="11"/>
  <c r="B256" i="11"/>
  <c r="B258" i="11"/>
  <c r="B260" i="11"/>
  <c r="B262" i="11"/>
  <c r="B269" i="11"/>
  <c r="B274" i="11"/>
  <c r="B289" i="11"/>
  <c r="B291" i="11"/>
  <c r="B293" i="11"/>
  <c r="B295" i="11"/>
  <c r="B297" i="11"/>
  <c r="B299" i="11"/>
  <c r="B301" i="11"/>
  <c r="B304" i="11"/>
  <c r="B306" i="11"/>
  <c r="B310" i="11"/>
  <c r="B312" i="11"/>
  <c r="B328" i="11"/>
  <c r="B330" i="11"/>
  <c r="B15" i="11"/>
  <c r="B20" i="11"/>
  <c r="B24" i="11"/>
  <c r="B29" i="11"/>
  <c r="B81" i="11"/>
  <c r="B112" i="11"/>
  <c r="B141" i="11"/>
  <c r="B11" i="11"/>
  <c r="B27" i="11"/>
  <c r="B12" i="11"/>
  <c r="B16" i="11"/>
  <c r="B23" i="11"/>
  <c r="B30" i="11"/>
  <c r="B37" i="11"/>
  <c r="B65" i="11"/>
  <c r="B82" i="11"/>
  <c r="B89" i="11"/>
  <c r="B91" i="11"/>
  <c r="B93" i="11"/>
  <c r="B102" i="11"/>
  <c r="B118" i="11"/>
  <c r="B126" i="11"/>
  <c r="B140" i="11"/>
  <c r="B150" i="11"/>
  <c r="B152" i="11"/>
  <c r="B164" i="11"/>
  <c r="B169" i="11"/>
  <c r="B171" i="11"/>
  <c r="B178" i="11"/>
  <c r="B180" i="11"/>
  <c r="B182" i="11"/>
  <c r="B184" i="11"/>
  <c r="B200" i="11"/>
  <c r="B205" i="11"/>
  <c r="B221" i="11"/>
  <c r="B223" i="11"/>
  <c r="B228" i="11"/>
  <c r="B242" i="11"/>
  <c r="B265" i="11"/>
  <c r="B277" i="11"/>
  <c r="B279" i="11"/>
  <c r="B285" i="11"/>
  <c r="B313" i="11"/>
  <c r="B315" i="11"/>
  <c r="B317" i="11"/>
  <c r="B319" i="11"/>
  <c r="B321" i="11"/>
  <c r="B323" i="11"/>
  <c r="B331" i="11"/>
  <c r="B17" i="11"/>
  <c r="B31" i="11"/>
  <c r="B62" i="11"/>
  <c r="B66" i="11"/>
  <c r="B78" i="11"/>
  <c r="B83" i="11"/>
  <c r="B127" i="11"/>
  <c r="B134" i="11"/>
  <c r="B139" i="11"/>
  <c r="B157" i="11"/>
  <c r="B168" i="11"/>
  <c r="B170" i="11"/>
  <c r="B172" i="11"/>
  <c r="B25" i="11"/>
  <c r="B34" i="11"/>
  <c r="B47" i="11"/>
  <c r="B51" i="11"/>
  <c r="B55" i="11"/>
  <c r="B59" i="11"/>
  <c r="B14" i="11"/>
  <c r="B21" i="11"/>
  <c r="B39" i="11"/>
  <c r="B63" i="11"/>
  <c r="B87" i="11"/>
  <c r="B111" i="11"/>
  <c r="B9" i="11"/>
  <c r="B26" i="11"/>
  <c r="B33" i="11"/>
  <c r="B35" i="11"/>
  <c r="B48" i="11"/>
  <c r="B50" i="11"/>
  <c r="B52" i="11"/>
  <c r="B54" i="11"/>
  <c r="B56" i="11"/>
  <c r="B58" i="11"/>
  <c r="B68" i="11"/>
  <c r="B73" i="11"/>
  <c r="B75" i="11"/>
  <c r="B96" i="11"/>
  <c r="B98" i="11"/>
  <c r="B105" i="11"/>
  <c r="B107" i="11"/>
  <c r="B109" i="11"/>
  <c r="B114" i="11"/>
  <c r="B116" i="11"/>
  <c r="B121" i="11"/>
  <c r="B124" i="11"/>
  <c r="B129" i="11"/>
  <c r="B131" i="11"/>
  <c r="B136" i="11"/>
  <c r="B143" i="11"/>
  <c r="B145" i="11"/>
  <c r="B162" i="11"/>
  <c r="B174" i="11"/>
  <c r="B176" i="11"/>
  <c r="B187" i="11"/>
  <c r="B190" i="11"/>
  <c r="B192" i="11"/>
  <c r="B194" i="11"/>
  <c r="B196" i="11"/>
  <c r="B208" i="11"/>
  <c r="B213" i="11"/>
  <c r="B215" i="11"/>
  <c r="B217" i="11"/>
  <c r="B231" i="11"/>
  <c r="B233" i="11"/>
  <c r="B235" i="11"/>
  <c r="B240" i="11"/>
  <c r="B245" i="11"/>
  <c r="B247" i="11"/>
  <c r="B250" i="11"/>
  <c r="B251" i="11"/>
  <c r="B253" i="11"/>
  <c r="B255" i="11"/>
  <c r="B257" i="11"/>
  <c r="B259" i="11"/>
  <c r="B261" i="11"/>
  <c r="B263" i="11"/>
  <c r="B268" i="11"/>
  <c r="B270" i="11"/>
  <c r="B273" i="11"/>
  <c r="B275" i="11"/>
  <c r="B283" i="11"/>
  <c r="B288" i="11"/>
  <c r="B290" i="11"/>
  <c r="B292" i="11"/>
  <c r="B294" i="11"/>
  <c r="B296" i="11"/>
  <c r="B298" i="11"/>
  <c r="B300" i="11"/>
  <c r="B303" i="11"/>
  <c r="B305" i="11"/>
  <c r="B308" i="11"/>
  <c r="B311" i="11"/>
  <c r="B327" i="11"/>
  <c r="B329" i="11"/>
  <c r="E108" i="8" l="1"/>
  <c r="B92" i="8"/>
  <c r="U91" i="8"/>
  <c r="E91" i="8"/>
  <c r="B91" i="8"/>
  <c r="B89" i="8"/>
  <c r="B39" i="8"/>
  <c r="M1" i="11"/>
  <c r="B38" i="8" l="1"/>
  <c r="D51" i="8" s="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43" i="16"/>
  <c r="A342" i="16"/>
  <c r="A341" i="16"/>
  <c r="A340" i="16"/>
  <c r="A339" i="16"/>
  <c r="A338" i="16"/>
  <c r="A337" i="16"/>
  <c r="A336" i="16"/>
  <c r="A335" i="16"/>
  <c r="A334" i="16"/>
  <c r="A333" i="16"/>
  <c r="A332" i="16"/>
  <c r="A331" i="16"/>
  <c r="A330" i="16"/>
  <c r="A329" i="16"/>
  <c r="A328" i="16"/>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5" i="16"/>
  <c r="A264" i="16"/>
  <c r="A263" i="16"/>
  <c r="A262"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A71" i="16"/>
  <c r="A70" i="16"/>
  <c r="A69" i="16"/>
  <c r="A68" i="16"/>
  <c r="A67" i="16"/>
  <c r="A66" i="16"/>
  <c r="A65" i="16"/>
  <c r="A64" i="16"/>
  <c r="A63" i="16"/>
  <c r="A62" i="16"/>
  <c r="A61" i="16"/>
  <c r="A60" i="16"/>
  <c r="A59" i="16"/>
  <c r="A58" i="16"/>
  <c r="A57" i="16"/>
  <c r="A56" i="16"/>
  <c r="A55" i="16"/>
  <c r="A54" i="16"/>
  <c r="A53" i="16"/>
  <c r="A52" i="16"/>
  <c r="A51" i="16"/>
  <c r="A50" i="16"/>
  <c r="A49" i="16"/>
  <c r="A48" i="16"/>
  <c r="A47" i="16"/>
  <c r="A46" i="16"/>
  <c r="A45" i="16"/>
  <c r="A44" i="16"/>
  <c r="A43" i="16"/>
  <c r="A42" i="16"/>
  <c r="A41" i="16"/>
  <c r="A40" i="16"/>
  <c r="A39" i="16"/>
  <c r="A38" i="16"/>
  <c r="A37" i="16"/>
  <c r="A36" i="16"/>
  <c r="A35" i="16"/>
  <c r="A34" i="16"/>
  <c r="A33" i="16"/>
  <c r="A32" i="16"/>
  <c r="A31" i="16"/>
  <c r="A30" i="16"/>
  <c r="A29" i="16"/>
  <c r="A28" i="16"/>
  <c r="A27" i="16"/>
  <c r="A26" i="16"/>
  <c r="A25" i="16"/>
  <c r="A24" i="16"/>
  <c r="A23" i="16"/>
  <c r="A22" i="16"/>
  <c r="A21" i="16"/>
  <c r="A20" i="16"/>
  <c r="A19" i="16"/>
  <c r="A18"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AX10" i="16" s="1"/>
  <c r="D5" i="16"/>
  <c r="D3" i="16"/>
  <c r="F118" i="8"/>
  <c r="B114" i="8"/>
  <c r="B110" i="8"/>
  <c r="B61" i="8"/>
  <c r="D47" i="8"/>
  <c r="O43" i="8"/>
  <c r="K41" i="8"/>
  <c r="T39" i="8"/>
  <c r="B37" i="8"/>
  <c r="D49" i="8" s="1"/>
  <c r="B35" i="8"/>
  <c r="D48" i="8" s="1"/>
  <c r="B16" i="8"/>
  <c r="B11" i="8"/>
  <c r="B10" i="8"/>
  <c r="B9" i="8"/>
  <c r="J8" i="8"/>
  <c r="B8" i="8"/>
  <c r="B59" i="8"/>
  <c r="B1" i="8"/>
  <c r="AX274" i="16" l="1"/>
  <c r="AX260" i="16"/>
  <c r="F260" i="16" s="1"/>
  <c r="AX95" i="16"/>
  <c r="F95" i="16" s="1"/>
  <c r="AX208" i="16"/>
  <c r="F208" i="16" s="1"/>
  <c r="AX223" i="16"/>
  <c r="AX35" i="16"/>
  <c r="AX123" i="16"/>
  <c r="F123" i="16" s="1"/>
  <c r="AX288" i="16"/>
  <c r="F288" i="16" s="1"/>
  <c r="AX282" i="16"/>
  <c r="F282" i="16" s="1"/>
  <c r="AX71" i="16"/>
  <c r="F71" i="16" s="1"/>
  <c r="AX129" i="16"/>
  <c r="F129" i="16" s="1"/>
  <c r="AX44" i="16"/>
  <c r="F44" i="16" s="1"/>
  <c r="AX178" i="16"/>
  <c r="F178" i="16" s="1"/>
  <c r="AX179" i="16"/>
  <c r="F179" i="16" s="1"/>
  <c r="AX29" i="16"/>
  <c r="F29" i="16" s="1"/>
  <c r="AX41" i="16"/>
  <c r="F41" i="16" s="1"/>
  <c r="AX330" i="16"/>
  <c r="AX316" i="16"/>
  <c r="F316" i="16" s="1"/>
  <c r="AX241" i="16"/>
  <c r="F241" i="16" s="1"/>
  <c r="AX225" i="16"/>
  <c r="AX89" i="16"/>
  <c r="F89" i="16" s="1"/>
  <c r="AX58" i="16"/>
  <c r="F58" i="16" s="1"/>
  <c r="AX203" i="16"/>
  <c r="AX302" i="16"/>
  <c r="AX227" i="16"/>
  <c r="F227" i="16" s="1"/>
  <c r="AX84" i="16"/>
  <c r="F84" i="16" s="1"/>
  <c r="AX213" i="16"/>
  <c r="AX61" i="16"/>
  <c r="F61" i="16" s="1"/>
  <c r="AX305" i="16"/>
  <c r="F305" i="16" s="1"/>
  <c r="AX135" i="16"/>
  <c r="F135" i="16" s="1"/>
  <c r="AX24" i="16"/>
  <c r="F24" i="16" s="1"/>
  <c r="AX37" i="16"/>
  <c r="F37" i="16" s="1"/>
  <c r="AX338" i="16"/>
  <c r="F338" i="16" s="1"/>
  <c r="AX246" i="16"/>
  <c r="F246" i="16" s="1"/>
  <c r="AX68" i="16"/>
  <c r="F68" i="16" s="1"/>
  <c r="AX317" i="16"/>
  <c r="F317" i="16" s="1"/>
  <c r="AX105" i="16"/>
  <c r="F105" i="16" s="1"/>
  <c r="AX269" i="16"/>
  <c r="AX231" i="16"/>
  <c r="F231" i="16" s="1"/>
  <c r="AX128" i="16"/>
  <c r="F128" i="16" s="1"/>
  <c r="AX292" i="16"/>
  <c r="F292" i="16" s="1"/>
  <c r="AX52" i="16"/>
  <c r="F52" i="16" s="1"/>
  <c r="AX186" i="16"/>
  <c r="F186" i="16" s="1"/>
  <c r="AX49" i="16"/>
  <c r="AX337" i="16"/>
  <c r="F337" i="16" s="1"/>
  <c r="AX245" i="16"/>
  <c r="F245" i="16" s="1"/>
  <c r="AX36" i="16"/>
  <c r="H36" i="16" s="1"/>
  <c r="AX301" i="16"/>
  <c r="F301" i="16" s="1"/>
  <c r="AX133" i="16"/>
  <c r="F133" i="16" s="1"/>
  <c r="AX130" i="16"/>
  <c r="F130" i="16" s="1"/>
  <c r="AX251" i="16"/>
  <c r="AX48" i="16"/>
  <c r="F48" i="16" s="1"/>
  <c r="AX201" i="16"/>
  <c r="AX59" i="16"/>
  <c r="F59" i="16" s="1"/>
  <c r="AX286" i="16"/>
  <c r="AX116" i="16"/>
  <c r="F116" i="16" s="1"/>
  <c r="AX157" i="16"/>
  <c r="F157" i="16" s="1"/>
  <c r="AX21" i="16"/>
  <c r="F21" i="16" s="1"/>
  <c r="AX325" i="16"/>
  <c r="F325" i="16" s="1"/>
  <c r="AX234" i="16"/>
  <c r="F234" i="16" s="1"/>
  <c r="AX42" i="16"/>
  <c r="F42" i="16" s="1"/>
  <c r="AX295" i="16"/>
  <c r="AX75" i="16"/>
  <c r="F75" i="16" s="1"/>
  <c r="AX207" i="16"/>
  <c r="F207" i="16" s="1"/>
  <c r="AX110" i="16"/>
  <c r="F110" i="16" s="1"/>
  <c r="AX204" i="16"/>
  <c r="AX20" i="16"/>
  <c r="F20" i="16" s="1"/>
  <c r="AX167" i="16"/>
  <c r="F167" i="16" s="1"/>
  <c r="AX28" i="16"/>
  <c r="F28" i="16" s="1"/>
  <c r="AX311" i="16"/>
  <c r="F311" i="16" s="1"/>
  <c r="AX214" i="16"/>
  <c r="F214" i="16" s="1"/>
  <c r="AX195" i="16"/>
  <c r="F195" i="16" s="1"/>
  <c r="AX247" i="16"/>
  <c r="F247" i="16" s="1"/>
  <c r="AX112" i="16"/>
  <c r="F112" i="16" s="1"/>
  <c r="AX219" i="16"/>
  <c r="AX40" i="16"/>
  <c r="F40" i="16" s="1"/>
  <c r="AX197" i="16"/>
  <c r="F197" i="16" s="1"/>
  <c r="AX43" i="16"/>
  <c r="AX255" i="16"/>
  <c r="AX111" i="16"/>
  <c r="F111" i="16" s="1"/>
  <c r="AX150" i="16"/>
  <c r="F150" i="16" s="1"/>
  <c r="AX18" i="16"/>
  <c r="F18" i="16" s="1"/>
  <c r="AX312" i="16"/>
  <c r="F312" i="16" s="1"/>
  <c r="AX226" i="16"/>
  <c r="F226" i="16" s="1"/>
  <c r="AX190" i="16"/>
  <c r="AX266" i="16"/>
  <c r="F266" i="16" s="1"/>
  <c r="AX70" i="16"/>
  <c r="F70" i="16" s="1"/>
  <c r="AX335" i="16"/>
  <c r="AX200" i="16"/>
  <c r="F200" i="16" s="1"/>
  <c r="AX102" i="16"/>
  <c r="F102" i="16" s="1"/>
  <c r="AX202" i="16"/>
  <c r="F202" i="16" s="1"/>
  <c r="AX17" i="16"/>
  <c r="F17" i="16" s="1"/>
  <c r="AX154" i="16"/>
  <c r="F154" i="16" s="1"/>
  <c r="AX243" i="16"/>
  <c r="F243" i="16" s="1"/>
  <c r="AX306" i="16"/>
  <c r="F306" i="16" s="1"/>
  <c r="AX164" i="16"/>
  <c r="F164" i="16" s="1"/>
  <c r="AX188" i="16"/>
  <c r="AX235" i="16"/>
  <c r="F235" i="16" s="1"/>
  <c r="AX86" i="16"/>
  <c r="F86" i="16" s="1"/>
  <c r="AX166" i="16"/>
  <c r="AX210" i="16"/>
  <c r="F210" i="16" s="1"/>
  <c r="AX221" i="16"/>
  <c r="AX258" i="16"/>
  <c r="F258" i="16" s="1"/>
  <c r="AX104" i="16"/>
  <c r="F104" i="16" s="1"/>
  <c r="AX144" i="16"/>
  <c r="F144" i="16" s="1"/>
  <c r="AX170" i="16"/>
  <c r="F170" i="16" s="1"/>
  <c r="AX281" i="16"/>
  <c r="F281" i="16" s="1"/>
  <c r="AX122" i="16"/>
  <c r="F122" i="16" s="1"/>
  <c r="AX216" i="16"/>
  <c r="F216" i="16" s="1"/>
  <c r="AX289" i="16"/>
  <c r="AX321" i="16"/>
  <c r="F321" i="16" s="1"/>
  <c r="AX80" i="16"/>
  <c r="F80" i="16" s="1"/>
  <c r="AX54" i="16"/>
  <c r="F54" i="16" s="1"/>
  <c r="AX113" i="16"/>
  <c r="F113" i="16" s="1"/>
  <c r="AX175" i="16"/>
  <c r="F175" i="16" s="1"/>
  <c r="AX88" i="16"/>
  <c r="AX198" i="16"/>
  <c r="AX212" i="16"/>
  <c r="F212" i="16" s="1"/>
  <c r="AX158" i="16"/>
  <c r="AX333" i="16"/>
  <c r="F333" i="16" s="1"/>
  <c r="AX132" i="16"/>
  <c r="F132" i="16" s="1"/>
  <c r="AX291" i="16"/>
  <c r="F291" i="16" s="1"/>
  <c r="AX267" i="16"/>
  <c r="F267" i="16" s="1"/>
  <c r="AX177" i="16"/>
  <c r="F177" i="16" s="1"/>
  <c r="AX293" i="16"/>
  <c r="F293" i="16" s="1"/>
  <c r="AX185" i="16"/>
  <c r="F185" i="16" s="1"/>
  <c r="AX19" i="16"/>
  <c r="F19" i="16" s="1"/>
  <c r="AX244" i="16"/>
  <c r="H244" i="16" s="1"/>
  <c r="AX103" i="16"/>
  <c r="F103" i="16" s="1"/>
  <c r="AX148" i="16"/>
  <c r="F148" i="16" s="1"/>
  <c r="AX91" i="16"/>
  <c r="AX307" i="16"/>
  <c r="F307" i="16" s="1"/>
  <c r="AX218" i="16"/>
  <c r="F218" i="16" s="1"/>
  <c r="AX180" i="16"/>
  <c r="AX261" i="16"/>
  <c r="F261" i="16" s="1"/>
  <c r="AX65" i="16"/>
  <c r="F65" i="16" s="1"/>
  <c r="AX327" i="16"/>
  <c r="AX196" i="16"/>
  <c r="F196" i="16" s="1"/>
  <c r="AX97" i="16"/>
  <c r="F97" i="16" s="1"/>
  <c r="AX191" i="16"/>
  <c r="F191" i="16" s="1"/>
  <c r="AX151" i="16"/>
  <c r="F151" i="16" s="1"/>
  <c r="AX149" i="16"/>
  <c r="F149" i="16" s="1"/>
  <c r="AX238" i="16"/>
  <c r="F238" i="16" s="1"/>
  <c r="AX299" i="16"/>
  <c r="F299" i="16" s="1"/>
  <c r="AX141" i="16"/>
  <c r="AX101" i="16"/>
  <c r="F101" i="16" s="1"/>
  <c r="AX230" i="16"/>
  <c r="F230" i="16" s="1"/>
  <c r="AX87" i="16"/>
  <c r="F87" i="16" s="1"/>
  <c r="AX240" i="16"/>
  <c r="AX169" i="16"/>
  <c r="AX278" i="16"/>
  <c r="F278" i="16" s="1"/>
  <c r="AX155" i="16"/>
  <c r="F155" i="16" s="1"/>
  <c r="AX313" i="16"/>
  <c r="AX205" i="16"/>
  <c r="F205" i="16" s="1"/>
  <c r="AX98" i="16"/>
  <c r="AX140" i="16"/>
  <c r="F140" i="16" s="1"/>
  <c r="AX339" i="16"/>
  <c r="F339" i="16" s="1"/>
  <c r="AX300" i="16"/>
  <c r="AX194" i="16"/>
  <c r="F194" i="16" s="1"/>
  <c r="AX79" i="16"/>
  <c r="F79" i="16" s="1"/>
  <c r="AX259" i="16"/>
  <c r="F259" i="16" s="1"/>
  <c r="AX47" i="16"/>
  <c r="F47" i="16" s="1"/>
  <c r="AX322" i="16"/>
  <c r="F322" i="16" s="1"/>
  <c r="AX184" i="16"/>
  <c r="F184" i="16" s="1"/>
  <c r="AX90" i="16"/>
  <c r="F90" i="16" s="1"/>
  <c r="AX159" i="16"/>
  <c r="F159" i="16" s="1"/>
  <c r="AX114" i="16"/>
  <c r="F114" i="16" s="1"/>
  <c r="AX139" i="16"/>
  <c r="F139" i="16" s="1"/>
  <c r="AX228" i="16"/>
  <c r="F228" i="16" s="1"/>
  <c r="AX294" i="16"/>
  <c r="AX117" i="16"/>
  <c r="F117" i="16" s="1"/>
  <c r="AX309" i="16"/>
  <c r="F309" i="16" s="1"/>
  <c r="AX222" i="16"/>
  <c r="F222" i="16" s="1"/>
  <c r="AX69" i="16"/>
  <c r="F69" i="16" s="1"/>
  <c r="AX153" i="16"/>
  <c r="F153" i="16" s="1"/>
  <c r="AX264" i="16"/>
  <c r="F264" i="16" s="1"/>
  <c r="AX143" i="16"/>
  <c r="H143" i="16" s="1"/>
  <c r="AX308" i="16"/>
  <c r="F308" i="16" s="1"/>
  <c r="AX199" i="16"/>
  <c r="F199" i="16" s="1"/>
  <c r="AX81" i="16"/>
  <c r="AX121" i="16"/>
  <c r="F121" i="16" s="1"/>
  <c r="AX331" i="16"/>
  <c r="F331" i="16" s="1"/>
  <c r="AX290" i="16"/>
  <c r="F290" i="16" s="1"/>
  <c r="AX176" i="16"/>
  <c r="F176" i="16" s="1"/>
  <c r="AX320" i="16"/>
  <c r="AX215" i="16"/>
  <c r="H215" i="16" s="1"/>
  <c r="AX39" i="16"/>
  <c r="F39" i="16" s="1"/>
  <c r="AX304" i="16"/>
  <c r="F304" i="16" s="1"/>
  <c r="AX181" i="16"/>
  <c r="F181" i="16" s="1"/>
  <c r="AX62" i="16"/>
  <c r="F62" i="16" s="1"/>
  <c r="AX156" i="16"/>
  <c r="F156" i="16" s="1"/>
  <c r="AX51" i="16"/>
  <c r="F51" i="16" s="1"/>
  <c r="AX125" i="16"/>
  <c r="F125" i="16" s="1"/>
  <c r="AX220" i="16"/>
  <c r="AX287" i="16"/>
  <c r="F287" i="16" s="1"/>
  <c r="AX99" i="16"/>
  <c r="F99" i="16" s="1"/>
  <c r="AX268" i="16"/>
  <c r="AX206" i="16"/>
  <c r="F206" i="16" s="1"/>
  <c r="AX46" i="16"/>
  <c r="F46" i="16" s="1"/>
  <c r="AX284" i="16"/>
  <c r="F284" i="16" s="1"/>
  <c r="AX146" i="16"/>
  <c r="F146" i="16" s="1"/>
  <c r="AX262" i="16"/>
  <c r="H262" i="16" s="1"/>
  <c r="AX124" i="16"/>
  <c r="F124" i="16" s="1"/>
  <c r="AX303" i="16"/>
  <c r="F303" i="16" s="1"/>
  <c r="AX182" i="16"/>
  <c r="F182" i="16" s="1"/>
  <c r="AX63" i="16"/>
  <c r="F63" i="16" s="1"/>
  <c r="AX100" i="16"/>
  <c r="F100" i="16" s="1"/>
  <c r="AX280" i="16"/>
  <c r="AX168" i="16"/>
  <c r="F168" i="16" s="1"/>
  <c r="AX298" i="16"/>
  <c r="F298" i="16" s="1"/>
  <c r="AX189" i="16"/>
  <c r="F189" i="16" s="1"/>
  <c r="AX34" i="16"/>
  <c r="F34" i="16" s="1"/>
  <c r="AX285" i="16"/>
  <c r="F285" i="16" s="1"/>
  <c r="AX173" i="16"/>
  <c r="F173" i="16" s="1"/>
  <c r="AX55" i="16"/>
  <c r="F55" i="16" s="1"/>
  <c r="AX147" i="16"/>
  <c r="F147" i="16" s="1"/>
  <c r="AX326" i="16"/>
  <c r="F326" i="16" s="1"/>
  <c r="AX120" i="16"/>
  <c r="F120" i="16" s="1"/>
  <c r="AX324" i="16"/>
  <c r="AX279" i="16"/>
  <c r="AX94" i="16"/>
  <c r="F94" i="16" s="1"/>
  <c r="AX254" i="16"/>
  <c r="F254" i="16" s="1"/>
  <c r="AX193" i="16"/>
  <c r="F193" i="16" s="1"/>
  <c r="AX38" i="16"/>
  <c r="F38" i="16" s="1"/>
  <c r="AX249" i="16"/>
  <c r="F249" i="16" s="1"/>
  <c r="AX138" i="16"/>
  <c r="F138" i="16" s="1"/>
  <c r="AX253" i="16"/>
  <c r="F253" i="16" s="1"/>
  <c r="AX96" i="16"/>
  <c r="F96" i="16" s="1"/>
  <c r="AX318" i="16"/>
  <c r="F318" i="16" s="1"/>
  <c r="AX174" i="16"/>
  <c r="AX56" i="16"/>
  <c r="F56" i="16" s="1"/>
  <c r="AX93" i="16"/>
  <c r="F93" i="16" s="1"/>
  <c r="AX315" i="16"/>
  <c r="F315" i="16" s="1"/>
  <c r="AX275" i="16"/>
  <c r="F275" i="16" s="1"/>
  <c r="AX145" i="16"/>
  <c r="F145" i="16" s="1"/>
  <c r="AX273" i="16"/>
  <c r="F273" i="16" s="1"/>
  <c r="AX165" i="16"/>
  <c r="F165" i="16" s="1"/>
  <c r="AX109" i="16"/>
  <c r="F109" i="16" s="1"/>
  <c r="AX277" i="16"/>
  <c r="F277" i="16" s="1"/>
  <c r="AX162" i="16"/>
  <c r="F162" i="16" s="1"/>
  <c r="AX31" i="16"/>
  <c r="F31" i="16" s="1"/>
  <c r="AX115" i="16"/>
  <c r="F115" i="16" s="1"/>
  <c r="AX340" i="16"/>
  <c r="F340" i="16" s="1"/>
  <c r="AX107" i="16"/>
  <c r="F107" i="16" s="1"/>
  <c r="AX319" i="16"/>
  <c r="F319" i="16" s="1"/>
  <c r="AX272" i="16"/>
  <c r="F272" i="16" s="1"/>
  <c r="AX82" i="16"/>
  <c r="F82" i="16" s="1"/>
  <c r="AX183" i="16"/>
  <c r="H183" i="16" s="1"/>
  <c r="AX33" i="16"/>
  <c r="F33" i="16" s="1"/>
  <c r="AX211" i="16"/>
  <c r="AX127" i="16"/>
  <c r="AX237" i="16"/>
  <c r="F237" i="16" s="1"/>
  <c r="AX76" i="16"/>
  <c r="F76" i="16" s="1"/>
  <c r="AX328" i="16"/>
  <c r="F328" i="16" s="1"/>
  <c r="AX171" i="16"/>
  <c r="F171" i="16" s="1"/>
  <c r="AX45" i="16"/>
  <c r="F45" i="16" s="1"/>
  <c r="AX78" i="16"/>
  <c r="F78" i="16" s="1"/>
  <c r="AX283" i="16"/>
  <c r="F283" i="16" s="1"/>
  <c r="AX271" i="16"/>
  <c r="F271" i="16" s="1"/>
  <c r="AX126" i="16"/>
  <c r="F126" i="16" s="1"/>
  <c r="AX229" i="16"/>
  <c r="H229" i="16" s="1"/>
  <c r="AX152" i="16"/>
  <c r="AX296" i="16"/>
  <c r="F296" i="16" s="1"/>
  <c r="AX252" i="16"/>
  <c r="F252" i="16" s="1"/>
  <c r="AX137" i="16"/>
  <c r="AX26" i="16"/>
  <c r="F26" i="16" s="1"/>
  <c r="AX92" i="16"/>
  <c r="H92" i="16" s="1"/>
  <c r="AX332" i="16"/>
  <c r="AX85" i="16"/>
  <c r="F85" i="16" s="1"/>
  <c r="AX314" i="16"/>
  <c r="F314" i="16" s="1"/>
  <c r="AX265" i="16"/>
  <c r="F265" i="16" s="1"/>
  <c r="AX74" i="16"/>
  <c r="F74" i="16" s="1"/>
  <c r="AX217" i="16"/>
  <c r="F217" i="16" s="1"/>
  <c r="AX172" i="16"/>
  <c r="F172" i="16" s="1"/>
  <c r="AX30" i="16"/>
  <c r="F30" i="16" s="1"/>
  <c r="AX242" i="16"/>
  <c r="F242" i="16" s="1"/>
  <c r="AX119" i="16"/>
  <c r="F119" i="16" s="1"/>
  <c r="AX232" i="16"/>
  <c r="F232" i="16" s="1"/>
  <c r="AX73" i="16"/>
  <c r="AX323" i="16"/>
  <c r="F323" i="16" s="1"/>
  <c r="AX163" i="16"/>
  <c r="F163" i="16" s="1"/>
  <c r="AX32" i="16"/>
  <c r="F32" i="16" s="1"/>
  <c r="AX53" i="16"/>
  <c r="F53" i="16" s="1"/>
  <c r="AX239" i="16"/>
  <c r="F239" i="16" s="1"/>
  <c r="AX257" i="16"/>
  <c r="AX108" i="16"/>
  <c r="F108" i="16" s="1"/>
  <c r="AX187" i="16"/>
  <c r="AX142" i="16"/>
  <c r="F142" i="16" s="1"/>
  <c r="AX336" i="16"/>
  <c r="H336" i="16" s="1"/>
  <c r="AX250" i="16"/>
  <c r="AX134" i="16"/>
  <c r="F134" i="16" s="1"/>
  <c r="AX23" i="16"/>
  <c r="F23" i="16" s="1"/>
  <c r="AX72" i="16"/>
  <c r="F72" i="16" s="1"/>
  <c r="AX270" i="16"/>
  <c r="F270" i="16" s="1"/>
  <c r="AX77" i="16"/>
  <c r="F77" i="16" s="1"/>
  <c r="AX233" i="16"/>
  <c r="F233" i="16" s="1"/>
  <c r="AX263" i="16"/>
  <c r="F263" i="16" s="1"/>
  <c r="AX64" i="16"/>
  <c r="F64" i="16" s="1"/>
  <c r="AX334" i="16"/>
  <c r="F334" i="16" s="1"/>
  <c r="AX161" i="16"/>
  <c r="F161" i="16" s="1"/>
  <c r="AX25" i="16"/>
  <c r="H25" i="16" s="1"/>
  <c r="AX276" i="16"/>
  <c r="F276" i="16" s="1"/>
  <c r="AX106" i="16"/>
  <c r="F106" i="16" s="1"/>
  <c r="AX224" i="16"/>
  <c r="F224" i="16" s="1"/>
  <c r="AX66" i="16"/>
  <c r="H66" i="16" s="1"/>
  <c r="AX310" i="16"/>
  <c r="F310" i="16" s="1"/>
  <c r="AX160" i="16"/>
  <c r="F160" i="16" s="1"/>
  <c r="AX27" i="16"/>
  <c r="F27" i="16" s="1"/>
  <c r="AX50" i="16"/>
  <c r="F50" i="16" s="1"/>
  <c r="AX192" i="16"/>
  <c r="F192" i="16" s="1"/>
  <c r="AX248" i="16"/>
  <c r="F248" i="16" s="1"/>
  <c r="AX83" i="16"/>
  <c r="AX343" i="16"/>
  <c r="AX118" i="16"/>
  <c r="F118" i="16" s="1"/>
  <c r="AX341" i="16"/>
  <c r="F341" i="16" s="1"/>
  <c r="AX236" i="16"/>
  <c r="F236" i="16" s="1"/>
  <c r="AX131" i="16"/>
  <c r="F131" i="16" s="1"/>
  <c r="AX297" i="16"/>
  <c r="F297" i="16" s="1"/>
  <c r="AX60" i="16"/>
  <c r="F60" i="16" s="1"/>
  <c r="AX209" i="16"/>
  <c r="AX67" i="16"/>
  <c r="F67" i="16" s="1"/>
  <c r="AX342" i="16"/>
  <c r="F342" i="16" s="1"/>
  <c r="AX256" i="16"/>
  <c r="H256" i="16" s="1"/>
  <c r="AX57" i="16"/>
  <c r="F57" i="16" s="1"/>
  <c r="AX329" i="16"/>
  <c r="F329" i="16" s="1"/>
  <c r="AX136" i="16"/>
  <c r="F136" i="16" s="1"/>
  <c r="AX22" i="16"/>
  <c r="F22" i="16" s="1"/>
  <c r="F49" i="16"/>
  <c r="H49" i="16"/>
  <c r="F213" i="16"/>
  <c r="H213" i="16"/>
  <c r="F35" i="16"/>
  <c r="H35" i="16"/>
  <c r="F223" i="16"/>
  <c r="H223" i="16"/>
  <c r="F225" i="16"/>
  <c r="H225" i="16"/>
  <c r="F274" i="16"/>
  <c r="H274" i="16"/>
  <c r="F201" i="16"/>
  <c r="H201" i="16"/>
  <c r="F286" i="16"/>
  <c r="H286" i="16"/>
  <c r="F295" i="16"/>
  <c r="H295" i="16"/>
  <c r="F204" i="16"/>
  <c r="H204" i="16"/>
  <c r="F43" i="16"/>
  <c r="H43" i="16"/>
  <c r="F255" i="16"/>
  <c r="H255" i="16"/>
  <c r="F190" i="16"/>
  <c r="H190" i="16"/>
  <c r="H306" i="16"/>
  <c r="H177" i="16"/>
  <c r="H65" i="16"/>
  <c r="F327" i="16"/>
  <c r="H327" i="16"/>
  <c r="H101" i="16"/>
  <c r="F169" i="16"/>
  <c r="H169" i="16"/>
  <c r="F300" i="16"/>
  <c r="H300" i="16"/>
  <c r="H139" i="16"/>
  <c r="B11" i="16"/>
  <c r="J3" i="16"/>
  <c r="AX12" i="16"/>
  <c r="F12" i="16" s="1"/>
  <c r="AX14" i="16"/>
  <c r="F14" i="16" s="1"/>
  <c r="AX16" i="16"/>
  <c r="F16" i="16" s="1"/>
  <c r="AX13" i="16"/>
  <c r="H13" i="16" s="1"/>
  <c r="AX15" i="16"/>
  <c r="F15" i="16" s="1"/>
  <c r="AX11" i="16"/>
  <c r="F11" i="16" s="1"/>
  <c r="H14" i="16"/>
  <c r="H12" i="16"/>
  <c r="H15" i="16"/>
  <c r="H16" i="16"/>
  <c r="D8" i="16"/>
  <c r="G8" i="16"/>
  <c r="I8" i="16"/>
  <c r="D50" i="8"/>
  <c r="G3" i="16"/>
  <c r="J9" i="8" s="1"/>
  <c r="K89" i="8" s="1"/>
  <c r="I3" i="16"/>
  <c r="P8" i="16"/>
  <c r="AF11" i="16"/>
  <c r="F3" i="16"/>
  <c r="H3" i="16"/>
  <c r="J11" i="8" s="1"/>
  <c r="F25" i="16" l="1"/>
  <c r="F36" i="16"/>
  <c r="F250" i="16"/>
  <c r="H250" i="16"/>
  <c r="F313" i="16"/>
  <c r="H313" i="16"/>
  <c r="F203" i="16"/>
  <c r="H203" i="16"/>
  <c r="F198" i="16"/>
  <c r="H198" i="16"/>
  <c r="F332" i="16"/>
  <c r="H332" i="16"/>
  <c r="F88" i="16"/>
  <c r="H88" i="16"/>
  <c r="F73" i="16"/>
  <c r="H73" i="16"/>
  <c r="F279" i="16"/>
  <c r="H279" i="16"/>
  <c r="F280" i="16"/>
  <c r="H280" i="16"/>
  <c r="F268" i="16"/>
  <c r="H268" i="16"/>
  <c r="F320" i="16"/>
  <c r="H320" i="16"/>
  <c r="F324" i="16"/>
  <c r="H324" i="16"/>
  <c r="F240" i="16"/>
  <c r="H240" i="16"/>
  <c r="F221" i="16"/>
  <c r="H221" i="16"/>
  <c r="F343" i="16"/>
  <c r="H343" i="16"/>
  <c r="F137" i="16"/>
  <c r="H137" i="16"/>
  <c r="F174" i="16"/>
  <c r="H174" i="16"/>
  <c r="F220" i="16"/>
  <c r="H220" i="16"/>
  <c r="F166" i="16"/>
  <c r="H166" i="16"/>
  <c r="F335" i="16"/>
  <c r="H335" i="16"/>
  <c r="F330" i="16"/>
  <c r="H330" i="16"/>
  <c r="F83" i="16"/>
  <c r="H83" i="16"/>
  <c r="F336" i="16"/>
  <c r="F187" i="16"/>
  <c r="H187" i="16"/>
  <c r="F127" i="16"/>
  <c r="H127" i="16"/>
  <c r="F294" i="16"/>
  <c r="H294" i="16"/>
  <c r="F180" i="16"/>
  <c r="H180" i="16"/>
  <c r="F219" i="16"/>
  <c r="H219" i="16"/>
  <c r="F152" i="16"/>
  <c r="AG275" i="16" s="1"/>
  <c r="H152" i="16"/>
  <c r="F211" i="16"/>
  <c r="H211" i="16"/>
  <c r="F81" i="16"/>
  <c r="H81" i="16"/>
  <c r="F141" i="16"/>
  <c r="H141" i="16"/>
  <c r="F289" i="16"/>
  <c r="H289" i="16"/>
  <c r="F251" i="16"/>
  <c r="H251" i="16"/>
  <c r="F257" i="16"/>
  <c r="H257" i="16"/>
  <c r="F188" i="16"/>
  <c r="H188" i="16"/>
  <c r="F269" i="16"/>
  <c r="H269" i="16"/>
  <c r="F209" i="16"/>
  <c r="H209" i="16"/>
  <c r="F98" i="16"/>
  <c r="H98" i="16"/>
  <c r="F91" i="16"/>
  <c r="H91" i="16"/>
  <c r="F158" i="16"/>
  <c r="H158" i="16"/>
  <c r="F302" i="16"/>
  <c r="H302" i="16"/>
  <c r="F244" i="16"/>
  <c r="F66" i="16"/>
  <c r="H129" i="16"/>
  <c r="H191" i="16"/>
  <c r="H154" i="16"/>
  <c r="H275" i="16"/>
  <c r="H338" i="16"/>
  <c r="H85" i="16"/>
  <c r="H227" i="16"/>
  <c r="H42" i="16"/>
  <c r="H308" i="16"/>
  <c r="H26" i="16"/>
  <c r="H30" i="16"/>
  <c r="F229" i="16"/>
  <c r="F92" i="16"/>
  <c r="F256" i="16"/>
  <c r="F215" i="16"/>
  <c r="H31" i="16"/>
  <c r="H161" i="16"/>
  <c r="H341" i="16"/>
  <c r="F143" i="16"/>
  <c r="AG145" i="16" s="1"/>
  <c r="H60" i="16"/>
  <c r="H285" i="16"/>
  <c r="F183" i="16"/>
  <c r="H82" i="16"/>
  <c r="H74" i="16"/>
  <c r="H90" i="16"/>
  <c r="F262" i="16"/>
  <c r="H224" i="16"/>
  <c r="H319" i="16"/>
  <c r="H206" i="16"/>
  <c r="AG251" i="16"/>
  <c r="AG130" i="16"/>
  <c r="AG87" i="16"/>
  <c r="AG44" i="16"/>
  <c r="H11" i="16"/>
  <c r="H8" i="16"/>
  <c r="F13" i="16"/>
  <c r="D22" i="8"/>
  <c r="D21" i="8"/>
  <c r="X9" i="16"/>
  <c r="AI9" i="16"/>
  <c r="AP9" i="16"/>
  <c r="J10" i="8"/>
  <c r="AG103" i="16" l="1"/>
  <c r="AG180" i="16"/>
  <c r="AG213" i="16"/>
  <c r="AG289" i="16"/>
  <c r="AG237" i="16"/>
  <c r="AG340" i="16"/>
  <c r="AG34" i="16"/>
  <c r="AG94" i="16"/>
  <c r="AG209" i="16"/>
  <c r="AG303" i="16"/>
  <c r="AG57" i="16"/>
  <c r="AG86" i="16"/>
  <c r="AG229" i="16"/>
  <c r="AG17" i="16"/>
  <c r="AG198" i="16"/>
  <c r="AG115" i="16"/>
  <c r="AG164" i="16"/>
  <c r="AG153" i="16"/>
  <c r="AG329" i="16"/>
  <c r="AG170" i="16"/>
  <c r="AG169" i="16"/>
  <c r="AG22" i="16"/>
  <c r="AG67" i="16"/>
  <c r="AG195" i="16"/>
  <c r="AG72" i="16"/>
  <c r="AG23" i="16"/>
  <c r="AG282" i="16"/>
  <c r="AG92" i="16"/>
  <c r="AG326" i="16"/>
  <c r="AG96" i="16"/>
  <c r="AG168" i="16"/>
  <c r="AG89" i="16"/>
  <c r="AG215" i="16"/>
  <c r="AG79" i="16"/>
  <c r="AG243" i="16"/>
  <c r="AG95" i="16"/>
  <c r="AG266" i="16"/>
  <c r="AG105" i="16"/>
  <c r="AG313" i="16"/>
  <c r="AG90" i="16"/>
  <c r="AG160" i="16"/>
  <c r="AG100" i="16"/>
  <c r="AG171" i="16"/>
  <c r="AG116" i="16"/>
  <c r="AG308" i="16"/>
  <c r="AG230" i="16"/>
  <c r="AG241" i="16"/>
  <c r="AG161" i="16"/>
  <c r="AG245" i="16"/>
  <c r="AG73" i="16"/>
  <c r="AG30" i="16"/>
  <c r="AG217" i="16"/>
  <c r="AG112" i="16"/>
  <c r="AG163" i="16"/>
  <c r="AG119" i="16"/>
  <c r="AG288" i="16"/>
  <c r="AG113" i="16"/>
  <c r="AG176" i="16"/>
  <c r="AG99" i="16"/>
  <c r="AG204" i="16"/>
  <c r="AG122" i="16"/>
  <c r="AG218" i="16"/>
  <c r="AG126" i="16"/>
  <c r="AG155" i="16"/>
  <c r="AG75" i="16"/>
  <c r="AG331" i="16"/>
  <c r="AG70" i="16"/>
  <c r="AG318" i="16"/>
  <c r="AG98" i="16"/>
  <c r="AG151" i="16"/>
  <c r="AG203" i="16"/>
  <c r="AG226" i="16"/>
  <c r="AG182" i="16"/>
  <c r="AG256" i="16"/>
  <c r="AG212" i="16"/>
  <c r="AG36" i="16"/>
  <c r="AG231" i="16"/>
  <c r="AG128" i="16"/>
  <c r="AG239" i="16"/>
  <c r="AG138" i="16"/>
  <c r="AG269" i="16"/>
  <c r="AG120" i="16"/>
  <c r="AG323" i="16"/>
  <c r="AG114" i="16"/>
  <c r="AG210" i="16"/>
  <c r="AG142" i="16"/>
  <c r="AG320" i="16"/>
  <c r="AG143" i="16"/>
  <c r="AG232" i="16"/>
  <c r="AG135" i="16"/>
  <c r="AG261" i="16"/>
  <c r="AG211" i="16"/>
  <c r="AG342" i="16"/>
  <c r="AG66" i="16"/>
  <c r="AG185" i="16"/>
  <c r="AG190" i="16"/>
  <c r="AG199" i="16"/>
  <c r="AG31" i="16"/>
  <c r="AG316" i="16"/>
  <c r="AG26" i="16"/>
  <c r="AG337" i="16"/>
  <c r="AG37" i="16"/>
  <c r="AG291" i="16"/>
  <c r="AG117" i="16"/>
  <c r="AG328" i="16"/>
  <c r="AG139" i="16"/>
  <c r="AG208" i="16"/>
  <c r="AG134" i="16"/>
  <c r="AG283" i="16"/>
  <c r="AG144" i="16"/>
  <c r="AG298" i="16"/>
  <c r="AG140" i="16"/>
  <c r="AG253" i="16"/>
  <c r="AG133" i="16"/>
  <c r="AG299" i="16"/>
  <c r="AG206" i="16"/>
  <c r="AG249" i="16"/>
  <c r="AG172" i="16"/>
  <c r="AG324" i="16"/>
  <c r="AG177" i="16"/>
  <c r="AG201" i="16"/>
  <c r="AG296" i="16"/>
  <c r="AG281" i="16"/>
  <c r="AG322" i="16"/>
  <c r="AG62" i="16"/>
  <c r="AG276" i="16"/>
  <c r="AG93" i="16"/>
  <c r="AG227" i="16"/>
  <c r="AG80" i="16"/>
  <c r="AG240" i="16"/>
  <c r="AG77" i="16"/>
  <c r="AG319" i="16"/>
  <c r="AG71" i="16"/>
  <c r="AG219" i="16"/>
  <c r="AG102" i="16"/>
  <c r="AG260" i="16"/>
  <c r="AG69" i="16"/>
  <c r="AG334" i="16"/>
  <c r="AG81" i="16"/>
  <c r="AG32" i="16"/>
  <c r="AG287" i="16"/>
  <c r="AG35" i="16"/>
  <c r="AG294" i="16"/>
  <c r="AG28" i="16"/>
  <c r="AG311" i="16"/>
  <c r="AG247" i="16"/>
  <c r="AG264" i="16"/>
  <c r="AG277" i="16"/>
  <c r="AG74" i="16"/>
  <c r="AG181" i="16"/>
  <c r="AG50" i="16"/>
  <c r="AG196" i="16"/>
  <c r="AG125" i="16"/>
  <c r="AG189" i="16"/>
  <c r="AG63" i="16"/>
  <c r="AG224" i="16"/>
  <c r="AG60" i="16"/>
  <c r="AG242" i="16"/>
  <c r="AG48" i="16"/>
  <c r="AG216" i="16"/>
  <c r="AG64" i="16"/>
  <c r="AG197" i="16"/>
  <c r="AG45" i="16"/>
  <c r="AG200" i="16"/>
  <c r="AG51" i="16"/>
  <c r="AG49" i="16"/>
  <c r="AG154" i="16"/>
  <c r="AG59" i="16"/>
  <c r="AG167" i="16"/>
  <c r="AG18" i="16"/>
  <c r="AG178" i="16"/>
  <c r="AG274" i="16"/>
  <c r="AG310" i="16"/>
  <c r="AG343" i="16"/>
  <c r="AG78" i="16"/>
  <c r="AG325" i="16"/>
  <c r="AG109" i="16"/>
  <c r="AG306" i="16"/>
  <c r="AG220" i="16"/>
  <c r="AG233" i="16"/>
  <c r="AG225" i="16"/>
  <c r="AG149" i="16"/>
  <c r="AG158" i="16"/>
  <c r="AG186" i="16"/>
  <c r="AG46" i="16"/>
  <c r="AG194" i="16"/>
  <c r="AG174" i="16"/>
  <c r="AG270" i="16"/>
  <c r="AG184" i="16"/>
  <c r="AG88" i="16"/>
  <c r="AG309" i="16"/>
  <c r="AG85" i="16"/>
  <c r="AG223" i="16"/>
  <c r="AG52" i="16"/>
  <c r="AG250" i="16"/>
  <c r="AG222" i="16"/>
  <c r="AG244" i="16"/>
  <c r="AG307" i="16"/>
  <c r="AG123" i="16"/>
  <c r="AG221" i="16"/>
  <c r="AG137" i="16"/>
  <c r="AG33" i="16"/>
  <c r="AG214" i="16"/>
  <c r="AG20" i="16"/>
  <c r="AG297" i="16"/>
  <c r="AG27" i="16"/>
  <c r="AG188" i="16"/>
  <c r="AG175" i="16"/>
  <c r="AG166" i="16"/>
  <c r="AG41" i="16"/>
  <c r="AG152" i="16"/>
  <c r="AG42" i="16"/>
  <c r="AG159" i="16"/>
  <c r="AG106" i="16"/>
  <c r="AG183" i="16"/>
  <c r="AG108" i="16"/>
  <c r="AG162" i="16"/>
  <c r="AG91" i="16"/>
  <c r="AG173" i="16"/>
  <c r="AG321" i="16"/>
  <c r="AG333" i="16"/>
  <c r="AG147" i="16"/>
  <c r="AG141" i="16"/>
  <c r="AG284" i="16"/>
  <c r="AG104" i="16"/>
  <c r="AG19" i="16"/>
  <c r="AG292" i="16"/>
  <c r="AG38" i="16"/>
  <c r="AG332" i="16"/>
  <c r="AG24" i="16"/>
  <c r="AG263" i="16"/>
  <c r="AG25" i="16"/>
  <c r="AG146" i="16"/>
  <c r="AG21" i="16"/>
  <c r="AG279" i="16"/>
  <c r="AG29" i="16"/>
  <c r="AG295" i="16"/>
  <c r="AG121" i="16"/>
  <c r="AG302" i="16"/>
  <c r="AG107" i="16"/>
  <c r="AG317" i="16"/>
  <c r="AG84" i="16"/>
  <c r="AG271" i="16"/>
  <c r="AG235" i="16"/>
  <c r="AG338" i="16"/>
  <c r="AG65" i="16"/>
  <c r="AG118" i="16"/>
  <c r="AG192" i="16"/>
  <c r="AG111" i="16"/>
  <c r="AG305" i="16"/>
  <c r="AG124" i="16"/>
  <c r="AG272" i="16"/>
  <c r="AG83" i="16"/>
  <c r="AG53" i="16"/>
  <c r="AG314" i="16"/>
  <c r="AG39" i="16"/>
  <c r="AG156" i="16"/>
  <c r="AG43" i="16"/>
  <c r="AG207" i="16"/>
  <c r="AG40" i="16"/>
  <c r="AG265" i="16"/>
  <c r="AG68" i="16"/>
  <c r="AG268" i="16"/>
  <c r="AG47" i="16"/>
  <c r="AG341" i="16"/>
  <c r="AG131" i="16"/>
  <c r="AG234" i="16"/>
  <c r="AG148" i="16"/>
  <c r="AG257" i="16"/>
  <c r="AG110" i="16"/>
  <c r="AG179" i="16"/>
  <c r="AG301" i="16"/>
  <c r="AG312" i="16"/>
  <c r="AG101" i="16"/>
  <c r="AG97" i="16"/>
  <c r="AG339" i="16"/>
  <c r="AG129" i="16"/>
  <c r="AG259" i="16"/>
  <c r="AG54" i="16"/>
  <c r="AG56" i="16"/>
  <c r="AG335" i="16"/>
  <c r="AG55" i="16"/>
  <c r="AG165" i="16"/>
  <c r="AG76" i="16"/>
  <c r="AG191" i="16"/>
  <c r="AG58" i="16"/>
  <c r="AG236" i="16"/>
  <c r="AG61" i="16"/>
  <c r="AG228" i="16"/>
  <c r="AG82" i="16"/>
  <c r="AG262" i="16"/>
  <c r="AG132" i="16"/>
  <c r="AG150" i="16"/>
  <c r="AG127" i="16"/>
  <c r="AG157" i="16"/>
  <c r="AG136" i="16"/>
  <c r="AG286" i="16"/>
  <c r="AG258" i="16"/>
  <c r="I220" i="16"/>
  <c r="I324" i="16"/>
  <c r="I88" i="16"/>
  <c r="I302" i="16"/>
  <c r="I188" i="16"/>
  <c r="I211" i="16"/>
  <c r="I187" i="16"/>
  <c r="I174" i="16"/>
  <c r="I320" i="16"/>
  <c r="I332" i="16"/>
  <c r="I158" i="16"/>
  <c r="I257" i="16"/>
  <c r="I152" i="16"/>
  <c r="I83" i="16"/>
  <c r="I137" i="16"/>
  <c r="I268" i="16"/>
  <c r="I198" i="16"/>
  <c r="I91" i="16"/>
  <c r="I251" i="16"/>
  <c r="I219" i="16"/>
  <c r="I330" i="16"/>
  <c r="I343" i="16"/>
  <c r="I280" i="16"/>
  <c r="I203" i="16"/>
  <c r="I98" i="16"/>
  <c r="I289" i="16"/>
  <c r="I180" i="16"/>
  <c r="I335" i="16"/>
  <c r="I221" i="16"/>
  <c r="I279" i="16"/>
  <c r="I313" i="16"/>
  <c r="I209" i="16"/>
  <c r="I141" i="16"/>
  <c r="I294" i="16"/>
  <c r="I166" i="16"/>
  <c r="I240" i="16"/>
  <c r="I73" i="16"/>
  <c r="I250" i="16"/>
  <c r="I269" i="16"/>
  <c r="I81" i="16"/>
  <c r="I127" i="16"/>
  <c r="I49" i="16"/>
  <c r="AG336" i="16"/>
  <c r="AG300" i="16"/>
  <c r="AG278" i="16"/>
  <c r="AG290" i="16"/>
  <c r="AG315" i="16"/>
  <c r="AG246" i="16"/>
  <c r="AG187" i="16"/>
  <c r="AG252" i="16"/>
  <c r="AG205" i="16"/>
  <c r="AG280" i="16"/>
  <c r="AG202" i="16"/>
  <c r="AG193" i="16"/>
  <c r="AG273" i="16"/>
  <c r="AG248" i="16"/>
  <c r="AG327" i="16"/>
  <c r="AG254" i="16"/>
  <c r="AG238" i="16"/>
  <c r="AG293" i="16"/>
  <c r="AG255" i="16"/>
  <c r="AG267" i="16"/>
  <c r="AG285" i="16"/>
  <c r="AG330" i="16"/>
  <c r="AG304" i="16"/>
  <c r="I35" i="16"/>
  <c r="I42" i="16"/>
  <c r="I36" i="16"/>
  <c r="I31" i="16"/>
  <c r="I74" i="16"/>
  <c r="I85" i="16"/>
  <c r="I285" i="16"/>
  <c r="I201" i="16"/>
  <c r="I26" i="16"/>
  <c r="I319" i="16"/>
  <c r="I30" i="16"/>
  <c r="I255" i="16"/>
  <c r="I183" i="16"/>
  <c r="I90" i="16"/>
  <c r="I82" i="16"/>
  <c r="I274" i="16"/>
  <c r="I223" i="16"/>
  <c r="I225" i="16"/>
  <c r="I154" i="16"/>
  <c r="I60" i="16"/>
  <c r="I65" i="16"/>
  <c r="I43" i="16"/>
  <c r="I308" i="16"/>
  <c r="I143" i="16"/>
  <c r="I25" i="16"/>
  <c r="I295" i="16"/>
  <c r="I191" i="16"/>
  <c r="I341" i="16"/>
  <c r="I262" i="16"/>
  <c r="I177" i="16"/>
  <c r="I139" i="16"/>
  <c r="I336" i="16"/>
  <c r="I327" i="16"/>
  <c r="I338" i="16"/>
  <c r="I275" i="16"/>
  <c r="I227" i="16"/>
  <c r="I224" i="16"/>
  <c r="I204" i="16"/>
  <c r="I129" i="16"/>
  <c r="I101" i="16"/>
  <c r="I169" i="16"/>
  <c r="I66" i="16"/>
  <c r="I300" i="16"/>
  <c r="I215" i="16"/>
  <c r="I190" i="16"/>
  <c r="I92" i="16"/>
  <c r="I306" i="16"/>
  <c r="I213" i="16"/>
  <c r="I206" i="16"/>
  <c r="I256" i="16"/>
  <c r="I286" i="16"/>
  <c r="I161" i="16"/>
  <c r="I244" i="16"/>
  <c r="I229" i="16"/>
  <c r="AG14" i="16"/>
  <c r="AG12" i="16"/>
  <c r="AG13" i="16"/>
  <c r="AG11" i="16"/>
  <c r="AG15" i="16"/>
  <c r="L35" i="8"/>
  <c r="K12" i="16"/>
  <c r="K13" i="16" s="1"/>
  <c r="K14" i="16" s="1"/>
  <c r="K15" i="16" s="1"/>
  <c r="K16" i="16" s="1"/>
  <c r="K17" i="16" s="1"/>
  <c r="I14" i="16"/>
  <c r="I15" i="16"/>
  <c r="I12" i="16"/>
  <c r="I16" i="16"/>
  <c r="I13" i="16"/>
  <c r="I11" i="16"/>
  <c r="AG16" i="16"/>
  <c r="AE172" i="16" l="1"/>
  <c r="AH172" i="16" s="1"/>
  <c r="AE203" i="16"/>
  <c r="AH203" i="16" s="1"/>
  <c r="AE193" i="16"/>
  <c r="AH193" i="16" s="1"/>
  <c r="AE202" i="16"/>
  <c r="AH202" i="16" s="1"/>
  <c r="AE205" i="16"/>
  <c r="AH205" i="16" s="1"/>
  <c r="AE247" i="16"/>
  <c r="AH247" i="16" s="1"/>
  <c r="AE224" i="16"/>
  <c r="AH224" i="16" s="1"/>
  <c r="AE189" i="16"/>
  <c r="AH189" i="16" s="1"/>
  <c r="AE245" i="16"/>
  <c r="AH245" i="16" s="1"/>
  <c r="AE209" i="16"/>
  <c r="AH209" i="16" s="1"/>
  <c r="AE231" i="16"/>
  <c r="AH231" i="16" s="1"/>
  <c r="AE248" i="16"/>
  <c r="AH248" i="16" s="1"/>
  <c r="AE232" i="16"/>
  <c r="AH232" i="16" s="1"/>
  <c r="AE251" i="16"/>
  <c r="AH251" i="16" s="1"/>
  <c r="AE207" i="16"/>
  <c r="AH207" i="16" s="1"/>
  <c r="AE234" i="16"/>
  <c r="AH234" i="16" s="1"/>
  <c r="AE271" i="16"/>
  <c r="AH271" i="16" s="1"/>
  <c r="AE289" i="16"/>
  <c r="AH289" i="16" s="1"/>
  <c r="AE241" i="16"/>
  <c r="AH241" i="16" s="1"/>
  <c r="AE252" i="16"/>
  <c r="AH252" i="16" s="1"/>
  <c r="AE254" i="16"/>
  <c r="AH254" i="16" s="1"/>
  <c r="AE267" i="16"/>
  <c r="AH267" i="16" s="1"/>
  <c r="AE272" i="16"/>
  <c r="AH272" i="16" s="1"/>
  <c r="AE277" i="16"/>
  <c r="AH277" i="16" s="1"/>
  <c r="AE278" i="16"/>
  <c r="AH278" i="16" s="1"/>
  <c r="AE294" i="16"/>
  <c r="AH294" i="16" s="1"/>
  <c r="AE317" i="16"/>
  <c r="AH317" i="16" s="1"/>
  <c r="AE307" i="16"/>
  <c r="AH307" i="16" s="1"/>
  <c r="AE326" i="16"/>
  <c r="AH326" i="16" s="1"/>
  <c r="AE304" i="16"/>
  <c r="AH304" i="16" s="1"/>
  <c r="AE288" i="16"/>
  <c r="AH288" i="16" s="1"/>
  <c r="AE306" i="16"/>
  <c r="AH306" i="16" s="1"/>
  <c r="AE239" i="16"/>
  <c r="AH239" i="16" s="1"/>
  <c r="AE214" i="16"/>
  <c r="AH214" i="16" s="1"/>
  <c r="AE242" i="16"/>
  <c r="AH242" i="16" s="1"/>
  <c r="AE206" i="16"/>
  <c r="AH206" i="16" s="1"/>
  <c r="AE201" i="16"/>
  <c r="AH201" i="16" s="1"/>
  <c r="AE185" i="16"/>
  <c r="AH185" i="16" s="1"/>
  <c r="AE196" i="16"/>
  <c r="AH196" i="16" s="1"/>
  <c r="AE184" i="16"/>
  <c r="AH184" i="16" s="1"/>
  <c r="AE157" i="16"/>
  <c r="AH157" i="16" s="1"/>
  <c r="AE339" i="16"/>
  <c r="AH339" i="16" s="1"/>
  <c r="AE310" i="16"/>
  <c r="AH310" i="16" s="1"/>
  <c r="AE305" i="16"/>
  <c r="AH305" i="16" s="1"/>
  <c r="AE293" i="16"/>
  <c r="AH293" i="16" s="1"/>
  <c r="AE282" i="16"/>
  <c r="AH282" i="16" s="1"/>
  <c r="AE301" i="16"/>
  <c r="AH301" i="16" s="1"/>
  <c r="AE276" i="16"/>
  <c r="AH276" i="16" s="1"/>
  <c r="AE225" i="16"/>
  <c r="AH225" i="16" s="1"/>
  <c r="AE238" i="16"/>
  <c r="AH238" i="16" s="1"/>
  <c r="AE253" i="16"/>
  <c r="AH253" i="16" s="1"/>
  <c r="AE199" i="16"/>
  <c r="AH199" i="16" s="1"/>
  <c r="AE220" i="16"/>
  <c r="AH220" i="16" s="1"/>
  <c r="AE178" i="16"/>
  <c r="AH178" i="16" s="1"/>
  <c r="AE186" i="16"/>
  <c r="AH186" i="16" s="1"/>
  <c r="AE182" i="16"/>
  <c r="AH182" i="16" s="1"/>
  <c r="AE154" i="16"/>
  <c r="AH154" i="16" s="1"/>
  <c r="AE337" i="16"/>
  <c r="AH337" i="16" s="1"/>
  <c r="AE330" i="16"/>
  <c r="AH330" i="16" s="1"/>
  <c r="AE280" i="16"/>
  <c r="AH280" i="16" s="1"/>
  <c r="AE296" i="16"/>
  <c r="AH296" i="16" s="1"/>
  <c r="AE312" i="16"/>
  <c r="AH312" i="16" s="1"/>
  <c r="AE210" i="16"/>
  <c r="AH210" i="16" s="1"/>
  <c r="AE235" i="16"/>
  <c r="AH235" i="16" s="1"/>
  <c r="AE229" i="16"/>
  <c r="AH229" i="16" s="1"/>
  <c r="AE198" i="16"/>
  <c r="AH198" i="16" s="1"/>
  <c r="AE159" i="16"/>
  <c r="AH159" i="16" s="1"/>
  <c r="AE177" i="16"/>
  <c r="AH177" i="16" s="1"/>
  <c r="AE146" i="16"/>
  <c r="AH146" i="16" s="1"/>
  <c r="AE341" i="16"/>
  <c r="AH341" i="16" s="1"/>
  <c r="AE336" i="16"/>
  <c r="AH336" i="16" s="1"/>
  <c r="AE311" i="16"/>
  <c r="AH311" i="16" s="1"/>
  <c r="AE342" i="16"/>
  <c r="AH342" i="16" s="1"/>
  <c r="AE275" i="16"/>
  <c r="AH275" i="16" s="1"/>
  <c r="AE279" i="16"/>
  <c r="AH279" i="16" s="1"/>
  <c r="AE257" i="16"/>
  <c r="AH257" i="16" s="1"/>
  <c r="AE180" i="16"/>
  <c r="AH180" i="16" s="1"/>
  <c r="AE204" i="16"/>
  <c r="AH204" i="16" s="1"/>
  <c r="AE183" i="16"/>
  <c r="AH183" i="16" s="1"/>
  <c r="AE179" i="16"/>
  <c r="AH179" i="16" s="1"/>
  <c r="AE163" i="16"/>
  <c r="AH163" i="16" s="1"/>
  <c r="AE340" i="16"/>
  <c r="AH340" i="16" s="1"/>
  <c r="AE302" i="16"/>
  <c r="AH302" i="16" s="1"/>
  <c r="AE338" i="16"/>
  <c r="AH338" i="16" s="1"/>
  <c r="AE269" i="16"/>
  <c r="AH269" i="16" s="1"/>
  <c r="AE270" i="16"/>
  <c r="AH270" i="16" s="1"/>
  <c r="AE265" i="16"/>
  <c r="AH265" i="16" s="1"/>
  <c r="AE227" i="16"/>
  <c r="AH227" i="16" s="1"/>
  <c r="AE240" i="16"/>
  <c r="AH240" i="16" s="1"/>
  <c r="AE246" i="16"/>
  <c r="AH246" i="16" s="1"/>
  <c r="AE213" i="16"/>
  <c r="AH213" i="16" s="1"/>
  <c r="AE223" i="16"/>
  <c r="AH223" i="16" s="1"/>
  <c r="AE188" i="16"/>
  <c r="AH188" i="16" s="1"/>
  <c r="AE169" i="16"/>
  <c r="AH169" i="16" s="1"/>
  <c r="AE158" i="16"/>
  <c r="AH158" i="16" s="1"/>
  <c r="AE156" i="16"/>
  <c r="AH156" i="16" s="1"/>
  <c r="AE343" i="16"/>
  <c r="AH343" i="16" s="1"/>
  <c r="AE324" i="16"/>
  <c r="AH324" i="16" s="1"/>
  <c r="AE332" i="16"/>
  <c r="AH332" i="16" s="1"/>
  <c r="AE291" i="16"/>
  <c r="AH291" i="16" s="1"/>
  <c r="AE325" i="16"/>
  <c r="AH325" i="16" s="1"/>
  <c r="AE266" i="16"/>
  <c r="AH266" i="16" s="1"/>
  <c r="AE300" i="16"/>
  <c r="AH300" i="16" s="1"/>
  <c r="AE212" i="16"/>
  <c r="AH212" i="16" s="1"/>
  <c r="AE221" i="16"/>
  <c r="AH221" i="16" s="1"/>
  <c r="AE237" i="16"/>
  <c r="AH237" i="16" s="1"/>
  <c r="AE216" i="16"/>
  <c r="AH216" i="16" s="1"/>
  <c r="AE175" i="16"/>
  <c r="AH175" i="16" s="1"/>
  <c r="AE181" i="16"/>
  <c r="AH181" i="16" s="1"/>
  <c r="AE187" i="16"/>
  <c r="AH187" i="16" s="1"/>
  <c r="AE153" i="16"/>
  <c r="AH153" i="16" s="1"/>
  <c r="AE155" i="16"/>
  <c r="AH155" i="16" s="1"/>
  <c r="AE303" i="16"/>
  <c r="AH303" i="16" s="1"/>
  <c r="AE329" i="16"/>
  <c r="AH329" i="16" s="1"/>
  <c r="AE284" i="16"/>
  <c r="AH284" i="16" s="1"/>
  <c r="AE320" i="16"/>
  <c r="AH320" i="16" s="1"/>
  <c r="AE285" i="16"/>
  <c r="AH285" i="16" s="1"/>
  <c r="AE299" i="16"/>
  <c r="AH299" i="16" s="1"/>
  <c r="AE259" i="16"/>
  <c r="AH259" i="16" s="1"/>
  <c r="AE256" i="16"/>
  <c r="AH256" i="16" s="1"/>
  <c r="AE236" i="16"/>
  <c r="AH236" i="16" s="1"/>
  <c r="AE249" i="16"/>
  <c r="AH249" i="16" s="1"/>
  <c r="AE208" i="16"/>
  <c r="AH208" i="16" s="1"/>
  <c r="AE176" i="16"/>
  <c r="AH176" i="16" s="1"/>
  <c r="AE174" i="16"/>
  <c r="AH174" i="16" s="1"/>
  <c r="AE150" i="16"/>
  <c r="AH150" i="16" s="1"/>
  <c r="AE152" i="16"/>
  <c r="AH152" i="16" s="1"/>
  <c r="AE292" i="16"/>
  <c r="AH292" i="16" s="1"/>
  <c r="AE313" i="16"/>
  <c r="AH313" i="16" s="1"/>
  <c r="AE290" i="16"/>
  <c r="AH290" i="16" s="1"/>
  <c r="AE298" i="16"/>
  <c r="AH298" i="16" s="1"/>
  <c r="AE228" i="16"/>
  <c r="AH228" i="16" s="1"/>
  <c r="AE230" i="16"/>
  <c r="AH230" i="16" s="1"/>
  <c r="AE173" i="16"/>
  <c r="AH173" i="16" s="1"/>
  <c r="AE191" i="16"/>
  <c r="AH191" i="16" s="1"/>
  <c r="AE168" i="16"/>
  <c r="AH168" i="16" s="1"/>
  <c r="AE160" i="16"/>
  <c r="AH160" i="16" s="1"/>
  <c r="AE149" i="16"/>
  <c r="AH149" i="16" s="1"/>
  <c r="AE335" i="16"/>
  <c r="AH335" i="16" s="1"/>
  <c r="AE321" i="16"/>
  <c r="AH321" i="16" s="1"/>
  <c r="AE328" i="16"/>
  <c r="AH328" i="16" s="1"/>
  <c r="AE308" i="16"/>
  <c r="AH308" i="16" s="1"/>
  <c r="AE264" i="16"/>
  <c r="AH264" i="16" s="1"/>
  <c r="AE281" i="16"/>
  <c r="AH281" i="16" s="1"/>
  <c r="AE287" i="16"/>
  <c r="AH287" i="16" s="1"/>
  <c r="AE217" i="16"/>
  <c r="AH217" i="16" s="1"/>
  <c r="AE261" i="16"/>
  <c r="AH261" i="16" s="1"/>
  <c r="AE222" i="16"/>
  <c r="AH222" i="16" s="1"/>
  <c r="AE218" i="16"/>
  <c r="AH218" i="16" s="1"/>
  <c r="AE164" i="16"/>
  <c r="AH164" i="16" s="1"/>
  <c r="AE194" i="16"/>
  <c r="AH194" i="16" s="1"/>
  <c r="AE166" i="16"/>
  <c r="AH166" i="16" s="1"/>
  <c r="AE331" i="16"/>
  <c r="AH331" i="16" s="1"/>
  <c r="AE334" i="16"/>
  <c r="AH334" i="16" s="1"/>
  <c r="AE316" i="16"/>
  <c r="AH316" i="16" s="1"/>
  <c r="AE323" i="16"/>
  <c r="AH323" i="16" s="1"/>
  <c r="AE260" i="16"/>
  <c r="AH260" i="16" s="1"/>
  <c r="AE274" i="16"/>
  <c r="AH274" i="16" s="1"/>
  <c r="AE263" i="16"/>
  <c r="AH263" i="16" s="1"/>
  <c r="AE258" i="16"/>
  <c r="AH258" i="16" s="1"/>
  <c r="AE255" i="16"/>
  <c r="AH255" i="16" s="1"/>
  <c r="AE211" i="16"/>
  <c r="AH211" i="16" s="1"/>
  <c r="AE162" i="16"/>
  <c r="AH162" i="16" s="1"/>
  <c r="AE145" i="16"/>
  <c r="AH145" i="16" s="1"/>
  <c r="AE167" i="16"/>
  <c r="AH167" i="16" s="1"/>
  <c r="AE327" i="16"/>
  <c r="AH327" i="16" s="1"/>
  <c r="AE333" i="16"/>
  <c r="AH333" i="16" s="1"/>
  <c r="AE314" i="16"/>
  <c r="AH314" i="16" s="1"/>
  <c r="AE318" i="16"/>
  <c r="AH318" i="16" s="1"/>
  <c r="AE297" i="16"/>
  <c r="AH297" i="16" s="1"/>
  <c r="AE295" i="16"/>
  <c r="AH295" i="16" s="1"/>
  <c r="AE268" i="16"/>
  <c r="AH268" i="16" s="1"/>
  <c r="AE273" i="16"/>
  <c r="AH273" i="16" s="1"/>
  <c r="AE244" i="16"/>
  <c r="AH244" i="16" s="1"/>
  <c r="AE243" i="16"/>
  <c r="AH243" i="16" s="1"/>
  <c r="AE226" i="16"/>
  <c r="AH226" i="16" s="1"/>
  <c r="AE233" i="16"/>
  <c r="AH233" i="16" s="1"/>
  <c r="AE192" i="16"/>
  <c r="AH192" i="16" s="1"/>
  <c r="AE171" i="16"/>
  <c r="AH171" i="16" s="1"/>
  <c r="AE200" i="16"/>
  <c r="AH200" i="16" s="1"/>
  <c r="AE170" i="16"/>
  <c r="AH170" i="16" s="1"/>
  <c r="AE161" i="16"/>
  <c r="AH161" i="16" s="1"/>
  <c r="AE322" i="16"/>
  <c r="AH322" i="16" s="1"/>
  <c r="AE319" i="16"/>
  <c r="AH319" i="16" s="1"/>
  <c r="AE309" i="16"/>
  <c r="AH309" i="16" s="1"/>
  <c r="AE283" i="16"/>
  <c r="AH283" i="16" s="1"/>
  <c r="AE315" i="16"/>
  <c r="AH315" i="16" s="1"/>
  <c r="AE286" i="16"/>
  <c r="AH286" i="16" s="1"/>
  <c r="AE262" i="16"/>
  <c r="AH262" i="16" s="1"/>
  <c r="AE219" i="16"/>
  <c r="AH219" i="16" s="1"/>
  <c r="AE250" i="16"/>
  <c r="AH250" i="16" s="1"/>
  <c r="AE215" i="16"/>
  <c r="AH215" i="16" s="1"/>
  <c r="AE190" i="16"/>
  <c r="AH190" i="16" s="1"/>
  <c r="AE195" i="16"/>
  <c r="AH195" i="16" s="1"/>
  <c r="AE197" i="16"/>
  <c r="AH197" i="16" s="1"/>
  <c r="AE165" i="16"/>
  <c r="AH165" i="16" s="1"/>
  <c r="AE151" i="16"/>
  <c r="AH151" i="16" s="1"/>
  <c r="AE42" i="16"/>
  <c r="AH42" i="16" s="1"/>
  <c r="AE17" i="16"/>
  <c r="AH17" i="16" s="1"/>
  <c r="AE22" i="16"/>
  <c r="AH22" i="16" s="1"/>
  <c r="AE28" i="16"/>
  <c r="AH28" i="16" s="1"/>
  <c r="AE23" i="16"/>
  <c r="AH23" i="16" s="1"/>
  <c r="AE44" i="16"/>
  <c r="AH44" i="16" s="1"/>
  <c r="AE49" i="16"/>
  <c r="AH49" i="16" s="1"/>
  <c r="AE88" i="16"/>
  <c r="AH88" i="16" s="1"/>
  <c r="AE120" i="16"/>
  <c r="AH120" i="16" s="1"/>
  <c r="AE117" i="16"/>
  <c r="AH117" i="16" s="1"/>
  <c r="AE139" i="16"/>
  <c r="AH139" i="16" s="1"/>
  <c r="AE134" i="16"/>
  <c r="AH134" i="16" s="1"/>
  <c r="AE80" i="16"/>
  <c r="AH80" i="16" s="1"/>
  <c r="AE21" i="16"/>
  <c r="AH21" i="16" s="1"/>
  <c r="AE29" i="16"/>
  <c r="AH29" i="16" s="1"/>
  <c r="AE32" i="16"/>
  <c r="AH32" i="16" s="1"/>
  <c r="AE35" i="16"/>
  <c r="AH35" i="16" s="1"/>
  <c r="AE31" i="16"/>
  <c r="AH31" i="16" s="1"/>
  <c r="AE47" i="16"/>
  <c r="AH47" i="16" s="1"/>
  <c r="AE82" i="16"/>
  <c r="AH82" i="16" s="1"/>
  <c r="AE95" i="16"/>
  <c r="AH95" i="16" s="1"/>
  <c r="AE137" i="16"/>
  <c r="AH137" i="16" s="1"/>
  <c r="AE115" i="16"/>
  <c r="AH115" i="16" s="1"/>
  <c r="AE87" i="16"/>
  <c r="AH87" i="16" s="1"/>
  <c r="AE103" i="16"/>
  <c r="AH103" i="16" s="1"/>
  <c r="AE77" i="16"/>
  <c r="AH77" i="16" s="1"/>
  <c r="AE39" i="16"/>
  <c r="AH39" i="16" s="1"/>
  <c r="AE43" i="16"/>
  <c r="AH43" i="16" s="1"/>
  <c r="AE58" i="16"/>
  <c r="AH58" i="16" s="1"/>
  <c r="AE76" i="16"/>
  <c r="AH76" i="16" s="1"/>
  <c r="AE18" i="16"/>
  <c r="AH18" i="16" s="1"/>
  <c r="AE61" i="16"/>
  <c r="AH61" i="16" s="1"/>
  <c r="AE99" i="16"/>
  <c r="AH99" i="16" s="1"/>
  <c r="AE119" i="16"/>
  <c r="AH119" i="16" s="1"/>
  <c r="AE104" i="16"/>
  <c r="AH104" i="16" s="1"/>
  <c r="AE71" i="16"/>
  <c r="AH71" i="16" s="1"/>
  <c r="AE57" i="16"/>
  <c r="AH57" i="16" s="1"/>
  <c r="AE56" i="16"/>
  <c r="AH56" i="16" s="1"/>
  <c r="AE55" i="16"/>
  <c r="AH55" i="16" s="1"/>
  <c r="AE92" i="16"/>
  <c r="AH92" i="16" s="1"/>
  <c r="AE68" i="16"/>
  <c r="AH68" i="16" s="1"/>
  <c r="AE89" i="16"/>
  <c r="AH89" i="16" s="1"/>
  <c r="AE112" i="16"/>
  <c r="AH112" i="16" s="1"/>
  <c r="AE138" i="16"/>
  <c r="AH138" i="16" s="1"/>
  <c r="AE83" i="16"/>
  <c r="AH83" i="16" s="1"/>
  <c r="AE63" i="16"/>
  <c r="AH63" i="16" s="1"/>
  <c r="AE60" i="16"/>
  <c r="AH60" i="16" s="1"/>
  <c r="AE48" i="16"/>
  <c r="AH48" i="16" s="1"/>
  <c r="AE74" i="16"/>
  <c r="AH74" i="16" s="1"/>
  <c r="AE78" i="16"/>
  <c r="AH78" i="16" s="1"/>
  <c r="AE93" i="16"/>
  <c r="AH93" i="16" s="1"/>
  <c r="AE123" i="16"/>
  <c r="AH123" i="16" s="1"/>
  <c r="AE79" i="16"/>
  <c r="AH79" i="16" s="1"/>
  <c r="AE125" i="16"/>
  <c r="AH125" i="16" s="1"/>
  <c r="AE128" i="16"/>
  <c r="AH128" i="16" s="1"/>
  <c r="AE129" i="16"/>
  <c r="AH129" i="16" s="1"/>
  <c r="AE54" i="16"/>
  <c r="AH54" i="16" s="1"/>
  <c r="AE84" i="16"/>
  <c r="AH84" i="16" s="1"/>
  <c r="AE101" i="16"/>
  <c r="AH101" i="16" s="1"/>
  <c r="AE110" i="16"/>
  <c r="AH110" i="16" s="1"/>
  <c r="AE118" i="16"/>
  <c r="AH118" i="16" s="1"/>
  <c r="AE96" i="16"/>
  <c r="AH96" i="16" s="1"/>
  <c r="AE109" i="16"/>
  <c r="AH109" i="16" s="1"/>
  <c r="AE124" i="16"/>
  <c r="AH124" i="16" s="1"/>
  <c r="AE72" i="16"/>
  <c r="AH72" i="16" s="1"/>
  <c r="AE25" i="16"/>
  <c r="AH25" i="16" s="1"/>
  <c r="AE41" i="16"/>
  <c r="AH41" i="16" s="1"/>
  <c r="AE121" i="16"/>
  <c r="AH121" i="16" s="1"/>
  <c r="AE107" i="16"/>
  <c r="AH107" i="16" s="1"/>
  <c r="AE136" i="16"/>
  <c r="AH136" i="16" s="1"/>
  <c r="AE147" i="16"/>
  <c r="AH147" i="16" s="1"/>
  <c r="AE141" i="16"/>
  <c r="AH141" i="16" s="1"/>
  <c r="AE116" i="16"/>
  <c r="AH116" i="16" s="1"/>
  <c r="AE111" i="16"/>
  <c r="AH111" i="16" s="1"/>
  <c r="AE73" i="16"/>
  <c r="AH73" i="16" s="1"/>
  <c r="AE27" i="16"/>
  <c r="AH27" i="16" s="1"/>
  <c r="AE40" i="16"/>
  <c r="AH40" i="16" s="1"/>
  <c r="AE53" i="16"/>
  <c r="AH53" i="16" s="1"/>
  <c r="AE131" i="16"/>
  <c r="AH131" i="16" s="1"/>
  <c r="AE148" i="16"/>
  <c r="AH148" i="16" s="1"/>
  <c r="AE133" i="16"/>
  <c r="AH133" i="16" s="1"/>
  <c r="AE132" i="16"/>
  <c r="AH132" i="16" s="1"/>
  <c r="AE127" i="16"/>
  <c r="AH127" i="16" s="1"/>
  <c r="AE98" i="16"/>
  <c r="AH98" i="16" s="1"/>
  <c r="AE97" i="16"/>
  <c r="AH97" i="16" s="1"/>
  <c r="AE24" i="16"/>
  <c r="AH24" i="16" s="1"/>
  <c r="AE65" i="16"/>
  <c r="AH65" i="16" s="1"/>
  <c r="AE50" i="16"/>
  <c r="AH50" i="16" s="1"/>
  <c r="AE85" i="16"/>
  <c r="AH85" i="16" s="1"/>
  <c r="AE108" i="16"/>
  <c r="AH108" i="16" s="1"/>
  <c r="AE130" i="16"/>
  <c r="AH130" i="16" s="1"/>
  <c r="AE140" i="16"/>
  <c r="AH140" i="16" s="1"/>
  <c r="AE86" i="16"/>
  <c r="AH86" i="16" s="1"/>
  <c r="AE90" i="16"/>
  <c r="AH90" i="16" s="1"/>
  <c r="AE100" i="16"/>
  <c r="AH100" i="16" s="1"/>
  <c r="AE66" i="16"/>
  <c r="AH66" i="16" s="1"/>
  <c r="AE67" i="16"/>
  <c r="AH67" i="16" s="1"/>
  <c r="AE20" i="16"/>
  <c r="AH20" i="16" s="1"/>
  <c r="AE37" i="16"/>
  <c r="AH37" i="16" s="1"/>
  <c r="AE91" i="16"/>
  <c r="AH91" i="16" s="1"/>
  <c r="AE102" i="16"/>
  <c r="AH102" i="16" s="1"/>
  <c r="AE94" i="16"/>
  <c r="AH94" i="16" s="1"/>
  <c r="AE81" i="16"/>
  <c r="AH81" i="16" s="1"/>
  <c r="AE75" i="16"/>
  <c r="AH75" i="16" s="1"/>
  <c r="AE70" i="16"/>
  <c r="AH70" i="16" s="1"/>
  <c r="AE30" i="16"/>
  <c r="AH30" i="16" s="1"/>
  <c r="AE33" i="16"/>
  <c r="AH33" i="16" s="1"/>
  <c r="AE38" i="16"/>
  <c r="AH38" i="16" s="1"/>
  <c r="AE52" i="16"/>
  <c r="AH52" i="16" s="1"/>
  <c r="AE106" i="16"/>
  <c r="AH106" i="16" s="1"/>
  <c r="AE64" i="16"/>
  <c r="AH64" i="16" s="1"/>
  <c r="AE69" i="16"/>
  <c r="AH69" i="16" s="1"/>
  <c r="AE51" i="16"/>
  <c r="AH51" i="16" s="1"/>
  <c r="AE135" i="16"/>
  <c r="AH135" i="16" s="1"/>
  <c r="AE26" i="16"/>
  <c r="AH26" i="16" s="1"/>
  <c r="AE36" i="16"/>
  <c r="AH36" i="16" s="1"/>
  <c r="AE19" i="16"/>
  <c r="AH19" i="16" s="1"/>
  <c r="AE105" i="16"/>
  <c r="AH105" i="16" s="1"/>
  <c r="AE114" i="16"/>
  <c r="AH114" i="16" s="1"/>
  <c r="AE122" i="16"/>
  <c r="AH122" i="16" s="1"/>
  <c r="AE126" i="16"/>
  <c r="AH126" i="16" s="1"/>
  <c r="AE46" i="16"/>
  <c r="AH46" i="16" s="1"/>
  <c r="AE45" i="16"/>
  <c r="AH45" i="16" s="1"/>
  <c r="AE34" i="16"/>
  <c r="AH34" i="16" s="1"/>
  <c r="AE62" i="16"/>
  <c r="AH62" i="16" s="1"/>
  <c r="AE59" i="16"/>
  <c r="AH59" i="16" s="1"/>
  <c r="AE113" i="16"/>
  <c r="AH113" i="16" s="1"/>
  <c r="AE144" i="16"/>
  <c r="AH144" i="16" s="1"/>
  <c r="AE142" i="16"/>
  <c r="AH142" i="16" s="1"/>
  <c r="AE143" i="16"/>
  <c r="AH143" i="16" s="1"/>
  <c r="L17" i="16"/>
  <c r="K18" i="16"/>
  <c r="AE11" i="16"/>
  <c r="V37" i="8"/>
  <c r="B33" i="8" s="1"/>
  <c r="L11" i="16"/>
  <c r="AE13" i="16"/>
  <c r="L12" i="16"/>
  <c r="AE12" i="16"/>
  <c r="AE16" i="16"/>
  <c r="AE15" i="16"/>
  <c r="AE14" i="16"/>
  <c r="AG9" i="16"/>
  <c r="G118" i="8"/>
  <c r="E48" i="8"/>
  <c r="Q37" i="8"/>
  <c r="K19" i="16" l="1"/>
  <c r="L18" i="16"/>
  <c r="S17" i="16"/>
  <c r="T17" i="16"/>
  <c r="AI17" i="16"/>
  <c r="X17" i="16"/>
  <c r="M17" i="16"/>
  <c r="N17" i="16" s="1"/>
  <c r="AA17" i="16"/>
  <c r="AP17" i="16"/>
  <c r="B86" i="8"/>
  <c r="U86" i="8" s="1"/>
  <c r="AA11" i="16"/>
  <c r="AH12" i="16"/>
  <c r="AH16" i="16"/>
  <c r="AH13" i="16"/>
  <c r="AH14" i="16"/>
  <c r="AH15" i="16"/>
  <c r="AH11" i="16"/>
  <c r="AI11" i="16"/>
  <c r="E66" i="8"/>
  <c r="Y66" i="8" s="1"/>
  <c r="AP11" i="16"/>
  <c r="M11" i="16"/>
  <c r="X11" i="16"/>
  <c r="T11" i="16"/>
  <c r="S11" i="16"/>
  <c r="AP12" i="16"/>
  <c r="X12" i="16"/>
  <c r="M12" i="16"/>
  <c r="N12" i="16" s="1"/>
  <c r="T12" i="16"/>
  <c r="AI12" i="16"/>
  <c r="S12" i="16"/>
  <c r="AA12" i="16"/>
  <c r="L13" i="16"/>
  <c r="X13" i="16" s="1"/>
  <c r="AB17" i="16" l="1"/>
  <c r="AQ17" i="16"/>
  <c r="Y17" i="16"/>
  <c r="U17" i="16"/>
  <c r="Y11" i="16"/>
  <c r="AJ17" i="16"/>
  <c r="AA18" i="16"/>
  <c r="AP18" i="16"/>
  <c r="S18" i="16"/>
  <c r="T18" i="16"/>
  <c r="AI18" i="16"/>
  <c r="X18" i="16"/>
  <c r="M18" i="16"/>
  <c r="N18" i="16" s="1"/>
  <c r="L19" i="16"/>
  <c r="K20" i="16"/>
  <c r="Y12" i="16"/>
  <c r="AB12" i="16"/>
  <c r="AQ11" i="16"/>
  <c r="AB11" i="16"/>
  <c r="U11" i="16"/>
  <c r="U12" i="16"/>
  <c r="AQ12" i="16"/>
  <c r="AJ12" i="16"/>
  <c r="AJ11" i="16"/>
  <c r="N11" i="16"/>
  <c r="U66" i="8"/>
  <c r="L14" i="16"/>
  <c r="AP13" i="16"/>
  <c r="M13" i="16"/>
  <c r="N13" i="16" s="1"/>
  <c r="T13" i="16"/>
  <c r="AI13" i="16"/>
  <c r="S13" i="16"/>
  <c r="AA13" i="16"/>
  <c r="AQ18" i="16" l="1"/>
  <c r="Y18" i="16"/>
  <c r="U18" i="16"/>
  <c r="AB18" i="16"/>
  <c r="AJ18" i="16"/>
  <c r="L20" i="16"/>
  <c r="K21" i="16"/>
  <c r="X19" i="16"/>
  <c r="M19" i="16"/>
  <c r="N19" i="16" s="1"/>
  <c r="AA19" i="16"/>
  <c r="AP19" i="16"/>
  <c r="S19" i="16"/>
  <c r="AI19" i="16"/>
  <c r="T19" i="16"/>
  <c r="Y13" i="16"/>
  <c r="AB13" i="16"/>
  <c r="AJ13" i="16"/>
  <c r="AQ13" i="16"/>
  <c r="U13" i="16"/>
  <c r="AI14" i="16"/>
  <c r="S14" i="16"/>
  <c r="AA14" i="16"/>
  <c r="AP14" i="16"/>
  <c r="X14" i="16"/>
  <c r="T14" i="16"/>
  <c r="M14" i="16"/>
  <c r="L15" i="16"/>
  <c r="AQ19" i="16" l="1"/>
  <c r="U19" i="16"/>
  <c r="AJ19" i="16"/>
  <c r="AB19" i="16"/>
  <c r="Y19" i="16"/>
  <c r="K22" i="16"/>
  <c r="L21" i="16"/>
  <c r="S20" i="16"/>
  <c r="T20" i="16"/>
  <c r="AI20" i="16"/>
  <c r="X20" i="16"/>
  <c r="M20" i="16"/>
  <c r="N20" i="16" s="1"/>
  <c r="AA20" i="16"/>
  <c r="AP20" i="16"/>
  <c r="Y14" i="16"/>
  <c r="N14" i="16"/>
  <c r="AQ14" i="16"/>
  <c r="U14" i="16"/>
  <c r="AB14" i="16"/>
  <c r="AJ14" i="16"/>
  <c r="AI15" i="16"/>
  <c r="S15" i="16"/>
  <c r="AA15" i="16"/>
  <c r="AP15" i="16"/>
  <c r="X15" i="16"/>
  <c r="M15" i="16"/>
  <c r="N15" i="16" s="1"/>
  <c r="T15" i="16"/>
  <c r="L16" i="16"/>
  <c r="U20" i="16" l="1"/>
  <c r="AQ20" i="16"/>
  <c r="Y20" i="16"/>
  <c r="AB20" i="16"/>
  <c r="AJ20" i="16"/>
  <c r="AA21" i="16"/>
  <c r="AP21" i="16"/>
  <c r="S21" i="16"/>
  <c r="T21" i="16"/>
  <c r="AI21" i="16"/>
  <c r="X21" i="16"/>
  <c r="M21" i="16"/>
  <c r="N21" i="16" s="1"/>
  <c r="L22" i="16"/>
  <c r="K23" i="16"/>
  <c r="Y15" i="16"/>
  <c r="AQ15" i="16"/>
  <c r="AB15" i="16"/>
  <c r="U15" i="16"/>
  <c r="AJ15" i="16"/>
  <c r="AP16" i="16"/>
  <c r="X16" i="16"/>
  <c r="M16" i="16"/>
  <c r="N16" i="16" s="1"/>
  <c r="T16" i="16"/>
  <c r="AI16" i="16"/>
  <c r="S16" i="16"/>
  <c r="AA16" i="16"/>
  <c r="AQ21" i="16" l="1"/>
  <c r="AB21" i="16"/>
  <c r="Y21" i="16"/>
  <c r="U21" i="16"/>
  <c r="AJ21" i="16"/>
  <c r="L23" i="16"/>
  <c r="K24" i="16"/>
  <c r="X22" i="16"/>
  <c r="M22" i="16"/>
  <c r="N22" i="16" s="1"/>
  <c r="AA22" i="16"/>
  <c r="AP22" i="16"/>
  <c r="S22" i="16"/>
  <c r="AI22" i="16"/>
  <c r="T22" i="16"/>
  <c r="Y16" i="16"/>
  <c r="AQ16" i="16"/>
  <c r="AB16" i="16"/>
  <c r="U16" i="16"/>
  <c r="AJ16" i="16"/>
  <c r="AB22" i="16" l="1"/>
  <c r="U22" i="16"/>
  <c r="AJ22" i="16"/>
  <c r="Y22" i="16"/>
  <c r="AQ22" i="16"/>
  <c r="K25" i="16"/>
  <c r="L24" i="16"/>
  <c r="S23" i="16"/>
  <c r="T23" i="16"/>
  <c r="AI23" i="16"/>
  <c r="X23" i="16"/>
  <c r="M23" i="16"/>
  <c r="N23" i="16" s="1"/>
  <c r="AA23" i="16"/>
  <c r="AP23" i="16"/>
  <c r="AQ23" i="16" l="1"/>
  <c r="AB23" i="16"/>
  <c r="Y23" i="16"/>
  <c r="AJ23" i="16"/>
  <c r="U23" i="16"/>
  <c r="AA24" i="16"/>
  <c r="AP24" i="16"/>
  <c r="S24" i="16"/>
  <c r="T24" i="16"/>
  <c r="AI24" i="16"/>
  <c r="X24" i="16"/>
  <c r="M24" i="16"/>
  <c r="N24" i="16" s="1"/>
  <c r="L25" i="16"/>
  <c r="K26" i="16"/>
  <c r="U24" i="16" l="1"/>
  <c r="AQ24" i="16"/>
  <c r="Y24" i="16"/>
  <c r="AB24" i="16"/>
  <c r="AJ24" i="16"/>
  <c r="L26" i="16"/>
  <c r="K27" i="16"/>
  <c r="X25" i="16"/>
  <c r="M25" i="16"/>
  <c r="N25" i="16" s="1"/>
  <c r="AA25" i="16"/>
  <c r="AP25" i="16"/>
  <c r="S25" i="16"/>
  <c r="AI25" i="16"/>
  <c r="T25" i="16"/>
  <c r="U25" i="16" l="1"/>
  <c r="AB25" i="16"/>
  <c r="Y25" i="16"/>
  <c r="AJ25" i="16"/>
  <c r="AQ25" i="16"/>
  <c r="K28" i="16"/>
  <c r="L27" i="16"/>
  <c r="S26" i="16"/>
  <c r="T26" i="16"/>
  <c r="AI26" i="16"/>
  <c r="X26" i="16"/>
  <c r="M26" i="16"/>
  <c r="AA26" i="16"/>
  <c r="AP26" i="16"/>
  <c r="AB26" i="16" l="1"/>
  <c r="U26" i="16"/>
  <c r="AQ26" i="16"/>
  <c r="N26" i="16"/>
  <c r="Y26" i="16"/>
  <c r="AJ26" i="16"/>
  <c r="AP27" i="16"/>
  <c r="S27" i="16"/>
  <c r="T27" i="16"/>
  <c r="AI27" i="16"/>
  <c r="X27" i="16"/>
  <c r="M27" i="16"/>
  <c r="N27" i="16" s="1"/>
  <c r="AA27" i="16"/>
  <c r="L28" i="16"/>
  <c r="K29" i="16"/>
  <c r="AC12" i="16"/>
  <c r="V15" i="16"/>
  <c r="Y27" i="16" l="1"/>
  <c r="AJ27" i="16"/>
  <c r="AQ27" i="16"/>
  <c r="U27" i="16"/>
  <c r="L29" i="16"/>
  <c r="K30" i="16"/>
  <c r="X28" i="16"/>
  <c r="M28" i="16"/>
  <c r="AP28" i="16"/>
  <c r="S28" i="16"/>
  <c r="AI28" i="16"/>
  <c r="T28" i="16"/>
  <c r="AA28" i="16"/>
  <c r="AB27" i="16"/>
  <c r="AC13" i="16"/>
  <c r="AC14" i="16"/>
  <c r="U28" i="16" l="1"/>
  <c r="AQ28" i="16"/>
  <c r="Y28" i="16"/>
  <c r="AJ28" i="16"/>
  <c r="N28" i="16"/>
  <c r="AB28" i="16"/>
  <c r="K31" i="16"/>
  <c r="L30" i="16"/>
  <c r="S29" i="16"/>
  <c r="T29" i="16"/>
  <c r="AI29" i="16"/>
  <c r="X29" i="16"/>
  <c r="M29" i="16"/>
  <c r="AP29" i="16"/>
  <c r="AA29" i="16"/>
  <c r="U29" i="16" l="1"/>
  <c r="Y29" i="16"/>
  <c r="AQ29" i="16"/>
  <c r="AJ29" i="16"/>
  <c r="N29" i="16"/>
  <c r="AB29" i="16"/>
  <c r="AP30" i="16"/>
  <c r="S30" i="16"/>
  <c r="T30" i="16"/>
  <c r="AI30" i="16"/>
  <c r="X30" i="16"/>
  <c r="M30" i="16"/>
  <c r="AA30" i="16"/>
  <c r="L31" i="16"/>
  <c r="K32" i="16"/>
  <c r="U30" i="16" l="1"/>
  <c r="Y30" i="16"/>
  <c r="AQ30" i="16"/>
  <c r="AJ30" i="16"/>
  <c r="N30" i="16"/>
  <c r="X31" i="16"/>
  <c r="M31" i="16"/>
  <c r="N31" i="16" s="1"/>
  <c r="AP31" i="16"/>
  <c r="S31" i="16"/>
  <c r="AI31" i="16"/>
  <c r="T31" i="16"/>
  <c r="AA31" i="16"/>
  <c r="AB30" i="16"/>
  <c r="L32" i="16"/>
  <c r="K33" i="16"/>
  <c r="AQ31" i="16" l="1"/>
  <c r="Y31" i="16"/>
  <c r="AB31" i="16"/>
  <c r="U31" i="16"/>
  <c r="AJ31" i="16"/>
  <c r="K34" i="16"/>
  <c r="L33" i="16"/>
  <c r="S32" i="16"/>
  <c r="T32" i="16"/>
  <c r="U32" i="16" s="1"/>
  <c r="V32" i="16" s="1"/>
  <c r="AI32" i="16"/>
  <c r="X32" i="16"/>
  <c r="M32" i="16"/>
  <c r="N32" i="16" s="1"/>
  <c r="AP32" i="16"/>
  <c r="AA32" i="16"/>
  <c r="Y32" i="16" l="1"/>
  <c r="AQ32" i="16"/>
  <c r="AJ32" i="16"/>
  <c r="AP33" i="16"/>
  <c r="S33" i="16"/>
  <c r="T33" i="16"/>
  <c r="U33" i="16" s="1"/>
  <c r="V33" i="16" s="1"/>
  <c r="AI33" i="16"/>
  <c r="X33" i="16"/>
  <c r="M33" i="16"/>
  <c r="N33" i="16" s="1"/>
  <c r="AA33" i="16"/>
  <c r="AB32" i="16"/>
  <c r="L34" i="16"/>
  <c r="K35" i="16"/>
  <c r="Y33" i="16" l="1"/>
  <c r="AQ33" i="16"/>
  <c r="AB33" i="16"/>
  <c r="AJ33" i="16"/>
  <c r="L35" i="16"/>
  <c r="K36" i="16"/>
  <c r="X34" i="16"/>
  <c r="M34" i="16"/>
  <c r="N34" i="16" s="1"/>
  <c r="AP34" i="16"/>
  <c r="S34" i="16"/>
  <c r="AI34" i="16"/>
  <c r="T34" i="16"/>
  <c r="AA34" i="16"/>
  <c r="AQ34" i="16" l="1"/>
  <c r="U34" i="16"/>
  <c r="Y34" i="16"/>
  <c r="AJ34" i="16"/>
  <c r="K37" i="16"/>
  <c r="L36" i="16"/>
  <c r="S35" i="16"/>
  <c r="T35" i="16"/>
  <c r="AI35" i="16"/>
  <c r="X35" i="16"/>
  <c r="M35" i="16"/>
  <c r="N35" i="16" s="1"/>
  <c r="AP35" i="16"/>
  <c r="AA35" i="16"/>
  <c r="AB34" i="16"/>
  <c r="AB35" i="16" l="1"/>
  <c r="U35" i="16"/>
  <c r="Y35" i="16"/>
  <c r="AQ35" i="16"/>
  <c r="AJ35" i="16"/>
  <c r="AP36" i="16"/>
  <c r="S36" i="16"/>
  <c r="T36" i="16"/>
  <c r="AI36" i="16"/>
  <c r="X36" i="16"/>
  <c r="AA36" i="16"/>
  <c r="M36" i="16"/>
  <c r="N36" i="16" s="1"/>
  <c r="L37" i="16"/>
  <c r="K38" i="16"/>
  <c r="U36" i="16" l="1"/>
  <c r="Y36" i="16"/>
  <c r="AQ36" i="16"/>
  <c r="AJ36" i="16"/>
  <c r="AB36" i="16"/>
  <c r="L38" i="16"/>
  <c r="K39" i="16"/>
  <c r="X37" i="16"/>
  <c r="M37" i="16"/>
  <c r="N37" i="16" s="1"/>
  <c r="AP37" i="16"/>
  <c r="S37" i="16"/>
  <c r="AI37" i="16"/>
  <c r="T37" i="16"/>
  <c r="AA37" i="16"/>
  <c r="AQ37" i="16" l="1"/>
  <c r="U37" i="16"/>
  <c r="AB37" i="16"/>
  <c r="Y37" i="16"/>
  <c r="AJ37" i="16"/>
  <c r="S38" i="16"/>
  <c r="T38" i="16"/>
  <c r="AI38" i="16"/>
  <c r="X38" i="16"/>
  <c r="M38" i="16"/>
  <c r="N38" i="16" s="1"/>
  <c r="AP38" i="16"/>
  <c r="AA38" i="16"/>
  <c r="K40" i="16"/>
  <c r="L39" i="16"/>
  <c r="AB38" i="16" l="1"/>
  <c r="AQ38" i="16"/>
  <c r="U38" i="16"/>
  <c r="Y38" i="16"/>
  <c r="AJ38" i="16"/>
  <c r="AP39" i="16"/>
  <c r="S39" i="16"/>
  <c r="T39" i="16"/>
  <c r="AI39" i="16"/>
  <c r="X39" i="16"/>
  <c r="AA39" i="16"/>
  <c r="M39" i="16"/>
  <c r="N39" i="16" s="1"/>
  <c r="L40" i="16"/>
  <c r="K41" i="16"/>
  <c r="AB39" i="16" l="1"/>
  <c r="U39" i="16"/>
  <c r="Y39" i="16"/>
  <c r="AQ39" i="16"/>
  <c r="AJ39" i="16"/>
  <c r="L41" i="16"/>
  <c r="K42" i="16"/>
  <c r="X40" i="16"/>
  <c r="M40" i="16"/>
  <c r="N40" i="16" s="1"/>
  <c r="AP40" i="16"/>
  <c r="S40" i="16"/>
  <c r="T40" i="16"/>
  <c r="AA40" i="16"/>
  <c r="AI40" i="16"/>
  <c r="U40" i="16" l="1"/>
  <c r="AB40" i="16"/>
  <c r="Y40" i="16"/>
  <c r="AQ40" i="16"/>
  <c r="AJ40" i="16"/>
  <c r="K43" i="16"/>
  <c r="L42" i="16"/>
  <c r="S41" i="16"/>
  <c r="T41" i="16"/>
  <c r="AI41" i="16"/>
  <c r="X41" i="16"/>
  <c r="M41" i="16"/>
  <c r="N41" i="16" s="1"/>
  <c r="AP41" i="16"/>
  <c r="AA41" i="16"/>
  <c r="AB41" i="16" l="1"/>
  <c r="AQ41" i="16"/>
  <c r="Y41" i="16"/>
  <c r="AJ41" i="16"/>
  <c r="U41" i="16"/>
  <c r="AP42" i="16"/>
  <c r="S42" i="16"/>
  <c r="AI42" i="16"/>
  <c r="X42" i="16"/>
  <c r="M42" i="16"/>
  <c r="N42" i="16" s="1"/>
  <c r="T42" i="16"/>
  <c r="AA42" i="16"/>
  <c r="L43" i="16"/>
  <c r="K44" i="16"/>
  <c r="W109" i="8"/>
  <c r="AB42" i="16" l="1"/>
  <c r="AQ42" i="16"/>
  <c r="U42" i="16"/>
  <c r="Y42" i="16"/>
  <c r="AJ42" i="16"/>
  <c r="K45" i="16"/>
  <c r="L44" i="16"/>
  <c r="X43" i="16"/>
  <c r="M43" i="16"/>
  <c r="N43" i="16" s="1"/>
  <c r="S43" i="16"/>
  <c r="T43" i="16"/>
  <c r="AA43" i="16"/>
  <c r="AI43" i="16"/>
  <c r="AP43" i="16"/>
  <c r="AQ43" i="16" l="1"/>
  <c r="AB43" i="16"/>
  <c r="U43" i="16"/>
  <c r="Y43" i="16"/>
  <c r="AJ43" i="16"/>
  <c r="S44" i="16"/>
  <c r="AI44" i="16"/>
  <c r="M44" i="16"/>
  <c r="N44" i="16" s="1"/>
  <c r="T44" i="16"/>
  <c r="AP44" i="16"/>
  <c r="X44" i="16"/>
  <c r="AA44" i="16"/>
  <c r="L45" i="16"/>
  <c r="K46" i="16"/>
  <c r="AB44" i="16" l="1"/>
  <c r="U44" i="16"/>
  <c r="Y44" i="16"/>
  <c r="AQ44" i="16"/>
  <c r="AJ44" i="16"/>
  <c r="K47" i="16"/>
  <c r="L46" i="16"/>
  <c r="AI45" i="16"/>
  <c r="M45" i="16"/>
  <c r="N45" i="16" s="1"/>
  <c r="AA45" i="16"/>
  <c r="AP45" i="16"/>
  <c r="T45" i="16"/>
  <c r="S45" i="16"/>
  <c r="X45" i="16"/>
  <c r="AQ45" i="16" l="1"/>
  <c r="Y45" i="16"/>
  <c r="U45" i="16"/>
  <c r="AB45" i="16"/>
  <c r="AJ45" i="16"/>
  <c r="L47" i="16"/>
  <c r="K48" i="16"/>
  <c r="T46" i="16"/>
  <c r="AI46" i="16"/>
  <c r="X46" i="16"/>
  <c r="M46" i="16"/>
  <c r="N46" i="16" s="1"/>
  <c r="AA46" i="16"/>
  <c r="S46" i="16"/>
  <c r="AP46" i="16"/>
  <c r="AQ46" i="16" l="1"/>
  <c r="U46" i="16"/>
  <c r="Y46" i="16"/>
  <c r="AB46" i="16"/>
  <c r="AJ46" i="16"/>
  <c r="L48" i="16"/>
  <c r="K49" i="16"/>
  <c r="M47" i="16"/>
  <c r="N47" i="16" s="1"/>
  <c r="S47" i="16"/>
  <c r="AI47" i="16"/>
  <c r="AP47" i="16"/>
  <c r="T47" i="16"/>
  <c r="X47" i="16"/>
  <c r="AA47" i="16"/>
  <c r="U47" i="16" l="1"/>
  <c r="AB47" i="16"/>
  <c r="Y47" i="16"/>
  <c r="AQ47" i="16"/>
  <c r="AJ47" i="16"/>
  <c r="L49" i="16"/>
  <c r="K50" i="16"/>
  <c r="AI48" i="16"/>
  <c r="M48" i="16"/>
  <c r="N48" i="16" s="1"/>
  <c r="AA48" i="16"/>
  <c r="AP48" i="16"/>
  <c r="T48" i="16"/>
  <c r="S48" i="16"/>
  <c r="X48" i="16"/>
  <c r="AQ48" i="16" l="1"/>
  <c r="AB48" i="16"/>
  <c r="U48" i="16"/>
  <c r="Y48" i="16"/>
  <c r="AJ48" i="16"/>
  <c r="L50" i="16"/>
  <c r="K51" i="16"/>
  <c r="T49" i="16"/>
  <c r="AI49" i="16"/>
  <c r="X49" i="16"/>
  <c r="AA49" i="16"/>
  <c r="AP49" i="16"/>
  <c r="M49" i="16"/>
  <c r="N49" i="16" s="1"/>
  <c r="S49" i="16"/>
  <c r="AB49" i="16" l="1"/>
  <c r="Y49" i="16"/>
  <c r="U49" i="16"/>
  <c r="AQ49" i="16"/>
  <c r="AJ49" i="16"/>
  <c r="L51" i="16"/>
  <c r="K52" i="16"/>
  <c r="M50" i="16"/>
  <c r="N50" i="16" s="1"/>
  <c r="S50" i="16"/>
  <c r="AI50" i="16"/>
  <c r="AP50" i="16"/>
  <c r="T50" i="16"/>
  <c r="X50" i="16"/>
  <c r="AA50" i="16"/>
  <c r="AB50" i="16" l="1"/>
  <c r="AQ50" i="16"/>
  <c r="U50" i="16"/>
  <c r="AJ50" i="16"/>
  <c r="Y50" i="16"/>
  <c r="L52" i="16"/>
  <c r="K53" i="16"/>
  <c r="AI51" i="16"/>
  <c r="AP51" i="16"/>
  <c r="T51" i="16"/>
  <c r="U51" i="16" s="1"/>
  <c r="V51" i="16" s="1"/>
  <c r="M51" i="16"/>
  <c r="N51" i="16" s="1"/>
  <c r="S51" i="16"/>
  <c r="X51" i="16"/>
  <c r="AA51" i="16"/>
  <c r="AB51" i="16" l="1"/>
  <c r="AQ51" i="16"/>
  <c r="Y51" i="16"/>
  <c r="AJ51" i="16"/>
  <c r="L53" i="16"/>
  <c r="K54" i="16"/>
  <c r="T52" i="16"/>
  <c r="U52" i="16" s="1"/>
  <c r="V52" i="16" s="1"/>
  <c r="X52" i="16"/>
  <c r="AA52" i="16"/>
  <c r="M52" i="16"/>
  <c r="N52" i="16" s="1"/>
  <c r="AI52" i="16"/>
  <c r="S52" i="16"/>
  <c r="AP52" i="16"/>
  <c r="AB52" i="16" l="1"/>
  <c r="AQ52" i="16"/>
  <c r="Y52" i="16"/>
  <c r="AJ52" i="16"/>
  <c r="L54" i="16"/>
  <c r="K55" i="16"/>
  <c r="M53" i="16"/>
  <c r="N53" i="16" s="1"/>
  <c r="S53" i="16"/>
  <c r="AP53" i="16"/>
  <c r="AA53" i="16"/>
  <c r="AI53" i="16"/>
  <c r="T53" i="16"/>
  <c r="X53" i="16"/>
  <c r="AQ53" i="16" l="1"/>
  <c r="AB53" i="16"/>
  <c r="U53" i="16"/>
  <c r="Y53" i="16"/>
  <c r="AJ53" i="16"/>
  <c r="L55" i="16"/>
  <c r="K56" i="16"/>
  <c r="AI54" i="16"/>
  <c r="AP54" i="16"/>
  <c r="T54" i="16"/>
  <c r="X54" i="16"/>
  <c r="AA54" i="16"/>
  <c r="M54" i="16"/>
  <c r="N54" i="16" s="1"/>
  <c r="S54" i="16"/>
  <c r="AQ54" i="16" l="1"/>
  <c r="AB54" i="16"/>
  <c r="AJ54" i="16"/>
  <c r="Y54" i="16"/>
  <c r="U54" i="16"/>
  <c r="L56" i="16"/>
  <c r="K57" i="16"/>
  <c r="X55" i="16"/>
  <c r="AA55" i="16"/>
  <c r="M55" i="16"/>
  <c r="N55" i="16" s="1"/>
  <c r="S55" i="16"/>
  <c r="AI55" i="16"/>
  <c r="T55" i="16"/>
  <c r="AP55" i="16"/>
  <c r="AQ55" i="16" l="1"/>
  <c r="U55" i="16"/>
  <c r="AB55" i="16"/>
  <c r="AJ55" i="16"/>
  <c r="Y55" i="16"/>
  <c r="K58" i="16"/>
  <c r="L57" i="16"/>
  <c r="S56" i="16"/>
  <c r="AI56" i="16"/>
  <c r="X56" i="16"/>
  <c r="AP56" i="16"/>
  <c r="M56" i="16"/>
  <c r="N56" i="16" s="1"/>
  <c r="T56" i="16"/>
  <c r="AA56" i="16"/>
  <c r="AB56" i="16" l="1"/>
  <c r="AQ56" i="16"/>
  <c r="Y56" i="16"/>
  <c r="U56" i="16"/>
  <c r="AJ56" i="16"/>
  <c r="AP57" i="16"/>
  <c r="T57" i="16"/>
  <c r="AA57" i="16"/>
  <c r="M57" i="16"/>
  <c r="N57" i="16" s="1"/>
  <c r="S57" i="16"/>
  <c r="X57" i="16"/>
  <c r="AI57" i="16"/>
  <c r="K59" i="16"/>
  <c r="L58" i="16"/>
  <c r="AB57" i="16" l="1"/>
  <c r="Y57" i="16"/>
  <c r="U57" i="16"/>
  <c r="AQ57" i="16"/>
  <c r="AJ57" i="16"/>
  <c r="X58" i="16"/>
  <c r="T58" i="16"/>
  <c r="AP58" i="16"/>
  <c r="M58" i="16"/>
  <c r="N58" i="16" s="1"/>
  <c r="S58" i="16"/>
  <c r="AI58" i="16"/>
  <c r="AA58" i="16"/>
  <c r="L59" i="16"/>
  <c r="K60" i="16"/>
  <c r="AQ58" i="16" l="1"/>
  <c r="U58" i="16"/>
  <c r="Y58" i="16"/>
  <c r="AJ58" i="16"/>
  <c r="AB58" i="16"/>
  <c r="K61" i="16"/>
  <c r="L60" i="16"/>
  <c r="S59" i="16"/>
  <c r="AA59" i="16"/>
  <c r="M59" i="16"/>
  <c r="N59" i="16" s="1"/>
  <c r="AI59" i="16"/>
  <c r="T59" i="16"/>
  <c r="X59" i="16"/>
  <c r="AP59" i="16"/>
  <c r="U59" i="16" l="1"/>
  <c r="AQ59" i="16"/>
  <c r="Y59" i="16"/>
  <c r="AJ59" i="16"/>
  <c r="AB59" i="16"/>
  <c r="AP60" i="16"/>
  <c r="T60" i="16"/>
  <c r="AI60" i="16"/>
  <c r="M60" i="16"/>
  <c r="N60" i="16" s="1"/>
  <c r="S60" i="16"/>
  <c r="X60" i="16"/>
  <c r="AA60" i="16"/>
  <c r="K62" i="16"/>
  <c r="L61" i="16"/>
  <c r="AB60" i="16" l="1"/>
  <c r="AQ60" i="16"/>
  <c r="U60" i="16"/>
  <c r="Y60" i="16"/>
  <c r="AJ60" i="16"/>
  <c r="X61" i="16"/>
  <c r="S61" i="16"/>
  <c r="AI61" i="16"/>
  <c r="AP61" i="16"/>
  <c r="M61" i="16"/>
  <c r="N61" i="16" s="1"/>
  <c r="T61" i="16"/>
  <c r="AA61" i="16"/>
  <c r="L62" i="16"/>
  <c r="K63" i="16"/>
  <c r="AQ61" i="16" l="1"/>
  <c r="AB61" i="16"/>
  <c r="U61" i="16"/>
  <c r="Y61" i="16"/>
  <c r="AJ61" i="16"/>
  <c r="S62" i="16"/>
  <c r="T62" i="16"/>
  <c r="X62" i="16"/>
  <c r="M62" i="16"/>
  <c r="N62" i="16" s="1"/>
  <c r="AA62" i="16"/>
  <c r="AI62" i="16"/>
  <c r="AP62" i="16"/>
  <c r="L63" i="16"/>
  <c r="K64" i="16"/>
  <c r="AQ62" i="16" l="1"/>
  <c r="AB62" i="16"/>
  <c r="U62" i="16"/>
  <c r="Y62" i="16"/>
  <c r="AJ62" i="16"/>
  <c r="L64" i="16"/>
  <c r="K65" i="16"/>
  <c r="AI63" i="16"/>
  <c r="AP63" i="16"/>
  <c r="M63" i="16"/>
  <c r="N63" i="16" s="1"/>
  <c r="S63" i="16"/>
  <c r="T63" i="16"/>
  <c r="X63" i="16"/>
  <c r="AA63" i="16"/>
  <c r="AQ63" i="16" l="1"/>
  <c r="U63" i="16"/>
  <c r="AB63" i="16"/>
  <c r="Y63" i="16"/>
  <c r="AJ63" i="16"/>
  <c r="K66" i="16"/>
  <c r="L65" i="16"/>
  <c r="AA64" i="16"/>
  <c r="T64" i="16"/>
  <c r="X64" i="16"/>
  <c r="M64" i="16"/>
  <c r="N64" i="16" s="1"/>
  <c r="AI64" i="16"/>
  <c r="AP64" i="16"/>
  <c r="S64" i="16"/>
  <c r="AQ64" i="16" l="1"/>
  <c r="U64" i="16"/>
  <c r="Y64" i="16"/>
  <c r="AB64" i="16"/>
  <c r="AJ64" i="16"/>
  <c r="M65" i="16"/>
  <c r="N65" i="16" s="1"/>
  <c r="AA65" i="16"/>
  <c r="S65" i="16"/>
  <c r="AI65" i="16"/>
  <c r="AP65" i="16"/>
  <c r="T65" i="16"/>
  <c r="X65" i="16"/>
  <c r="L66" i="16"/>
  <c r="K67" i="16"/>
  <c r="AQ65" i="16" l="1"/>
  <c r="AB65" i="16"/>
  <c r="Y65" i="16"/>
  <c r="U65" i="16"/>
  <c r="AJ65" i="16"/>
  <c r="K68" i="16"/>
  <c r="L67" i="16"/>
  <c r="AI66" i="16"/>
  <c r="AP66" i="16"/>
  <c r="S66" i="16"/>
  <c r="T66" i="16"/>
  <c r="X66" i="16"/>
  <c r="AA66" i="16"/>
  <c r="M66" i="16"/>
  <c r="N66" i="16" s="1"/>
  <c r="U66" i="16" l="1"/>
  <c r="AQ66" i="16"/>
  <c r="AB66" i="16"/>
  <c r="Y66" i="16"/>
  <c r="AJ66" i="16"/>
  <c r="AA67" i="16"/>
  <c r="T67" i="16"/>
  <c r="X67" i="16"/>
  <c r="M67" i="16"/>
  <c r="N67" i="16" s="1"/>
  <c r="AI67" i="16"/>
  <c r="AP67" i="16"/>
  <c r="S67" i="16"/>
  <c r="K69" i="16"/>
  <c r="L68" i="16"/>
  <c r="AB67" i="16" l="1"/>
  <c r="AQ67" i="16"/>
  <c r="Y67" i="16"/>
  <c r="U67" i="16"/>
  <c r="AJ67" i="16"/>
  <c r="L69" i="16"/>
  <c r="K70" i="16"/>
  <c r="M68" i="16"/>
  <c r="N68" i="16" s="1"/>
  <c r="AA68" i="16"/>
  <c r="S68" i="16"/>
  <c r="AI68" i="16"/>
  <c r="AP68" i="16"/>
  <c r="T68" i="16"/>
  <c r="U68" i="16" s="1"/>
  <c r="X68" i="16"/>
  <c r="Y68" i="16" s="1"/>
  <c r="AQ68" i="16" l="1"/>
  <c r="AB68" i="16"/>
  <c r="AJ68" i="16"/>
  <c r="K71" i="16"/>
  <c r="L70" i="16"/>
  <c r="AI69" i="16"/>
  <c r="X69" i="16"/>
  <c r="Y69" i="16" s="1"/>
  <c r="AA69" i="16"/>
  <c r="AB69" i="16" s="1"/>
  <c r="S69" i="16"/>
  <c r="T69" i="16"/>
  <c r="U69" i="16" s="1"/>
  <c r="V69" i="16" s="1"/>
  <c r="AP69" i="16"/>
  <c r="AQ69" i="16" s="1"/>
  <c r="AR69" i="16" s="1"/>
  <c r="M69" i="16"/>
  <c r="N69" i="16" s="1"/>
  <c r="AJ69" i="16" l="1"/>
  <c r="N70" i="16"/>
  <c r="AA70" i="16"/>
  <c r="AB70" i="16" s="1"/>
  <c r="AC70" i="16" s="1"/>
  <c r="T70" i="16"/>
  <c r="U70" i="16" s="1"/>
  <c r="V70" i="16" s="1"/>
  <c r="M70" i="16"/>
  <c r="S70" i="16"/>
  <c r="AP70" i="16"/>
  <c r="AQ70" i="16" s="1"/>
  <c r="AR70" i="16" s="1"/>
  <c r="X70" i="16"/>
  <c r="Y70" i="16" s="1"/>
  <c r="Z70" i="16" s="1"/>
  <c r="AI70" i="16"/>
  <c r="AJ70" i="16" s="1"/>
  <c r="AK70" i="16" s="1"/>
  <c r="K72" i="16"/>
  <c r="L71" i="16"/>
  <c r="N71" i="16" l="1"/>
  <c r="AA71" i="16"/>
  <c r="AB71" i="16" s="1"/>
  <c r="AC71" i="16" s="1"/>
  <c r="AI71" i="16"/>
  <c r="AJ71" i="16" s="1"/>
  <c r="AK71" i="16" s="1"/>
  <c r="S71" i="16"/>
  <c r="T71" i="16"/>
  <c r="U71" i="16" s="1"/>
  <c r="V71" i="16" s="1"/>
  <c r="X71" i="16"/>
  <c r="Y71" i="16" s="1"/>
  <c r="Z71" i="16" s="1"/>
  <c r="AP71" i="16"/>
  <c r="AQ71" i="16" s="1"/>
  <c r="AR71" i="16" s="1"/>
  <c r="M71" i="16"/>
  <c r="L72" i="16"/>
  <c r="K73" i="16"/>
  <c r="L73" i="16" l="1"/>
  <c r="K74" i="16"/>
  <c r="AA72" i="16"/>
  <c r="AB72" i="16" s="1"/>
  <c r="AC72" i="16" s="1"/>
  <c r="M72" i="16"/>
  <c r="AI72" i="16"/>
  <c r="AJ72" i="16" s="1"/>
  <c r="AK72" i="16" s="1"/>
  <c r="N72" i="16"/>
  <c r="AP72" i="16"/>
  <c r="AQ72" i="16" s="1"/>
  <c r="AR72" i="16" s="1"/>
  <c r="S72" i="16"/>
  <c r="T72" i="16"/>
  <c r="U72" i="16" s="1"/>
  <c r="V72" i="16" s="1"/>
  <c r="X72" i="16"/>
  <c r="Y72" i="16" s="1"/>
  <c r="Z72" i="16" l="1"/>
  <c r="L74" i="16"/>
  <c r="K75" i="16"/>
  <c r="T73" i="16"/>
  <c r="U73" i="16" s="1"/>
  <c r="V73" i="16" s="1"/>
  <c r="M73" i="16"/>
  <c r="AI73" i="16"/>
  <c r="AJ73" i="16" s="1"/>
  <c r="AK73" i="16" s="1"/>
  <c r="S73" i="16"/>
  <c r="X73" i="16"/>
  <c r="Y73" i="16" s="1"/>
  <c r="Z73" i="16" s="1"/>
  <c r="N73" i="16"/>
  <c r="AP73" i="16"/>
  <c r="AQ73" i="16" s="1"/>
  <c r="AR73" i="16" s="1"/>
  <c r="AA73" i="16"/>
  <c r="AB73" i="16" s="1"/>
  <c r="AC73" i="16" s="1"/>
  <c r="L75" i="16" l="1"/>
  <c r="K76" i="16"/>
  <c r="AI74" i="16"/>
  <c r="AJ74" i="16" s="1"/>
  <c r="AK74" i="16" s="1"/>
  <c r="S74" i="16"/>
  <c r="X74" i="16"/>
  <c r="Y74" i="16" s="1"/>
  <c r="AA74" i="16"/>
  <c r="AB74" i="16" s="1"/>
  <c r="AC74" i="16" s="1"/>
  <c r="M74" i="16"/>
  <c r="N74" i="16"/>
  <c r="AP74" i="16"/>
  <c r="AQ74" i="16" s="1"/>
  <c r="AR74" i="16" s="1"/>
  <c r="T74" i="16"/>
  <c r="U74" i="16" s="1"/>
  <c r="V74" i="16" s="1"/>
  <c r="Z74" i="16" l="1"/>
  <c r="L76" i="16"/>
  <c r="K77" i="16"/>
  <c r="T75" i="16"/>
  <c r="U75" i="16" s="1"/>
  <c r="V75" i="16" s="1"/>
  <c r="AI75" i="16"/>
  <c r="AJ75" i="16" s="1"/>
  <c r="AK75" i="16" s="1"/>
  <c r="X75" i="16"/>
  <c r="Y75" i="16" s="1"/>
  <c r="Z75" i="16" s="1"/>
  <c r="N75" i="16"/>
  <c r="M75" i="16"/>
  <c r="AP75" i="16"/>
  <c r="AQ75" i="16" s="1"/>
  <c r="AR75" i="16" s="1"/>
  <c r="S75" i="16"/>
  <c r="AA75" i="16"/>
  <c r="AB75" i="16" s="1"/>
  <c r="AC75" i="16" s="1"/>
  <c r="K78" i="16" l="1"/>
  <c r="L77" i="16"/>
  <c r="S76" i="16"/>
  <c r="AI76" i="16"/>
  <c r="AJ76" i="16" s="1"/>
  <c r="AK76" i="16" s="1"/>
  <c r="M76" i="16"/>
  <c r="N76" i="16"/>
  <c r="T76" i="16"/>
  <c r="U76" i="16" s="1"/>
  <c r="V76" i="16" s="1"/>
  <c r="AP76" i="16"/>
  <c r="AQ76" i="16" s="1"/>
  <c r="AR76" i="16" s="1"/>
  <c r="X76" i="16"/>
  <c r="Y76" i="16" s="1"/>
  <c r="Z76" i="16" s="1"/>
  <c r="AA76" i="16"/>
  <c r="AB76" i="16" s="1"/>
  <c r="AC76" i="16" s="1"/>
  <c r="AP77" i="16" l="1"/>
  <c r="AQ77" i="16" s="1"/>
  <c r="AR77" i="16" s="1"/>
  <c r="AI77" i="16"/>
  <c r="AJ77" i="16" s="1"/>
  <c r="AK77" i="16" s="1"/>
  <c r="X77" i="16"/>
  <c r="Y77" i="16" s="1"/>
  <c r="Z77" i="16" s="1"/>
  <c r="AA77" i="16"/>
  <c r="AB77" i="16" s="1"/>
  <c r="AC77" i="16" s="1"/>
  <c r="M77" i="16"/>
  <c r="N77" i="16"/>
  <c r="T77" i="16"/>
  <c r="U77" i="16" s="1"/>
  <c r="V77" i="16" s="1"/>
  <c r="S77" i="16"/>
  <c r="K79" i="16"/>
  <c r="L78" i="16"/>
  <c r="L79" i="16" l="1"/>
  <c r="K80" i="16"/>
  <c r="X78" i="16"/>
  <c r="Y78" i="16" s="1"/>
  <c r="Z78" i="16" s="1"/>
  <c r="M78" i="16"/>
  <c r="N78" i="16"/>
  <c r="AA78" i="16"/>
  <c r="AB78" i="16" s="1"/>
  <c r="AC78" i="16" s="1"/>
  <c r="AI78" i="16"/>
  <c r="AJ78" i="16" s="1"/>
  <c r="AK78" i="16" s="1"/>
  <c r="S78" i="16"/>
  <c r="T78" i="16"/>
  <c r="U78" i="16" s="1"/>
  <c r="V78" i="16" s="1"/>
  <c r="AP78" i="16"/>
  <c r="AQ78" i="16" s="1"/>
  <c r="AR78" i="16" s="1"/>
  <c r="K81" i="16" l="1"/>
  <c r="L80" i="16"/>
  <c r="S79" i="16"/>
  <c r="AI79" i="16"/>
  <c r="AJ79" i="16" s="1"/>
  <c r="AK79" i="16" s="1"/>
  <c r="M79" i="16"/>
  <c r="N79" i="16"/>
  <c r="T79" i="16"/>
  <c r="U79" i="16" s="1"/>
  <c r="V79" i="16" s="1"/>
  <c r="AP79" i="16"/>
  <c r="AQ79" i="16" s="1"/>
  <c r="AR79" i="16" s="1"/>
  <c r="X79" i="16"/>
  <c r="Y79" i="16" s="1"/>
  <c r="Z79" i="16" s="1"/>
  <c r="AA79" i="16"/>
  <c r="AB79" i="16" s="1"/>
  <c r="AC79" i="16" s="1"/>
  <c r="AP80" i="16" l="1"/>
  <c r="AQ80" i="16" s="1"/>
  <c r="AR80" i="16" s="1"/>
  <c r="AI80" i="16"/>
  <c r="AJ80" i="16" s="1"/>
  <c r="AK80" i="16" s="1"/>
  <c r="T80" i="16"/>
  <c r="U80" i="16" s="1"/>
  <c r="V80" i="16" s="1"/>
  <c r="X80" i="16"/>
  <c r="Y80" i="16" s="1"/>
  <c r="Z80" i="16" s="1"/>
  <c r="AA80" i="16"/>
  <c r="AB80" i="16" s="1"/>
  <c r="AC80" i="16" s="1"/>
  <c r="M80" i="16"/>
  <c r="N80" i="16"/>
  <c r="S80" i="16"/>
  <c r="L81" i="16"/>
  <c r="K82" i="16"/>
  <c r="L82" i="16" l="1"/>
  <c r="K83" i="16"/>
  <c r="X81" i="16"/>
  <c r="Y81" i="16" s="1"/>
  <c r="Z81" i="16" s="1"/>
  <c r="M81" i="16"/>
  <c r="N81" i="16"/>
  <c r="AA81" i="16"/>
  <c r="AB81" i="16" s="1"/>
  <c r="AC81" i="16" s="1"/>
  <c r="AI81" i="16"/>
  <c r="AJ81" i="16" s="1"/>
  <c r="AK81" i="16" s="1"/>
  <c r="S81" i="16"/>
  <c r="T81" i="16"/>
  <c r="U81" i="16" s="1"/>
  <c r="V81" i="16" s="1"/>
  <c r="AP81" i="16"/>
  <c r="AQ81" i="16" s="1"/>
  <c r="AR81" i="16" s="1"/>
  <c r="K84" i="16" l="1"/>
  <c r="L83" i="16"/>
  <c r="S82" i="16"/>
  <c r="AI82" i="16"/>
  <c r="AJ82" i="16" s="1"/>
  <c r="AK82" i="16" s="1"/>
  <c r="M82" i="16"/>
  <c r="AA82" i="16"/>
  <c r="AB82" i="16" s="1"/>
  <c r="AC82" i="16" s="1"/>
  <c r="N82" i="16"/>
  <c r="T82" i="16"/>
  <c r="U82" i="16" s="1"/>
  <c r="V82" i="16" s="1"/>
  <c r="AP82" i="16"/>
  <c r="AQ82" i="16" s="1"/>
  <c r="AR82" i="16" s="1"/>
  <c r="X82" i="16"/>
  <c r="Y82" i="16" s="1"/>
  <c r="Z82" i="16" s="1"/>
  <c r="AP83" i="16" l="1"/>
  <c r="AQ83" i="16" s="1"/>
  <c r="AR83" i="16" s="1"/>
  <c r="AI83" i="16"/>
  <c r="AJ83" i="16" s="1"/>
  <c r="AK83" i="16" s="1"/>
  <c r="S83" i="16"/>
  <c r="T83" i="16"/>
  <c r="U83" i="16" s="1"/>
  <c r="V83" i="16" s="1"/>
  <c r="M83" i="16"/>
  <c r="N83" i="16"/>
  <c r="X83" i="16"/>
  <c r="Y83" i="16" s="1"/>
  <c r="Z83" i="16" s="1"/>
  <c r="AA83" i="16"/>
  <c r="AB83" i="16" s="1"/>
  <c r="AC83" i="16" s="1"/>
  <c r="L84" i="16"/>
  <c r="K85" i="16"/>
  <c r="K86" i="16" l="1"/>
  <c r="L85" i="16"/>
  <c r="X84" i="16"/>
  <c r="Y84" i="16" s="1"/>
  <c r="Z84" i="16" s="1"/>
  <c r="M84" i="16"/>
  <c r="AA84" i="16"/>
  <c r="AB84" i="16" s="1"/>
  <c r="AC84" i="16" s="1"/>
  <c r="T84" i="16"/>
  <c r="U84" i="16" s="1"/>
  <c r="V84" i="16" s="1"/>
  <c r="AP84" i="16"/>
  <c r="AQ84" i="16" s="1"/>
  <c r="AR84" i="16" s="1"/>
  <c r="N84" i="16"/>
  <c r="S84" i="16"/>
  <c r="AI84" i="16"/>
  <c r="AJ84" i="16" s="1"/>
  <c r="AK84" i="16" s="1"/>
  <c r="S85" i="16" l="1"/>
  <c r="AI85" i="16"/>
  <c r="AJ85" i="16" s="1"/>
  <c r="AK85" i="16" s="1"/>
  <c r="M85" i="16"/>
  <c r="X85" i="16"/>
  <c r="Y85" i="16" s="1"/>
  <c r="Z85" i="16" s="1"/>
  <c r="AP85" i="16"/>
  <c r="AQ85" i="16" s="1"/>
  <c r="AR85" i="16" s="1"/>
  <c r="AA85" i="16"/>
  <c r="AB85" i="16" s="1"/>
  <c r="AC85" i="16" s="1"/>
  <c r="N85" i="16"/>
  <c r="T85" i="16"/>
  <c r="U85" i="16" s="1"/>
  <c r="V85" i="16" s="1"/>
  <c r="K87" i="16"/>
  <c r="L86" i="16"/>
  <c r="AP86" i="16" l="1"/>
  <c r="AQ86" i="16" s="1"/>
  <c r="AR86" i="16" s="1"/>
  <c r="AI86" i="16"/>
  <c r="AJ86" i="16" s="1"/>
  <c r="AK86" i="16" s="1"/>
  <c r="X86" i="16"/>
  <c r="Y86" i="16" s="1"/>
  <c r="Z86" i="16" s="1"/>
  <c r="M86" i="16"/>
  <c r="N86" i="16"/>
  <c r="S86" i="16"/>
  <c r="T86" i="16"/>
  <c r="U86" i="16" s="1"/>
  <c r="V86" i="16" s="1"/>
  <c r="AA86" i="16"/>
  <c r="AB86" i="16" s="1"/>
  <c r="AC86" i="16" s="1"/>
  <c r="L87" i="16"/>
  <c r="K88" i="16"/>
  <c r="L88" i="16" l="1"/>
  <c r="K89" i="16"/>
  <c r="X87" i="16"/>
  <c r="Y87" i="16" s="1"/>
  <c r="Z87" i="16" s="1"/>
  <c r="M87" i="16"/>
  <c r="N87" i="16"/>
  <c r="S87" i="16"/>
  <c r="AI87" i="16"/>
  <c r="AJ87" i="16" s="1"/>
  <c r="AK87" i="16" s="1"/>
  <c r="AP87" i="16"/>
  <c r="AQ87" i="16" s="1"/>
  <c r="AR87" i="16" s="1"/>
  <c r="T87" i="16"/>
  <c r="U87" i="16" s="1"/>
  <c r="V87" i="16" s="1"/>
  <c r="AA87" i="16"/>
  <c r="AB87" i="16" s="1"/>
  <c r="AC87" i="16" s="1"/>
  <c r="K90" i="16" l="1"/>
  <c r="L89" i="16"/>
  <c r="S88" i="16"/>
  <c r="M88" i="16"/>
  <c r="AA88" i="16"/>
  <c r="AB88" i="16" s="1"/>
  <c r="AC88" i="16" s="1"/>
  <c r="AP88" i="16"/>
  <c r="AQ88" i="16" s="1"/>
  <c r="AR88" i="16" s="1"/>
  <c r="N88" i="16"/>
  <c r="T88" i="16"/>
  <c r="U88" i="16" s="1"/>
  <c r="V88" i="16" s="1"/>
  <c r="X88" i="16"/>
  <c r="Y88" i="16" s="1"/>
  <c r="Z88" i="16" s="1"/>
  <c r="AI88" i="16"/>
  <c r="AJ88" i="16" s="1"/>
  <c r="AK88" i="16" s="1"/>
  <c r="AP89" i="16" l="1"/>
  <c r="AQ89" i="16" s="1"/>
  <c r="AR89" i="16" s="1"/>
  <c r="M89" i="16"/>
  <c r="AA89" i="16"/>
  <c r="AB89" i="16" s="1"/>
  <c r="AC89" i="16" s="1"/>
  <c r="N89" i="16"/>
  <c r="AI89" i="16"/>
  <c r="AJ89" i="16" s="1"/>
  <c r="AK89" i="16" s="1"/>
  <c r="S89" i="16"/>
  <c r="T89" i="16"/>
  <c r="U89" i="16" s="1"/>
  <c r="V89" i="16" s="1"/>
  <c r="X89" i="16"/>
  <c r="Y89" i="16" s="1"/>
  <c r="Z89" i="16" s="1"/>
  <c r="L90" i="16"/>
  <c r="K91" i="16"/>
  <c r="L91" i="16" l="1"/>
  <c r="K92" i="16"/>
  <c r="X90" i="16"/>
  <c r="Y90" i="16" s="1"/>
  <c r="Z90" i="16" s="1"/>
  <c r="M90" i="16"/>
  <c r="AA90" i="16"/>
  <c r="AB90" i="16" s="1"/>
  <c r="AC90" i="16" s="1"/>
  <c r="AP90" i="16"/>
  <c r="AQ90" i="16" s="1"/>
  <c r="AR90" i="16" s="1"/>
  <c r="N90" i="16"/>
  <c r="T90" i="16"/>
  <c r="U90" i="16" s="1"/>
  <c r="V90" i="16" s="1"/>
  <c r="AI90" i="16"/>
  <c r="AJ90" i="16" s="1"/>
  <c r="AK90" i="16" s="1"/>
  <c r="S90" i="16"/>
  <c r="L92" i="16" l="1"/>
  <c r="K93" i="16"/>
  <c r="S91" i="16"/>
  <c r="N91" i="16"/>
  <c r="AA91" i="16"/>
  <c r="AB91" i="16" s="1"/>
  <c r="AC91" i="16" s="1"/>
  <c r="AI91" i="16"/>
  <c r="AJ91" i="16" s="1"/>
  <c r="AK91" i="16" s="1"/>
  <c r="M91" i="16"/>
  <c r="AP91" i="16"/>
  <c r="AQ91" i="16" s="1"/>
  <c r="AR91" i="16" s="1"/>
  <c r="T91" i="16"/>
  <c r="U91" i="16" s="1"/>
  <c r="V91" i="16" s="1"/>
  <c r="X91" i="16"/>
  <c r="Y91" i="16" s="1"/>
  <c r="Z91" i="16" s="1"/>
  <c r="L93" i="16" l="1"/>
  <c r="K94" i="16"/>
  <c r="AP92" i="16"/>
  <c r="AQ92" i="16" s="1"/>
  <c r="AR92" i="16" s="1"/>
  <c r="X92" i="16"/>
  <c r="Y92" i="16" s="1"/>
  <c r="Z92" i="16" s="1"/>
  <c r="M92" i="16"/>
  <c r="AA92" i="16"/>
  <c r="AB92" i="16" s="1"/>
  <c r="AC92" i="16" s="1"/>
  <c r="N92" i="16"/>
  <c r="S92" i="16"/>
  <c r="T92" i="16"/>
  <c r="U92" i="16" s="1"/>
  <c r="V92" i="16" s="1"/>
  <c r="AI92" i="16"/>
  <c r="AJ92" i="16" s="1"/>
  <c r="AK92" i="16" s="1"/>
  <c r="L94" i="16" l="1"/>
  <c r="K95" i="16"/>
  <c r="AI93" i="16"/>
  <c r="AJ93" i="16" s="1"/>
  <c r="AK93" i="16" s="1"/>
  <c r="M93" i="16"/>
  <c r="S93" i="16"/>
  <c r="T93" i="16"/>
  <c r="U93" i="16" s="1"/>
  <c r="V93" i="16" s="1"/>
  <c r="X93" i="16"/>
  <c r="Y93" i="16" s="1"/>
  <c r="Z93" i="16" s="1"/>
  <c r="AA93" i="16"/>
  <c r="AB93" i="16" s="1"/>
  <c r="AC93" i="16" s="1"/>
  <c r="N93" i="16"/>
  <c r="AP93" i="16"/>
  <c r="AQ93" i="16" s="1"/>
  <c r="AR93" i="16" s="1"/>
  <c r="K96" i="16" l="1"/>
  <c r="L95" i="16"/>
  <c r="AI94" i="16"/>
  <c r="AJ94" i="16" s="1"/>
  <c r="AK94" i="16" s="1"/>
  <c r="AP94" i="16"/>
  <c r="AQ94" i="16" s="1"/>
  <c r="AR94" i="16" s="1"/>
  <c r="S94" i="16"/>
  <c r="T94" i="16"/>
  <c r="U94" i="16" s="1"/>
  <c r="V94" i="16" s="1"/>
  <c r="X94" i="16"/>
  <c r="Y94" i="16" s="1"/>
  <c r="Z94" i="16" s="1"/>
  <c r="AA94" i="16"/>
  <c r="AB94" i="16" s="1"/>
  <c r="AC94" i="16" s="1"/>
  <c r="M94" i="16"/>
  <c r="N94" i="16"/>
  <c r="M95" i="16" l="1"/>
  <c r="N95" i="16"/>
  <c r="AA95" i="16"/>
  <c r="AB95" i="16" s="1"/>
  <c r="AC95" i="16" s="1"/>
  <c r="T95" i="16"/>
  <c r="U95" i="16" s="1"/>
  <c r="V95" i="16" s="1"/>
  <c r="X95" i="16"/>
  <c r="Y95" i="16" s="1"/>
  <c r="Z95" i="16" s="1"/>
  <c r="AP95" i="16"/>
  <c r="AQ95" i="16" s="1"/>
  <c r="AR95" i="16" s="1"/>
  <c r="S95" i="16"/>
  <c r="AI95" i="16"/>
  <c r="AJ95" i="16" s="1"/>
  <c r="AK95" i="16" s="1"/>
  <c r="K97" i="16"/>
  <c r="L96" i="16"/>
  <c r="L97" i="16" l="1"/>
  <c r="K98" i="16"/>
  <c r="AI96" i="16"/>
  <c r="AJ96" i="16" s="1"/>
  <c r="AK96" i="16" s="1"/>
  <c r="M96" i="16"/>
  <c r="S96" i="16"/>
  <c r="AP96" i="16"/>
  <c r="AQ96" i="16" s="1"/>
  <c r="AR96" i="16" s="1"/>
  <c r="T96" i="16"/>
  <c r="U96" i="16" s="1"/>
  <c r="V96" i="16" s="1"/>
  <c r="X96" i="16"/>
  <c r="Y96" i="16" s="1"/>
  <c r="Z96" i="16" s="1"/>
  <c r="AA96" i="16"/>
  <c r="AB96" i="16" s="1"/>
  <c r="AC96" i="16" s="1"/>
  <c r="N96" i="16"/>
  <c r="L98" i="16" l="1"/>
  <c r="K99" i="16"/>
  <c r="AI97" i="16"/>
  <c r="AJ97" i="16" s="1"/>
  <c r="AK97" i="16" s="1"/>
  <c r="AP97" i="16"/>
  <c r="AQ97" i="16" s="1"/>
  <c r="AR97" i="16" s="1"/>
  <c r="M97" i="16"/>
  <c r="N97" i="16"/>
  <c r="S97" i="16"/>
  <c r="X97" i="16"/>
  <c r="Y97" i="16" s="1"/>
  <c r="Z97" i="16" s="1"/>
  <c r="AA97" i="16"/>
  <c r="AB97" i="16" s="1"/>
  <c r="AC97" i="16" s="1"/>
  <c r="T97" i="16"/>
  <c r="U97" i="16" s="1"/>
  <c r="V97" i="16" s="1"/>
  <c r="K100" i="16" l="1"/>
  <c r="L99" i="16"/>
  <c r="M98" i="16"/>
  <c r="N98" i="16"/>
  <c r="AA98" i="16"/>
  <c r="AB98" i="16" s="1"/>
  <c r="AC98" i="16" s="1"/>
  <c r="T98" i="16"/>
  <c r="U98" i="16" s="1"/>
  <c r="V98" i="16" s="1"/>
  <c r="X98" i="16"/>
  <c r="Y98" i="16" s="1"/>
  <c r="Z98" i="16" s="1"/>
  <c r="AI98" i="16"/>
  <c r="AJ98" i="16" s="1"/>
  <c r="AK98" i="16" s="1"/>
  <c r="S98" i="16"/>
  <c r="AP98" i="16"/>
  <c r="AQ98" i="16" s="1"/>
  <c r="AR98" i="16" s="1"/>
  <c r="AI99" i="16" l="1"/>
  <c r="AJ99" i="16" s="1"/>
  <c r="AK99" i="16" s="1"/>
  <c r="T99" i="16"/>
  <c r="U99" i="16" s="1"/>
  <c r="V99" i="16" s="1"/>
  <c r="X99" i="16"/>
  <c r="Y99" i="16" s="1"/>
  <c r="Z99" i="16" s="1"/>
  <c r="AP99" i="16"/>
  <c r="AQ99" i="16" s="1"/>
  <c r="AR99" i="16" s="1"/>
  <c r="AA99" i="16"/>
  <c r="AB99" i="16" s="1"/>
  <c r="AC99" i="16" s="1"/>
  <c r="M99" i="16"/>
  <c r="N99" i="16"/>
  <c r="S99" i="16"/>
  <c r="L100" i="16"/>
  <c r="K101" i="16"/>
  <c r="K102" i="16" l="1"/>
  <c r="L101" i="16"/>
  <c r="AA100" i="16"/>
  <c r="AB100" i="16" s="1"/>
  <c r="AC100" i="16" s="1"/>
  <c r="M100" i="16"/>
  <c r="N100" i="16"/>
  <c r="T100" i="16"/>
  <c r="U100" i="16" s="1"/>
  <c r="V100" i="16" s="1"/>
  <c r="X100" i="16"/>
  <c r="Y100" i="16" s="1"/>
  <c r="Z100" i="16" s="1"/>
  <c r="AI100" i="16"/>
  <c r="AJ100" i="16" s="1"/>
  <c r="AK100" i="16" s="1"/>
  <c r="AP100" i="16"/>
  <c r="AQ100" i="16" s="1"/>
  <c r="AR100" i="16" s="1"/>
  <c r="S100" i="16"/>
  <c r="M101" i="16" l="1"/>
  <c r="N101" i="16"/>
  <c r="T101" i="16"/>
  <c r="U101" i="16" s="1"/>
  <c r="V101" i="16" s="1"/>
  <c r="AI101" i="16"/>
  <c r="AJ101" i="16" s="1"/>
  <c r="AK101" i="16" s="1"/>
  <c r="S101" i="16"/>
  <c r="AP101" i="16"/>
  <c r="AQ101" i="16" s="1"/>
  <c r="AR101" i="16" s="1"/>
  <c r="X101" i="16"/>
  <c r="Y101" i="16" s="1"/>
  <c r="Z101" i="16" s="1"/>
  <c r="AA101" i="16"/>
  <c r="AB101" i="16" s="1"/>
  <c r="AC101" i="16" s="1"/>
  <c r="K103" i="16"/>
  <c r="L102" i="16"/>
  <c r="AI102" i="16" l="1"/>
  <c r="AJ102" i="16" s="1"/>
  <c r="AK102" i="16" s="1"/>
  <c r="X102" i="16"/>
  <c r="Y102" i="16" s="1"/>
  <c r="Z102" i="16" s="1"/>
  <c r="AP102" i="16"/>
  <c r="AQ102" i="16" s="1"/>
  <c r="AR102" i="16" s="1"/>
  <c r="S102" i="16"/>
  <c r="T102" i="16"/>
  <c r="U102" i="16" s="1"/>
  <c r="V102" i="16" s="1"/>
  <c r="AA102" i="16"/>
  <c r="AB102" i="16" s="1"/>
  <c r="AC102" i="16" s="1"/>
  <c r="M102" i="16"/>
  <c r="N102" i="16"/>
  <c r="L103" i="16"/>
  <c r="K104" i="16"/>
  <c r="K105" i="16" l="1"/>
  <c r="L104" i="16"/>
  <c r="X103" i="16"/>
  <c r="Y103" i="16" s="1"/>
  <c r="Z103" i="16" s="1"/>
  <c r="M103" i="16"/>
  <c r="AA103" i="16"/>
  <c r="AB103" i="16" s="1"/>
  <c r="AC103" i="16" s="1"/>
  <c r="AP103" i="16"/>
  <c r="AQ103" i="16" s="1"/>
  <c r="AR103" i="16" s="1"/>
  <c r="N103" i="16"/>
  <c r="AI103" i="16"/>
  <c r="AJ103" i="16" s="1"/>
  <c r="AK103" i="16" s="1"/>
  <c r="T103" i="16"/>
  <c r="U103" i="16" s="1"/>
  <c r="V103" i="16" s="1"/>
  <c r="S103" i="16"/>
  <c r="T104" i="16" l="1"/>
  <c r="U104" i="16" s="1"/>
  <c r="V104" i="16" s="1"/>
  <c r="AI104" i="16"/>
  <c r="AJ104" i="16" s="1"/>
  <c r="AK104" i="16" s="1"/>
  <c r="X104" i="16"/>
  <c r="Y104" i="16" s="1"/>
  <c r="Z104" i="16" s="1"/>
  <c r="AP104" i="16"/>
  <c r="AQ104" i="16" s="1"/>
  <c r="AR104" i="16" s="1"/>
  <c r="AA104" i="16"/>
  <c r="AB104" i="16" s="1"/>
  <c r="AC104" i="16" s="1"/>
  <c r="M104" i="16"/>
  <c r="N104" i="16"/>
  <c r="S104" i="16"/>
  <c r="L105" i="16"/>
  <c r="K106" i="16"/>
  <c r="S105" i="16" l="1"/>
  <c r="X105" i="16"/>
  <c r="Y105" i="16" s="1"/>
  <c r="Z105" i="16" s="1"/>
  <c r="AA105" i="16"/>
  <c r="AB105" i="16" s="1"/>
  <c r="AC105" i="16" s="1"/>
  <c r="M105" i="16"/>
  <c r="AI105" i="16"/>
  <c r="AJ105" i="16" s="1"/>
  <c r="AK105" i="16" s="1"/>
  <c r="N105" i="16"/>
  <c r="T105" i="16"/>
  <c r="U105" i="16" s="1"/>
  <c r="V105" i="16" s="1"/>
  <c r="AP105" i="16"/>
  <c r="AQ105" i="16" s="1"/>
  <c r="AR105" i="16" s="1"/>
  <c r="L106" i="16"/>
  <c r="K107" i="16"/>
  <c r="K108" i="16" l="1"/>
  <c r="L107" i="16"/>
  <c r="M106" i="16"/>
  <c r="AP106" i="16"/>
  <c r="AQ106" i="16" s="1"/>
  <c r="AR106" i="16" s="1"/>
  <c r="S106" i="16"/>
  <c r="T106" i="16"/>
  <c r="U106" i="16" s="1"/>
  <c r="V106" i="16" s="1"/>
  <c r="X106" i="16"/>
  <c r="Y106" i="16" s="1"/>
  <c r="Z106" i="16" s="1"/>
  <c r="AA106" i="16"/>
  <c r="AB106" i="16" s="1"/>
  <c r="AC106" i="16" s="1"/>
  <c r="AI106" i="16"/>
  <c r="AJ106" i="16" s="1"/>
  <c r="AK106" i="16" s="1"/>
  <c r="N106" i="16"/>
  <c r="T107" i="16" l="1"/>
  <c r="U107" i="16" s="1"/>
  <c r="V107" i="16" s="1"/>
  <c r="AI107" i="16"/>
  <c r="AJ107" i="16" s="1"/>
  <c r="AK107" i="16" s="1"/>
  <c r="X107" i="16"/>
  <c r="Y107" i="16" s="1"/>
  <c r="Z107" i="16" s="1"/>
  <c r="AP107" i="16"/>
  <c r="AQ107" i="16" s="1"/>
  <c r="AR107" i="16" s="1"/>
  <c r="AA107" i="16"/>
  <c r="AB107" i="16" s="1"/>
  <c r="AC107" i="16" s="1"/>
  <c r="M107" i="16"/>
  <c r="N107" i="16"/>
  <c r="S107" i="16"/>
  <c r="L108" i="16"/>
  <c r="K109" i="16"/>
  <c r="S108" i="16" l="1"/>
  <c r="X108" i="16"/>
  <c r="Y108" i="16" s="1"/>
  <c r="Z108" i="16" s="1"/>
  <c r="T108" i="16"/>
  <c r="U108" i="16" s="1"/>
  <c r="V108" i="16" s="1"/>
  <c r="AP108" i="16"/>
  <c r="AQ108" i="16" s="1"/>
  <c r="AR108" i="16" s="1"/>
  <c r="AA108" i="16"/>
  <c r="AB108" i="16" s="1"/>
  <c r="AC108" i="16" s="1"/>
  <c r="M108" i="16"/>
  <c r="AI108" i="16"/>
  <c r="AJ108" i="16" s="1"/>
  <c r="AK108" i="16" s="1"/>
  <c r="N108" i="16"/>
  <c r="L109" i="16"/>
  <c r="K110" i="16"/>
  <c r="K111" i="16" l="1"/>
  <c r="L110" i="16"/>
  <c r="S109" i="16"/>
  <c r="T109" i="16"/>
  <c r="U109" i="16" s="1"/>
  <c r="V109" i="16" s="1"/>
  <c r="X109" i="16"/>
  <c r="Y109" i="16" s="1"/>
  <c r="Z109" i="16" s="1"/>
  <c r="AP109" i="16"/>
  <c r="AQ109" i="16" s="1"/>
  <c r="AR109" i="16" s="1"/>
  <c r="AA109" i="16"/>
  <c r="AB109" i="16" s="1"/>
  <c r="AC109" i="16" s="1"/>
  <c r="M109" i="16"/>
  <c r="N109" i="16"/>
  <c r="AI109" i="16"/>
  <c r="AJ109" i="16" s="1"/>
  <c r="AK109" i="16" s="1"/>
  <c r="T110" i="16" l="1"/>
  <c r="U110" i="16" s="1"/>
  <c r="V110" i="16" s="1"/>
  <c r="AP110" i="16"/>
  <c r="AQ110" i="16" s="1"/>
  <c r="AR110" i="16" s="1"/>
  <c r="AA110" i="16"/>
  <c r="AB110" i="16" s="1"/>
  <c r="AC110" i="16" s="1"/>
  <c r="N110" i="16"/>
  <c r="AI110" i="16"/>
  <c r="AJ110" i="16" s="1"/>
  <c r="AK110" i="16" s="1"/>
  <c r="S110" i="16"/>
  <c r="M110" i="16"/>
  <c r="X110" i="16"/>
  <c r="Y110" i="16" s="1"/>
  <c r="Z110" i="16" s="1"/>
  <c r="L111" i="16"/>
  <c r="K112" i="16"/>
  <c r="X111" i="16" l="1"/>
  <c r="Y111" i="16" s="1"/>
  <c r="Z111" i="16" s="1"/>
  <c r="AI111" i="16"/>
  <c r="AJ111" i="16" s="1"/>
  <c r="AK111" i="16" s="1"/>
  <c r="S111" i="16"/>
  <c r="T111" i="16"/>
  <c r="U111" i="16" s="1"/>
  <c r="V111" i="16" s="1"/>
  <c r="AP111" i="16"/>
  <c r="AQ111" i="16" s="1"/>
  <c r="AR111" i="16" s="1"/>
  <c r="AA111" i="16"/>
  <c r="AB111" i="16" s="1"/>
  <c r="AC111" i="16" s="1"/>
  <c r="M111" i="16"/>
  <c r="N111" i="16"/>
  <c r="L112" i="16"/>
  <c r="K113" i="16"/>
  <c r="L113" i="16" l="1"/>
  <c r="K114" i="16"/>
  <c r="T112" i="16"/>
  <c r="U112" i="16" s="1"/>
  <c r="V112" i="16" s="1"/>
  <c r="X112" i="16"/>
  <c r="Y112" i="16" s="1"/>
  <c r="Z112" i="16" s="1"/>
  <c r="AP112" i="16"/>
  <c r="AQ112" i="16" s="1"/>
  <c r="AR112" i="16" s="1"/>
  <c r="AA112" i="16"/>
  <c r="AB112" i="16" s="1"/>
  <c r="AC112" i="16" s="1"/>
  <c r="N112" i="16"/>
  <c r="AI112" i="16"/>
  <c r="AJ112" i="16" s="1"/>
  <c r="AK112" i="16" s="1"/>
  <c r="S112" i="16"/>
  <c r="M112" i="16"/>
  <c r="L114" i="16" l="1"/>
  <c r="K115" i="16"/>
  <c r="T113" i="16"/>
  <c r="U113" i="16" s="1"/>
  <c r="V113" i="16" s="1"/>
  <c r="AA113" i="16"/>
  <c r="AB113" i="16" s="1"/>
  <c r="AC113" i="16" s="1"/>
  <c r="M113" i="16"/>
  <c r="N113" i="16"/>
  <c r="AI113" i="16"/>
  <c r="AJ113" i="16" s="1"/>
  <c r="AK113" i="16" s="1"/>
  <c r="S113" i="16"/>
  <c r="X113" i="16"/>
  <c r="Y113" i="16" s="1"/>
  <c r="Z113" i="16" s="1"/>
  <c r="AP113" i="16"/>
  <c r="AQ113" i="16" s="1"/>
  <c r="AR113" i="16" s="1"/>
  <c r="L115" i="16" l="1"/>
  <c r="K116" i="16"/>
  <c r="T114" i="16"/>
  <c r="U114" i="16" s="1"/>
  <c r="V114" i="16" s="1"/>
  <c r="X114" i="16"/>
  <c r="Y114" i="16" s="1"/>
  <c r="Z114" i="16" s="1"/>
  <c r="AA114" i="16"/>
  <c r="AB114" i="16" s="1"/>
  <c r="AC114" i="16" s="1"/>
  <c r="AP114" i="16"/>
  <c r="AQ114" i="16" s="1"/>
  <c r="AR114" i="16" s="1"/>
  <c r="S114" i="16"/>
  <c r="AI114" i="16"/>
  <c r="AJ114" i="16" s="1"/>
  <c r="AK114" i="16" s="1"/>
  <c r="M114" i="16"/>
  <c r="N114" i="16"/>
  <c r="L116" i="16" l="1"/>
  <c r="K117" i="16"/>
  <c r="T115" i="16"/>
  <c r="U115" i="16" s="1"/>
  <c r="V115" i="16" s="1"/>
  <c r="AI115" i="16"/>
  <c r="AJ115" i="16" s="1"/>
  <c r="AK115" i="16" s="1"/>
  <c r="X115" i="16"/>
  <c r="Y115" i="16" s="1"/>
  <c r="Z115" i="16" s="1"/>
  <c r="M115" i="16"/>
  <c r="AA115" i="16"/>
  <c r="AB115" i="16" s="1"/>
  <c r="AC115" i="16" s="1"/>
  <c r="AP115" i="16"/>
  <c r="AQ115" i="16" s="1"/>
  <c r="AR115" i="16" s="1"/>
  <c r="S115" i="16"/>
  <c r="N115" i="16"/>
  <c r="L117" i="16" l="1"/>
  <c r="K118" i="16"/>
  <c r="T116" i="16"/>
  <c r="U116" i="16" s="1"/>
  <c r="V116" i="16" s="1"/>
  <c r="S116" i="16"/>
  <c r="AI116" i="16"/>
  <c r="AJ116" i="16" s="1"/>
  <c r="AK116" i="16" s="1"/>
  <c r="X116" i="16"/>
  <c r="Y116" i="16" s="1"/>
  <c r="Z116" i="16" s="1"/>
  <c r="N116" i="16"/>
  <c r="AA116" i="16"/>
  <c r="AB116" i="16" s="1"/>
  <c r="AC116" i="16" s="1"/>
  <c r="AP116" i="16"/>
  <c r="AQ116" i="16" s="1"/>
  <c r="AR116" i="16" s="1"/>
  <c r="M116" i="16"/>
  <c r="L118" i="16" l="1"/>
  <c r="K119" i="16"/>
  <c r="N117" i="16"/>
  <c r="S117" i="16"/>
  <c r="T117" i="16"/>
  <c r="U117" i="16" s="1"/>
  <c r="V117" i="16" s="1"/>
  <c r="AI117" i="16"/>
  <c r="AJ117" i="16" s="1"/>
  <c r="AK117" i="16" s="1"/>
  <c r="X117" i="16"/>
  <c r="Y117" i="16" s="1"/>
  <c r="Z117" i="16" s="1"/>
  <c r="M117" i="16"/>
  <c r="AA117" i="16"/>
  <c r="AB117" i="16" s="1"/>
  <c r="AC117" i="16" s="1"/>
  <c r="AP117" i="16"/>
  <c r="AQ117" i="16" s="1"/>
  <c r="AR117" i="16" s="1"/>
  <c r="L119" i="16" l="1"/>
  <c r="K120" i="16"/>
  <c r="N118" i="16"/>
  <c r="AP118" i="16"/>
  <c r="AQ118" i="16" s="1"/>
  <c r="AR118" i="16" s="1"/>
  <c r="T118" i="16"/>
  <c r="U118" i="16" s="1"/>
  <c r="V118" i="16" s="1"/>
  <c r="AI118" i="16"/>
  <c r="AJ118" i="16" s="1"/>
  <c r="AK118" i="16" s="1"/>
  <c r="X118" i="16"/>
  <c r="Y118" i="16" s="1"/>
  <c r="Z118" i="16" s="1"/>
  <c r="M118" i="16"/>
  <c r="S118" i="16"/>
  <c r="AA118" i="16"/>
  <c r="AB118" i="16" s="1"/>
  <c r="AC118" i="16" s="1"/>
  <c r="K121" i="16" l="1"/>
  <c r="L120" i="16"/>
  <c r="X119" i="16"/>
  <c r="Y119" i="16" s="1"/>
  <c r="Z119" i="16" s="1"/>
  <c r="M119" i="16"/>
  <c r="AP119" i="16"/>
  <c r="AQ119" i="16" s="1"/>
  <c r="AR119" i="16" s="1"/>
  <c r="S119" i="16"/>
  <c r="T119" i="16"/>
  <c r="U119" i="16" s="1"/>
  <c r="V119" i="16" s="1"/>
  <c r="AI119" i="16"/>
  <c r="AJ119" i="16" s="1"/>
  <c r="AK119" i="16" s="1"/>
  <c r="AA119" i="16"/>
  <c r="AB119" i="16" s="1"/>
  <c r="AC119" i="16" s="1"/>
  <c r="N119" i="16"/>
  <c r="S120" i="16" l="1"/>
  <c r="T120" i="16"/>
  <c r="U120" i="16" s="1"/>
  <c r="V120" i="16" s="1"/>
  <c r="AI120" i="16"/>
  <c r="AJ120" i="16" s="1"/>
  <c r="AK120" i="16" s="1"/>
  <c r="X120" i="16"/>
  <c r="Y120" i="16" s="1"/>
  <c r="Z120" i="16" s="1"/>
  <c r="N120" i="16"/>
  <c r="AA120" i="16"/>
  <c r="AB120" i="16" s="1"/>
  <c r="AC120" i="16" s="1"/>
  <c r="AP120" i="16"/>
  <c r="AQ120" i="16" s="1"/>
  <c r="AR120" i="16" s="1"/>
  <c r="M120" i="16"/>
  <c r="K122" i="16"/>
  <c r="L121" i="16"/>
  <c r="L122" i="16" l="1"/>
  <c r="K123" i="16"/>
  <c r="AP121" i="16"/>
  <c r="AQ121" i="16" s="1"/>
  <c r="AR121" i="16" s="1"/>
  <c r="S121" i="16"/>
  <c r="X121" i="16"/>
  <c r="Y121" i="16" s="1"/>
  <c r="Z121" i="16" s="1"/>
  <c r="AA121" i="16"/>
  <c r="AB121" i="16" s="1"/>
  <c r="AC121" i="16" s="1"/>
  <c r="M121" i="16"/>
  <c r="N121" i="16"/>
  <c r="T121" i="16"/>
  <c r="U121" i="16" s="1"/>
  <c r="V121" i="16" s="1"/>
  <c r="AI121" i="16"/>
  <c r="AJ121" i="16" s="1"/>
  <c r="AK121" i="16" s="1"/>
  <c r="K124" i="16" l="1"/>
  <c r="L123" i="16"/>
  <c r="X122" i="16"/>
  <c r="Y122" i="16" s="1"/>
  <c r="Z122" i="16" s="1"/>
  <c r="AP122" i="16"/>
  <c r="AQ122" i="16" s="1"/>
  <c r="AR122" i="16" s="1"/>
  <c r="S122" i="16"/>
  <c r="T122" i="16"/>
  <c r="U122" i="16" s="1"/>
  <c r="V122" i="16" s="1"/>
  <c r="AA122" i="16"/>
  <c r="AB122" i="16" s="1"/>
  <c r="AC122" i="16" s="1"/>
  <c r="AI122" i="16"/>
  <c r="AJ122" i="16" s="1"/>
  <c r="AK122" i="16" s="1"/>
  <c r="M122" i="16"/>
  <c r="N122" i="16"/>
  <c r="S123" i="16" l="1"/>
  <c r="T123" i="16"/>
  <c r="U123" i="16" s="1"/>
  <c r="V123" i="16" s="1"/>
  <c r="X123" i="16"/>
  <c r="Y123" i="16" s="1"/>
  <c r="Z123" i="16" s="1"/>
  <c r="N123" i="16"/>
  <c r="AA123" i="16"/>
  <c r="AB123" i="16" s="1"/>
  <c r="AC123" i="16" s="1"/>
  <c r="AP123" i="16"/>
  <c r="AQ123" i="16" s="1"/>
  <c r="AR123" i="16" s="1"/>
  <c r="AI123" i="16"/>
  <c r="AJ123" i="16" s="1"/>
  <c r="AK123" i="16" s="1"/>
  <c r="M123" i="16"/>
  <c r="K125" i="16"/>
  <c r="L124" i="16"/>
  <c r="AP124" i="16" l="1"/>
  <c r="AQ124" i="16" s="1"/>
  <c r="AR124" i="16" s="1"/>
  <c r="X124" i="16"/>
  <c r="Y124" i="16" s="1"/>
  <c r="Z124" i="16" s="1"/>
  <c r="M124" i="16"/>
  <c r="N124" i="16"/>
  <c r="AI124" i="16"/>
  <c r="AJ124" i="16" s="1"/>
  <c r="AK124" i="16" s="1"/>
  <c r="S124" i="16"/>
  <c r="T124" i="16"/>
  <c r="U124" i="16" s="1"/>
  <c r="V124" i="16" s="1"/>
  <c r="AA124" i="16"/>
  <c r="AB124" i="16" s="1"/>
  <c r="AC124" i="16" s="1"/>
  <c r="L125" i="16"/>
  <c r="K126" i="16"/>
  <c r="K127" i="16" l="1"/>
  <c r="L126" i="16"/>
  <c r="X125" i="16"/>
  <c r="Y125" i="16" s="1"/>
  <c r="Z125" i="16" s="1"/>
  <c r="S125" i="16"/>
  <c r="T125" i="16"/>
  <c r="U125" i="16" s="1"/>
  <c r="V125" i="16" s="1"/>
  <c r="M125" i="16"/>
  <c r="N125" i="16"/>
  <c r="AI125" i="16"/>
  <c r="AJ125" i="16" s="1"/>
  <c r="AK125" i="16" s="1"/>
  <c r="AA125" i="16"/>
  <c r="AB125" i="16" s="1"/>
  <c r="AC125" i="16" s="1"/>
  <c r="AP125" i="16"/>
  <c r="AQ125" i="16" s="1"/>
  <c r="AR125" i="16" s="1"/>
  <c r="S126" i="16" l="1"/>
  <c r="T126" i="16"/>
  <c r="U126" i="16" s="1"/>
  <c r="V126" i="16" s="1"/>
  <c r="AP126" i="16"/>
  <c r="AQ126" i="16" s="1"/>
  <c r="AR126" i="16" s="1"/>
  <c r="AA126" i="16"/>
  <c r="AB126" i="16" s="1"/>
  <c r="AC126" i="16" s="1"/>
  <c r="M126" i="16"/>
  <c r="AI126" i="16"/>
  <c r="AJ126" i="16" s="1"/>
  <c r="AK126" i="16" s="1"/>
  <c r="N126" i="16"/>
  <c r="X126" i="16"/>
  <c r="Y126" i="16" s="1"/>
  <c r="Z126" i="16" s="1"/>
  <c r="K128" i="16"/>
  <c r="L127" i="16"/>
  <c r="AP127" i="16" l="1"/>
  <c r="AQ127" i="16" s="1"/>
  <c r="AR127" i="16" s="1"/>
  <c r="X127" i="16"/>
  <c r="Y127" i="16" s="1"/>
  <c r="Z127" i="16" s="1"/>
  <c r="AA127" i="16"/>
  <c r="AB127" i="16" s="1"/>
  <c r="AC127" i="16" s="1"/>
  <c r="AI127" i="16"/>
  <c r="AJ127" i="16" s="1"/>
  <c r="AK127" i="16" s="1"/>
  <c r="M127" i="16"/>
  <c r="N127" i="16"/>
  <c r="S127" i="16"/>
  <c r="T127" i="16"/>
  <c r="U127" i="16" s="1"/>
  <c r="V127" i="16" s="1"/>
  <c r="L128" i="16"/>
  <c r="K129" i="16"/>
  <c r="K130" i="16" l="1"/>
  <c r="L129" i="16"/>
  <c r="X128" i="16"/>
  <c r="Y128" i="16" s="1"/>
  <c r="Z128" i="16" s="1"/>
  <c r="S128" i="16"/>
  <c r="T128" i="16"/>
  <c r="U128" i="16" s="1"/>
  <c r="V128" i="16" s="1"/>
  <c r="AP128" i="16"/>
  <c r="AQ128" i="16" s="1"/>
  <c r="AR128" i="16" s="1"/>
  <c r="M128" i="16"/>
  <c r="N128" i="16"/>
  <c r="AA128" i="16"/>
  <c r="AB128" i="16" s="1"/>
  <c r="AC128" i="16" s="1"/>
  <c r="AI128" i="16"/>
  <c r="AJ128" i="16" s="1"/>
  <c r="AK128" i="16" s="1"/>
  <c r="T129" i="16" l="1"/>
  <c r="U129" i="16" s="1"/>
  <c r="V129" i="16" s="1"/>
  <c r="AP129" i="16"/>
  <c r="AQ129" i="16" s="1"/>
  <c r="AR129" i="16" s="1"/>
  <c r="AA129" i="16"/>
  <c r="AB129" i="16" s="1"/>
  <c r="AC129" i="16" s="1"/>
  <c r="M129" i="16"/>
  <c r="N129" i="16"/>
  <c r="AI129" i="16"/>
  <c r="AJ129" i="16" s="1"/>
  <c r="AK129" i="16" s="1"/>
  <c r="S129" i="16"/>
  <c r="X129" i="16"/>
  <c r="Y129" i="16" s="1"/>
  <c r="Z129" i="16" s="1"/>
  <c r="L130" i="16"/>
  <c r="K131" i="16"/>
  <c r="L131" i="16" l="1"/>
  <c r="K132" i="16"/>
  <c r="X130" i="16"/>
  <c r="Y130" i="16" s="1"/>
  <c r="Z130" i="16" s="1"/>
  <c r="S130" i="16"/>
  <c r="T130" i="16"/>
  <c r="U130" i="16" s="1"/>
  <c r="V130" i="16" s="1"/>
  <c r="AP130" i="16"/>
  <c r="AQ130" i="16" s="1"/>
  <c r="AR130" i="16" s="1"/>
  <c r="AA130" i="16"/>
  <c r="AB130" i="16" s="1"/>
  <c r="AC130" i="16" s="1"/>
  <c r="AI130" i="16"/>
  <c r="AJ130" i="16" s="1"/>
  <c r="AK130" i="16" s="1"/>
  <c r="M130" i="16"/>
  <c r="N130" i="16"/>
  <c r="L132" i="16" l="1"/>
  <c r="K133" i="16"/>
  <c r="X131" i="16"/>
  <c r="Y131" i="16" s="1"/>
  <c r="Z131" i="16" s="1"/>
  <c r="M131" i="16"/>
  <c r="AA131" i="16"/>
  <c r="AB131" i="16" s="1"/>
  <c r="AC131" i="16" s="1"/>
  <c r="AP131" i="16"/>
  <c r="AQ131" i="16" s="1"/>
  <c r="AR131" i="16" s="1"/>
  <c r="N131" i="16"/>
  <c r="AI131" i="16"/>
  <c r="AJ131" i="16" s="1"/>
  <c r="AK131" i="16" s="1"/>
  <c r="S131" i="16"/>
  <c r="T131" i="16"/>
  <c r="U131" i="16" s="1"/>
  <c r="V131" i="16" s="1"/>
  <c r="L133" i="16" l="1"/>
  <c r="K134" i="16"/>
  <c r="T132" i="16"/>
  <c r="U132" i="16" s="1"/>
  <c r="V132" i="16" s="1"/>
  <c r="X132" i="16"/>
  <c r="Y132" i="16" s="1"/>
  <c r="Z132" i="16" s="1"/>
  <c r="M132" i="16"/>
  <c r="AA132" i="16"/>
  <c r="AB132" i="16" s="1"/>
  <c r="AC132" i="16" s="1"/>
  <c r="AP132" i="16"/>
  <c r="AQ132" i="16" s="1"/>
  <c r="AR132" i="16" s="1"/>
  <c r="N132" i="16"/>
  <c r="AI132" i="16"/>
  <c r="AJ132" i="16" s="1"/>
  <c r="AK132" i="16" s="1"/>
  <c r="S132" i="16"/>
  <c r="L134" i="16" l="1"/>
  <c r="K135" i="16"/>
  <c r="M133" i="16"/>
  <c r="N133" i="16"/>
  <c r="AI133" i="16"/>
  <c r="AJ133" i="16" s="1"/>
  <c r="AK133" i="16" s="1"/>
  <c r="S133" i="16"/>
  <c r="T133" i="16"/>
  <c r="U133" i="16" s="1"/>
  <c r="V133" i="16" s="1"/>
  <c r="AP133" i="16"/>
  <c r="AQ133" i="16" s="1"/>
  <c r="AR133" i="16" s="1"/>
  <c r="X133" i="16"/>
  <c r="Y133" i="16" s="1"/>
  <c r="Z133" i="16" s="1"/>
  <c r="AA133" i="16"/>
  <c r="AB133" i="16" s="1"/>
  <c r="AC133" i="16" s="1"/>
  <c r="L135" i="16" l="1"/>
  <c r="K136" i="16"/>
  <c r="X134" i="16"/>
  <c r="Y134" i="16" s="1"/>
  <c r="Z134" i="16" s="1"/>
  <c r="AA134" i="16"/>
  <c r="AB134" i="16" s="1"/>
  <c r="AC134" i="16" s="1"/>
  <c r="M134" i="16"/>
  <c r="N134" i="16"/>
  <c r="AI134" i="16"/>
  <c r="AJ134" i="16" s="1"/>
  <c r="AK134" i="16" s="1"/>
  <c r="T134" i="16"/>
  <c r="U134" i="16" s="1"/>
  <c r="V134" i="16" s="1"/>
  <c r="AP134" i="16"/>
  <c r="AQ134" i="16" s="1"/>
  <c r="AR134" i="16" s="1"/>
  <c r="S134" i="16"/>
  <c r="L136" i="16" l="1"/>
  <c r="K137" i="16"/>
  <c r="T135" i="16"/>
  <c r="U135" i="16" s="1"/>
  <c r="V135" i="16" s="1"/>
  <c r="X135" i="16"/>
  <c r="Y135" i="16" s="1"/>
  <c r="Z135" i="16" s="1"/>
  <c r="S135" i="16"/>
  <c r="AP135" i="16"/>
  <c r="AQ135" i="16" s="1"/>
  <c r="AR135" i="16" s="1"/>
  <c r="AA135" i="16"/>
  <c r="AB135" i="16" s="1"/>
  <c r="AC135" i="16" s="1"/>
  <c r="M135" i="16"/>
  <c r="N135" i="16"/>
  <c r="AI135" i="16"/>
  <c r="AJ135" i="16" s="1"/>
  <c r="AK135" i="16" s="1"/>
  <c r="L137" i="16" l="1"/>
  <c r="K138" i="16"/>
  <c r="T136" i="16"/>
  <c r="U136" i="16" s="1"/>
  <c r="V136" i="16" s="1"/>
  <c r="AI136" i="16"/>
  <c r="AJ136" i="16" s="1"/>
  <c r="AK136" i="16" s="1"/>
  <c r="X136" i="16"/>
  <c r="Y136" i="16" s="1"/>
  <c r="Z136" i="16" s="1"/>
  <c r="M136" i="16"/>
  <c r="N136" i="16"/>
  <c r="S136" i="16"/>
  <c r="AP136" i="16"/>
  <c r="AQ136" i="16" s="1"/>
  <c r="AR136" i="16" s="1"/>
  <c r="AA136" i="16"/>
  <c r="AB136" i="16" s="1"/>
  <c r="AC136" i="16" s="1"/>
  <c r="K139" i="16" l="1"/>
  <c r="L138" i="16"/>
  <c r="T137" i="16"/>
  <c r="U137" i="16" s="1"/>
  <c r="V137" i="16" s="1"/>
  <c r="X137" i="16"/>
  <c r="Y137" i="16" s="1"/>
  <c r="Z137" i="16" s="1"/>
  <c r="AP137" i="16"/>
  <c r="AQ137" i="16" s="1"/>
  <c r="AR137" i="16" s="1"/>
  <c r="AA137" i="16"/>
  <c r="AB137" i="16" s="1"/>
  <c r="AC137" i="16" s="1"/>
  <c r="M137" i="16"/>
  <c r="N137" i="16"/>
  <c r="AI137" i="16"/>
  <c r="AJ137" i="16" s="1"/>
  <c r="AK137" i="16" s="1"/>
  <c r="S137" i="16"/>
  <c r="S138" i="16" l="1"/>
  <c r="X138" i="16"/>
  <c r="Y138" i="16" s="1"/>
  <c r="Z138" i="16" s="1"/>
  <c r="AA138" i="16"/>
  <c r="AB138" i="16" s="1"/>
  <c r="AC138" i="16" s="1"/>
  <c r="AP138" i="16"/>
  <c r="AQ138" i="16" s="1"/>
  <c r="AR138" i="16" s="1"/>
  <c r="M138" i="16"/>
  <c r="N138" i="16"/>
  <c r="T138" i="16"/>
  <c r="U138" i="16" s="1"/>
  <c r="V138" i="16" s="1"/>
  <c r="AI138" i="16"/>
  <c r="AJ138" i="16" s="1"/>
  <c r="AK138" i="16" s="1"/>
  <c r="K140" i="16"/>
  <c r="L139" i="16"/>
  <c r="N139" i="16" l="1"/>
  <c r="AA139" i="16"/>
  <c r="AB139" i="16" s="1"/>
  <c r="AC139" i="16" s="1"/>
  <c r="AP139" i="16"/>
  <c r="AQ139" i="16" s="1"/>
  <c r="AR139" i="16" s="1"/>
  <c r="M139" i="16"/>
  <c r="S139" i="16"/>
  <c r="AI139" i="16"/>
  <c r="AJ139" i="16" s="1"/>
  <c r="AK139" i="16" s="1"/>
  <c r="T139" i="16"/>
  <c r="U139" i="16" s="1"/>
  <c r="V139" i="16" s="1"/>
  <c r="X139" i="16"/>
  <c r="Y139" i="16" s="1"/>
  <c r="Z139" i="16" s="1"/>
  <c r="L140" i="16"/>
  <c r="K141" i="16"/>
  <c r="L141" i="16" l="1"/>
  <c r="K142" i="16"/>
  <c r="X140" i="16"/>
  <c r="Y140" i="16" s="1"/>
  <c r="Z140" i="16" s="1"/>
  <c r="N140" i="16"/>
  <c r="S140" i="16"/>
  <c r="AI140" i="16"/>
  <c r="AJ140" i="16" s="1"/>
  <c r="AK140" i="16" s="1"/>
  <c r="T140" i="16"/>
  <c r="U140" i="16" s="1"/>
  <c r="V140" i="16" s="1"/>
  <c r="AA140" i="16"/>
  <c r="AB140" i="16" s="1"/>
  <c r="AC140" i="16" s="1"/>
  <c r="M140" i="16"/>
  <c r="AP140" i="16"/>
  <c r="AQ140" i="16" s="1"/>
  <c r="AR140" i="16" s="1"/>
  <c r="K143" i="16" l="1"/>
  <c r="L142" i="16"/>
  <c r="S141" i="16"/>
  <c r="N141" i="16"/>
  <c r="T141" i="16"/>
  <c r="U141" i="16" s="1"/>
  <c r="V141" i="16" s="1"/>
  <c r="AI141" i="16"/>
  <c r="AJ141" i="16" s="1"/>
  <c r="AK141" i="16" s="1"/>
  <c r="X141" i="16"/>
  <c r="Y141" i="16" s="1"/>
  <c r="Z141" i="16" s="1"/>
  <c r="AA141" i="16"/>
  <c r="AB141" i="16" s="1"/>
  <c r="AC141" i="16" s="1"/>
  <c r="AP141" i="16"/>
  <c r="AQ141" i="16" s="1"/>
  <c r="AR141" i="16" s="1"/>
  <c r="M141" i="16"/>
  <c r="N142" i="16" l="1"/>
  <c r="AA142" i="16"/>
  <c r="AB142" i="16" s="1"/>
  <c r="AC142" i="16" s="1"/>
  <c r="AP142" i="16"/>
  <c r="AQ142" i="16" s="1"/>
  <c r="AR142" i="16" s="1"/>
  <c r="S142" i="16"/>
  <c r="AI142" i="16"/>
  <c r="AJ142" i="16" s="1"/>
  <c r="AK142" i="16" s="1"/>
  <c r="T142" i="16"/>
  <c r="U142" i="16" s="1"/>
  <c r="V142" i="16" s="1"/>
  <c r="X142" i="16"/>
  <c r="Y142" i="16" s="1"/>
  <c r="Z142" i="16" s="1"/>
  <c r="M142" i="16"/>
  <c r="K144" i="16"/>
  <c r="L143" i="16"/>
  <c r="X143" i="16" l="1"/>
  <c r="Y143" i="16" s="1"/>
  <c r="Z143" i="16" s="1"/>
  <c r="S143" i="16"/>
  <c r="AI143" i="16"/>
  <c r="AJ143" i="16" s="1"/>
  <c r="AK143" i="16" s="1"/>
  <c r="AP143" i="16"/>
  <c r="AQ143" i="16" s="1"/>
  <c r="AR143" i="16" s="1"/>
  <c r="AA143" i="16"/>
  <c r="AB143" i="16" s="1"/>
  <c r="AC143" i="16" s="1"/>
  <c r="M143" i="16"/>
  <c r="N143" i="16"/>
  <c r="T143" i="16"/>
  <c r="U143" i="16" s="1"/>
  <c r="V143" i="16" s="1"/>
  <c r="L144" i="16"/>
  <c r="K145" i="16"/>
  <c r="K146" i="16" l="1"/>
  <c r="L145" i="16"/>
  <c r="S144" i="16"/>
  <c r="T144" i="16"/>
  <c r="U144" i="16" s="1"/>
  <c r="V144" i="16" s="1"/>
  <c r="AI144" i="16"/>
  <c r="AJ144" i="16" s="1"/>
  <c r="AK144" i="16" s="1"/>
  <c r="X144" i="16"/>
  <c r="Y144" i="16" s="1"/>
  <c r="Z144" i="16" s="1"/>
  <c r="M144" i="16"/>
  <c r="AA144" i="16"/>
  <c r="AB144" i="16" s="1"/>
  <c r="AC144" i="16" s="1"/>
  <c r="AP144" i="16"/>
  <c r="AQ144" i="16" s="1"/>
  <c r="AR144" i="16" s="1"/>
  <c r="N144" i="16"/>
  <c r="AP145" i="16" l="1"/>
  <c r="AQ145" i="16" s="1"/>
  <c r="AR145" i="16" s="1"/>
  <c r="X145" i="16"/>
  <c r="Y145" i="16" s="1"/>
  <c r="Z145" i="16" s="1"/>
  <c r="M145" i="16"/>
  <c r="AA145" i="16"/>
  <c r="AB145" i="16" s="1"/>
  <c r="AC145" i="16" s="1"/>
  <c r="N145" i="16"/>
  <c r="S145" i="16"/>
  <c r="T145" i="16"/>
  <c r="U145" i="16" s="1"/>
  <c r="V145" i="16" s="1"/>
  <c r="AI145" i="16"/>
  <c r="AJ145" i="16" s="1"/>
  <c r="AK145" i="16" s="1"/>
  <c r="L146" i="16"/>
  <c r="K147" i="16"/>
  <c r="K148" i="16" l="1"/>
  <c r="L147" i="16"/>
  <c r="X146" i="16"/>
  <c r="Y146" i="16" s="1"/>
  <c r="Z146" i="16" s="1"/>
  <c r="T146" i="16"/>
  <c r="U146" i="16" s="1"/>
  <c r="V146" i="16" s="1"/>
  <c r="AI146" i="16"/>
  <c r="AJ146" i="16" s="1"/>
  <c r="AK146" i="16" s="1"/>
  <c r="M146" i="16"/>
  <c r="AA146" i="16"/>
  <c r="AB146" i="16" s="1"/>
  <c r="AC146" i="16" s="1"/>
  <c r="AP146" i="16"/>
  <c r="AQ146" i="16" s="1"/>
  <c r="AR146" i="16" s="1"/>
  <c r="S146" i="16"/>
  <c r="N146" i="16"/>
  <c r="S147" i="16" l="1"/>
  <c r="T147" i="16"/>
  <c r="U147" i="16" s="1"/>
  <c r="V147" i="16" s="1"/>
  <c r="AI147" i="16"/>
  <c r="AJ147" i="16" s="1"/>
  <c r="AK147" i="16" s="1"/>
  <c r="X147" i="16"/>
  <c r="Y147" i="16" s="1"/>
  <c r="Z147" i="16" s="1"/>
  <c r="M147" i="16"/>
  <c r="AP147" i="16"/>
  <c r="AQ147" i="16" s="1"/>
  <c r="AR147" i="16" s="1"/>
  <c r="N147" i="16"/>
  <c r="AA147" i="16"/>
  <c r="AB147" i="16" s="1"/>
  <c r="AC147" i="16" s="1"/>
  <c r="L148" i="16"/>
  <c r="K149" i="16"/>
  <c r="K150" i="16" l="1"/>
  <c r="L149" i="16"/>
  <c r="S148" i="16"/>
  <c r="T148" i="16"/>
  <c r="U148" i="16" s="1"/>
  <c r="V148" i="16" s="1"/>
  <c r="AI148" i="16"/>
  <c r="AJ148" i="16" s="1"/>
  <c r="AK148" i="16" s="1"/>
  <c r="M148" i="16"/>
  <c r="N148" i="16"/>
  <c r="AP148" i="16"/>
  <c r="AQ148" i="16" s="1"/>
  <c r="AR148" i="16" s="1"/>
  <c r="X148" i="16"/>
  <c r="Y148" i="16" s="1"/>
  <c r="Z148" i="16" s="1"/>
  <c r="AA148" i="16"/>
  <c r="AB148" i="16" s="1"/>
  <c r="AC148" i="16" s="1"/>
  <c r="M149" i="16" l="1"/>
  <c r="AP149" i="16"/>
  <c r="AQ149" i="16" s="1"/>
  <c r="AR149" i="16" s="1"/>
  <c r="AA149" i="16"/>
  <c r="AB149" i="16" s="1"/>
  <c r="AC149" i="16" s="1"/>
  <c r="AI149" i="16"/>
  <c r="AJ149" i="16" s="1"/>
  <c r="AK149" i="16" s="1"/>
  <c r="N149" i="16"/>
  <c r="S149" i="16"/>
  <c r="T149" i="16"/>
  <c r="U149" i="16" s="1"/>
  <c r="V149" i="16" s="1"/>
  <c r="X149" i="16"/>
  <c r="Y149" i="16" s="1"/>
  <c r="Z149" i="16" s="1"/>
  <c r="L150" i="16"/>
  <c r="K151" i="16"/>
  <c r="K152" i="16" l="1"/>
  <c r="L151" i="16"/>
  <c r="AI150" i="16"/>
  <c r="AJ150" i="16" s="1"/>
  <c r="AK150" i="16" s="1"/>
  <c r="X150" i="16"/>
  <c r="Y150" i="16" s="1"/>
  <c r="Z150" i="16" s="1"/>
  <c r="M150" i="16"/>
  <c r="T150" i="16"/>
  <c r="U150" i="16" s="1"/>
  <c r="V150" i="16" s="1"/>
  <c r="AA150" i="16"/>
  <c r="AB150" i="16" s="1"/>
  <c r="AC150" i="16" s="1"/>
  <c r="N150" i="16"/>
  <c r="S150" i="16"/>
  <c r="AP150" i="16"/>
  <c r="AQ150" i="16" s="1"/>
  <c r="AR150" i="16" s="1"/>
  <c r="S151" i="16" l="1"/>
  <c r="T151" i="16"/>
  <c r="U151" i="16" s="1"/>
  <c r="V151" i="16" s="1"/>
  <c r="AI151" i="16"/>
  <c r="AJ151" i="16" s="1"/>
  <c r="AK151" i="16" s="1"/>
  <c r="M151" i="16"/>
  <c r="N151" i="16"/>
  <c r="X151" i="16"/>
  <c r="Y151" i="16" s="1"/>
  <c r="Z151" i="16" s="1"/>
  <c r="AP151" i="16"/>
  <c r="AQ151" i="16" s="1"/>
  <c r="AR151" i="16" s="1"/>
  <c r="AA151" i="16"/>
  <c r="AB151" i="16" s="1"/>
  <c r="AC151" i="16" s="1"/>
  <c r="K153" i="16"/>
  <c r="L152" i="16"/>
  <c r="AP152" i="16" l="1"/>
  <c r="AQ152" i="16" s="1"/>
  <c r="AR152" i="16" s="1"/>
  <c r="T152" i="16"/>
  <c r="U152" i="16" s="1"/>
  <c r="V152" i="16" s="1"/>
  <c r="X152" i="16"/>
  <c r="Y152" i="16" s="1"/>
  <c r="Z152" i="16" s="1"/>
  <c r="AA152" i="16"/>
  <c r="AB152" i="16" s="1"/>
  <c r="AC152" i="16" s="1"/>
  <c r="M152" i="16"/>
  <c r="N152" i="16"/>
  <c r="S152" i="16"/>
  <c r="AI152" i="16"/>
  <c r="AJ152" i="16" s="1"/>
  <c r="AK152" i="16" s="1"/>
  <c r="K154" i="16"/>
  <c r="L153" i="16"/>
  <c r="X153" i="16" l="1"/>
  <c r="Y153" i="16" s="1"/>
  <c r="Z153" i="16" s="1"/>
  <c r="M153" i="16"/>
  <c r="AP153" i="16"/>
  <c r="AQ153" i="16" s="1"/>
  <c r="AR153" i="16" s="1"/>
  <c r="AA153" i="16"/>
  <c r="AB153" i="16" s="1"/>
  <c r="AC153" i="16" s="1"/>
  <c r="N153" i="16"/>
  <c r="S153" i="16"/>
  <c r="AI153" i="16"/>
  <c r="AJ153" i="16" s="1"/>
  <c r="AK153" i="16" s="1"/>
  <c r="T153" i="16"/>
  <c r="U153" i="16" s="1"/>
  <c r="V153" i="16" s="1"/>
  <c r="L154" i="16"/>
  <c r="K155" i="16"/>
  <c r="K156" i="16" l="1"/>
  <c r="L155" i="16"/>
  <c r="S154" i="16"/>
  <c r="AI154" i="16"/>
  <c r="AJ154" i="16" s="1"/>
  <c r="AK154" i="16" s="1"/>
  <c r="AP154" i="16"/>
  <c r="AQ154" i="16" s="1"/>
  <c r="AR154" i="16" s="1"/>
  <c r="AA154" i="16"/>
  <c r="AB154" i="16" s="1"/>
  <c r="AC154" i="16" s="1"/>
  <c r="M154" i="16"/>
  <c r="N154" i="16"/>
  <c r="T154" i="16"/>
  <c r="U154" i="16" s="1"/>
  <c r="V154" i="16" s="1"/>
  <c r="X154" i="16"/>
  <c r="Y154" i="16" s="1"/>
  <c r="Z154" i="16" s="1"/>
  <c r="AP155" i="16" l="1"/>
  <c r="AQ155" i="16" s="1"/>
  <c r="AR155" i="16" s="1"/>
  <c r="M155" i="16"/>
  <c r="AA155" i="16"/>
  <c r="AB155" i="16" s="1"/>
  <c r="AC155" i="16" s="1"/>
  <c r="N155" i="16"/>
  <c r="S155" i="16"/>
  <c r="T155" i="16"/>
  <c r="U155" i="16" s="1"/>
  <c r="V155" i="16" s="1"/>
  <c r="AI155" i="16"/>
  <c r="AJ155" i="16" s="1"/>
  <c r="AK155" i="16" s="1"/>
  <c r="X155" i="16"/>
  <c r="Y155" i="16" s="1"/>
  <c r="Z155" i="16" s="1"/>
  <c r="L156" i="16"/>
  <c r="K157" i="16"/>
  <c r="L157" i="16" l="1"/>
  <c r="K158" i="16"/>
  <c r="X156" i="16"/>
  <c r="Y156" i="16" s="1"/>
  <c r="Z156" i="16" s="1"/>
  <c r="M156" i="16"/>
  <c r="AA156" i="16"/>
  <c r="AB156" i="16" s="1"/>
  <c r="AC156" i="16" s="1"/>
  <c r="AP156" i="16"/>
  <c r="AQ156" i="16" s="1"/>
  <c r="AR156" i="16" s="1"/>
  <c r="N156" i="16"/>
  <c r="S156" i="16"/>
  <c r="T156" i="16"/>
  <c r="U156" i="16" s="1"/>
  <c r="V156" i="16" s="1"/>
  <c r="AI156" i="16"/>
  <c r="AJ156" i="16" s="1"/>
  <c r="AK156" i="16" s="1"/>
  <c r="L158" i="16" l="1"/>
  <c r="K159" i="16"/>
  <c r="S157" i="16"/>
  <c r="X157" i="16"/>
  <c r="Y157" i="16" s="1"/>
  <c r="Z157" i="16" s="1"/>
  <c r="M157" i="16"/>
  <c r="AA157" i="16"/>
  <c r="AB157" i="16" s="1"/>
  <c r="AC157" i="16" s="1"/>
  <c r="AP157" i="16"/>
  <c r="AQ157" i="16" s="1"/>
  <c r="AR157" i="16" s="1"/>
  <c r="N157" i="16"/>
  <c r="T157" i="16"/>
  <c r="U157" i="16" s="1"/>
  <c r="V157" i="16" s="1"/>
  <c r="AI157" i="16"/>
  <c r="AJ157" i="16" s="1"/>
  <c r="AK157" i="16" s="1"/>
  <c r="L159" i="16" l="1"/>
  <c r="K160" i="16"/>
  <c r="X158" i="16"/>
  <c r="Y158" i="16" s="1"/>
  <c r="Z158" i="16" s="1"/>
  <c r="M158" i="16"/>
  <c r="AA158" i="16"/>
  <c r="AB158" i="16" s="1"/>
  <c r="AC158" i="16" s="1"/>
  <c r="AP158" i="16"/>
  <c r="AQ158" i="16" s="1"/>
  <c r="AR158" i="16" s="1"/>
  <c r="N158" i="16"/>
  <c r="S158" i="16"/>
  <c r="T158" i="16"/>
  <c r="U158" i="16" s="1"/>
  <c r="V158" i="16" s="1"/>
  <c r="AI158" i="16"/>
  <c r="AJ158" i="16" s="1"/>
  <c r="AK158" i="16" s="1"/>
  <c r="K161" i="16" l="1"/>
  <c r="L160" i="16"/>
  <c r="S159" i="16"/>
  <c r="T159" i="16"/>
  <c r="U159" i="16" s="1"/>
  <c r="V159" i="16" s="1"/>
  <c r="AI159" i="16"/>
  <c r="AJ159" i="16" s="1"/>
  <c r="AK159" i="16" s="1"/>
  <c r="X159" i="16"/>
  <c r="Y159" i="16" s="1"/>
  <c r="Z159" i="16" s="1"/>
  <c r="M159" i="16"/>
  <c r="N159" i="16"/>
  <c r="AA159" i="16"/>
  <c r="AB159" i="16" s="1"/>
  <c r="AC159" i="16" s="1"/>
  <c r="AP159" i="16"/>
  <c r="AQ159" i="16" s="1"/>
  <c r="AR159" i="16" s="1"/>
  <c r="AP160" i="16" l="1"/>
  <c r="AQ160" i="16" s="1"/>
  <c r="AR160" i="16" s="1"/>
  <c r="S160" i="16"/>
  <c r="T160" i="16"/>
  <c r="U160" i="16" s="1"/>
  <c r="V160" i="16" s="1"/>
  <c r="AI160" i="16"/>
  <c r="AJ160" i="16" s="1"/>
  <c r="AK160" i="16" s="1"/>
  <c r="X160" i="16"/>
  <c r="Y160" i="16" s="1"/>
  <c r="Z160" i="16" s="1"/>
  <c r="M160" i="16"/>
  <c r="N160" i="16"/>
  <c r="AA160" i="16"/>
  <c r="AB160" i="16" s="1"/>
  <c r="AC160" i="16" s="1"/>
  <c r="L161" i="16"/>
  <c r="K162" i="16"/>
  <c r="L162" i="16" l="1"/>
  <c r="K163" i="16"/>
  <c r="X161" i="16"/>
  <c r="Y161" i="16" s="1"/>
  <c r="Z161" i="16" s="1"/>
  <c r="M161" i="16"/>
  <c r="N161" i="16"/>
  <c r="AA161" i="16"/>
  <c r="AB161" i="16" s="1"/>
  <c r="AC161" i="16" s="1"/>
  <c r="AP161" i="16"/>
  <c r="AQ161" i="16" s="1"/>
  <c r="AR161" i="16" s="1"/>
  <c r="S161" i="16"/>
  <c r="T161" i="16"/>
  <c r="U161" i="16" s="1"/>
  <c r="V161" i="16" s="1"/>
  <c r="AI161" i="16"/>
  <c r="AJ161" i="16" s="1"/>
  <c r="AK161" i="16" s="1"/>
  <c r="K164" i="16" l="1"/>
  <c r="L163" i="16"/>
  <c r="S162" i="16"/>
  <c r="T162" i="16"/>
  <c r="U162" i="16" s="1"/>
  <c r="V162" i="16" s="1"/>
  <c r="AI162" i="16"/>
  <c r="AJ162" i="16" s="1"/>
  <c r="AK162" i="16" s="1"/>
  <c r="X162" i="16"/>
  <c r="Y162" i="16" s="1"/>
  <c r="Z162" i="16" s="1"/>
  <c r="M162" i="16"/>
  <c r="N162" i="16"/>
  <c r="AA162" i="16"/>
  <c r="AB162" i="16" s="1"/>
  <c r="AC162" i="16" s="1"/>
  <c r="AP162" i="16"/>
  <c r="AQ162" i="16" s="1"/>
  <c r="AR162" i="16" s="1"/>
  <c r="AP163" i="16" l="1"/>
  <c r="AQ163" i="16" s="1"/>
  <c r="AR163" i="16" s="1"/>
  <c r="S163" i="16"/>
  <c r="T163" i="16"/>
  <c r="U163" i="16" s="1"/>
  <c r="V163" i="16" s="1"/>
  <c r="AI163" i="16"/>
  <c r="AJ163" i="16" s="1"/>
  <c r="AK163" i="16" s="1"/>
  <c r="X163" i="16"/>
  <c r="Y163" i="16" s="1"/>
  <c r="Z163" i="16" s="1"/>
  <c r="M163" i="16"/>
  <c r="N163" i="16"/>
  <c r="AA163" i="16"/>
  <c r="AB163" i="16" s="1"/>
  <c r="AC163" i="16" s="1"/>
  <c r="L164" i="16"/>
  <c r="K165" i="16"/>
  <c r="L165" i="16" l="1"/>
  <c r="K166" i="16"/>
  <c r="X164" i="16"/>
  <c r="Y164" i="16" s="1"/>
  <c r="Z164" i="16" s="1"/>
  <c r="M164" i="16"/>
  <c r="N164" i="16"/>
  <c r="AA164" i="16"/>
  <c r="AB164" i="16" s="1"/>
  <c r="AC164" i="16" s="1"/>
  <c r="AP164" i="16"/>
  <c r="AQ164" i="16" s="1"/>
  <c r="AR164" i="16" s="1"/>
  <c r="S164" i="16"/>
  <c r="T164" i="16"/>
  <c r="U164" i="16" s="1"/>
  <c r="V164" i="16" s="1"/>
  <c r="AI164" i="16"/>
  <c r="AJ164" i="16" s="1"/>
  <c r="AK164" i="16" s="1"/>
  <c r="K167" i="16" l="1"/>
  <c r="L166" i="16"/>
  <c r="S165" i="16"/>
  <c r="T165" i="16"/>
  <c r="U165" i="16" s="1"/>
  <c r="V165" i="16" s="1"/>
  <c r="AI165" i="16"/>
  <c r="AJ165" i="16" s="1"/>
  <c r="AK165" i="16" s="1"/>
  <c r="X165" i="16"/>
  <c r="Y165" i="16" s="1"/>
  <c r="Z165" i="16" s="1"/>
  <c r="M165" i="16"/>
  <c r="N165" i="16"/>
  <c r="AA165" i="16"/>
  <c r="AB165" i="16" s="1"/>
  <c r="AC165" i="16" s="1"/>
  <c r="AP165" i="16"/>
  <c r="AQ165" i="16" s="1"/>
  <c r="AR165" i="16" s="1"/>
  <c r="AP166" i="16" l="1"/>
  <c r="AQ166" i="16" s="1"/>
  <c r="AR166" i="16" s="1"/>
  <c r="S166" i="16"/>
  <c r="T166" i="16"/>
  <c r="U166" i="16" s="1"/>
  <c r="V166" i="16" s="1"/>
  <c r="AI166" i="16"/>
  <c r="AJ166" i="16" s="1"/>
  <c r="AK166" i="16" s="1"/>
  <c r="X166" i="16"/>
  <c r="Y166" i="16" s="1"/>
  <c r="Z166" i="16" s="1"/>
  <c r="M166" i="16"/>
  <c r="N166" i="16"/>
  <c r="AA166" i="16"/>
  <c r="AB166" i="16" s="1"/>
  <c r="AC166" i="16" s="1"/>
  <c r="L167" i="16"/>
  <c r="K168" i="16"/>
  <c r="L168" i="16" l="1"/>
  <c r="K169" i="16"/>
  <c r="X167" i="16"/>
  <c r="Y167" i="16" s="1"/>
  <c r="Z167" i="16" s="1"/>
  <c r="M167" i="16"/>
  <c r="N167" i="16"/>
  <c r="AA167" i="16"/>
  <c r="AB167" i="16" s="1"/>
  <c r="AC167" i="16" s="1"/>
  <c r="AP167" i="16"/>
  <c r="AQ167" i="16" s="1"/>
  <c r="AR167" i="16" s="1"/>
  <c r="S167" i="16"/>
  <c r="T167" i="16"/>
  <c r="U167" i="16" s="1"/>
  <c r="V167" i="16" s="1"/>
  <c r="AI167" i="16"/>
  <c r="AJ167" i="16" s="1"/>
  <c r="AK167" i="16" s="1"/>
  <c r="K170" i="16" l="1"/>
  <c r="L169" i="16"/>
  <c r="S168" i="16"/>
  <c r="T168" i="16"/>
  <c r="U168" i="16" s="1"/>
  <c r="V168" i="16" s="1"/>
  <c r="AI168" i="16"/>
  <c r="AJ168" i="16" s="1"/>
  <c r="AK168" i="16" s="1"/>
  <c r="X168" i="16"/>
  <c r="Y168" i="16" s="1"/>
  <c r="Z168" i="16" s="1"/>
  <c r="M168" i="16"/>
  <c r="AP168" i="16"/>
  <c r="AQ168" i="16" s="1"/>
  <c r="AR168" i="16" s="1"/>
  <c r="AA168" i="16"/>
  <c r="AB168" i="16" s="1"/>
  <c r="AC168" i="16" s="1"/>
  <c r="N168" i="16"/>
  <c r="AP169" i="16" l="1"/>
  <c r="AQ169" i="16" s="1"/>
  <c r="AR169" i="16" s="1"/>
  <c r="S169" i="16"/>
  <c r="T169" i="16"/>
  <c r="U169" i="16" s="1"/>
  <c r="V169" i="16" s="1"/>
  <c r="AI169" i="16"/>
  <c r="AJ169" i="16" s="1"/>
  <c r="AK169" i="16" s="1"/>
  <c r="X169" i="16"/>
  <c r="Y169" i="16" s="1"/>
  <c r="Z169" i="16" s="1"/>
  <c r="M169" i="16"/>
  <c r="N169" i="16"/>
  <c r="AA169" i="16"/>
  <c r="AB169" i="16" s="1"/>
  <c r="AC169" i="16" s="1"/>
  <c r="L170" i="16"/>
  <c r="K171" i="16"/>
  <c r="L171" i="16" l="1"/>
  <c r="K172" i="16"/>
  <c r="X170" i="16"/>
  <c r="Y170" i="16" s="1"/>
  <c r="Z170" i="16" s="1"/>
  <c r="AP170" i="16"/>
  <c r="AQ170" i="16" s="1"/>
  <c r="AR170" i="16" s="1"/>
  <c r="S170" i="16"/>
  <c r="T170" i="16"/>
  <c r="U170" i="16" s="1"/>
  <c r="V170" i="16" s="1"/>
  <c r="AA170" i="16"/>
  <c r="AB170" i="16" s="1"/>
  <c r="AC170" i="16" s="1"/>
  <c r="AI170" i="16"/>
  <c r="AJ170" i="16" s="1"/>
  <c r="AK170" i="16" s="1"/>
  <c r="M170" i="16"/>
  <c r="N170" i="16"/>
  <c r="L172" i="16" l="1"/>
  <c r="K173" i="16"/>
  <c r="T171" i="16"/>
  <c r="U171" i="16" s="1"/>
  <c r="V171" i="16" s="1"/>
  <c r="X171" i="16"/>
  <c r="Y171" i="16" s="1"/>
  <c r="Z171" i="16" s="1"/>
  <c r="AP171" i="16"/>
  <c r="AQ171" i="16" s="1"/>
  <c r="AR171" i="16" s="1"/>
  <c r="AA171" i="16"/>
  <c r="AB171" i="16" s="1"/>
  <c r="AC171" i="16" s="1"/>
  <c r="M171" i="16"/>
  <c r="AI171" i="16"/>
  <c r="AJ171" i="16" s="1"/>
  <c r="AK171" i="16" s="1"/>
  <c r="N171" i="16"/>
  <c r="S171" i="16"/>
  <c r="L173" i="16" l="1"/>
  <c r="K174" i="16"/>
  <c r="S172" i="16"/>
  <c r="X172" i="16"/>
  <c r="Y172" i="16" s="1"/>
  <c r="Z172" i="16" s="1"/>
  <c r="AA172" i="16"/>
  <c r="AB172" i="16" s="1"/>
  <c r="AC172" i="16" s="1"/>
  <c r="M172" i="16"/>
  <c r="N172" i="16"/>
  <c r="AI172" i="16"/>
  <c r="AJ172" i="16" s="1"/>
  <c r="AK172" i="16" s="1"/>
  <c r="AP172" i="16"/>
  <c r="AQ172" i="16" s="1"/>
  <c r="AR172" i="16" s="1"/>
  <c r="T172" i="16"/>
  <c r="U172" i="16" s="1"/>
  <c r="V172" i="16" s="1"/>
  <c r="AP173" i="16" l="1"/>
  <c r="AQ173" i="16" s="1"/>
  <c r="AR173" i="16" s="1"/>
  <c r="T173" i="16"/>
  <c r="U173" i="16" s="1"/>
  <c r="V173" i="16" s="1"/>
  <c r="AI173" i="16"/>
  <c r="AJ173" i="16" s="1"/>
  <c r="AK173" i="16" s="1"/>
  <c r="S173" i="16"/>
  <c r="X173" i="16"/>
  <c r="Y173" i="16" s="1"/>
  <c r="Z173" i="16" s="1"/>
  <c r="AA173" i="16"/>
  <c r="AB173" i="16" s="1"/>
  <c r="AC173" i="16" s="1"/>
  <c r="M173" i="16"/>
  <c r="N173" i="16"/>
  <c r="L174" i="16"/>
  <c r="K175" i="16"/>
  <c r="T174" i="16" l="1"/>
  <c r="U174" i="16" s="1"/>
  <c r="V174" i="16" s="1"/>
  <c r="X174" i="16"/>
  <c r="Y174" i="16" s="1"/>
  <c r="Z174" i="16" s="1"/>
  <c r="AA174" i="16"/>
  <c r="AB174" i="16" s="1"/>
  <c r="AC174" i="16" s="1"/>
  <c r="M174" i="16"/>
  <c r="N174" i="16"/>
  <c r="AI174" i="16"/>
  <c r="AJ174" i="16" s="1"/>
  <c r="AK174" i="16" s="1"/>
  <c r="S174" i="16"/>
  <c r="AP174" i="16"/>
  <c r="AQ174" i="16" s="1"/>
  <c r="AR174" i="16" s="1"/>
  <c r="L175" i="16"/>
  <c r="K176" i="16"/>
  <c r="L176" i="16" l="1"/>
  <c r="K177" i="16"/>
  <c r="S175" i="16"/>
  <c r="AI175" i="16"/>
  <c r="AJ175" i="16" s="1"/>
  <c r="AK175" i="16" s="1"/>
  <c r="T175" i="16"/>
  <c r="U175" i="16" s="1"/>
  <c r="V175" i="16" s="1"/>
  <c r="X175" i="16"/>
  <c r="Y175" i="16" s="1"/>
  <c r="Z175" i="16" s="1"/>
  <c r="AP175" i="16"/>
  <c r="AQ175" i="16" s="1"/>
  <c r="AR175" i="16" s="1"/>
  <c r="AA175" i="16"/>
  <c r="AB175" i="16" s="1"/>
  <c r="AC175" i="16" s="1"/>
  <c r="N175" i="16"/>
  <c r="M175" i="16"/>
  <c r="K178" i="16" l="1"/>
  <c r="L177" i="16"/>
  <c r="T176" i="16"/>
  <c r="U176" i="16" s="1"/>
  <c r="V176" i="16" s="1"/>
  <c r="AI176" i="16"/>
  <c r="AJ176" i="16" s="1"/>
  <c r="AK176" i="16" s="1"/>
  <c r="S176" i="16"/>
  <c r="X176" i="16"/>
  <c r="Y176" i="16" s="1"/>
  <c r="Z176" i="16" s="1"/>
  <c r="AP176" i="16"/>
  <c r="AQ176" i="16" s="1"/>
  <c r="AR176" i="16" s="1"/>
  <c r="AA176" i="16"/>
  <c r="AB176" i="16" s="1"/>
  <c r="AC176" i="16" s="1"/>
  <c r="M176" i="16"/>
  <c r="N176" i="16"/>
  <c r="T177" i="16" l="1"/>
  <c r="U177" i="16" s="1"/>
  <c r="V177" i="16" s="1"/>
  <c r="X177" i="16"/>
  <c r="Y177" i="16" s="1"/>
  <c r="Z177" i="16" s="1"/>
  <c r="AP177" i="16"/>
  <c r="AQ177" i="16" s="1"/>
  <c r="AR177" i="16" s="1"/>
  <c r="AA177" i="16"/>
  <c r="AB177" i="16" s="1"/>
  <c r="AC177" i="16" s="1"/>
  <c r="M177" i="16"/>
  <c r="N177" i="16"/>
  <c r="AI177" i="16"/>
  <c r="AJ177" i="16" s="1"/>
  <c r="AK177" i="16" s="1"/>
  <c r="S177" i="16"/>
  <c r="L178" i="16"/>
  <c r="K179" i="16"/>
  <c r="L179" i="16" l="1"/>
  <c r="K180" i="16"/>
  <c r="AP178" i="16"/>
  <c r="AQ178" i="16" s="1"/>
  <c r="AR178" i="16" s="1"/>
  <c r="AA178" i="16"/>
  <c r="AB178" i="16" s="1"/>
  <c r="AC178" i="16" s="1"/>
  <c r="M178" i="16"/>
  <c r="N178" i="16"/>
  <c r="S178" i="16"/>
  <c r="AI178" i="16"/>
  <c r="AJ178" i="16" s="1"/>
  <c r="AK178" i="16" s="1"/>
  <c r="T178" i="16"/>
  <c r="U178" i="16" s="1"/>
  <c r="V178" i="16" s="1"/>
  <c r="X178" i="16"/>
  <c r="Y178" i="16" s="1"/>
  <c r="Z178" i="16" s="1"/>
  <c r="K181" i="16" l="1"/>
  <c r="L180" i="16"/>
  <c r="T179" i="16"/>
  <c r="U179" i="16" s="1"/>
  <c r="V179" i="16" s="1"/>
  <c r="N179" i="16"/>
  <c r="AI179" i="16"/>
  <c r="AJ179" i="16" s="1"/>
  <c r="AK179" i="16" s="1"/>
  <c r="S179" i="16"/>
  <c r="X179" i="16"/>
  <c r="Y179" i="16" s="1"/>
  <c r="Z179" i="16" s="1"/>
  <c r="AP179" i="16"/>
  <c r="AQ179" i="16" s="1"/>
  <c r="AR179" i="16" s="1"/>
  <c r="M179" i="16"/>
  <c r="AA179" i="16"/>
  <c r="AB179" i="16" s="1"/>
  <c r="AC179" i="16" s="1"/>
  <c r="T180" i="16" l="1"/>
  <c r="U180" i="16" s="1"/>
  <c r="V180" i="16" s="1"/>
  <c r="AI180" i="16"/>
  <c r="AJ180" i="16" s="1"/>
  <c r="AK180" i="16" s="1"/>
  <c r="S180" i="16"/>
  <c r="X180" i="16"/>
  <c r="Y180" i="16" s="1"/>
  <c r="Z180" i="16" s="1"/>
  <c r="AP180" i="16"/>
  <c r="AQ180" i="16" s="1"/>
  <c r="AR180" i="16" s="1"/>
  <c r="AA180" i="16"/>
  <c r="AB180" i="16" s="1"/>
  <c r="AC180" i="16" s="1"/>
  <c r="M180" i="16"/>
  <c r="N180" i="16"/>
  <c r="L181" i="16"/>
  <c r="K182" i="16"/>
  <c r="L182" i="16" l="1"/>
  <c r="K183" i="16"/>
  <c r="T181" i="16"/>
  <c r="U181" i="16" s="1"/>
  <c r="V181" i="16" s="1"/>
  <c r="X181" i="16"/>
  <c r="Y181" i="16" s="1"/>
  <c r="Z181" i="16" s="1"/>
  <c r="AP181" i="16"/>
  <c r="AQ181" i="16" s="1"/>
  <c r="AR181" i="16" s="1"/>
  <c r="AA181" i="16"/>
  <c r="AB181" i="16" s="1"/>
  <c r="AC181" i="16" s="1"/>
  <c r="M181" i="16"/>
  <c r="N181" i="16"/>
  <c r="S181" i="16"/>
  <c r="AI181" i="16"/>
  <c r="AJ181" i="16" s="1"/>
  <c r="AK181" i="16" s="1"/>
  <c r="L183" i="16" l="1"/>
  <c r="K184" i="16"/>
  <c r="X182" i="16"/>
  <c r="Y182" i="16" s="1"/>
  <c r="Z182" i="16" s="1"/>
  <c r="M182" i="16"/>
  <c r="AA182" i="16"/>
  <c r="AB182" i="16" s="1"/>
  <c r="AC182" i="16" s="1"/>
  <c r="AP182" i="16"/>
  <c r="AQ182" i="16" s="1"/>
  <c r="AR182" i="16" s="1"/>
  <c r="N182" i="16"/>
  <c r="S182" i="16"/>
  <c r="AI182" i="16"/>
  <c r="AJ182" i="16" s="1"/>
  <c r="AK182" i="16" s="1"/>
  <c r="T182" i="16"/>
  <c r="U182" i="16" s="1"/>
  <c r="V182" i="16" s="1"/>
  <c r="L184" i="16" l="1"/>
  <c r="K185" i="16"/>
  <c r="T183" i="16"/>
  <c r="U183" i="16" s="1"/>
  <c r="V183" i="16" s="1"/>
  <c r="X183" i="16"/>
  <c r="Y183" i="16" s="1"/>
  <c r="Z183" i="16" s="1"/>
  <c r="M183" i="16"/>
  <c r="AA183" i="16"/>
  <c r="AB183" i="16" s="1"/>
  <c r="AC183" i="16" s="1"/>
  <c r="AP183" i="16"/>
  <c r="AQ183" i="16" s="1"/>
  <c r="AR183" i="16" s="1"/>
  <c r="N183" i="16"/>
  <c r="S183" i="16"/>
  <c r="AI183" i="16"/>
  <c r="AJ183" i="16" s="1"/>
  <c r="AK183" i="16" s="1"/>
  <c r="L185" i="16" l="1"/>
  <c r="K186" i="16"/>
  <c r="X184" i="16"/>
  <c r="Y184" i="16" s="1"/>
  <c r="Z184" i="16" s="1"/>
  <c r="M184" i="16"/>
  <c r="AA184" i="16"/>
  <c r="AB184" i="16" s="1"/>
  <c r="AC184" i="16" s="1"/>
  <c r="AP184" i="16"/>
  <c r="AQ184" i="16" s="1"/>
  <c r="AR184" i="16" s="1"/>
  <c r="N184" i="16"/>
  <c r="T184" i="16"/>
  <c r="U184" i="16" s="1"/>
  <c r="V184" i="16" s="1"/>
  <c r="AI184" i="16"/>
  <c r="AJ184" i="16" s="1"/>
  <c r="AK184" i="16" s="1"/>
  <c r="S184" i="16"/>
  <c r="L186" i="16" l="1"/>
  <c r="K187" i="16"/>
  <c r="T185" i="16"/>
  <c r="U185" i="16" s="1"/>
  <c r="V185" i="16" s="1"/>
  <c r="AI185" i="16"/>
  <c r="AJ185" i="16" s="1"/>
  <c r="AK185" i="16" s="1"/>
  <c r="X185" i="16"/>
  <c r="Y185" i="16" s="1"/>
  <c r="Z185" i="16" s="1"/>
  <c r="M185" i="16"/>
  <c r="AA185" i="16"/>
  <c r="AB185" i="16" s="1"/>
  <c r="AC185" i="16" s="1"/>
  <c r="AP185" i="16"/>
  <c r="AQ185" i="16" s="1"/>
  <c r="AR185" i="16" s="1"/>
  <c r="N185" i="16"/>
  <c r="S185" i="16"/>
  <c r="L187" i="16" l="1"/>
  <c r="K188" i="16"/>
  <c r="T186" i="16"/>
  <c r="U186" i="16" s="1"/>
  <c r="V186" i="16" s="1"/>
  <c r="S186" i="16"/>
  <c r="AI186" i="16"/>
  <c r="AJ186" i="16" s="1"/>
  <c r="AK186" i="16" s="1"/>
  <c r="X186" i="16"/>
  <c r="Y186" i="16" s="1"/>
  <c r="Z186" i="16" s="1"/>
  <c r="M186" i="16"/>
  <c r="AA186" i="16"/>
  <c r="AB186" i="16" s="1"/>
  <c r="AC186" i="16" s="1"/>
  <c r="AP186" i="16"/>
  <c r="AQ186" i="16" s="1"/>
  <c r="AR186" i="16" s="1"/>
  <c r="N186" i="16"/>
  <c r="L188" i="16" l="1"/>
  <c r="K189" i="16"/>
  <c r="S187" i="16"/>
  <c r="T187" i="16"/>
  <c r="U187" i="16" s="1"/>
  <c r="V187" i="16" s="1"/>
  <c r="AI187" i="16"/>
  <c r="AJ187" i="16" s="1"/>
  <c r="AK187" i="16" s="1"/>
  <c r="X187" i="16"/>
  <c r="Y187" i="16" s="1"/>
  <c r="Z187" i="16" s="1"/>
  <c r="M187" i="16"/>
  <c r="AA187" i="16"/>
  <c r="AB187" i="16" s="1"/>
  <c r="AC187" i="16" s="1"/>
  <c r="AP187" i="16"/>
  <c r="AQ187" i="16" s="1"/>
  <c r="AR187" i="16" s="1"/>
  <c r="N187" i="16"/>
  <c r="L189" i="16" l="1"/>
  <c r="K190" i="16"/>
  <c r="T188" i="16"/>
  <c r="U188" i="16" s="1"/>
  <c r="V188" i="16" s="1"/>
  <c r="AI188" i="16"/>
  <c r="AJ188" i="16" s="1"/>
  <c r="AK188" i="16" s="1"/>
  <c r="X188" i="16"/>
  <c r="Y188" i="16" s="1"/>
  <c r="Z188" i="16" s="1"/>
  <c r="M188" i="16"/>
  <c r="AA188" i="16"/>
  <c r="AB188" i="16" s="1"/>
  <c r="AC188" i="16" s="1"/>
  <c r="AP188" i="16"/>
  <c r="AQ188" i="16" s="1"/>
  <c r="AR188" i="16" s="1"/>
  <c r="S188" i="16"/>
  <c r="N188" i="16"/>
  <c r="L190" i="16" l="1"/>
  <c r="K191" i="16"/>
  <c r="T189" i="16"/>
  <c r="U189" i="16" s="1"/>
  <c r="V189" i="16" s="1"/>
  <c r="S189" i="16"/>
  <c r="AI189" i="16"/>
  <c r="AJ189" i="16" s="1"/>
  <c r="AK189" i="16" s="1"/>
  <c r="X189" i="16"/>
  <c r="Y189" i="16" s="1"/>
  <c r="Z189" i="16" s="1"/>
  <c r="N189" i="16"/>
  <c r="M189" i="16"/>
  <c r="AA189" i="16"/>
  <c r="AB189" i="16" s="1"/>
  <c r="AC189" i="16" s="1"/>
  <c r="AP189" i="16"/>
  <c r="AQ189" i="16" s="1"/>
  <c r="AR189" i="16" s="1"/>
  <c r="L191" i="16" l="1"/>
  <c r="K192" i="16"/>
  <c r="S190" i="16"/>
  <c r="T190" i="16"/>
  <c r="U190" i="16" s="1"/>
  <c r="V190" i="16" s="1"/>
  <c r="AI190" i="16"/>
  <c r="AJ190" i="16" s="1"/>
  <c r="AK190" i="16" s="1"/>
  <c r="X190" i="16"/>
  <c r="Y190" i="16" s="1"/>
  <c r="Z190" i="16" s="1"/>
  <c r="M190" i="16"/>
  <c r="AA190" i="16"/>
  <c r="AB190" i="16" s="1"/>
  <c r="AC190" i="16" s="1"/>
  <c r="AP190" i="16"/>
  <c r="AQ190" i="16" s="1"/>
  <c r="AR190" i="16" s="1"/>
  <c r="N190" i="16"/>
  <c r="L192" i="16" l="1"/>
  <c r="K193" i="16"/>
  <c r="S191" i="16"/>
  <c r="X191" i="16"/>
  <c r="Y191" i="16" s="1"/>
  <c r="Z191" i="16" s="1"/>
  <c r="M191" i="16"/>
  <c r="AA191" i="16"/>
  <c r="AB191" i="16" s="1"/>
  <c r="AC191" i="16" s="1"/>
  <c r="AP191" i="16"/>
  <c r="AQ191" i="16" s="1"/>
  <c r="AR191" i="16" s="1"/>
  <c r="AI191" i="16"/>
  <c r="AJ191" i="16" s="1"/>
  <c r="AK191" i="16" s="1"/>
  <c r="N191" i="16"/>
  <c r="T191" i="16"/>
  <c r="U191" i="16" s="1"/>
  <c r="V191" i="16" s="1"/>
  <c r="K194" i="16" l="1"/>
  <c r="L193" i="16"/>
  <c r="T192" i="16"/>
  <c r="U192" i="16" s="1"/>
  <c r="V192" i="16" s="1"/>
  <c r="X192" i="16"/>
  <c r="Y192" i="16" s="1"/>
  <c r="Z192" i="16" s="1"/>
  <c r="AP192" i="16"/>
  <c r="AQ192" i="16" s="1"/>
  <c r="AR192" i="16" s="1"/>
  <c r="M192" i="16"/>
  <c r="N192" i="16"/>
  <c r="S192" i="16"/>
  <c r="AA192" i="16"/>
  <c r="AB192" i="16" s="1"/>
  <c r="AC192" i="16" s="1"/>
  <c r="AI192" i="16"/>
  <c r="AJ192" i="16" s="1"/>
  <c r="AK192" i="16" s="1"/>
  <c r="N193" i="16" l="1"/>
  <c r="T193" i="16"/>
  <c r="U193" i="16" s="1"/>
  <c r="V193" i="16" s="1"/>
  <c r="AI193" i="16"/>
  <c r="AJ193" i="16" s="1"/>
  <c r="AK193" i="16" s="1"/>
  <c r="AA193" i="16"/>
  <c r="AB193" i="16" s="1"/>
  <c r="AC193" i="16" s="1"/>
  <c r="M193" i="16"/>
  <c r="AP193" i="16"/>
  <c r="AQ193" i="16" s="1"/>
  <c r="AR193" i="16" s="1"/>
  <c r="X193" i="16"/>
  <c r="Y193" i="16" s="1"/>
  <c r="Z193" i="16" s="1"/>
  <c r="S193" i="16"/>
  <c r="L194" i="16"/>
  <c r="K195" i="16"/>
  <c r="K196" i="16" l="1"/>
  <c r="L195" i="16"/>
  <c r="N194" i="16"/>
  <c r="S194" i="16"/>
  <c r="T194" i="16"/>
  <c r="U194" i="16" s="1"/>
  <c r="V194" i="16" s="1"/>
  <c r="AI194" i="16"/>
  <c r="AJ194" i="16" s="1"/>
  <c r="AK194" i="16" s="1"/>
  <c r="X194" i="16"/>
  <c r="Y194" i="16" s="1"/>
  <c r="Z194" i="16" s="1"/>
  <c r="AP194" i="16"/>
  <c r="AQ194" i="16" s="1"/>
  <c r="AR194" i="16" s="1"/>
  <c r="M194" i="16"/>
  <c r="AA194" i="16"/>
  <c r="AB194" i="16" s="1"/>
  <c r="AC194" i="16" s="1"/>
  <c r="T195" i="16" l="1"/>
  <c r="U195" i="16" s="1"/>
  <c r="V195" i="16" s="1"/>
  <c r="M195" i="16"/>
  <c r="AA195" i="16"/>
  <c r="AB195" i="16" s="1"/>
  <c r="AC195" i="16" s="1"/>
  <c r="AP195" i="16"/>
  <c r="AQ195" i="16" s="1"/>
  <c r="AR195" i="16" s="1"/>
  <c r="S195" i="16"/>
  <c r="AI195" i="16"/>
  <c r="AJ195" i="16" s="1"/>
  <c r="AK195" i="16" s="1"/>
  <c r="X195" i="16"/>
  <c r="Y195" i="16" s="1"/>
  <c r="Z195" i="16" s="1"/>
  <c r="N195" i="16"/>
  <c r="L196" i="16"/>
  <c r="K197" i="16"/>
  <c r="L197" i="16" l="1"/>
  <c r="K198" i="16"/>
  <c r="N196" i="16"/>
  <c r="S196" i="16"/>
  <c r="AA196" i="16"/>
  <c r="AB196" i="16" s="1"/>
  <c r="AC196" i="16" s="1"/>
  <c r="AI196" i="16"/>
  <c r="AJ196" i="16" s="1"/>
  <c r="AK196" i="16" s="1"/>
  <c r="M196" i="16"/>
  <c r="AP196" i="16"/>
  <c r="AQ196" i="16" s="1"/>
  <c r="AR196" i="16" s="1"/>
  <c r="T196" i="16"/>
  <c r="U196" i="16" s="1"/>
  <c r="V196" i="16" s="1"/>
  <c r="X196" i="16"/>
  <c r="Y196" i="16" s="1"/>
  <c r="Z196" i="16" s="1"/>
  <c r="K199" i="16" l="1"/>
  <c r="L198" i="16"/>
  <c r="N197" i="16"/>
  <c r="AA197" i="16"/>
  <c r="AB197" i="16" s="1"/>
  <c r="AC197" i="16" s="1"/>
  <c r="AI197" i="16"/>
  <c r="AJ197" i="16" s="1"/>
  <c r="AK197" i="16" s="1"/>
  <c r="M197" i="16"/>
  <c r="S197" i="16"/>
  <c r="T197" i="16"/>
  <c r="U197" i="16" s="1"/>
  <c r="V197" i="16" s="1"/>
  <c r="AP197" i="16"/>
  <c r="AQ197" i="16" s="1"/>
  <c r="AR197" i="16" s="1"/>
  <c r="X197" i="16"/>
  <c r="Y197" i="16" s="1"/>
  <c r="Z197" i="16" s="1"/>
  <c r="T198" i="16" l="1"/>
  <c r="U198" i="16" s="1"/>
  <c r="V198" i="16" s="1"/>
  <c r="M198" i="16"/>
  <c r="N198" i="16"/>
  <c r="AA198" i="16"/>
  <c r="AB198" i="16" s="1"/>
  <c r="AC198" i="16" s="1"/>
  <c r="AI198" i="16"/>
  <c r="AJ198" i="16" s="1"/>
  <c r="AK198" i="16" s="1"/>
  <c r="AP198" i="16"/>
  <c r="AQ198" i="16" s="1"/>
  <c r="AR198" i="16" s="1"/>
  <c r="S198" i="16"/>
  <c r="X198" i="16"/>
  <c r="Y198" i="16" s="1"/>
  <c r="Z198" i="16" s="1"/>
  <c r="L199" i="16"/>
  <c r="K200" i="16"/>
  <c r="K201" i="16" l="1"/>
  <c r="L200" i="16"/>
  <c r="AI199" i="16"/>
  <c r="AJ199" i="16" s="1"/>
  <c r="AK199" i="16" s="1"/>
  <c r="M199" i="16"/>
  <c r="AA199" i="16"/>
  <c r="AB199" i="16" s="1"/>
  <c r="AC199" i="16" s="1"/>
  <c r="S199" i="16"/>
  <c r="N199" i="16"/>
  <c r="T199" i="16"/>
  <c r="U199" i="16" s="1"/>
  <c r="V199" i="16" s="1"/>
  <c r="X199" i="16"/>
  <c r="Y199" i="16" s="1"/>
  <c r="Z199" i="16" s="1"/>
  <c r="AP199" i="16"/>
  <c r="AQ199" i="16" s="1"/>
  <c r="AR199" i="16" s="1"/>
  <c r="AI200" i="16" l="1"/>
  <c r="AJ200" i="16" s="1"/>
  <c r="AK200" i="16" s="1"/>
  <c r="M200" i="16"/>
  <c r="N200" i="16"/>
  <c r="S200" i="16"/>
  <c r="X200" i="16"/>
  <c r="Y200" i="16" s="1"/>
  <c r="Z200" i="16" s="1"/>
  <c r="AP200" i="16"/>
  <c r="AQ200" i="16" s="1"/>
  <c r="AR200" i="16" s="1"/>
  <c r="T200" i="16"/>
  <c r="U200" i="16" s="1"/>
  <c r="V200" i="16" s="1"/>
  <c r="AA200" i="16"/>
  <c r="AB200" i="16" s="1"/>
  <c r="AC200" i="16" s="1"/>
  <c r="K202" i="16"/>
  <c r="L201" i="16"/>
  <c r="M201" i="16" l="1"/>
  <c r="N201" i="16"/>
  <c r="AA201" i="16"/>
  <c r="AB201" i="16" s="1"/>
  <c r="AC201" i="16" s="1"/>
  <c r="S201" i="16"/>
  <c r="T201" i="16"/>
  <c r="U201" i="16" s="1"/>
  <c r="V201" i="16" s="1"/>
  <c r="AP201" i="16"/>
  <c r="AQ201" i="16" s="1"/>
  <c r="AR201" i="16" s="1"/>
  <c r="X201" i="16"/>
  <c r="Y201" i="16" s="1"/>
  <c r="Z201" i="16" s="1"/>
  <c r="AI201" i="16"/>
  <c r="AJ201" i="16" s="1"/>
  <c r="AK201" i="16" s="1"/>
  <c r="L202" i="16"/>
  <c r="K203" i="16"/>
  <c r="AI202" i="16" l="1"/>
  <c r="AJ202" i="16" s="1"/>
  <c r="AK202" i="16" s="1"/>
  <c r="M202" i="16"/>
  <c r="N202" i="16"/>
  <c r="S202" i="16"/>
  <c r="T202" i="16"/>
  <c r="U202" i="16" s="1"/>
  <c r="V202" i="16" s="1"/>
  <c r="X202" i="16"/>
  <c r="Y202" i="16" s="1"/>
  <c r="Z202" i="16" s="1"/>
  <c r="AA202" i="16"/>
  <c r="AB202" i="16" s="1"/>
  <c r="AC202" i="16" s="1"/>
  <c r="AP202" i="16"/>
  <c r="AQ202" i="16" s="1"/>
  <c r="AR202" i="16" s="1"/>
  <c r="L203" i="16"/>
  <c r="K204" i="16"/>
  <c r="L204" i="16" l="1"/>
  <c r="K205" i="16"/>
  <c r="AI203" i="16"/>
  <c r="AJ203" i="16" s="1"/>
  <c r="AK203" i="16" s="1"/>
  <c r="N203" i="16"/>
  <c r="S203" i="16"/>
  <c r="X203" i="16"/>
  <c r="Y203" i="16" s="1"/>
  <c r="Z203" i="16" s="1"/>
  <c r="AP203" i="16"/>
  <c r="AQ203" i="16" s="1"/>
  <c r="AR203" i="16" s="1"/>
  <c r="M203" i="16"/>
  <c r="T203" i="16"/>
  <c r="U203" i="16" s="1"/>
  <c r="V203" i="16" s="1"/>
  <c r="AA203" i="16"/>
  <c r="AB203" i="16" s="1"/>
  <c r="AC203" i="16" s="1"/>
  <c r="K206" i="16" l="1"/>
  <c r="L205" i="16"/>
  <c r="N204" i="16"/>
  <c r="AA204" i="16"/>
  <c r="AB204" i="16" s="1"/>
  <c r="AC204" i="16" s="1"/>
  <c r="S204" i="16"/>
  <c r="X204" i="16"/>
  <c r="Y204" i="16" s="1"/>
  <c r="Z204" i="16" s="1"/>
  <c r="AI204" i="16"/>
  <c r="AJ204" i="16" s="1"/>
  <c r="AK204" i="16" s="1"/>
  <c r="AP204" i="16"/>
  <c r="AQ204" i="16" s="1"/>
  <c r="AR204" i="16" s="1"/>
  <c r="M204" i="16"/>
  <c r="T204" i="16"/>
  <c r="U204" i="16" s="1"/>
  <c r="V204" i="16" s="1"/>
  <c r="N205" i="16" l="1"/>
  <c r="T205" i="16"/>
  <c r="U205" i="16" s="1"/>
  <c r="V205" i="16" s="1"/>
  <c r="AI205" i="16"/>
  <c r="AJ205" i="16" s="1"/>
  <c r="AK205" i="16" s="1"/>
  <c r="X205" i="16"/>
  <c r="Y205" i="16" s="1"/>
  <c r="Z205" i="16" s="1"/>
  <c r="M205" i="16"/>
  <c r="S205" i="16"/>
  <c r="AA205" i="16"/>
  <c r="AB205" i="16" s="1"/>
  <c r="AC205" i="16" s="1"/>
  <c r="AP205" i="16"/>
  <c r="AQ205" i="16" s="1"/>
  <c r="AR205" i="16" s="1"/>
  <c r="L206" i="16"/>
  <c r="K207" i="16"/>
  <c r="L207" i="16" l="1"/>
  <c r="K208" i="16"/>
  <c r="M206" i="16"/>
  <c r="N206" i="16"/>
  <c r="AA206" i="16"/>
  <c r="AB206" i="16" s="1"/>
  <c r="AC206" i="16" s="1"/>
  <c r="AP206" i="16"/>
  <c r="AQ206" i="16" s="1"/>
  <c r="AR206" i="16" s="1"/>
  <c r="S206" i="16"/>
  <c r="T206" i="16"/>
  <c r="U206" i="16" s="1"/>
  <c r="V206" i="16" s="1"/>
  <c r="X206" i="16"/>
  <c r="Y206" i="16" s="1"/>
  <c r="Z206" i="16" s="1"/>
  <c r="AI206" i="16"/>
  <c r="AJ206" i="16" s="1"/>
  <c r="AK206" i="16" s="1"/>
  <c r="L208" i="16" l="1"/>
  <c r="K209" i="16"/>
  <c r="T207" i="16"/>
  <c r="U207" i="16" s="1"/>
  <c r="V207" i="16" s="1"/>
  <c r="AI207" i="16"/>
  <c r="AJ207" i="16" s="1"/>
  <c r="AK207" i="16" s="1"/>
  <c r="X207" i="16"/>
  <c r="Y207" i="16" s="1"/>
  <c r="Z207" i="16" s="1"/>
  <c r="N207" i="16"/>
  <c r="AA207" i="16"/>
  <c r="AB207" i="16" s="1"/>
  <c r="AC207" i="16" s="1"/>
  <c r="AP207" i="16"/>
  <c r="AQ207" i="16" s="1"/>
  <c r="AR207" i="16" s="1"/>
  <c r="M207" i="16"/>
  <c r="S207" i="16"/>
  <c r="L209" i="16" l="1"/>
  <c r="K210" i="16"/>
  <c r="S208" i="16"/>
  <c r="T208" i="16"/>
  <c r="U208" i="16" s="1"/>
  <c r="V208" i="16" s="1"/>
  <c r="X208" i="16"/>
  <c r="Y208" i="16" s="1"/>
  <c r="Z208" i="16" s="1"/>
  <c r="AA208" i="16"/>
  <c r="AB208" i="16" s="1"/>
  <c r="AC208" i="16" s="1"/>
  <c r="AI208" i="16"/>
  <c r="AJ208" i="16" s="1"/>
  <c r="AK208" i="16" s="1"/>
  <c r="AP208" i="16"/>
  <c r="AQ208" i="16" s="1"/>
  <c r="AR208" i="16" s="1"/>
  <c r="M208" i="16"/>
  <c r="N208" i="16"/>
  <c r="L210" i="16" l="1"/>
  <c r="K211" i="16"/>
  <c r="M209" i="16"/>
  <c r="N209" i="16"/>
  <c r="AA209" i="16"/>
  <c r="AB209" i="16" s="1"/>
  <c r="AC209" i="16" s="1"/>
  <c r="AP209" i="16"/>
  <c r="AQ209" i="16" s="1"/>
  <c r="AR209" i="16" s="1"/>
  <c r="S209" i="16"/>
  <c r="T209" i="16"/>
  <c r="U209" i="16" s="1"/>
  <c r="V209" i="16" s="1"/>
  <c r="X209" i="16"/>
  <c r="Y209" i="16" s="1"/>
  <c r="Z209" i="16" s="1"/>
  <c r="AI209" i="16"/>
  <c r="AJ209" i="16" s="1"/>
  <c r="AK209" i="16" s="1"/>
  <c r="L211" i="16" l="1"/>
  <c r="K212" i="16"/>
  <c r="T210" i="16"/>
  <c r="U210" i="16" s="1"/>
  <c r="V210" i="16" s="1"/>
  <c r="AI210" i="16"/>
  <c r="AJ210" i="16" s="1"/>
  <c r="AK210" i="16" s="1"/>
  <c r="X210" i="16"/>
  <c r="Y210" i="16" s="1"/>
  <c r="Z210" i="16" s="1"/>
  <c r="N210" i="16"/>
  <c r="AA210" i="16"/>
  <c r="AB210" i="16" s="1"/>
  <c r="AC210" i="16" s="1"/>
  <c r="AP210" i="16"/>
  <c r="AQ210" i="16" s="1"/>
  <c r="AR210" i="16" s="1"/>
  <c r="M210" i="16"/>
  <c r="S210" i="16"/>
  <c r="L212" i="16" l="1"/>
  <c r="K213" i="16"/>
  <c r="S211" i="16"/>
  <c r="T211" i="16"/>
  <c r="U211" i="16" s="1"/>
  <c r="V211" i="16" s="1"/>
  <c r="X211" i="16"/>
  <c r="Y211" i="16" s="1"/>
  <c r="Z211" i="16" s="1"/>
  <c r="AA211" i="16"/>
  <c r="AB211" i="16" s="1"/>
  <c r="AC211" i="16" s="1"/>
  <c r="AI211" i="16"/>
  <c r="AJ211" i="16" s="1"/>
  <c r="AK211" i="16" s="1"/>
  <c r="AP211" i="16"/>
  <c r="AQ211" i="16" s="1"/>
  <c r="AR211" i="16" s="1"/>
  <c r="M211" i="16"/>
  <c r="N211" i="16"/>
  <c r="L213" i="16" l="1"/>
  <c r="K214" i="16"/>
  <c r="M212" i="16"/>
  <c r="AP212" i="16"/>
  <c r="AQ212" i="16" s="1"/>
  <c r="AR212" i="16" s="1"/>
  <c r="S212" i="16"/>
  <c r="T212" i="16"/>
  <c r="U212" i="16" s="1"/>
  <c r="V212" i="16" s="1"/>
  <c r="AI212" i="16"/>
  <c r="AJ212" i="16" s="1"/>
  <c r="AK212" i="16" s="1"/>
  <c r="N212" i="16"/>
  <c r="X212" i="16"/>
  <c r="Y212" i="16" s="1"/>
  <c r="Z212" i="16" s="1"/>
  <c r="AA212" i="16"/>
  <c r="AB212" i="16" s="1"/>
  <c r="AC212" i="16" s="1"/>
  <c r="L214" i="16" l="1"/>
  <c r="K215" i="16"/>
  <c r="T213" i="16"/>
  <c r="U213" i="16" s="1"/>
  <c r="V213" i="16" s="1"/>
  <c r="AI213" i="16"/>
  <c r="AJ213" i="16" s="1"/>
  <c r="AK213" i="16" s="1"/>
  <c r="X213" i="16"/>
  <c r="Y213" i="16" s="1"/>
  <c r="Z213" i="16" s="1"/>
  <c r="N213" i="16"/>
  <c r="AA213" i="16"/>
  <c r="AB213" i="16" s="1"/>
  <c r="AC213" i="16" s="1"/>
  <c r="AP213" i="16"/>
  <c r="AQ213" i="16" s="1"/>
  <c r="AR213" i="16" s="1"/>
  <c r="S213" i="16"/>
  <c r="M213" i="16"/>
  <c r="L215" i="16" l="1"/>
  <c r="K216" i="16"/>
  <c r="S214" i="16"/>
  <c r="T214" i="16"/>
  <c r="U214" i="16" s="1"/>
  <c r="V214" i="16" s="1"/>
  <c r="X214" i="16"/>
  <c r="Y214" i="16" s="1"/>
  <c r="Z214" i="16" s="1"/>
  <c r="AI214" i="16"/>
  <c r="AJ214" i="16" s="1"/>
  <c r="AK214" i="16" s="1"/>
  <c r="M214" i="16"/>
  <c r="AP214" i="16"/>
  <c r="AQ214" i="16" s="1"/>
  <c r="AR214" i="16" s="1"/>
  <c r="N214" i="16"/>
  <c r="AA214" i="16"/>
  <c r="AB214" i="16" s="1"/>
  <c r="AC214" i="16" s="1"/>
  <c r="L216" i="16" l="1"/>
  <c r="K217" i="16"/>
  <c r="M215" i="16"/>
  <c r="AP215" i="16"/>
  <c r="AQ215" i="16" s="1"/>
  <c r="AR215" i="16" s="1"/>
  <c r="S215" i="16"/>
  <c r="T215" i="16"/>
  <c r="U215" i="16" s="1"/>
  <c r="V215" i="16" s="1"/>
  <c r="X215" i="16"/>
  <c r="Y215" i="16" s="1"/>
  <c r="Z215" i="16" s="1"/>
  <c r="AA215" i="16"/>
  <c r="AB215" i="16" s="1"/>
  <c r="AC215" i="16" s="1"/>
  <c r="AI215" i="16"/>
  <c r="AJ215" i="16" s="1"/>
  <c r="AK215" i="16" s="1"/>
  <c r="N215" i="16"/>
  <c r="L217" i="16" l="1"/>
  <c r="K218" i="16"/>
  <c r="T216" i="16"/>
  <c r="U216" i="16" s="1"/>
  <c r="V216" i="16" s="1"/>
  <c r="AI216" i="16"/>
  <c r="AJ216" i="16" s="1"/>
  <c r="AK216" i="16" s="1"/>
  <c r="X216" i="16"/>
  <c r="Y216" i="16" s="1"/>
  <c r="Z216" i="16" s="1"/>
  <c r="AP216" i="16"/>
  <c r="AQ216" i="16" s="1"/>
  <c r="AR216" i="16" s="1"/>
  <c r="M216" i="16"/>
  <c r="N216" i="16"/>
  <c r="S216" i="16"/>
  <c r="AA216" i="16"/>
  <c r="AB216" i="16" s="1"/>
  <c r="AC216" i="16" s="1"/>
  <c r="L218" i="16" l="1"/>
  <c r="K219" i="16"/>
  <c r="S217" i="16"/>
  <c r="T217" i="16"/>
  <c r="U217" i="16" s="1"/>
  <c r="V217" i="16" s="1"/>
  <c r="X217" i="16"/>
  <c r="Y217" i="16" s="1"/>
  <c r="Z217" i="16" s="1"/>
  <c r="AI217" i="16"/>
  <c r="AJ217" i="16" s="1"/>
  <c r="AK217" i="16" s="1"/>
  <c r="M217" i="16"/>
  <c r="N217" i="16"/>
  <c r="AP217" i="16"/>
  <c r="AQ217" i="16" s="1"/>
  <c r="AR217" i="16" s="1"/>
  <c r="AA217" i="16"/>
  <c r="AB217" i="16" s="1"/>
  <c r="AC217" i="16" s="1"/>
  <c r="L219" i="16" l="1"/>
  <c r="K220" i="16"/>
  <c r="M218" i="16"/>
  <c r="AP218" i="16"/>
  <c r="AQ218" i="16" s="1"/>
  <c r="AR218" i="16" s="1"/>
  <c r="S218" i="16"/>
  <c r="T218" i="16"/>
  <c r="U218" i="16" s="1"/>
  <c r="V218" i="16" s="1"/>
  <c r="N218" i="16"/>
  <c r="X218" i="16"/>
  <c r="Y218" i="16" s="1"/>
  <c r="Z218" i="16" s="1"/>
  <c r="AA218" i="16"/>
  <c r="AB218" i="16" s="1"/>
  <c r="AC218" i="16" s="1"/>
  <c r="AI218" i="16"/>
  <c r="AJ218" i="16" s="1"/>
  <c r="AK218" i="16" s="1"/>
  <c r="L220" i="16" l="1"/>
  <c r="K221" i="16"/>
  <c r="T219" i="16"/>
  <c r="U219" i="16" s="1"/>
  <c r="V219" i="16" s="1"/>
  <c r="AI219" i="16"/>
  <c r="AJ219" i="16" s="1"/>
  <c r="AK219" i="16" s="1"/>
  <c r="X219" i="16"/>
  <c r="Y219" i="16" s="1"/>
  <c r="Z219" i="16" s="1"/>
  <c r="AP219" i="16"/>
  <c r="AQ219" i="16" s="1"/>
  <c r="AR219" i="16" s="1"/>
  <c r="AA219" i="16"/>
  <c r="AB219" i="16" s="1"/>
  <c r="AC219" i="16" s="1"/>
  <c r="M219" i="16"/>
  <c r="N219" i="16"/>
  <c r="S219" i="16"/>
  <c r="L221" i="16" l="1"/>
  <c r="K222" i="16"/>
  <c r="S220" i="16"/>
  <c r="T220" i="16"/>
  <c r="U220" i="16" s="1"/>
  <c r="V220" i="16" s="1"/>
  <c r="X220" i="16"/>
  <c r="Y220" i="16" s="1"/>
  <c r="Z220" i="16" s="1"/>
  <c r="AA220" i="16"/>
  <c r="AB220" i="16" s="1"/>
  <c r="AC220" i="16" s="1"/>
  <c r="AI220" i="16"/>
  <c r="AJ220" i="16" s="1"/>
  <c r="AK220" i="16" s="1"/>
  <c r="M220" i="16"/>
  <c r="N220" i="16"/>
  <c r="AP220" i="16"/>
  <c r="AQ220" i="16" s="1"/>
  <c r="AR220" i="16" s="1"/>
  <c r="L222" i="16" l="1"/>
  <c r="K223" i="16"/>
  <c r="M221" i="16"/>
  <c r="AP221" i="16"/>
  <c r="AQ221" i="16" s="1"/>
  <c r="AR221" i="16" s="1"/>
  <c r="S221" i="16"/>
  <c r="T221" i="16"/>
  <c r="U221" i="16" s="1"/>
  <c r="V221" i="16" s="1"/>
  <c r="AI221" i="16"/>
  <c r="AJ221" i="16" s="1"/>
  <c r="AK221" i="16" s="1"/>
  <c r="N221" i="16"/>
  <c r="X221" i="16"/>
  <c r="Y221" i="16" s="1"/>
  <c r="Z221" i="16" s="1"/>
  <c r="AA221" i="16"/>
  <c r="AB221" i="16" s="1"/>
  <c r="AC221" i="16" s="1"/>
  <c r="L223" i="16" l="1"/>
  <c r="K224" i="16"/>
  <c r="T222" i="16"/>
  <c r="U222" i="16" s="1"/>
  <c r="V222" i="16" s="1"/>
  <c r="AI222" i="16"/>
  <c r="AJ222" i="16" s="1"/>
  <c r="AK222" i="16" s="1"/>
  <c r="X222" i="16"/>
  <c r="Y222" i="16" s="1"/>
  <c r="Z222" i="16" s="1"/>
  <c r="AP222" i="16"/>
  <c r="AQ222" i="16" s="1"/>
  <c r="AR222" i="16" s="1"/>
  <c r="S222" i="16"/>
  <c r="AA222" i="16"/>
  <c r="AB222" i="16" s="1"/>
  <c r="AC222" i="16" s="1"/>
  <c r="M222" i="16"/>
  <c r="N222" i="16"/>
  <c r="L224" i="16" l="1"/>
  <c r="K225" i="16"/>
  <c r="S223" i="16"/>
  <c r="T223" i="16"/>
  <c r="U223" i="16" s="1"/>
  <c r="V223" i="16" s="1"/>
  <c r="AP223" i="16"/>
  <c r="AQ223" i="16" s="1"/>
  <c r="AR223" i="16" s="1"/>
  <c r="X223" i="16"/>
  <c r="Y223" i="16" s="1"/>
  <c r="Z223" i="16" s="1"/>
  <c r="AA223" i="16"/>
  <c r="AB223" i="16" s="1"/>
  <c r="AC223" i="16" s="1"/>
  <c r="AI223" i="16"/>
  <c r="AJ223" i="16" s="1"/>
  <c r="AK223" i="16" s="1"/>
  <c r="M223" i="16"/>
  <c r="N223" i="16"/>
  <c r="L225" i="16" l="1"/>
  <c r="K226" i="16"/>
  <c r="M224" i="16"/>
  <c r="AP224" i="16"/>
  <c r="AQ224" i="16" s="1"/>
  <c r="AR224" i="16" s="1"/>
  <c r="T224" i="16"/>
  <c r="U224" i="16" s="1"/>
  <c r="V224" i="16" s="1"/>
  <c r="X224" i="16"/>
  <c r="Y224" i="16" s="1"/>
  <c r="Z224" i="16" s="1"/>
  <c r="AA224" i="16"/>
  <c r="AB224" i="16" s="1"/>
  <c r="AC224" i="16" s="1"/>
  <c r="AI224" i="16"/>
  <c r="AJ224" i="16" s="1"/>
  <c r="AK224" i="16" s="1"/>
  <c r="N224" i="16"/>
  <c r="S224" i="16"/>
  <c r="L226" i="16" l="1"/>
  <c r="K227" i="16"/>
  <c r="T225" i="16"/>
  <c r="U225" i="16" s="1"/>
  <c r="V225" i="16" s="1"/>
  <c r="AI225" i="16"/>
  <c r="AJ225" i="16" s="1"/>
  <c r="AK225" i="16" s="1"/>
  <c r="AP225" i="16"/>
  <c r="AQ225" i="16" s="1"/>
  <c r="AR225" i="16" s="1"/>
  <c r="X225" i="16"/>
  <c r="Y225" i="16" s="1"/>
  <c r="Z225" i="16" s="1"/>
  <c r="AA225" i="16"/>
  <c r="AB225" i="16" s="1"/>
  <c r="AC225" i="16" s="1"/>
  <c r="M225" i="16"/>
  <c r="N225" i="16"/>
  <c r="S225" i="16"/>
  <c r="L227" i="16" l="1"/>
  <c r="K228" i="16"/>
  <c r="T226" i="16"/>
  <c r="U226" i="16" s="1"/>
  <c r="V226" i="16" s="1"/>
  <c r="S226" i="16"/>
  <c r="AP226" i="16"/>
  <c r="AQ226" i="16" s="1"/>
  <c r="AR226" i="16" s="1"/>
  <c r="X226" i="16"/>
  <c r="Y226" i="16" s="1"/>
  <c r="Z226" i="16" s="1"/>
  <c r="AA226" i="16"/>
  <c r="AB226" i="16" s="1"/>
  <c r="AC226" i="16" s="1"/>
  <c r="M226" i="16"/>
  <c r="N226" i="16"/>
  <c r="AI226" i="16"/>
  <c r="AJ226" i="16" s="1"/>
  <c r="AK226" i="16" s="1"/>
  <c r="L228" i="16" l="1"/>
  <c r="K229" i="16"/>
  <c r="M227" i="16"/>
  <c r="T227" i="16"/>
  <c r="U227" i="16" s="1"/>
  <c r="V227" i="16" s="1"/>
  <c r="N227" i="16"/>
  <c r="AI227" i="16"/>
  <c r="AJ227" i="16" s="1"/>
  <c r="AK227" i="16" s="1"/>
  <c r="S227" i="16"/>
  <c r="AP227" i="16"/>
  <c r="AQ227" i="16" s="1"/>
  <c r="AR227" i="16" s="1"/>
  <c r="X227" i="16"/>
  <c r="Y227" i="16" s="1"/>
  <c r="Z227" i="16" s="1"/>
  <c r="AA227" i="16"/>
  <c r="AB227" i="16" s="1"/>
  <c r="AC227" i="16" s="1"/>
  <c r="L229" i="16" l="1"/>
  <c r="K230" i="16"/>
  <c r="T228" i="16"/>
  <c r="U228" i="16" s="1"/>
  <c r="V228" i="16" s="1"/>
  <c r="AI228" i="16"/>
  <c r="AJ228" i="16" s="1"/>
  <c r="AK228" i="16" s="1"/>
  <c r="AA228" i="16"/>
  <c r="AB228" i="16" s="1"/>
  <c r="AC228" i="16" s="1"/>
  <c r="M228" i="16"/>
  <c r="N228" i="16"/>
  <c r="S228" i="16"/>
  <c r="AP228" i="16"/>
  <c r="AQ228" i="16" s="1"/>
  <c r="AR228" i="16" s="1"/>
  <c r="X228" i="16"/>
  <c r="Y228" i="16" s="1"/>
  <c r="Z228" i="16" s="1"/>
  <c r="L230" i="16" l="1"/>
  <c r="K231" i="16"/>
  <c r="T229" i="16"/>
  <c r="U229" i="16" s="1"/>
  <c r="V229" i="16" s="1"/>
  <c r="AP229" i="16"/>
  <c r="AQ229" i="16" s="1"/>
  <c r="AR229" i="16" s="1"/>
  <c r="X229" i="16"/>
  <c r="Y229" i="16" s="1"/>
  <c r="Z229" i="16" s="1"/>
  <c r="AA229" i="16"/>
  <c r="AB229" i="16" s="1"/>
  <c r="AC229" i="16" s="1"/>
  <c r="M229" i="16"/>
  <c r="N229" i="16"/>
  <c r="AI229" i="16"/>
  <c r="AJ229" i="16" s="1"/>
  <c r="AK229" i="16" s="1"/>
  <c r="S229" i="16"/>
  <c r="L231" i="16" l="1"/>
  <c r="K232" i="16"/>
  <c r="M230" i="16"/>
  <c r="T230" i="16"/>
  <c r="U230" i="16" s="1"/>
  <c r="V230" i="16" s="1"/>
  <c r="S230" i="16"/>
  <c r="AP230" i="16"/>
  <c r="AQ230" i="16" s="1"/>
  <c r="AR230" i="16" s="1"/>
  <c r="X230" i="16"/>
  <c r="Y230" i="16" s="1"/>
  <c r="Z230" i="16" s="1"/>
  <c r="AA230" i="16"/>
  <c r="AB230" i="16" s="1"/>
  <c r="AC230" i="16" s="1"/>
  <c r="AI230" i="16"/>
  <c r="AJ230" i="16" s="1"/>
  <c r="AK230" i="16" s="1"/>
  <c r="N230" i="16"/>
  <c r="L232" i="16" l="1"/>
  <c r="K233" i="16"/>
  <c r="T231" i="16"/>
  <c r="U231" i="16" s="1"/>
  <c r="V231" i="16" s="1"/>
  <c r="AI231" i="16"/>
  <c r="AJ231" i="16" s="1"/>
  <c r="AK231" i="16" s="1"/>
  <c r="M231" i="16"/>
  <c r="N231" i="16"/>
  <c r="S231" i="16"/>
  <c r="AP231" i="16"/>
  <c r="AQ231" i="16" s="1"/>
  <c r="AR231" i="16" s="1"/>
  <c r="X231" i="16"/>
  <c r="Y231" i="16" s="1"/>
  <c r="Z231" i="16" s="1"/>
  <c r="AA231" i="16"/>
  <c r="AB231" i="16" s="1"/>
  <c r="AC231" i="16" s="1"/>
  <c r="L233" i="16" l="1"/>
  <c r="K234" i="16"/>
  <c r="T232" i="16"/>
  <c r="U232" i="16" s="1"/>
  <c r="V232" i="16" s="1"/>
  <c r="X232" i="16"/>
  <c r="Y232" i="16" s="1"/>
  <c r="Z232" i="16" s="1"/>
  <c r="AP232" i="16"/>
  <c r="AQ232" i="16" s="1"/>
  <c r="AR232" i="16" s="1"/>
  <c r="AA232" i="16"/>
  <c r="AB232" i="16" s="1"/>
  <c r="AC232" i="16" s="1"/>
  <c r="N232" i="16"/>
  <c r="AI232" i="16"/>
  <c r="AJ232" i="16" s="1"/>
  <c r="AK232" i="16" s="1"/>
  <c r="S232" i="16"/>
  <c r="M232" i="16"/>
  <c r="K235" i="16" l="1"/>
  <c r="L234" i="16"/>
  <c r="T233" i="16"/>
  <c r="U233" i="16" s="1"/>
  <c r="V233" i="16" s="1"/>
  <c r="M233" i="16"/>
  <c r="N233" i="16"/>
  <c r="AI233" i="16"/>
  <c r="AJ233" i="16" s="1"/>
  <c r="AK233" i="16" s="1"/>
  <c r="S233" i="16"/>
  <c r="X233" i="16"/>
  <c r="Y233" i="16" s="1"/>
  <c r="Z233" i="16" s="1"/>
  <c r="AP233" i="16"/>
  <c r="AQ233" i="16" s="1"/>
  <c r="AR233" i="16" s="1"/>
  <c r="AA233" i="16"/>
  <c r="AB233" i="16" s="1"/>
  <c r="AC233" i="16" s="1"/>
  <c r="T234" i="16" l="1"/>
  <c r="U234" i="16" s="1"/>
  <c r="V234" i="16" s="1"/>
  <c r="AI234" i="16"/>
  <c r="AJ234" i="16" s="1"/>
  <c r="AK234" i="16" s="1"/>
  <c r="S234" i="16"/>
  <c r="X234" i="16"/>
  <c r="Y234" i="16" s="1"/>
  <c r="Z234" i="16" s="1"/>
  <c r="AP234" i="16"/>
  <c r="AQ234" i="16" s="1"/>
  <c r="AR234" i="16" s="1"/>
  <c r="AA234" i="16"/>
  <c r="AB234" i="16" s="1"/>
  <c r="AC234" i="16" s="1"/>
  <c r="M234" i="16"/>
  <c r="N234" i="16"/>
  <c r="L235" i="16"/>
  <c r="K236" i="16"/>
  <c r="L236" i="16" l="1"/>
  <c r="K237" i="16"/>
  <c r="S235" i="16"/>
  <c r="AI235" i="16"/>
  <c r="AJ235" i="16" s="1"/>
  <c r="AK235" i="16" s="1"/>
  <c r="T235" i="16"/>
  <c r="U235" i="16" s="1"/>
  <c r="V235" i="16" s="1"/>
  <c r="AP235" i="16"/>
  <c r="AQ235" i="16" s="1"/>
  <c r="AR235" i="16" s="1"/>
  <c r="AA235" i="16"/>
  <c r="AB235" i="16" s="1"/>
  <c r="AC235" i="16" s="1"/>
  <c r="M235" i="16"/>
  <c r="N235" i="16"/>
  <c r="X235" i="16"/>
  <c r="Y235" i="16" s="1"/>
  <c r="Z235" i="16" s="1"/>
  <c r="L237" i="16" l="1"/>
  <c r="K238" i="16"/>
  <c r="T236" i="16"/>
  <c r="U236" i="16" s="1"/>
  <c r="V236" i="16" s="1"/>
  <c r="X236" i="16"/>
  <c r="Y236" i="16" s="1"/>
  <c r="Z236" i="16" s="1"/>
  <c r="AP236" i="16"/>
  <c r="AQ236" i="16" s="1"/>
  <c r="AR236" i="16" s="1"/>
  <c r="AA236" i="16"/>
  <c r="AB236" i="16" s="1"/>
  <c r="AC236" i="16" s="1"/>
  <c r="N236" i="16"/>
  <c r="AI236" i="16"/>
  <c r="AJ236" i="16" s="1"/>
  <c r="AK236" i="16" s="1"/>
  <c r="M236" i="16"/>
  <c r="S236" i="16"/>
  <c r="L238" i="16" l="1"/>
  <c r="K239" i="16"/>
  <c r="T237" i="16"/>
  <c r="U237" i="16" s="1"/>
  <c r="V237" i="16" s="1"/>
  <c r="AP237" i="16"/>
  <c r="AQ237" i="16" s="1"/>
  <c r="AR237" i="16" s="1"/>
  <c r="AA237" i="16"/>
  <c r="AB237" i="16" s="1"/>
  <c r="AC237" i="16" s="1"/>
  <c r="M237" i="16"/>
  <c r="N237" i="16"/>
  <c r="AI237" i="16"/>
  <c r="AJ237" i="16" s="1"/>
  <c r="AK237" i="16" s="1"/>
  <c r="S237" i="16"/>
  <c r="X237" i="16"/>
  <c r="Y237" i="16" s="1"/>
  <c r="Z237" i="16" s="1"/>
  <c r="L239" i="16" l="1"/>
  <c r="K240" i="16"/>
  <c r="N238" i="16"/>
  <c r="T238" i="16"/>
  <c r="U238" i="16" s="1"/>
  <c r="V238" i="16" s="1"/>
  <c r="X238" i="16"/>
  <c r="Y238" i="16" s="1"/>
  <c r="Z238" i="16" s="1"/>
  <c r="AP238" i="16"/>
  <c r="AQ238" i="16" s="1"/>
  <c r="AR238" i="16" s="1"/>
  <c r="AI238" i="16"/>
  <c r="AJ238" i="16" s="1"/>
  <c r="AK238" i="16" s="1"/>
  <c r="M238" i="16"/>
  <c r="S238" i="16"/>
  <c r="AA238" i="16"/>
  <c r="AB238" i="16" s="1"/>
  <c r="AC238" i="16" s="1"/>
  <c r="K241" i="16" l="1"/>
  <c r="L240" i="16"/>
  <c r="T239" i="16"/>
  <c r="U239" i="16" s="1"/>
  <c r="V239" i="16" s="1"/>
  <c r="AI239" i="16"/>
  <c r="AJ239" i="16" s="1"/>
  <c r="AK239" i="16" s="1"/>
  <c r="S239" i="16"/>
  <c r="X239" i="16"/>
  <c r="Y239" i="16" s="1"/>
  <c r="Z239" i="16" s="1"/>
  <c r="AP239" i="16"/>
  <c r="AQ239" i="16" s="1"/>
  <c r="AR239" i="16" s="1"/>
  <c r="AA239" i="16"/>
  <c r="AB239" i="16" s="1"/>
  <c r="AC239" i="16" s="1"/>
  <c r="M239" i="16"/>
  <c r="N239" i="16"/>
  <c r="T240" i="16" l="1"/>
  <c r="U240" i="16" s="1"/>
  <c r="V240" i="16" s="1"/>
  <c r="X240" i="16"/>
  <c r="Y240" i="16" s="1"/>
  <c r="Z240" i="16" s="1"/>
  <c r="AA240" i="16"/>
  <c r="AB240" i="16" s="1"/>
  <c r="AC240" i="16" s="1"/>
  <c r="M240" i="16"/>
  <c r="N240" i="16"/>
  <c r="S240" i="16"/>
  <c r="AI240" i="16"/>
  <c r="AJ240" i="16" s="1"/>
  <c r="AK240" i="16" s="1"/>
  <c r="AP240" i="16"/>
  <c r="AQ240" i="16" s="1"/>
  <c r="AR240" i="16" s="1"/>
  <c r="L241" i="16"/>
  <c r="K242" i="16"/>
  <c r="L242" i="16" l="1"/>
  <c r="K243" i="16"/>
  <c r="X241" i="16"/>
  <c r="Y241" i="16" s="1"/>
  <c r="Z241" i="16" s="1"/>
  <c r="AP241" i="16"/>
  <c r="AQ241" i="16" s="1"/>
  <c r="AR241" i="16" s="1"/>
  <c r="AA241" i="16"/>
  <c r="AB241" i="16" s="1"/>
  <c r="AC241" i="16" s="1"/>
  <c r="M241" i="16"/>
  <c r="S241" i="16"/>
  <c r="AI241" i="16"/>
  <c r="AJ241" i="16" s="1"/>
  <c r="AK241" i="16" s="1"/>
  <c r="T241" i="16"/>
  <c r="U241" i="16" s="1"/>
  <c r="V241" i="16" s="1"/>
  <c r="N241" i="16"/>
  <c r="K244" i="16" l="1"/>
  <c r="L243" i="16"/>
  <c r="T242" i="16"/>
  <c r="U242" i="16" s="1"/>
  <c r="V242" i="16" s="1"/>
  <c r="M242" i="16"/>
  <c r="N242" i="16"/>
  <c r="AI242" i="16"/>
  <c r="AJ242" i="16" s="1"/>
  <c r="AK242" i="16" s="1"/>
  <c r="S242" i="16"/>
  <c r="X242" i="16"/>
  <c r="Y242" i="16" s="1"/>
  <c r="Z242" i="16" s="1"/>
  <c r="AP242" i="16"/>
  <c r="AQ242" i="16" s="1"/>
  <c r="AR242" i="16" s="1"/>
  <c r="AA242" i="16"/>
  <c r="AB242" i="16" s="1"/>
  <c r="AC242" i="16" s="1"/>
  <c r="T243" i="16" l="1"/>
  <c r="U243" i="16" s="1"/>
  <c r="V243" i="16" s="1"/>
  <c r="AI243" i="16"/>
  <c r="AJ243" i="16" s="1"/>
  <c r="AK243" i="16" s="1"/>
  <c r="S243" i="16"/>
  <c r="X243" i="16"/>
  <c r="Y243" i="16" s="1"/>
  <c r="Z243" i="16" s="1"/>
  <c r="AP243" i="16"/>
  <c r="AQ243" i="16" s="1"/>
  <c r="AR243" i="16" s="1"/>
  <c r="AA243" i="16"/>
  <c r="AB243" i="16" s="1"/>
  <c r="AC243" i="16" s="1"/>
  <c r="M243" i="16"/>
  <c r="N243" i="16"/>
  <c r="L244" i="16"/>
  <c r="K245" i="16"/>
  <c r="L245" i="16" l="1"/>
  <c r="K246" i="16"/>
  <c r="S244" i="16"/>
  <c r="AI244" i="16"/>
  <c r="AJ244" i="16" s="1"/>
  <c r="AK244" i="16" s="1"/>
  <c r="T244" i="16"/>
  <c r="U244" i="16" s="1"/>
  <c r="V244" i="16" s="1"/>
  <c r="AP244" i="16"/>
  <c r="AQ244" i="16" s="1"/>
  <c r="AR244" i="16" s="1"/>
  <c r="AA244" i="16"/>
  <c r="AB244" i="16" s="1"/>
  <c r="AC244" i="16" s="1"/>
  <c r="M244" i="16"/>
  <c r="N244" i="16"/>
  <c r="X244" i="16"/>
  <c r="Y244" i="16" s="1"/>
  <c r="Z244" i="16" s="1"/>
  <c r="L246" i="16" l="1"/>
  <c r="K247" i="16"/>
  <c r="T245" i="16"/>
  <c r="U245" i="16" s="1"/>
  <c r="V245" i="16" s="1"/>
  <c r="X245" i="16"/>
  <c r="Y245" i="16" s="1"/>
  <c r="Z245" i="16" s="1"/>
  <c r="AA245" i="16"/>
  <c r="AB245" i="16" s="1"/>
  <c r="AC245" i="16" s="1"/>
  <c r="AP245" i="16"/>
  <c r="AQ245" i="16" s="1"/>
  <c r="AR245" i="16" s="1"/>
  <c r="N245" i="16"/>
  <c r="M245" i="16"/>
  <c r="S245" i="16"/>
  <c r="AI245" i="16"/>
  <c r="AJ245" i="16" s="1"/>
  <c r="AK245" i="16" s="1"/>
  <c r="L247" i="16" l="1"/>
  <c r="K248" i="16"/>
  <c r="AI246" i="16"/>
  <c r="AJ246" i="16" s="1"/>
  <c r="AK246" i="16" s="1"/>
  <c r="X246" i="16"/>
  <c r="Y246" i="16" s="1"/>
  <c r="Z246" i="16" s="1"/>
  <c r="N246" i="16"/>
  <c r="AA246" i="16"/>
  <c r="AB246" i="16" s="1"/>
  <c r="AC246" i="16" s="1"/>
  <c r="AP246" i="16"/>
  <c r="AQ246" i="16" s="1"/>
  <c r="AR246" i="16" s="1"/>
  <c r="M246" i="16"/>
  <c r="S246" i="16"/>
  <c r="T246" i="16"/>
  <c r="U246" i="16" s="1"/>
  <c r="V246" i="16" s="1"/>
  <c r="K249" i="16" l="1"/>
  <c r="L248" i="16"/>
  <c r="S247" i="16"/>
  <c r="T247" i="16"/>
  <c r="U247" i="16" s="1"/>
  <c r="V247" i="16" s="1"/>
  <c r="X247" i="16"/>
  <c r="Y247" i="16" s="1"/>
  <c r="Z247" i="16" s="1"/>
  <c r="M247" i="16"/>
  <c r="N247" i="16"/>
  <c r="AA247" i="16"/>
  <c r="AB247" i="16" s="1"/>
  <c r="AC247" i="16" s="1"/>
  <c r="AI247" i="16"/>
  <c r="AJ247" i="16" s="1"/>
  <c r="AK247" i="16" s="1"/>
  <c r="AP247" i="16"/>
  <c r="AQ247" i="16" s="1"/>
  <c r="AR247" i="16" s="1"/>
  <c r="M248" i="16" l="1"/>
  <c r="N248" i="16"/>
  <c r="AA248" i="16"/>
  <c r="AB248" i="16" s="1"/>
  <c r="AC248" i="16" s="1"/>
  <c r="AP248" i="16"/>
  <c r="AQ248" i="16" s="1"/>
  <c r="AR248" i="16" s="1"/>
  <c r="S248" i="16"/>
  <c r="T248" i="16"/>
  <c r="U248" i="16" s="1"/>
  <c r="V248" i="16" s="1"/>
  <c r="AI248" i="16"/>
  <c r="AJ248" i="16" s="1"/>
  <c r="AK248" i="16" s="1"/>
  <c r="X248" i="16"/>
  <c r="Y248" i="16" s="1"/>
  <c r="Z248" i="16" s="1"/>
  <c r="K250" i="16"/>
  <c r="L249" i="16"/>
  <c r="AI249" i="16" l="1"/>
  <c r="AJ249" i="16" s="1"/>
  <c r="AK249" i="16" s="1"/>
  <c r="X249" i="16"/>
  <c r="Y249" i="16" s="1"/>
  <c r="Z249" i="16" s="1"/>
  <c r="N249" i="16"/>
  <c r="AA249" i="16"/>
  <c r="AB249" i="16" s="1"/>
  <c r="AC249" i="16" s="1"/>
  <c r="M249" i="16"/>
  <c r="AP249" i="16"/>
  <c r="AQ249" i="16" s="1"/>
  <c r="AR249" i="16" s="1"/>
  <c r="T249" i="16"/>
  <c r="U249" i="16" s="1"/>
  <c r="V249" i="16" s="1"/>
  <c r="S249" i="16"/>
  <c r="L250" i="16"/>
  <c r="K251" i="16"/>
  <c r="K252" i="16" l="1"/>
  <c r="L251" i="16"/>
  <c r="S250" i="16"/>
  <c r="M250" i="16"/>
  <c r="N250" i="16"/>
  <c r="AA250" i="16"/>
  <c r="AB250" i="16" s="1"/>
  <c r="AC250" i="16" s="1"/>
  <c r="AP250" i="16"/>
  <c r="AQ250" i="16" s="1"/>
  <c r="AR250" i="16" s="1"/>
  <c r="T250" i="16"/>
  <c r="U250" i="16" s="1"/>
  <c r="V250" i="16" s="1"/>
  <c r="X250" i="16"/>
  <c r="Y250" i="16" s="1"/>
  <c r="Z250" i="16" s="1"/>
  <c r="AI250" i="16"/>
  <c r="AJ250" i="16" s="1"/>
  <c r="AK250" i="16" s="1"/>
  <c r="M251" i="16" l="1"/>
  <c r="AP251" i="16"/>
  <c r="AQ251" i="16" s="1"/>
  <c r="AR251" i="16" s="1"/>
  <c r="T251" i="16"/>
  <c r="U251" i="16" s="1"/>
  <c r="V251" i="16" s="1"/>
  <c r="AI251" i="16"/>
  <c r="AJ251" i="16" s="1"/>
  <c r="AK251" i="16" s="1"/>
  <c r="S251" i="16"/>
  <c r="X251" i="16"/>
  <c r="Y251" i="16" s="1"/>
  <c r="Z251" i="16" s="1"/>
  <c r="AA251" i="16"/>
  <c r="AB251" i="16" s="1"/>
  <c r="AC251" i="16" s="1"/>
  <c r="N251" i="16"/>
  <c r="L252" i="16"/>
  <c r="K253" i="16"/>
  <c r="L253" i="16" l="1"/>
  <c r="K254" i="16"/>
  <c r="AI252" i="16"/>
  <c r="AJ252" i="16" s="1"/>
  <c r="AK252" i="16" s="1"/>
  <c r="X252" i="16"/>
  <c r="Y252" i="16" s="1"/>
  <c r="Z252" i="16" s="1"/>
  <c r="N252" i="16"/>
  <c r="AA252" i="16"/>
  <c r="AB252" i="16" s="1"/>
  <c r="AC252" i="16" s="1"/>
  <c r="S252" i="16"/>
  <c r="T252" i="16"/>
  <c r="U252" i="16" s="1"/>
  <c r="V252" i="16" s="1"/>
  <c r="AP252" i="16"/>
  <c r="AQ252" i="16" s="1"/>
  <c r="AR252" i="16" s="1"/>
  <c r="M252" i="16"/>
  <c r="K255" i="16" l="1"/>
  <c r="L254" i="16"/>
  <c r="S253" i="16"/>
  <c r="M253" i="16"/>
  <c r="N253" i="16"/>
  <c r="AI253" i="16"/>
  <c r="AJ253" i="16" s="1"/>
  <c r="AK253" i="16" s="1"/>
  <c r="T253" i="16"/>
  <c r="U253" i="16" s="1"/>
  <c r="V253" i="16" s="1"/>
  <c r="X253" i="16"/>
  <c r="Y253" i="16" s="1"/>
  <c r="Z253" i="16" s="1"/>
  <c r="AP253" i="16"/>
  <c r="AQ253" i="16" s="1"/>
  <c r="AR253" i="16" s="1"/>
  <c r="AA253" i="16"/>
  <c r="AB253" i="16" s="1"/>
  <c r="AC253" i="16" s="1"/>
  <c r="M254" i="16" l="1"/>
  <c r="AP254" i="16"/>
  <c r="AQ254" i="16" s="1"/>
  <c r="AR254" i="16" s="1"/>
  <c r="T254" i="16"/>
  <c r="U254" i="16" s="1"/>
  <c r="V254" i="16" s="1"/>
  <c r="X254" i="16"/>
  <c r="Y254" i="16" s="1"/>
  <c r="Z254" i="16" s="1"/>
  <c r="AA254" i="16"/>
  <c r="AB254" i="16" s="1"/>
  <c r="AC254" i="16" s="1"/>
  <c r="N254" i="16"/>
  <c r="AI254" i="16"/>
  <c r="AJ254" i="16" s="1"/>
  <c r="AK254" i="16" s="1"/>
  <c r="S254" i="16"/>
  <c r="K256" i="16"/>
  <c r="L255" i="16"/>
  <c r="AI255" i="16" l="1"/>
  <c r="AJ255" i="16" s="1"/>
  <c r="AK255" i="16" s="1"/>
  <c r="X255" i="16"/>
  <c r="Y255" i="16" s="1"/>
  <c r="Z255" i="16" s="1"/>
  <c r="AA255" i="16"/>
  <c r="AB255" i="16" s="1"/>
  <c r="AC255" i="16" s="1"/>
  <c r="M255" i="16"/>
  <c r="N255" i="16"/>
  <c r="S255" i="16"/>
  <c r="AP255" i="16"/>
  <c r="AQ255" i="16" s="1"/>
  <c r="AR255" i="16" s="1"/>
  <c r="T255" i="16"/>
  <c r="U255" i="16" s="1"/>
  <c r="V255" i="16" s="1"/>
  <c r="L256" i="16"/>
  <c r="K257" i="16"/>
  <c r="K258" i="16" l="1"/>
  <c r="L257" i="16"/>
  <c r="S256" i="16"/>
  <c r="AI256" i="16"/>
  <c r="AJ256" i="16" s="1"/>
  <c r="AK256" i="16" s="1"/>
  <c r="X256" i="16"/>
  <c r="Y256" i="16" s="1"/>
  <c r="Z256" i="16" s="1"/>
  <c r="AA256" i="16"/>
  <c r="AB256" i="16" s="1"/>
  <c r="AC256" i="16" s="1"/>
  <c r="N256" i="16"/>
  <c r="AP256" i="16"/>
  <c r="AQ256" i="16" s="1"/>
  <c r="AR256" i="16" s="1"/>
  <c r="M256" i="16"/>
  <c r="T256" i="16"/>
  <c r="U256" i="16" s="1"/>
  <c r="V256" i="16" s="1"/>
  <c r="M257" i="16" l="1"/>
  <c r="T257" i="16"/>
  <c r="U257" i="16" s="1"/>
  <c r="V257" i="16" s="1"/>
  <c r="AI257" i="16"/>
  <c r="AJ257" i="16" s="1"/>
  <c r="AK257" i="16" s="1"/>
  <c r="AP257" i="16"/>
  <c r="AQ257" i="16" s="1"/>
  <c r="AR257" i="16" s="1"/>
  <c r="AA257" i="16"/>
  <c r="AB257" i="16" s="1"/>
  <c r="AC257" i="16" s="1"/>
  <c r="S257" i="16"/>
  <c r="X257" i="16"/>
  <c r="Y257" i="16" s="1"/>
  <c r="Z257" i="16" s="1"/>
  <c r="N257" i="16"/>
  <c r="K259" i="16"/>
  <c r="L258" i="16"/>
  <c r="AI258" i="16" l="1"/>
  <c r="AJ258" i="16" s="1"/>
  <c r="AK258" i="16" s="1"/>
  <c r="AP258" i="16"/>
  <c r="AQ258" i="16" s="1"/>
  <c r="AR258" i="16" s="1"/>
  <c r="M258" i="16"/>
  <c r="N258" i="16"/>
  <c r="T258" i="16"/>
  <c r="U258" i="16" s="1"/>
  <c r="V258" i="16" s="1"/>
  <c r="S258" i="16"/>
  <c r="X258" i="16"/>
  <c r="Y258" i="16" s="1"/>
  <c r="Z258" i="16" s="1"/>
  <c r="AA258" i="16"/>
  <c r="AB258" i="16" s="1"/>
  <c r="AC258" i="16" s="1"/>
  <c r="L259" i="16"/>
  <c r="K260" i="16"/>
  <c r="L260" i="16" l="1"/>
  <c r="K261" i="16"/>
  <c r="M259" i="16"/>
  <c r="AA259" i="16"/>
  <c r="AB259" i="16" s="1"/>
  <c r="AC259" i="16" s="1"/>
  <c r="AP259" i="16"/>
  <c r="AQ259" i="16" s="1"/>
  <c r="AR259" i="16" s="1"/>
  <c r="N259" i="16"/>
  <c r="S259" i="16"/>
  <c r="T259" i="16"/>
  <c r="U259" i="16" s="1"/>
  <c r="V259" i="16" s="1"/>
  <c r="X259" i="16"/>
  <c r="Y259" i="16" s="1"/>
  <c r="Z259" i="16" s="1"/>
  <c r="AI259" i="16"/>
  <c r="AJ259" i="16" s="1"/>
  <c r="AK259" i="16" s="1"/>
  <c r="L261" i="16" l="1"/>
  <c r="K262" i="16"/>
  <c r="T260" i="16"/>
  <c r="U260" i="16" s="1"/>
  <c r="V260" i="16" s="1"/>
  <c r="N260" i="16"/>
  <c r="AP260" i="16"/>
  <c r="AQ260" i="16" s="1"/>
  <c r="AR260" i="16" s="1"/>
  <c r="AI260" i="16"/>
  <c r="AJ260" i="16" s="1"/>
  <c r="AK260" i="16" s="1"/>
  <c r="AA260" i="16"/>
  <c r="AB260" i="16" s="1"/>
  <c r="AC260" i="16" s="1"/>
  <c r="M260" i="16"/>
  <c r="S260" i="16"/>
  <c r="X260" i="16"/>
  <c r="Y260" i="16" s="1"/>
  <c r="Z260" i="16" s="1"/>
  <c r="L262" i="16" l="1"/>
  <c r="K263" i="16"/>
  <c r="AI261" i="16"/>
  <c r="AJ261" i="16" s="1"/>
  <c r="AK261" i="16" s="1"/>
  <c r="X261" i="16"/>
  <c r="Y261" i="16" s="1"/>
  <c r="Z261" i="16" s="1"/>
  <c r="M261" i="16"/>
  <c r="N261" i="16"/>
  <c r="AP261" i="16"/>
  <c r="AQ261" i="16" s="1"/>
  <c r="AR261" i="16" s="1"/>
  <c r="S261" i="16"/>
  <c r="T261" i="16"/>
  <c r="U261" i="16" s="1"/>
  <c r="V261" i="16" s="1"/>
  <c r="AA261" i="16"/>
  <c r="AB261" i="16" s="1"/>
  <c r="AC261" i="16" s="1"/>
  <c r="K264" i="16" l="1"/>
  <c r="L263" i="16"/>
  <c r="N262" i="16"/>
  <c r="AA262" i="16"/>
  <c r="AB262" i="16" s="1"/>
  <c r="AC262" i="16" s="1"/>
  <c r="S262" i="16"/>
  <c r="T262" i="16"/>
  <c r="U262" i="16" s="1"/>
  <c r="V262" i="16" s="1"/>
  <c r="AI262" i="16"/>
  <c r="AJ262" i="16" s="1"/>
  <c r="AK262" i="16" s="1"/>
  <c r="M262" i="16"/>
  <c r="AP262" i="16"/>
  <c r="AQ262" i="16" s="1"/>
  <c r="AR262" i="16" s="1"/>
  <c r="X262" i="16"/>
  <c r="Y262" i="16" s="1"/>
  <c r="Z262" i="16" s="1"/>
  <c r="M263" i="16" l="1"/>
  <c r="AP263" i="16"/>
  <c r="AQ263" i="16" s="1"/>
  <c r="AR263" i="16" s="1"/>
  <c r="AI263" i="16"/>
  <c r="AJ263" i="16" s="1"/>
  <c r="AK263" i="16" s="1"/>
  <c r="N263" i="16"/>
  <c r="S263" i="16"/>
  <c r="T263" i="16"/>
  <c r="U263" i="16" s="1"/>
  <c r="V263" i="16" s="1"/>
  <c r="X263" i="16"/>
  <c r="Y263" i="16" s="1"/>
  <c r="Z263" i="16" s="1"/>
  <c r="AA263" i="16"/>
  <c r="AB263" i="16" s="1"/>
  <c r="AC263" i="16" s="1"/>
  <c r="L264" i="16"/>
  <c r="K265" i="16"/>
  <c r="L265" i="16" l="1"/>
  <c r="K266" i="16"/>
  <c r="AI264" i="16"/>
  <c r="AJ264" i="16" s="1"/>
  <c r="AK264" i="16" s="1"/>
  <c r="X264" i="16"/>
  <c r="Y264" i="16" s="1"/>
  <c r="Z264" i="16" s="1"/>
  <c r="M264" i="16"/>
  <c r="S264" i="16"/>
  <c r="AP264" i="16"/>
  <c r="AQ264" i="16" s="1"/>
  <c r="AR264" i="16" s="1"/>
  <c r="T264" i="16"/>
  <c r="U264" i="16" s="1"/>
  <c r="V264" i="16" s="1"/>
  <c r="AA264" i="16"/>
  <c r="AB264" i="16" s="1"/>
  <c r="AC264" i="16" s="1"/>
  <c r="N264" i="16"/>
  <c r="K267" i="16" l="1"/>
  <c r="L266" i="16"/>
  <c r="N265" i="16"/>
  <c r="AA265" i="16"/>
  <c r="AB265" i="16" s="1"/>
  <c r="AC265" i="16" s="1"/>
  <c r="S265" i="16"/>
  <c r="T265" i="16"/>
  <c r="U265" i="16" s="1"/>
  <c r="V265" i="16" s="1"/>
  <c r="AI265" i="16"/>
  <c r="AJ265" i="16" s="1"/>
  <c r="AK265" i="16" s="1"/>
  <c r="M265" i="16"/>
  <c r="AP265" i="16"/>
  <c r="AQ265" i="16" s="1"/>
  <c r="AR265" i="16" s="1"/>
  <c r="X265" i="16"/>
  <c r="Y265" i="16" s="1"/>
  <c r="Z265" i="16" s="1"/>
  <c r="AP266" i="16" l="1"/>
  <c r="AQ266" i="16" s="1"/>
  <c r="AR266" i="16" s="1"/>
  <c r="AA266" i="16"/>
  <c r="AB266" i="16" s="1"/>
  <c r="AC266" i="16" s="1"/>
  <c r="M266" i="16"/>
  <c r="N266" i="16"/>
  <c r="AI266" i="16"/>
  <c r="AJ266" i="16" s="1"/>
  <c r="AK266" i="16" s="1"/>
  <c r="S266" i="16"/>
  <c r="T266" i="16"/>
  <c r="U266" i="16" s="1"/>
  <c r="V266" i="16" s="1"/>
  <c r="X266" i="16"/>
  <c r="Y266" i="16" s="1"/>
  <c r="Z266" i="16" s="1"/>
  <c r="L267" i="16"/>
  <c r="K268" i="16"/>
  <c r="K269" i="16" l="1"/>
  <c r="L268" i="16"/>
  <c r="X267" i="16"/>
  <c r="Y267" i="16" s="1"/>
  <c r="Z267" i="16" s="1"/>
  <c r="S267" i="16"/>
  <c r="AI267" i="16"/>
  <c r="AJ267" i="16" s="1"/>
  <c r="AK267" i="16" s="1"/>
  <c r="T267" i="16"/>
  <c r="U267" i="16" s="1"/>
  <c r="V267" i="16" s="1"/>
  <c r="AP267" i="16"/>
  <c r="AQ267" i="16" s="1"/>
  <c r="AR267" i="16" s="1"/>
  <c r="AA267" i="16"/>
  <c r="AB267" i="16" s="1"/>
  <c r="AC267" i="16" s="1"/>
  <c r="M267" i="16"/>
  <c r="N267" i="16"/>
  <c r="S268" i="16" l="1"/>
  <c r="T268" i="16"/>
  <c r="U268" i="16" s="1"/>
  <c r="V268" i="16" s="1"/>
  <c r="AI268" i="16"/>
  <c r="AJ268" i="16" s="1"/>
  <c r="AK268" i="16" s="1"/>
  <c r="X268" i="16"/>
  <c r="Y268" i="16" s="1"/>
  <c r="Z268" i="16" s="1"/>
  <c r="AP268" i="16"/>
  <c r="AQ268" i="16" s="1"/>
  <c r="AR268" i="16" s="1"/>
  <c r="AA268" i="16"/>
  <c r="AB268" i="16" s="1"/>
  <c r="AC268" i="16" s="1"/>
  <c r="M268" i="16"/>
  <c r="N268" i="16"/>
  <c r="K270" i="16"/>
  <c r="L269" i="16"/>
  <c r="L270" i="16" l="1"/>
  <c r="K271" i="16"/>
  <c r="AP269" i="16"/>
  <c r="AQ269" i="16" s="1"/>
  <c r="AR269" i="16" s="1"/>
  <c r="X269" i="16"/>
  <c r="Y269" i="16" s="1"/>
  <c r="Z269" i="16" s="1"/>
  <c r="AA269" i="16"/>
  <c r="AB269" i="16" s="1"/>
  <c r="AC269" i="16" s="1"/>
  <c r="M269" i="16"/>
  <c r="N269" i="16"/>
  <c r="S269" i="16"/>
  <c r="AI269" i="16"/>
  <c r="AJ269" i="16" s="1"/>
  <c r="AK269" i="16" s="1"/>
  <c r="T269" i="16"/>
  <c r="U269" i="16" s="1"/>
  <c r="V269" i="16" s="1"/>
  <c r="L271" i="16" l="1"/>
  <c r="K272" i="16"/>
  <c r="X270" i="16"/>
  <c r="Y270" i="16" s="1"/>
  <c r="Z270" i="16" s="1"/>
  <c r="AP270" i="16"/>
  <c r="AQ270" i="16" s="1"/>
  <c r="AR270" i="16" s="1"/>
  <c r="AA270" i="16"/>
  <c r="AB270" i="16" s="1"/>
  <c r="AC270" i="16" s="1"/>
  <c r="M270" i="16"/>
  <c r="N270" i="16"/>
  <c r="S270" i="16"/>
  <c r="AI270" i="16"/>
  <c r="AJ270" i="16" s="1"/>
  <c r="AK270" i="16" s="1"/>
  <c r="T270" i="16"/>
  <c r="U270" i="16" s="1"/>
  <c r="V270" i="16" s="1"/>
  <c r="K273" i="16" l="1"/>
  <c r="L272" i="16"/>
  <c r="S271" i="16"/>
  <c r="T271" i="16"/>
  <c r="U271" i="16" s="1"/>
  <c r="V271" i="16" s="1"/>
  <c r="AA271" i="16"/>
  <c r="AB271" i="16" s="1"/>
  <c r="AC271" i="16" s="1"/>
  <c r="M271" i="16"/>
  <c r="N271" i="16"/>
  <c r="AI271" i="16"/>
  <c r="AJ271" i="16" s="1"/>
  <c r="AK271" i="16" s="1"/>
  <c r="X271" i="16"/>
  <c r="Y271" i="16" s="1"/>
  <c r="Z271" i="16" s="1"/>
  <c r="AP271" i="16"/>
  <c r="AQ271" i="16" s="1"/>
  <c r="AR271" i="16" s="1"/>
  <c r="AP272" i="16" l="1"/>
  <c r="AQ272" i="16" s="1"/>
  <c r="AR272" i="16" s="1"/>
  <c r="N272" i="16"/>
  <c r="S272" i="16"/>
  <c r="AI272" i="16"/>
  <c r="AJ272" i="16" s="1"/>
  <c r="AK272" i="16" s="1"/>
  <c r="T272" i="16"/>
  <c r="U272" i="16" s="1"/>
  <c r="V272" i="16" s="1"/>
  <c r="X272" i="16"/>
  <c r="Y272" i="16" s="1"/>
  <c r="Z272" i="16" s="1"/>
  <c r="AA272" i="16"/>
  <c r="AB272" i="16" s="1"/>
  <c r="AC272" i="16" s="1"/>
  <c r="M272" i="16"/>
  <c r="L273" i="16"/>
  <c r="K274" i="16"/>
  <c r="X273" i="16" l="1"/>
  <c r="Y273" i="16" s="1"/>
  <c r="Z273" i="16" s="1"/>
  <c r="S273" i="16"/>
  <c r="AI273" i="16"/>
  <c r="AJ273" i="16" s="1"/>
  <c r="AK273" i="16" s="1"/>
  <c r="T273" i="16"/>
  <c r="U273" i="16" s="1"/>
  <c r="V273" i="16" s="1"/>
  <c r="AP273" i="16"/>
  <c r="AQ273" i="16" s="1"/>
  <c r="AR273" i="16" s="1"/>
  <c r="AA273" i="16"/>
  <c r="AB273" i="16" s="1"/>
  <c r="AC273" i="16" s="1"/>
  <c r="M273" i="16"/>
  <c r="N273" i="16"/>
  <c r="L274" i="16"/>
  <c r="K275" i="16"/>
  <c r="L275" i="16" l="1"/>
  <c r="K276" i="16"/>
  <c r="T274" i="16"/>
  <c r="U274" i="16" s="1"/>
  <c r="V274" i="16" s="1"/>
  <c r="S274" i="16"/>
  <c r="AI274" i="16"/>
  <c r="AJ274" i="16" s="1"/>
  <c r="AK274" i="16" s="1"/>
  <c r="X274" i="16"/>
  <c r="Y274" i="16" s="1"/>
  <c r="Z274" i="16" s="1"/>
  <c r="M274" i="16"/>
  <c r="AA274" i="16"/>
  <c r="AB274" i="16" s="1"/>
  <c r="AC274" i="16" s="1"/>
  <c r="AP274" i="16"/>
  <c r="AQ274" i="16" s="1"/>
  <c r="AR274" i="16" s="1"/>
  <c r="N274" i="16"/>
  <c r="L276" i="16" l="1"/>
  <c r="K277" i="16"/>
  <c r="S275" i="16"/>
  <c r="T275" i="16"/>
  <c r="U275" i="16" s="1"/>
  <c r="V275" i="16" s="1"/>
  <c r="AI275" i="16"/>
  <c r="AJ275" i="16" s="1"/>
  <c r="AK275" i="16" s="1"/>
  <c r="X275" i="16"/>
  <c r="Y275" i="16" s="1"/>
  <c r="Z275" i="16" s="1"/>
  <c r="M275" i="16"/>
  <c r="AA275" i="16"/>
  <c r="AB275" i="16" s="1"/>
  <c r="AC275" i="16" s="1"/>
  <c r="AP275" i="16"/>
  <c r="AQ275" i="16" s="1"/>
  <c r="AR275" i="16" s="1"/>
  <c r="N275" i="16"/>
  <c r="L277" i="16" l="1"/>
  <c r="K278" i="16"/>
  <c r="S276" i="16"/>
  <c r="T276" i="16"/>
  <c r="U276" i="16" s="1"/>
  <c r="V276" i="16" s="1"/>
  <c r="AI276" i="16"/>
  <c r="AJ276" i="16" s="1"/>
  <c r="AK276" i="16" s="1"/>
  <c r="X276" i="16"/>
  <c r="Y276" i="16" s="1"/>
  <c r="Z276" i="16" s="1"/>
  <c r="M276" i="16"/>
  <c r="AA276" i="16"/>
  <c r="AB276" i="16" s="1"/>
  <c r="AC276" i="16" s="1"/>
  <c r="AP276" i="16"/>
  <c r="AQ276" i="16" s="1"/>
  <c r="AR276" i="16" s="1"/>
  <c r="N276" i="16"/>
  <c r="L278" i="16" l="1"/>
  <c r="K279" i="16"/>
  <c r="T277" i="16"/>
  <c r="U277" i="16" s="1"/>
  <c r="V277" i="16" s="1"/>
  <c r="S277" i="16"/>
  <c r="AI277" i="16"/>
  <c r="AJ277" i="16" s="1"/>
  <c r="AK277" i="16" s="1"/>
  <c r="X277" i="16"/>
  <c r="Y277" i="16" s="1"/>
  <c r="Z277" i="16" s="1"/>
  <c r="M277" i="16"/>
  <c r="AA277" i="16"/>
  <c r="AB277" i="16" s="1"/>
  <c r="AC277" i="16" s="1"/>
  <c r="AP277" i="16"/>
  <c r="AQ277" i="16" s="1"/>
  <c r="AR277" i="16" s="1"/>
  <c r="N277" i="16"/>
  <c r="L279" i="16" l="1"/>
  <c r="K280" i="16"/>
  <c r="S278" i="16"/>
  <c r="T278" i="16"/>
  <c r="U278" i="16" s="1"/>
  <c r="V278" i="16" s="1"/>
  <c r="AI278" i="16"/>
  <c r="AJ278" i="16" s="1"/>
  <c r="AK278" i="16" s="1"/>
  <c r="X278" i="16"/>
  <c r="Y278" i="16" s="1"/>
  <c r="Z278" i="16" s="1"/>
  <c r="M278" i="16"/>
  <c r="AA278" i="16"/>
  <c r="AB278" i="16" s="1"/>
  <c r="AC278" i="16" s="1"/>
  <c r="AP278" i="16"/>
  <c r="AQ278" i="16" s="1"/>
  <c r="AR278" i="16" s="1"/>
  <c r="N278" i="16"/>
  <c r="L280" i="16" l="1"/>
  <c r="K281" i="16"/>
  <c r="S279" i="16"/>
  <c r="T279" i="16"/>
  <c r="U279" i="16" s="1"/>
  <c r="V279" i="16" s="1"/>
  <c r="AI279" i="16"/>
  <c r="AJ279" i="16" s="1"/>
  <c r="AK279" i="16" s="1"/>
  <c r="X279" i="16"/>
  <c r="Y279" i="16" s="1"/>
  <c r="Z279" i="16" s="1"/>
  <c r="M279" i="16"/>
  <c r="AA279" i="16"/>
  <c r="AB279" i="16" s="1"/>
  <c r="AC279" i="16" s="1"/>
  <c r="AP279" i="16"/>
  <c r="AQ279" i="16" s="1"/>
  <c r="AR279" i="16" s="1"/>
  <c r="N279" i="16"/>
  <c r="L281" i="16" l="1"/>
  <c r="K282" i="16"/>
  <c r="T280" i="16"/>
  <c r="U280" i="16" s="1"/>
  <c r="V280" i="16" s="1"/>
  <c r="S280" i="16"/>
  <c r="AI280" i="16"/>
  <c r="AJ280" i="16" s="1"/>
  <c r="AK280" i="16" s="1"/>
  <c r="X280" i="16"/>
  <c r="Y280" i="16" s="1"/>
  <c r="Z280" i="16" s="1"/>
  <c r="M280" i="16"/>
  <c r="AA280" i="16"/>
  <c r="AB280" i="16" s="1"/>
  <c r="AC280" i="16" s="1"/>
  <c r="AP280" i="16"/>
  <c r="AQ280" i="16" s="1"/>
  <c r="AR280" i="16" s="1"/>
  <c r="N280" i="16"/>
  <c r="L282" i="16" l="1"/>
  <c r="K283" i="16"/>
  <c r="N281" i="16"/>
  <c r="S281" i="16"/>
  <c r="T281" i="16"/>
  <c r="U281" i="16" s="1"/>
  <c r="V281" i="16" s="1"/>
  <c r="AI281" i="16"/>
  <c r="AJ281" i="16" s="1"/>
  <c r="AK281" i="16" s="1"/>
  <c r="X281" i="16"/>
  <c r="Y281" i="16" s="1"/>
  <c r="Z281" i="16" s="1"/>
  <c r="M281" i="16"/>
  <c r="AA281" i="16"/>
  <c r="AB281" i="16" s="1"/>
  <c r="AC281" i="16" s="1"/>
  <c r="AP281" i="16"/>
  <c r="AQ281" i="16" s="1"/>
  <c r="AR281" i="16" s="1"/>
  <c r="L283" i="16" l="1"/>
  <c r="K284" i="16"/>
  <c r="N282" i="16"/>
  <c r="S282" i="16"/>
  <c r="T282" i="16"/>
  <c r="U282" i="16" s="1"/>
  <c r="V282" i="16" s="1"/>
  <c r="AI282" i="16"/>
  <c r="AJ282" i="16" s="1"/>
  <c r="AK282" i="16" s="1"/>
  <c r="X282" i="16"/>
  <c r="Y282" i="16" s="1"/>
  <c r="Z282" i="16" s="1"/>
  <c r="M282" i="16"/>
  <c r="AA282" i="16"/>
  <c r="AB282" i="16" s="1"/>
  <c r="AC282" i="16" s="1"/>
  <c r="AP282" i="16"/>
  <c r="AQ282" i="16" s="1"/>
  <c r="AR282" i="16" s="1"/>
  <c r="L284" i="16" l="1"/>
  <c r="K285" i="16"/>
  <c r="T283" i="16"/>
  <c r="U283" i="16" s="1"/>
  <c r="V283" i="16" s="1"/>
  <c r="M283" i="16"/>
  <c r="AA283" i="16"/>
  <c r="AB283" i="16" s="1"/>
  <c r="AC283" i="16" s="1"/>
  <c r="AP283" i="16"/>
  <c r="AQ283" i="16" s="1"/>
  <c r="AR283" i="16" s="1"/>
  <c r="N283" i="16"/>
  <c r="S283" i="16"/>
  <c r="AI283" i="16"/>
  <c r="AJ283" i="16" s="1"/>
  <c r="AK283" i="16" s="1"/>
  <c r="X283" i="16"/>
  <c r="Y283" i="16" s="1"/>
  <c r="Z283" i="16" s="1"/>
  <c r="L285" i="16" l="1"/>
  <c r="K286" i="16"/>
  <c r="M284" i="16"/>
  <c r="AA284" i="16"/>
  <c r="AB284" i="16" s="1"/>
  <c r="AC284" i="16" s="1"/>
  <c r="AP284" i="16"/>
  <c r="AQ284" i="16" s="1"/>
  <c r="AR284" i="16" s="1"/>
  <c r="N284" i="16"/>
  <c r="S284" i="16"/>
  <c r="T284" i="16"/>
  <c r="U284" i="16" s="1"/>
  <c r="V284" i="16" s="1"/>
  <c r="AI284" i="16"/>
  <c r="AJ284" i="16" s="1"/>
  <c r="AK284" i="16" s="1"/>
  <c r="X284" i="16"/>
  <c r="Y284" i="16" s="1"/>
  <c r="Z284" i="16" s="1"/>
  <c r="L286" i="16" l="1"/>
  <c r="K287" i="16"/>
  <c r="M285" i="16"/>
  <c r="AA285" i="16"/>
  <c r="AB285" i="16" s="1"/>
  <c r="AC285" i="16" s="1"/>
  <c r="AP285" i="16"/>
  <c r="AQ285" i="16" s="1"/>
  <c r="AR285" i="16" s="1"/>
  <c r="N285" i="16"/>
  <c r="S285" i="16"/>
  <c r="T285" i="16"/>
  <c r="U285" i="16" s="1"/>
  <c r="V285" i="16" s="1"/>
  <c r="AI285" i="16"/>
  <c r="AJ285" i="16" s="1"/>
  <c r="AK285" i="16" s="1"/>
  <c r="X285" i="16"/>
  <c r="Y285" i="16" s="1"/>
  <c r="Z285" i="16" s="1"/>
  <c r="L287" i="16" l="1"/>
  <c r="K288" i="16"/>
  <c r="T286" i="16"/>
  <c r="U286" i="16" s="1"/>
  <c r="V286" i="16" s="1"/>
  <c r="M286" i="16"/>
  <c r="AA286" i="16"/>
  <c r="AB286" i="16" s="1"/>
  <c r="AC286" i="16" s="1"/>
  <c r="AP286" i="16"/>
  <c r="AQ286" i="16" s="1"/>
  <c r="AR286" i="16" s="1"/>
  <c r="S286" i="16"/>
  <c r="AI286" i="16"/>
  <c r="AJ286" i="16" s="1"/>
  <c r="AK286" i="16" s="1"/>
  <c r="X286" i="16"/>
  <c r="Y286" i="16" s="1"/>
  <c r="Z286" i="16" s="1"/>
  <c r="N286" i="16"/>
  <c r="L288" i="16" l="1"/>
  <c r="K289" i="16"/>
  <c r="X287" i="16"/>
  <c r="Y287" i="16" s="1"/>
  <c r="Z287" i="16" s="1"/>
  <c r="N287" i="16"/>
  <c r="S287" i="16"/>
  <c r="T287" i="16"/>
  <c r="U287" i="16" s="1"/>
  <c r="V287" i="16" s="1"/>
  <c r="AI287" i="16"/>
  <c r="AJ287" i="16" s="1"/>
  <c r="AK287" i="16" s="1"/>
  <c r="AA287" i="16"/>
  <c r="AB287" i="16" s="1"/>
  <c r="AC287" i="16" s="1"/>
  <c r="AP287" i="16"/>
  <c r="AQ287" i="16" s="1"/>
  <c r="AR287" i="16" s="1"/>
  <c r="M287" i="16"/>
  <c r="K290" i="16" l="1"/>
  <c r="L289" i="16"/>
  <c r="X288" i="16"/>
  <c r="Y288" i="16" s="1"/>
  <c r="Z288" i="16" s="1"/>
  <c r="N288" i="16"/>
  <c r="S288" i="16"/>
  <c r="T288" i="16"/>
  <c r="U288" i="16" s="1"/>
  <c r="V288" i="16" s="1"/>
  <c r="AI288" i="16"/>
  <c r="AJ288" i="16" s="1"/>
  <c r="AK288" i="16" s="1"/>
  <c r="AP288" i="16"/>
  <c r="AQ288" i="16" s="1"/>
  <c r="AR288" i="16" s="1"/>
  <c r="M288" i="16"/>
  <c r="AA288" i="16"/>
  <c r="AB288" i="16" s="1"/>
  <c r="AC288" i="16" s="1"/>
  <c r="T289" i="16" l="1"/>
  <c r="U289" i="16" s="1"/>
  <c r="V289" i="16" s="1"/>
  <c r="X289" i="16"/>
  <c r="Y289" i="16" s="1"/>
  <c r="Z289" i="16" s="1"/>
  <c r="M289" i="16"/>
  <c r="AA289" i="16"/>
  <c r="AB289" i="16" s="1"/>
  <c r="AC289" i="16" s="1"/>
  <c r="AP289" i="16"/>
  <c r="AQ289" i="16" s="1"/>
  <c r="AR289" i="16" s="1"/>
  <c r="N289" i="16"/>
  <c r="S289" i="16"/>
  <c r="AI289" i="16"/>
  <c r="AJ289" i="16" s="1"/>
  <c r="AK289" i="16" s="1"/>
  <c r="L290" i="16"/>
  <c r="K291" i="16"/>
  <c r="L291" i="16" l="1"/>
  <c r="K292" i="16"/>
  <c r="X290" i="16"/>
  <c r="Y290" i="16" s="1"/>
  <c r="Z290" i="16" s="1"/>
  <c r="M290" i="16"/>
  <c r="AA290" i="16"/>
  <c r="AB290" i="16" s="1"/>
  <c r="AC290" i="16" s="1"/>
  <c r="AP290" i="16"/>
  <c r="AQ290" i="16" s="1"/>
  <c r="AR290" i="16" s="1"/>
  <c r="N290" i="16"/>
  <c r="S290" i="16"/>
  <c r="T290" i="16"/>
  <c r="U290" i="16" s="1"/>
  <c r="V290" i="16" s="1"/>
  <c r="AI290" i="16"/>
  <c r="AJ290" i="16" s="1"/>
  <c r="AK290" i="16" s="1"/>
  <c r="L292" i="16" l="1"/>
  <c r="K293" i="16"/>
  <c r="T291" i="16"/>
  <c r="U291" i="16" s="1"/>
  <c r="V291" i="16" s="1"/>
  <c r="AI291" i="16"/>
  <c r="AJ291" i="16" s="1"/>
  <c r="AK291" i="16" s="1"/>
  <c r="M291" i="16"/>
  <c r="AA291" i="16"/>
  <c r="AB291" i="16" s="1"/>
  <c r="AC291" i="16" s="1"/>
  <c r="AP291" i="16"/>
  <c r="AQ291" i="16" s="1"/>
  <c r="AR291" i="16" s="1"/>
  <c r="N291" i="16"/>
  <c r="S291" i="16"/>
  <c r="X291" i="16"/>
  <c r="Y291" i="16" s="1"/>
  <c r="Z291" i="16" s="1"/>
  <c r="L293" i="16" l="1"/>
  <c r="K294" i="16"/>
  <c r="T292" i="16"/>
  <c r="U292" i="16" s="1"/>
  <c r="V292" i="16" s="1"/>
  <c r="S292" i="16"/>
  <c r="AI292" i="16"/>
  <c r="AJ292" i="16" s="1"/>
  <c r="AK292" i="16" s="1"/>
  <c r="M292" i="16"/>
  <c r="AA292" i="16"/>
  <c r="AB292" i="16" s="1"/>
  <c r="AC292" i="16" s="1"/>
  <c r="AP292" i="16"/>
  <c r="AQ292" i="16" s="1"/>
  <c r="AR292" i="16" s="1"/>
  <c r="N292" i="16"/>
  <c r="X292" i="16"/>
  <c r="Y292" i="16" s="1"/>
  <c r="Z292" i="16" s="1"/>
  <c r="L294" i="16" l="1"/>
  <c r="K295" i="16"/>
  <c r="S293" i="16"/>
  <c r="T293" i="16"/>
  <c r="U293" i="16" s="1"/>
  <c r="V293" i="16" s="1"/>
  <c r="AI293" i="16"/>
  <c r="AJ293" i="16" s="1"/>
  <c r="AK293" i="16" s="1"/>
  <c r="X293" i="16"/>
  <c r="Y293" i="16" s="1"/>
  <c r="Z293" i="16" s="1"/>
  <c r="M293" i="16"/>
  <c r="AA293" i="16"/>
  <c r="AB293" i="16" s="1"/>
  <c r="AC293" i="16" s="1"/>
  <c r="AP293" i="16"/>
  <c r="AQ293" i="16" s="1"/>
  <c r="AR293" i="16" s="1"/>
  <c r="N293" i="16"/>
  <c r="L295" i="16" l="1"/>
  <c r="K296" i="16"/>
  <c r="T294" i="16"/>
  <c r="U294" i="16" s="1"/>
  <c r="V294" i="16" s="1"/>
  <c r="AI294" i="16"/>
  <c r="AJ294" i="16" s="1"/>
  <c r="AK294" i="16" s="1"/>
  <c r="X294" i="16"/>
  <c r="Y294" i="16" s="1"/>
  <c r="Z294" i="16" s="1"/>
  <c r="M294" i="16"/>
  <c r="AA294" i="16"/>
  <c r="AB294" i="16" s="1"/>
  <c r="AC294" i="16" s="1"/>
  <c r="AP294" i="16"/>
  <c r="AQ294" i="16" s="1"/>
  <c r="AR294" i="16" s="1"/>
  <c r="N294" i="16"/>
  <c r="S294" i="16"/>
  <c r="K297" i="16" l="1"/>
  <c r="L296" i="16"/>
  <c r="S295" i="16"/>
  <c r="AI295" i="16"/>
  <c r="AJ295" i="16" s="1"/>
  <c r="AK295" i="16" s="1"/>
  <c r="X295" i="16"/>
  <c r="Y295" i="16" s="1"/>
  <c r="Z295" i="16" s="1"/>
  <c r="M295" i="16"/>
  <c r="T295" i="16"/>
  <c r="U295" i="16" s="1"/>
  <c r="V295" i="16" s="1"/>
  <c r="AA295" i="16"/>
  <c r="AB295" i="16" s="1"/>
  <c r="AC295" i="16" s="1"/>
  <c r="AP295" i="16"/>
  <c r="AQ295" i="16" s="1"/>
  <c r="AR295" i="16" s="1"/>
  <c r="N295" i="16"/>
  <c r="M296" i="16" l="1"/>
  <c r="AP296" i="16"/>
  <c r="AQ296" i="16" s="1"/>
  <c r="AR296" i="16" s="1"/>
  <c r="T296" i="16"/>
  <c r="U296" i="16" s="1"/>
  <c r="V296" i="16" s="1"/>
  <c r="AI296" i="16"/>
  <c r="AJ296" i="16" s="1"/>
  <c r="AK296" i="16" s="1"/>
  <c r="X296" i="16"/>
  <c r="Y296" i="16" s="1"/>
  <c r="Z296" i="16" s="1"/>
  <c r="AA296" i="16"/>
  <c r="AB296" i="16" s="1"/>
  <c r="AC296" i="16" s="1"/>
  <c r="N296" i="16"/>
  <c r="S296" i="16"/>
  <c r="K298" i="16"/>
  <c r="L297" i="16"/>
  <c r="AI297" i="16" l="1"/>
  <c r="AJ297" i="16" s="1"/>
  <c r="AK297" i="16" s="1"/>
  <c r="X297" i="16"/>
  <c r="Y297" i="16" s="1"/>
  <c r="Z297" i="16" s="1"/>
  <c r="M297" i="16"/>
  <c r="N297" i="16"/>
  <c r="AA297" i="16"/>
  <c r="AB297" i="16" s="1"/>
  <c r="AC297" i="16" s="1"/>
  <c r="AP297" i="16"/>
  <c r="AQ297" i="16" s="1"/>
  <c r="AR297" i="16" s="1"/>
  <c r="S297" i="16"/>
  <c r="T297" i="16"/>
  <c r="U297" i="16" s="1"/>
  <c r="V297" i="16" s="1"/>
  <c r="L298" i="16"/>
  <c r="K299" i="16"/>
  <c r="K300" i="16" l="1"/>
  <c r="L299" i="16"/>
  <c r="S298" i="16"/>
  <c r="AI298" i="16"/>
  <c r="AJ298" i="16" s="1"/>
  <c r="AK298" i="16" s="1"/>
  <c r="M298" i="16"/>
  <c r="N298" i="16"/>
  <c r="AP298" i="16"/>
  <c r="AQ298" i="16" s="1"/>
  <c r="AR298" i="16" s="1"/>
  <c r="T298" i="16"/>
  <c r="U298" i="16" s="1"/>
  <c r="V298" i="16" s="1"/>
  <c r="X298" i="16"/>
  <c r="Y298" i="16" s="1"/>
  <c r="Z298" i="16" s="1"/>
  <c r="AA298" i="16"/>
  <c r="AB298" i="16" s="1"/>
  <c r="AC298" i="16" s="1"/>
  <c r="M299" i="16" l="1"/>
  <c r="AP299" i="16"/>
  <c r="AQ299" i="16" s="1"/>
  <c r="AR299" i="16" s="1"/>
  <c r="T299" i="16"/>
  <c r="U299" i="16" s="1"/>
  <c r="V299" i="16" s="1"/>
  <c r="AI299" i="16"/>
  <c r="AJ299" i="16" s="1"/>
  <c r="AK299" i="16" s="1"/>
  <c r="N299" i="16"/>
  <c r="S299" i="16"/>
  <c r="X299" i="16"/>
  <c r="Y299" i="16" s="1"/>
  <c r="Z299" i="16" s="1"/>
  <c r="AA299" i="16"/>
  <c r="AB299" i="16" s="1"/>
  <c r="AC299" i="16" s="1"/>
  <c r="L300" i="16"/>
  <c r="K301" i="16"/>
  <c r="L301" i="16" l="1"/>
  <c r="K302" i="16"/>
  <c r="AI300" i="16"/>
  <c r="AJ300" i="16" s="1"/>
  <c r="AK300" i="16" s="1"/>
  <c r="X300" i="16"/>
  <c r="Y300" i="16" s="1"/>
  <c r="Z300" i="16" s="1"/>
  <c r="M300" i="16"/>
  <c r="N300" i="16"/>
  <c r="S300" i="16"/>
  <c r="AP300" i="16"/>
  <c r="AQ300" i="16" s="1"/>
  <c r="AR300" i="16" s="1"/>
  <c r="T300" i="16"/>
  <c r="U300" i="16" s="1"/>
  <c r="V300" i="16" s="1"/>
  <c r="AA300" i="16"/>
  <c r="AB300" i="16" s="1"/>
  <c r="AC300" i="16" s="1"/>
  <c r="K303" i="16" l="1"/>
  <c r="L302" i="16"/>
  <c r="AI301" i="16"/>
  <c r="AJ301" i="16" s="1"/>
  <c r="AK301" i="16" s="1"/>
  <c r="M301" i="16"/>
  <c r="X301" i="16"/>
  <c r="Y301" i="16" s="1"/>
  <c r="Z301" i="16" s="1"/>
  <c r="AP301" i="16"/>
  <c r="AQ301" i="16" s="1"/>
  <c r="AR301" i="16" s="1"/>
  <c r="AA301" i="16"/>
  <c r="AB301" i="16" s="1"/>
  <c r="AC301" i="16" s="1"/>
  <c r="N301" i="16"/>
  <c r="S301" i="16"/>
  <c r="T301" i="16"/>
  <c r="U301" i="16" s="1"/>
  <c r="V301" i="16" s="1"/>
  <c r="M302" i="16" l="1"/>
  <c r="AI302" i="16"/>
  <c r="AJ302" i="16" s="1"/>
  <c r="AK302" i="16" s="1"/>
  <c r="N302" i="16"/>
  <c r="S302" i="16"/>
  <c r="T302" i="16"/>
  <c r="U302" i="16" s="1"/>
  <c r="V302" i="16" s="1"/>
  <c r="X302" i="16"/>
  <c r="Y302" i="16" s="1"/>
  <c r="Z302" i="16" s="1"/>
  <c r="AP302" i="16"/>
  <c r="AQ302" i="16" s="1"/>
  <c r="AR302" i="16" s="1"/>
  <c r="AA302" i="16"/>
  <c r="AB302" i="16" s="1"/>
  <c r="AC302" i="16" s="1"/>
  <c r="K304" i="16"/>
  <c r="L303" i="16"/>
  <c r="M303" i="16" l="1"/>
  <c r="S303" i="16"/>
  <c r="AI303" i="16"/>
  <c r="AJ303" i="16" s="1"/>
  <c r="AK303" i="16" s="1"/>
  <c r="T303" i="16"/>
  <c r="U303" i="16" s="1"/>
  <c r="V303" i="16" s="1"/>
  <c r="X303" i="16"/>
  <c r="Y303" i="16" s="1"/>
  <c r="Z303" i="16" s="1"/>
  <c r="AP303" i="16"/>
  <c r="AQ303" i="16" s="1"/>
  <c r="AR303" i="16" s="1"/>
  <c r="AA303" i="16"/>
  <c r="AB303" i="16" s="1"/>
  <c r="AC303" i="16" s="1"/>
  <c r="N303" i="16"/>
  <c r="K305" i="16"/>
  <c r="L304" i="16"/>
  <c r="AI304" i="16" l="1"/>
  <c r="AJ304" i="16" s="1"/>
  <c r="AK304" i="16" s="1"/>
  <c r="M304" i="16"/>
  <c r="S304" i="16"/>
  <c r="T304" i="16"/>
  <c r="U304" i="16" s="1"/>
  <c r="V304" i="16" s="1"/>
  <c r="X304" i="16"/>
  <c r="Y304" i="16" s="1"/>
  <c r="Z304" i="16" s="1"/>
  <c r="AP304" i="16"/>
  <c r="AQ304" i="16" s="1"/>
  <c r="AR304" i="16" s="1"/>
  <c r="AA304" i="16"/>
  <c r="AB304" i="16" s="1"/>
  <c r="AC304" i="16" s="1"/>
  <c r="N304" i="16"/>
  <c r="K306" i="16"/>
  <c r="L305" i="16"/>
  <c r="AI305" i="16" l="1"/>
  <c r="AJ305" i="16" s="1"/>
  <c r="AK305" i="16" s="1"/>
  <c r="X305" i="16"/>
  <c r="Y305" i="16" s="1"/>
  <c r="Z305" i="16" s="1"/>
  <c r="AP305" i="16"/>
  <c r="AQ305" i="16" s="1"/>
  <c r="AR305" i="16" s="1"/>
  <c r="AA305" i="16"/>
  <c r="AB305" i="16" s="1"/>
  <c r="AC305" i="16" s="1"/>
  <c r="M305" i="16"/>
  <c r="N305" i="16"/>
  <c r="S305" i="16"/>
  <c r="T305" i="16"/>
  <c r="U305" i="16" s="1"/>
  <c r="V305" i="16" s="1"/>
  <c r="L306" i="16"/>
  <c r="K307" i="16"/>
  <c r="L307" i="16" l="1"/>
  <c r="K308" i="16"/>
  <c r="M306" i="16"/>
  <c r="X306" i="16"/>
  <c r="Y306" i="16" s="1"/>
  <c r="Z306" i="16" s="1"/>
  <c r="AP306" i="16"/>
  <c r="AQ306" i="16" s="1"/>
  <c r="AR306" i="16" s="1"/>
  <c r="AA306" i="16"/>
  <c r="AB306" i="16" s="1"/>
  <c r="AC306" i="16" s="1"/>
  <c r="N306" i="16"/>
  <c r="S306" i="16"/>
  <c r="AI306" i="16"/>
  <c r="AJ306" i="16" s="1"/>
  <c r="AK306" i="16" s="1"/>
  <c r="T306" i="16"/>
  <c r="U306" i="16" s="1"/>
  <c r="V306" i="16" s="1"/>
  <c r="K309" i="16" l="1"/>
  <c r="L308" i="16"/>
  <c r="AI307" i="16"/>
  <c r="AJ307" i="16" s="1"/>
  <c r="AK307" i="16" s="1"/>
  <c r="M307" i="16"/>
  <c r="N307" i="16"/>
  <c r="S307" i="16"/>
  <c r="T307" i="16"/>
  <c r="U307" i="16" s="1"/>
  <c r="V307" i="16" s="1"/>
  <c r="X307" i="16"/>
  <c r="Y307" i="16" s="1"/>
  <c r="Z307" i="16" s="1"/>
  <c r="AP307" i="16"/>
  <c r="AQ307" i="16" s="1"/>
  <c r="AR307" i="16" s="1"/>
  <c r="AA307" i="16"/>
  <c r="AB307" i="16" s="1"/>
  <c r="AC307" i="16" s="1"/>
  <c r="AI308" i="16" l="1"/>
  <c r="AJ308" i="16" s="1"/>
  <c r="AK308" i="16" s="1"/>
  <c r="N308" i="16"/>
  <c r="S308" i="16"/>
  <c r="T308" i="16"/>
  <c r="U308" i="16" s="1"/>
  <c r="V308" i="16" s="1"/>
  <c r="X308" i="16"/>
  <c r="Y308" i="16" s="1"/>
  <c r="Z308" i="16" s="1"/>
  <c r="AP308" i="16"/>
  <c r="AQ308" i="16" s="1"/>
  <c r="AR308" i="16" s="1"/>
  <c r="AA308" i="16"/>
  <c r="AB308" i="16" s="1"/>
  <c r="AC308" i="16" s="1"/>
  <c r="M308" i="16"/>
  <c r="K310" i="16"/>
  <c r="L309" i="16"/>
  <c r="M309" i="16" l="1"/>
  <c r="S309" i="16"/>
  <c r="AI309" i="16"/>
  <c r="AJ309" i="16" s="1"/>
  <c r="AK309" i="16" s="1"/>
  <c r="T309" i="16"/>
  <c r="U309" i="16" s="1"/>
  <c r="V309" i="16" s="1"/>
  <c r="X309" i="16"/>
  <c r="Y309" i="16" s="1"/>
  <c r="Z309" i="16" s="1"/>
  <c r="AA309" i="16"/>
  <c r="AB309" i="16" s="1"/>
  <c r="AC309" i="16" s="1"/>
  <c r="AP309" i="16"/>
  <c r="AQ309" i="16" s="1"/>
  <c r="AR309" i="16" s="1"/>
  <c r="N309" i="16"/>
  <c r="K311" i="16"/>
  <c r="L310" i="16"/>
  <c r="M310" i="16" l="1"/>
  <c r="S310" i="16"/>
  <c r="T310" i="16"/>
  <c r="U310" i="16" s="1"/>
  <c r="V310" i="16" s="1"/>
  <c r="AI310" i="16"/>
  <c r="AJ310" i="16" s="1"/>
  <c r="AK310" i="16" s="1"/>
  <c r="X310" i="16"/>
  <c r="Y310" i="16" s="1"/>
  <c r="Z310" i="16" s="1"/>
  <c r="AA310" i="16"/>
  <c r="AB310" i="16" s="1"/>
  <c r="AC310" i="16" s="1"/>
  <c r="AP310" i="16"/>
  <c r="AQ310" i="16" s="1"/>
  <c r="AR310" i="16" s="1"/>
  <c r="N310" i="16"/>
  <c r="L311" i="16"/>
  <c r="K312" i="16"/>
  <c r="L312" i="16" l="1"/>
  <c r="K313" i="16"/>
  <c r="AI311" i="16"/>
  <c r="AJ311" i="16" s="1"/>
  <c r="AK311" i="16" s="1"/>
  <c r="S311" i="16"/>
  <c r="T311" i="16"/>
  <c r="U311" i="16" s="1"/>
  <c r="V311" i="16" s="1"/>
  <c r="X311" i="16"/>
  <c r="Y311" i="16" s="1"/>
  <c r="Z311" i="16" s="1"/>
  <c r="M311" i="16"/>
  <c r="AA311" i="16"/>
  <c r="AB311" i="16" s="1"/>
  <c r="AC311" i="16" s="1"/>
  <c r="AP311" i="16"/>
  <c r="AQ311" i="16" s="1"/>
  <c r="AR311" i="16" s="1"/>
  <c r="N311" i="16"/>
  <c r="K314" i="16" l="1"/>
  <c r="L313" i="16"/>
  <c r="N312" i="16"/>
  <c r="S312" i="16"/>
  <c r="T312" i="16"/>
  <c r="U312" i="16" s="1"/>
  <c r="V312" i="16" s="1"/>
  <c r="AI312" i="16"/>
  <c r="AJ312" i="16" s="1"/>
  <c r="AK312" i="16" s="1"/>
  <c r="X312" i="16"/>
  <c r="Y312" i="16" s="1"/>
  <c r="Z312" i="16" s="1"/>
  <c r="M312" i="16"/>
  <c r="AA312" i="16"/>
  <c r="AB312" i="16" s="1"/>
  <c r="AC312" i="16" s="1"/>
  <c r="AP312" i="16"/>
  <c r="AQ312" i="16" s="1"/>
  <c r="AR312" i="16" s="1"/>
  <c r="M313" i="16" l="1"/>
  <c r="N313" i="16"/>
  <c r="S313" i="16"/>
  <c r="T313" i="16"/>
  <c r="U313" i="16" s="1"/>
  <c r="V313" i="16" s="1"/>
  <c r="AI313" i="16"/>
  <c r="AJ313" i="16" s="1"/>
  <c r="AK313" i="16" s="1"/>
  <c r="X313" i="16"/>
  <c r="Y313" i="16" s="1"/>
  <c r="Z313" i="16" s="1"/>
  <c r="AA313" i="16"/>
  <c r="AB313" i="16" s="1"/>
  <c r="AC313" i="16" s="1"/>
  <c r="AP313" i="16"/>
  <c r="AQ313" i="16" s="1"/>
  <c r="AR313" i="16" s="1"/>
  <c r="K315" i="16"/>
  <c r="L314" i="16"/>
  <c r="AI314" i="16" l="1"/>
  <c r="AJ314" i="16" s="1"/>
  <c r="AK314" i="16" s="1"/>
  <c r="M314" i="16"/>
  <c r="AA314" i="16"/>
  <c r="AB314" i="16" s="1"/>
  <c r="AC314" i="16" s="1"/>
  <c r="AP314" i="16"/>
  <c r="AQ314" i="16" s="1"/>
  <c r="AR314" i="16" s="1"/>
  <c r="N314" i="16"/>
  <c r="S314" i="16"/>
  <c r="T314" i="16"/>
  <c r="U314" i="16" s="1"/>
  <c r="V314" i="16" s="1"/>
  <c r="X314" i="16"/>
  <c r="Y314" i="16" s="1"/>
  <c r="Z314" i="16" s="1"/>
  <c r="L315" i="16"/>
  <c r="K316" i="16"/>
  <c r="K317" i="16" l="1"/>
  <c r="L316" i="16"/>
  <c r="M315" i="16"/>
  <c r="AA315" i="16"/>
  <c r="AB315" i="16" s="1"/>
  <c r="AC315" i="16" s="1"/>
  <c r="AP315" i="16"/>
  <c r="AQ315" i="16" s="1"/>
  <c r="AR315" i="16" s="1"/>
  <c r="N315" i="16"/>
  <c r="S315" i="16"/>
  <c r="T315" i="16"/>
  <c r="U315" i="16" s="1"/>
  <c r="V315" i="16" s="1"/>
  <c r="AI315" i="16"/>
  <c r="AJ315" i="16" s="1"/>
  <c r="AK315" i="16" s="1"/>
  <c r="X315" i="16"/>
  <c r="Y315" i="16" s="1"/>
  <c r="Z315" i="16" s="1"/>
  <c r="M316" i="16" l="1"/>
  <c r="X316" i="16"/>
  <c r="Y316" i="16" s="1"/>
  <c r="Z316" i="16" s="1"/>
  <c r="AA316" i="16"/>
  <c r="AB316" i="16" s="1"/>
  <c r="AC316" i="16" s="1"/>
  <c r="AP316" i="16"/>
  <c r="AQ316" i="16" s="1"/>
  <c r="AR316" i="16" s="1"/>
  <c r="N316" i="16"/>
  <c r="S316" i="16"/>
  <c r="T316" i="16"/>
  <c r="U316" i="16" s="1"/>
  <c r="V316" i="16" s="1"/>
  <c r="AI316" i="16"/>
  <c r="AJ316" i="16" s="1"/>
  <c r="AK316" i="16" s="1"/>
  <c r="L317" i="16"/>
  <c r="K318" i="16"/>
  <c r="L318" i="16" l="1"/>
  <c r="K319" i="16"/>
  <c r="AI317" i="16"/>
  <c r="AJ317" i="16" s="1"/>
  <c r="AK317" i="16" s="1"/>
  <c r="X317" i="16"/>
  <c r="Y317" i="16" s="1"/>
  <c r="Z317" i="16" s="1"/>
  <c r="M317" i="16"/>
  <c r="AA317" i="16"/>
  <c r="AB317" i="16" s="1"/>
  <c r="AC317" i="16" s="1"/>
  <c r="AP317" i="16"/>
  <c r="AQ317" i="16" s="1"/>
  <c r="AR317" i="16" s="1"/>
  <c r="N317" i="16"/>
  <c r="S317" i="16"/>
  <c r="T317" i="16"/>
  <c r="U317" i="16" s="1"/>
  <c r="V317" i="16" s="1"/>
  <c r="K320" i="16" l="1"/>
  <c r="L319" i="16"/>
  <c r="X318" i="16"/>
  <c r="Y318" i="16" s="1"/>
  <c r="Z318" i="16" s="1"/>
  <c r="M318" i="16"/>
  <c r="AA318" i="16"/>
  <c r="AB318" i="16" s="1"/>
  <c r="AC318" i="16" s="1"/>
  <c r="AP318" i="16"/>
  <c r="AQ318" i="16" s="1"/>
  <c r="AR318" i="16" s="1"/>
  <c r="N318" i="16"/>
  <c r="S318" i="16"/>
  <c r="T318" i="16"/>
  <c r="U318" i="16" s="1"/>
  <c r="V318" i="16" s="1"/>
  <c r="AI318" i="16"/>
  <c r="AJ318" i="16" s="1"/>
  <c r="AK318" i="16" s="1"/>
  <c r="M319" i="16" l="1"/>
  <c r="T319" i="16"/>
  <c r="U319" i="16" s="1"/>
  <c r="V319" i="16" s="1"/>
  <c r="AI319" i="16"/>
  <c r="AJ319" i="16" s="1"/>
  <c r="AK319" i="16" s="1"/>
  <c r="X319" i="16"/>
  <c r="Y319" i="16" s="1"/>
  <c r="Z319" i="16" s="1"/>
  <c r="AA319" i="16"/>
  <c r="AB319" i="16" s="1"/>
  <c r="AC319" i="16" s="1"/>
  <c r="AP319" i="16"/>
  <c r="AQ319" i="16" s="1"/>
  <c r="AR319" i="16" s="1"/>
  <c r="N319" i="16"/>
  <c r="S319" i="16"/>
  <c r="L320" i="16"/>
  <c r="K321" i="16"/>
  <c r="L321" i="16" l="1"/>
  <c r="K322" i="16"/>
  <c r="S320" i="16"/>
  <c r="T320" i="16"/>
  <c r="U320" i="16" s="1"/>
  <c r="V320" i="16" s="1"/>
  <c r="AI320" i="16"/>
  <c r="AJ320" i="16" s="1"/>
  <c r="AK320" i="16" s="1"/>
  <c r="X320" i="16"/>
  <c r="Y320" i="16" s="1"/>
  <c r="Z320" i="16" s="1"/>
  <c r="M320" i="16"/>
  <c r="AA320" i="16"/>
  <c r="AB320" i="16" s="1"/>
  <c r="AC320" i="16" s="1"/>
  <c r="N320" i="16"/>
  <c r="AP320" i="16"/>
  <c r="AQ320" i="16" s="1"/>
  <c r="AR320" i="16" s="1"/>
  <c r="L322" i="16" l="1"/>
  <c r="K323" i="16"/>
  <c r="S321" i="16"/>
  <c r="T321" i="16"/>
  <c r="U321" i="16" s="1"/>
  <c r="V321" i="16" s="1"/>
  <c r="AI321" i="16"/>
  <c r="AJ321" i="16" s="1"/>
  <c r="AK321" i="16" s="1"/>
  <c r="X321" i="16"/>
  <c r="Y321" i="16" s="1"/>
  <c r="Z321" i="16" s="1"/>
  <c r="M321" i="16"/>
  <c r="N321" i="16"/>
  <c r="AA321" i="16"/>
  <c r="AB321" i="16" s="1"/>
  <c r="AC321" i="16" s="1"/>
  <c r="AP321" i="16"/>
  <c r="AQ321" i="16" s="1"/>
  <c r="AR321" i="16" s="1"/>
  <c r="L323" i="16" l="1"/>
  <c r="K324" i="16"/>
  <c r="M322" i="16"/>
  <c r="N322" i="16"/>
  <c r="AA322" i="16"/>
  <c r="AB322" i="16" s="1"/>
  <c r="AC322" i="16" s="1"/>
  <c r="AP322" i="16"/>
  <c r="AQ322" i="16" s="1"/>
  <c r="AR322" i="16" s="1"/>
  <c r="S322" i="16"/>
  <c r="T322" i="16"/>
  <c r="U322" i="16" s="1"/>
  <c r="V322" i="16" s="1"/>
  <c r="AI322" i="16"/>
  <c r="AJ322" i="16" s="1"/>
  <c r="AK322" i="16" s="1"/>
  <c r="X322" i="16"/>
  <c r="Y322" i="16" s="1"/>
  <c r="Z322" i="16" s="1"/>
  <c r="L324" i="16" l="1"/>
  <c r="K325" i="16"/>
  <c r="T323" i="16"/>
  <c r="U323" i="16" s="1"/>
  <c r="V323" i="16" s="1"/>
  <c r="AI323" i="16"/>
  <c r="AJ323" i="16" s="1"/>
  <c r="AK323" i="16" s="1"/>
  <c r="X323" i="16"/>
  <c r="Y323" i="16" s="1"/>
  <c r="Z323" i="16" s="1"/>
  <c r="M323" i="16"/>
  <c r="N323" i="16"/>
  <c r="AA323" i="16"/>
  <c r="AB323" i="16" s="1"/>
  <c r="AC323" i="16" s="1"/>
  <c r="AP323" i="16"/>
  <c r="AQ323" i="16" s="1"/>
  <c r="AR323" i="16" s="1"/>
  <c r="S323" i="16"/>
  <c r="L325" i="16" l="1"/>
  <c r="K326" i="16"/>
  <c r="S324" i="16"/>
  <c r="T324" i="16"/>
  <c r="U324" i="16" s="1"/>
  <c r="V324" i="16" s="1"/>
  <c r="AI324" i="16"/>
  <c r="AJ324" i="16" s="1"/>
  <c r="AK324" i="16" s="1"/>
  <c r="X324" i="16"/>
  <c r="Y324" i="16" s="1"/>
  <c r="Z324" i="16" s="1"/>
  <c r="M324" i="16"/>
  <c r="N324" i="16"/>
  <c r="AA324" i="16"/>
  <c r="AB324" i="16" s="1"/>
  <c r="AC324" i="16" s="1"/>
  <c r="AP324" i="16"/>
  <c r="AQ324" i="16" s="1"/>
  <c r="AR324" i="16" s="1"/>
  <c r="L326" i="16" l="1"/>
  <c r="K327" i="16"/>
  <c r="M325" i="16"/>
  <c r="N325" i="16"/>
  <c r="AA325" i="16"/>
  <c r="AB325" i="16" s="1"/>
  <c r="AC325" i="16" s="1"/>
  <c r="AP325" i="16"/>
  <c r="AQ325" i="16" s="1"/>
  <c r="AR325" i="16" s="1"/>
  <c r="S325" i="16"/>
  <c r="T325" i="16"/>
  <c r="U325" i="16" s="1"/>
  <c r="V325" i="16" s="1"/>
  <c r="AI325" i="16"/>
  <c r="AJ325" i="16" s="1"/>
  <c r="AK325" i="16" s="1"/>
  <c r="X325" i="16"/>
  <c r="Y325" i="16" s="1"/>
  <c r="Z325" i="16" s="1"/>
  <c r="L327" i="16" l="1"/>
  <c r="K328" i="16"/>
  <c r="T326" i="16"/>
  <c r="U326" i="16" s="1"/>
  <c r="V326" i="16" s="1"/>
  <c r="AI326" i="16"/>
  <c r="AJ326" i="16" s="1"/>
  <c r="AK326" i="16" s="1"/>
  <c r="X326" i="16"/>
  <c r="Y326" i="16" s="1"/>
  <c r="Z326" i="16" s="1"/>
  <c r="M326" i="16"/>
  <c r="N326" i="16"/>
  <c r="AA326" i="16"/>
  <c r="AB326" i="16" s="1"/>
  <c r="AC326" i="16" s="1"/>
  <c r="AP326" i="16"/>
  <c r="AQ326" i="16" s="1"/>
  <c r="AR326" i="16" s="1"/>
  <c r="S326" i="16"/>
  <c r="L328" i="16" l="1"/>
  <c r="K329" i="16"/>
  <c r="S327" i="16"/>
  <c r="T327" i="16"/>
  <c r="U327" i="16" s="1"/>
  <c r="V327" i="16" s="1"/>
  <c r="AI327" i="16"/>
  <c r="AJ327" i="16" s="1"/>
  <c r="AK327" i="16" s="1"/>
  <c r="X327" i="16"/>
  <c r="Y327" i="16" s="1"/>
  <c r="Z327" i="16" s="1"/>
  <c r="M327" i="16"/>
  <c r="N327" i="16"/>
  <c r="AA327" i="16"/>
  <c r="AB327" i="16" s="1"/>
  <c r="AC327" i="16" s="1"/>
  <c r="AP327" i="16"/>
  <c r="AQ327" i="16" s="1"/>
  <c r="AR327" i="16" s="1"/>
  <c r="L329" i="16" l="1"/>
  <c r="K330" i="16"/>
  <c r="M328" i="16"/>
  <c r="N328" i="16"/>
  <c r="AA328" i="16"/>
  <c r="AB328" i="16" s="1"/>
  <c r="AC328" i="16" s="1"/>
  <c r="AP328" i="16"/>
  <c r="AQ328" i="16" s="1"/>
  <c r="AR328" i="16" s="1"/>
  <c r="S328" i="16"/>
  <c r="T328" i="16"/>
  <c r="U328" i="16" s="1"/>
  <c r="V328" i="16" s="1"/>
  <c r="AI328" i="16"/>
  <c r="AJ328" i="16" s="1"/>
  <c r="AK328" i="16" s="1"/>
  <c r="X328" i="16"/>
  <c r="Y328" i="16" s="1"/>
  <c r="Z328" i="16" s="1"/>
  <c r="L330" i="16" l="1"/>
  <c r="K331" i="16"/>
  <c r="T329" i="16"/>
  <c r="U329" i="16" s="1"/>
  <c r="V329" i="16" s="1"/>
  <c r="AI329" i="16"/>
  <c r="AJ329" i="16" s="1"/>
  <c r="AK329" i="16" s="1"/>
  <c r="X329" i="16"/>
  <c r="Y329" i="16" s="1"/>
  <c r="Z329" i="16" s="1"/>
  <c r="M329" i="16"/>
  <c r="N329" i="16"/>
  <c r="AA329" i="16"/>
  <c r="AB329" i="16" s="1"/>
  <c r="AC329" i="16" s="1"/>
  <c r="AP329" i="16"/>
  <c r="AQ329" i="16" s="1"/>
  <c r="AR329" i="16" s="1"/>
  <c r="S329" i="16"/>
  <c r="L331" i="16" l="1"/>
  <c r="K332" i="16"/>
  <c r="S330" i="16"/>
  <c r="T330" i="16"/>
  <c r="U330" i="16" s="1"/>
  <c r="V330" i="16" s="1"/>
  <c r="AI330" i="16"/>
  <c r="AJ330" i="16" s="1"/>
  <c r="AK330" i="16" s="1"/>
  <c r="X330" i="16"/>
  <c r="Y330" i="16" s="1"/>
  <c r="Z330" i="16" s="1"/>
  <c r="M330" i="16"/>
  <c r="AP330" i="16"/>
  <c r="AQ330" i="16" s="1"/>
  <c r="AR330" i="16" s="1"/>
  <c r="N330" i="16"/>
  <c r="AA330" i="16"/>
  <c r="AB330" i="16" s="1"/>
  <c r="AC330" i="16" s="1"/>
  <c r="L332" i="16" l="1"/>
  <c r="K333" i="16"/>
  <c r="M331" i="16"/>
  <c r="N331" i="16"/>
  <c r="AA331" i="16"/>
  <c r="AB331" i="16" s="1"/>
  <c r="AC331" i="16" s="1"/>
  <c r="AP331" i="16"/>
  <c r="AQ331" i="16" s="1"/>
  <c r="AR331" i="16" s="1"/>
  <c r="S331" i="16"/>
  <c r="T331" i="16"/>
  <c r="U331" i="16" s="1"/>
  <c r="V331" i="16" s="1"/>
  <c r="AI331" i="16"/>
  <c r="AJ331" i="16" s="1"/>
  <c r="AK331" i="16" s="1"/>
  <c r="X331" i="16"/>
  <c r="Y331" i="16" s="1"/>
  <c r="Z331" i="16" s="1"/>
  <c r="L333" i="16" l="1"/>
  <c r="K334" i="16"/>
  <c r="T332" i="16"/>
  <c r="U332" i="16" s="1"/>
  <c r="V332" i="16" s="1"/>
  <c r="AI332" i="16"/>
  <c r="AJ332" i="16" s="1"/>
  <c r="AK332" i="16" s="1"/>
  <c r="X332" i="16"/>
  <c r="Y332" i="16" s="1"/>
  <c r="Z332" i="16" s="1"/>
  <c r="M332" i="16"/>
  <c r="AP332" i="16"/>
  <c r="AQ332" i="16" s="1"/>
  <c r="AR332" i="16" s="1"/>
  <c r="S332" i="16"/>
  <c r="N332" i="16"/>
  <c r="AA332" i="16"/>
  <c r="AB332" i="16" s="1"/>
  <c r="AC332" i="16" s="1"/>
  <c r="L334" i="16" l="1"/>
  <c r="K335" i="16"/>
  <c r="T333" i="16"/>
  <c r="U333" i="16" s="1"/>
  <c r="V333" i="16" s="1"/>
  <c r="AI333" i="16"/>
  <c r="AJ333" i="16" s="1"/>
  <c r="AK333" i="16" s="1"/>
  <c r="X333" i="16"/>
  <c r="Y333" i="16" s="1"/>
  <c r="Z333" i="16" s="1"/>
  <c r="M333" i="16"/>
  <c r="AP333" i="16"/>
  <c r="AQ333" i="16" s="1"/>
  <c r="AR333" i="16" s="1"/>
  <c r="N333" i="16"/>
  <c r="S333" i="16"/>
  <c r="AA333" i="16"/>
  <c r="AB333" i="16" s="1"/>
  <c r="AC333" i="16" s="1"/>
  <c r="L335" i="16" l="1"/>
  <c r="K336" i="16"/>
  <c r="M334" i="16"/>
  <c r="N334" i="16"/>
  <c r="AA334" i="16"/>
  <c r="AB334" i="16" s="1"/>
  <c r="AC334" i="16" s="1"/>
  <c r="S334" i="16"/>
  <c r="T334" i="16"/>
  <c r="U334" i="16" s="1"/>
  <c r="V334" i="16" s="1"/>
  <c r="AI334" i="16"/>
  <c r="AJ334" i="16" s="1"/>
  <c r="AK334" i="16" s="1"/>
  <c r="X334" i="16"/>
  <c r="Y334" i="16" s="1"/>
  <c r="Z334" i="16" s="1"/>
  <c r="AP334" i="16"/>
  <c r="AQ334" i="16" s="1"/>
  <c r="AR334" i="16" s="1"/>
  <c r="L336" i="16" l="1"/>
  <c r="K337" i="16"/>
  <c r="T335" i="16"/>
  <c r="U335" i="16" s="1"/>
  <c r="V335" i="16" s="1"/>
  <c r="AI335" i="16"/>
  <c r="AJ335" i="16" s="1"/>
  <c r="AK335" i="16" s="1"/>
  <c r="M335" i="16"/>
  <c r="AP335" i="16"/>
  <c r="AQ335" i="16" s="1"/>
  <c r="AR335" i="16" s="1"/>
  <c r="S335" i="16"/>
  <c r="N335" i="16"/>
  <c r="X335" i="16"/>
  <c r="Y335" i="16" s="1"/>
  <c r="Z335" i="16" s="1"/>
  <c r="AA335" i="16"/>
  <c r="AB335" i="16" s="1"/>
  <c r="AC335" i="16" s="1"/>
  <c r="L337" i="16" l="1"/>
  <c r="K338" i="16"/>
  <c r="T336" i="16"/>
  <c r="U336" i="16" s="1"/>
  <c r="V336" i="16" s="1"/>
  <c r="AI336" i="16"/>
  <c r="AJ336" i="16" s="1"/>
  <c r="AK336" i="16" s="1"/>
  <c r="X336" i="16"/>
  <c r="Y336" i="16" s="1"/>
  <c r="Z336" i="16" s="1"/>
  <c r="M336" i="16"/>
  <c r="AP336" i="16"/>
  <c r="AQ336" i="16" s="1"/>
  <c r="AR336" i="16" s="1"/>
  <c r="N336" i="16"/>
  <c r="S336" i="16"/>
  <c r="AA336" i="16"/>
  <c r="AB336" i="16" s="1"/>
  <c r="AC336" i="16" s="1"/>
  <c r="L338" i="16" l="1"/>
  <c r="K339" i="16"/>
  <c r="M337" i="16"/>
  <c r="N337" i="16"/>
  <c r="AA337" i="16"/>
  <c r="AB337" i="16" s="1"/>
  <c r="AC337" i="16" s="1"/>
  <c r="S337" i="16"/>
  <c r="T337" i="16"/>
  <c r="U337" i="16" s="1"/>
  <c r="V337" i="16" s="1"/>
  <c r="AI337" i="16"/>
  <c r="AJ337" i="16" s="1"/>
  <c r="AK337" i="16" s="1"/>
  <c r="X337" i="16"/>
  <c r="Y337" i="16" s="1"/>
  <c r="Z337" i="16" s="1"/>
  <c r="AP337" i="16"/>
  <c r="AQ337" i="16" s="1"/>
  <c r="AR337" i="16" s="1"/>
  <c r="L339" i="16" l="1"/>
  <c r="K340" i="16"/>
  <c r="T338" i="16"/>
  <c r="U338" i="16" s="1"/>
  <c r="V338" i="16" s="1"/>
  <c r="AI338" i="16"/>
  <c r="AJ338" i="16" s="1"/>
  <c r="AK338" i="16" s="1"/>
  <c r="M338" i="16"/>
  <c r="AP338" i="16"/>
  <c r="AQ338" i="16" s="1"/>
  <c r="AR338" i="16" s="1"/>
  <c r="N338" i="16"/>
  <c r="S338" i="16"/>
  <c r="X338" i="16"/>
  <c r="Y338" i="16" s="1"/>
  <c r="Z338" i="16" s="1"/>
  <c r="AA338" i="16"/>
  <c r="AB338" i="16" s="1"/>
  <c r="AC338" i="16" s="1"/>
  <c r="L340" i="16" l="1"/>
  <c r="K341" i="16"/>
  <c r="T339" i="16"/>
  <c r="U339" i="16" s="1"/>
  <c r="V339" i="16" s="1"/>
  <c r="AI339" i="16"/>
  <c r="AJ339" i="16" s="1"/>
  <c r="AK339" i="16" s="1"/>
  <c r="M339" i="16"/>
  <c r="N339" i="16"/>
  <c r="AP339" i="16"/>
  <c r="AQ339" i="16" s="1"/>
  <c r="AR339" i="16" s="1"/>
  <c r="S339" i="16"/>
  <c r="X339" i="16"/>
  <c r="Y339" i="16" s="1"/>
  <c r="Z339" i="16" s="1"/>
  <c r="AA339" i="16"/>
  <c r="AB339" i="16" s="1"/>
  <c r="AC339" i="16" s="1"/>
  <c r="L341" i="16" l="1"/>
  <c r="K342" i="16"/>
  <c r="M340" i="16"/>
  <c r="T340" i="16"/>
  <c r="U340" i="16" s="1"/>
  <c r="V340" i="16" s="1"/>
  <c r="AI340" i="16"/>
  <c r="AJ340" i="16" s="1"/>
  <c r="AK340" i="16" s="1"/>
  <c r="S340" i="16"/>
  <c r="X340" i="16"/>
  <c r="Y340" i="16" s="1"/>
  <c r="Z340" i="16" s="1"/>
  <c r="AA340" i="16"/>
  <c r="AB340" i="16" s="1"/>
  <c r="AC340" i="16" s="1"/>
  <c r="N340" i="16"/>
  <c r="AP340" i="16"/>
  <c r="AQ340" i="16" s="1"/>
  <c r="AR340" i="16" s="1"/>
  <c r="L342" i="16" l="1"/>
  <c r="K343" i="16"/>
  <c r="T341" i="16"/>
  <c r="U341" i="16" s="1"/>
  <c r="V341" i="16" s="1"/>
  <c r="AI341" i="16"/>
  <c r="AJ341" i="16" s="1"/>
  <c r="AK341" i="16" s="1"/>
  <c r="M341" i="16"/>
  <c r="X341" i="16"/>
  <c r="Y341" i="16" s="1"/>
  <c r="Z341" i="16" s="1"/>
  <c r="AA341" i="16"/>
  <c r="AB341" i="16" s="1"/>
  <c r="AC341" i="16" s="1"/>
  <c r="N341" i="16"/>
  <c r="AP341" i="16"/>
  <c r="AQ341" i="16" s="1"/>
  <c r="AR341" i="16" s="1"/>
  <c r="S341" i="16"/>
  <c r="L343" i="16" l="1"/>
  <c r="T342" i="16"/>
  <c r="U342" i="16" s="1"/>
  <c r="V342" i="16" s="1"/>
  <c r="AI342" i="16"/>
  <c r="AJ342" i="16" s="1"/>
  <c r="AK342" i="16" s="1"/>
  <c r="M342" i="16"/>
  <c r="N342" i="16"/>
  <c r="AP342" i="16"/>
  <c r="AQ342" i="16" s="1"/>
  <c r="AR342" i="16" s="1"/>
  <c r="S342" i="16"/>
  <c r="X342" i="16"/>
  <c r="Y342" i="16" s="1"/>
  <c r="Z342" i="16" s="1"/>
  <c r="AA342" i="16"/>
  <c r="AB342" i="16" s="1"/>
  <c r="AC342" i="16" s="1"/>
  <c r="M343" i="16" l="1"/>
  <c r="T343" i="16"/>
  <c r="U343" i="16" s="1"/>
  <c r="V66" i="16" s="1"/>
  <c r="AI343" i="16"/>
  <c r="AJ343" i="16" s="1"/>
  <c r="AK343" i="16" s="1"/>
  <c r="N343" i="16"/>
  <c r="AP343" i="16"/>
  <c r="AQ343" i="16" s="1"/>
  <c r="S343" i="16"/>
  <c r="X343" i="16"/>
  <c r="Y343" i="16" s="1"/>
  <c r="AA343" i="16"/>
  <c r="AB343" i="16" s="1"/>
  <c r="AC50" i="16" s="1"/>
  <c r="AR61" i="16" l="1"/>
  <c r="AR19" i="16"/>
  <c r="AC34" i="16"/>
  <c r="AC67" i="16"/>
  <c r="AR46" i="16"/>
  <c r="AR53" i="16"/>
  <c r="Z30" i="16"/>
  <c r="Z47" i="16"/>
  <c r="AR54" i="16"/>
  <c r="AR67" i="16"/>
  <c r="V44" i="16"/>
  <c r="V47" i="16"/>
  <c r="AC30" i="16"/>
  <c r="AC47" i="16"/>
  <c r="V19" i="16"/>
  <c r="V29" i="16"/>
  <c r="V30" i="16"/>
  <c r="AR43" i="16"/>
  <c r="AR48" i="16"/>
  <c r="AR66" i="16"/>
  <c r="AR63" i="16"/>
  <c r="AR18" i="16"/>
  <c r="AR23" i="16"/>
  <c r="AR13" i="16"/>
  <c r="AR64" i="16"/>
  <c r="AC18" i="16"/>
  <c r="AC41" i="16"/>
  <c r="AC52" i="16"/>
  <c r="AC57" i="16"/>
  <c r="AR58" i="16"/>
  <c r="AR62" i="16"/>
  <c r="AR68" i="16"/>
  <c r="Z18" i="16"/>
  <c r="Z57" i="16"/>
  <c r="AC49" i="16"/>
  <c r="AC53" i="16"/>
  <c r="V18" i="16"/>
  <c r="V57" i="16"/>
  <c r="V59" i="16"/>
  <c r="V64" i="16"/>
  <c r="Z343" i="16"/>
  <c r="Z49" i="16"/>
  <c r="Z67" i="16"/>
  <c r="AC343" i="16"/>
  <c r="AC68" i="16"/>
  <c r="V343" i="16"/>
  <c r="V49" i="16"/>
  <c r="V67" i="16"/>
  <c r="AR343" i="16"/>
  <c r="AR31" i="16"/>
  <c r="AR50" i="16"/>
  <c r="E86" i="8"/>
  <c r="Y86" i="8" s="1"/>
  <c r="E77" i="8" l="1"/>
  <c r="Y77" i="8" s="1"/>
  <c r="E81" i="8"/>
  <c r="Y81" i="8" s="1"/>
  <c r="E79" i="8"/>
  <c r="Y79" i="8" s="1"/>
  <c r="E80" i="8"/>
  <c r="Y80" i="8" s="1"/>
  <c r="E71" i="8"/>
  <c r="Y71" i="8" s="1"/>
  <c r="E69" i="8"/>
  <c r="Y69" i="8" s="1"/>
  <c r="E68" i="8"/>
  <c r="Y68" i="8" s="1"/>
  <c r="E73" i="8"/>
  <c r="Y73" i="8" s="1"/>
  <c r="E70" i="8"/>
  <c r="Y70" i="8" s="1"/>
  <c r="E76" i="8"/>
  <c r="Y76" i="8" s="1"/>
  <c r="E67" i="8"/>
  <c r="Y67" i="8" s="1"/>
  <c r="E74" i="8"/>
  <c r="Y74" i="8" s="1"/>
  <c r="E78" i="8"/>
  <c r="Y78" i="8" s="1"/>
  <c r="E72" i="8"/>
  <c r="Y72" i="8" s="1"/>
  <c r="E75" i="8"/>
  <c r="Y75" i="8" s="1"/>
  <c r="E82" i="8"/>
  <c r="Y82" i="8" s="1"/>
  <c r="E84" i="8"/>
  <c r="Y84" i="8" s="1"/>
  <c r="E83" i="8"/>
  <c r="Y83" i="8" s="1"/>
  <c r="E85" i="8"/>
  <c r="Y85" i="8" s="1"/>
  <c r="AR49" i="16" l="1"/>
  <c r="AR51" i="16"/>
  <c r="Z69" i="16"/>
  <c r="Z68" i="16"/>
  <c r="AK67" i="16"/>
  <c r="AK68" i="16"/>
  <c r="AK69" i="16"/>
  <c r="V20" i="16"/>
  <c r="V25" i="16"/>
  <c r="V28" i="16"/>
  <c r="V50" i="16"/>
  <c r="V55" i="16"/>
  <c r="V63" i="16"/>
  <c r="V68" i="16"/>
  <c r="Z44" i="16"/>
  <c r="Z53" i="16"/>
  <c r="V24" i="16"/>
  <c r="V11" i="16"/>
  <c r="V53" i="16"/>
  <c r="AR12" i="16"/>
  <c r="AR15" i="16"/>
  <c r="AR57" i="16"/>
  <c r="AR65" i="16"/>
  <c r="AR21" i="16"/>
  <c r="AR24" i="16"/>
  <c r="AR14" i="16"/>
  <c r="AR52" i="16"/>
  <c r="AR60" i="16"/>
  <c r="AR17" i="16"/>
  <c r="AR20" i="16"/>
  <c r="AR16" i="16"/>
  <c r="AR34" i="16"/>
  <c r="AR42" i="16"/>
  <c r="AR45" i="16"/>
  <c r="AR56" i="16"/>
  <c r="Z28" i="16"/>
  <c r="Z33" i="16"/>
  <c r="Z35" i="16"/>
  <c r="Z56" i="16"/>
  <c r="Z63" i="16"/>
  <c r="V22" i="16"/>
  <c r="V35" i="16"/>
  <c r="V36" i="16"/>
  <c r="V40" i="16"/>
  <c r="V56" i="16"/>
  <c r="AR33" i="16"/>
  <c r="AR38" i="16"/>
  <c r="AR41" i="16"/>
  <c r="AR55" i="16"/>
  <c r="Z17" i="16"/>
  <c r="Z21" i="16"/>
  <c r="Z24" i="16"/>
  <c r="Z29" i="16"/>
  <c r="Z32" i="16"/>
  <c r="Z31" i="16"/>
  <c r="Z37" i="16"/>
  <c r="Z40" i="16"/>
  <c r="Z38" i="16"/>
  <c r="Z39" i="16"/>
  <c r="Z61" i="16"/>
  <c r="Z66" i="16"/>
  <c r="AR28" i="16"/>
  <c r="AR29" i="16"/>
  <c r="AR37" i="16"/>
  <c r="AR44" i="16"/>
  <c r="AR47" i="16"/>
  <c r="AR59" i="16"/>
  <c r="V17" i="16"/>
  <c r="V21" i="16"/>
  <c r="V31" i="16"/>
  <c r="V37" i="16"/>
  <c r="V39" i="16"/>
  <c r="V38" i="16"/>
  <c r="V46" i="16"/>
  <c r="V61" i="16"/>
  <c r="M9" i="16"/>
  <c r="L37" i="8" s="1"/>
  <c r="U79" i="8"/>
  <c r="U75" i="8"/>
  <c r="U69" i="8"/>
  <c r="U80" i="8"/>
  <c r="U74" i="8"/>
  <c r="U73" i="8"/>
  <c r="U78" i="8"/>
  <c r="U81" i="8"/>
  <c r="U72" i="8"/>
  <c r="U77" i="8"/>
  <c r="U76" i="8"/>
  <c r="U67" i="8"/>
  <c r="U82" i="8"/>
  <c r="U71" i="8"/>
  <c r="U68" i="8"/>
  <c r="U83" i="8"/>
  <c r="U70" i="8"/>
  <c r="U84" i="8"/>
  <c r="U85" i="8"/>
  <c r="AR11" i="16"/>
  <c r="AR26" i="16"/>
  <c r="AR30" i="16"/>
  <c r="AR35" i="16"/>
  <c r="AR40" i="16"/>
  <c r="Z20" i="16"/>
  <c r="Z25" i="16"/>
  <c r="Z15" i="16"/>
  <c r="Z36" i="16"/>
  <c r="Z43" i="16"/>
  <c r="Z42" i="16"/>
  <c r="Z46" i="16"/>
  <c r="Z51" i="16"/>
  <c r="Z48" i="16"/>
  <c r="Z60" i="16"/>
  <c r="Z64" i="16"/>
  <c r="Z62" i="16"/>
  <c r="Z65" i="16"/>
  <c r="V26" i="16"/>
  <c r="V42" i="16"/>
  <c r="V43" i="16"/>
  <c r="V48" i="16"/>
  <c r="V60" i="16"/>
  <c r="V62" i="16"/>
  <c r="V65" i="16"/>
  <c r="Q10" i="16"/>
  <c r="O10" i="16"/>
  <c r="P7" i="16"/>
  <c r="P10" i="16"/>
  <c r="Q7" i="16"/>
  <c r="Z19" i="16"/>
  <c r="Z22" i="16"/>
  <c r="Z23" i="16"/>
  <c r="Z11" i="16"/>
  <c r="Y9" i="16"/>
  <c r="L38" i="8" s="1"/>
  <c r="E51" i="8" s="1"/>
  <c r="Z16" i="16"/>
  <c r="Z27" i="16"/>
  <c r="Z26" i="16"/>
  <c r="Z13" i="16"/>
  <c r="Z14" i="16"/>
  <c r="Z12" i="16"/>
  <c r="Z34" i="16"/>
  <c r="Z41" i="16"/>
  <c r="Z45" i="16"/>
  <c r="Z50" i="16"/>
  <c r="Z52" i="16"/>
  <c r="Z54" i="16"/>
  <c r="Z55" i="16"/>
  <c r="Z59" i="16"/>
  <c r="Z58" i="16"/>
  <c r="AK17" i="16"/>
  <c r="AK18" i="16"/>
  <c r="AK19" i="16"/>
  <c r="AK20" i="16"/>
  <c r="AK23" i="16"/>
  <c r="AK21" i="16"/>
  <c r="AK22" i="16"/>
  <c r="AK24" i="16"/>
  <c r="AK25" i="16"/>
  <c r="AK16" i="16"/>
  <c r="AK13" i="16"/>
  <c r="AK27" i="16"/>
  <c r="AK11" i="16"/>
  <c r="AK14" i="16"/>
  <c r="AK15" i="16"/>
  <c r="AJ9" i="16"/>
  <c r="AK26" i="16"/>
  <c r="AK12" i="16"/>
  <c r="AK30" i="16"/>
  <c r="AK28" i="16"/>
  <c r="AK29" i="16"/>
  <c r="AK31" i="16"/>
  <c r="AK32" i="16"/>
  <c r="AK34" i="16"/>
  <c r="AK33" i="16"/>
  <c r="AK35" i="16"/>
  <c r="AK36" i="16"/>
  <c r="AK39" i="16"/>
  <c r="AK37" i="16"/>
  <c r="AK41" i="16"/>
  <c r="AK38" i="16"/>
  <c r="AK40" i="16"/>
  <c r="AK45" i="16"/>
  <c r="AK42" i="16"/>
  <c r="AK43" i="16"/>
  <c r="AK44" i="16"/>
  <c r="AK47" i="16"/>
  <c r="AK46" i="16"/>
  <c r="AK49" i="16"/>
  <c r="AK48" i="16"/>
  <c r="AK50" i="16"/>
  <c r="AK52" i="16"/>
  <c r="AK51" i="16"/>
  <c r="AK54" i="16"/>
  <c r="AK55" i="16"/>
  <c r="AK53" i="16"/>
  <c r="AK57" i="16"/>
  <c r="AK56" i="16"/>
  <c r="AK59" i="16"/>
  <c r="AK58" i="16"/>
  <c r="AK62" i="16"/>
  <c r="AK63" i="16"/>
  <c r="AK60" i="16"/>
  <c r="AK61" i="16"/>
  <c r="AK65" i="16"/>
  <c r="AK64" i="16"/>
  <c r="AK66" i="16"/>
  <c r="V23" i="16"/>
  <c r="V27" i="16"/>
  <c r="U9" i="16"/>
  <c r="V14" i="16"/>
  <c r="V16" i="16"/>
  <c r="V13" i="16"/>
  <c r="V12" i="16"/>
  <c r="V34" i="16"/>
  <c r="V41" i="16"/>
  <c r="V45" i="16"/>
  <c r="V54" i="16"/>
  <c r="V58" i="16"/>
  <c r="K37" i="8"/>
  <c r="E49" i="8"/>
  <c r="AR22" i="16"/>
  <c r="AR27" i="16"/>
  <c r="AQ9" i="16"/>
  <c r="L39" i="8" s="1"/>
  <c r="AR25" i="16"/>
  <c r="AR32" i="16"/>
  <c r="AR36" i="16"/>
  <c r="AR39" i="16"/>
  <c r="G119" i="8"/>
  <c r="G121" i="8"/>
  <c r="G120" i="8"/>
  <c r="Q8" i="16"/>
  <c r="AL12" i="16"/>
  <c r="V39" i="8"/>
  <c r="AS12" i="16"/>
  <c r="B93" i="8" s="1"/>
  <c r="AC44" i="16" l="1"/>
  <c r="AC69" i="16"/>
  <c r="AC23" i="16"/>
  <c r="AC42" i="16"/>
  <c r="AC51" i="16"/>
  <c r="AC54" i="16"/>
  <c r="AC62" i="16"/>
  <c r="AC16" i="16"/>
  <c r="AC39" i="16"/>
  <c r="AC43" i="16"/>
  <c r="AC60" i="16"/>
  <c r="AC65" i="16"/>
  <c r="Q38" i="8"/>
  <c r="K38" i="8" s="1"/>
  <c r="AC17" i="16"/>
  <c r="AC21" i="16"/>
  <c r="AC35" i="16"/>
  <c r="AC56" i="16"/>
  <c r="AC61" i="16"/>
  <c r="AC28" i="16"/>
  <c r="AC33" i="16"/>
  <c r="AC32" i="16"/>
  <c r="AC36" i="16"/>
  <c r="AC38" i="16"/>
  <c r="AC63" i="16"/>
  <c r="AC24" i="16"/>
  <c r="AC29" i="16"/>
  <c r="AC31" i="16"/>
  <c r="AC37" i="16"/>
  <c r="AC40" i="16"/>
  <c r="AC66" i="16"/>
  <c r="R8" i="16"/>
  <c r="B36" i="8" s="1"/>
  <c r="AM11" i="16"/>
  <c r="AN11" i="16" s="1"/>
  <c r="V38" i="8"/>
  <c r="AC20" i="16"/>
  <c r="AC25" i="16"/>
  <c r="AC15" i="16"/>
  <c r="AC46" i="16"/>
  <c r="AC48" i="16"/>
  <c r="AC64" i="16"/>
  <c r="AC19" i="16"/>
  <c r="AC22" i="16"/>
  <c r="AC26" i="16"/>
  <c r="AC11" i="16"/>
  <c r="AB9" i="16"/>
  <c r="AC27" i="16"/>
  <c r="AC45" i="16"/>
  <c r="AC55" i="16"/>
  <c r="AC59" i="16"/>
  <c r="AC58" i="16"/>
  <c r="U108" i="8"/>
  <c r="E50" i="8"/>
  <c r="Q24" i="16"/>
  <c r="Q25" i="16"/>
  <c r="Q20" i="16"/>
  <c r="Q26" i="16"/>
  <c r="Q11" i="16"/>
  <c r="Q13" i="16"/>
  <c r="Q17" i="16"/>
  <c r="Q16" i="16"/>
  <c r="Q23" i="16"/>
  <c r="Q12" i="16"/>
  <c r="Q27" i="16"/>
  <c r="Q14" i="16"/>
  <c r="T32" i="8"/>
  <c r="Q19" i="16"/>
  <c r="Q22" i="16"/>
  <c r="Q18" i="16"/>
  <c r="Q15" i="16"/>
  <c r="Q21" i="16"/>
  <c r="Q28" i="16"/>
  <c r="Q29" i="16"/>
  <c r="Q30" i="16"/>
  <c r="Q31" i="16"/>
  <c r="Q32" i="16"/>
  <c r="Q33" i="16"/>
  <c r="Q34" i="16"/>
  <c r="Q35" i="16"/>
  <c r="Q36" i="16"/>
  <c r="Q37" i="16"/>
  <c r="Q38" i="16"/>
  <c r="Q39" i="16"/>
  <c r="Q40" i="16"/>
  <c r="Q41" i="16"/>
  <c r="Q42" i="16"/>
  <c r="Q43" i="16"/>
  <c r="Q44" i="16"/>
  <c r="Q45" i="16"/>
  <c r="Q46" i="16"/>
  <c r="Q47" i="16"/>
  <c r="Q48" i="16"/>
  <c r="Q49" i="16"/>
  <c r="Q50" i="16"/>
  <c r="Q51" i="16"/>
  <c r="Q52" i="16"/>
  <c r="Q53" i="16"/>
  <c r="Q54" i="16"/>
  <c r="Q55" i="16"/>
  <c r="Q56" i="16"/>
  <c r="Q57" i="16"/>
  <c r="Q58" i="16"/>
  <c r="Q59" i="16"/>
  <c r="Q60" i="16"/>
  <c r="Q61" i="16"/>
  <c r="Q62" i="16"/>
  <c r="Q63" i="16"/>
  <c r="Q64" i="16"/>
  <c r="Q65" i="16"/>
  <c r="Q66" i="16"/>
  <c r="Q67" i="16"/>
  <c r="Q68" i="16"/>
  <c r="Q69" i="16"/>
  <c r="Q70" i="16"/>
  <c r="Q71" i="16"/>
  <c r="Q72" i="16"/>
  <c r="Q73" i="16"/>
  <c r="Q74" i="16"/>
  <c r="Q75" i="16"/>
  <c r="Q76" i="16"/>
  <c r="Q77" i="16"/>
  <c r="Q78" i="16"/>
  <c r="Q79" i="16"/>
  <c r="Q80" i="16"/>
  <c r="Q81" i="16"/>
  <c r="Q82" i="16"/>
  <c r="Q83" i="16"/>
  <c r="Q84" i="16"/>
  <c r="Q85" i="16"/>
  <c r="Q86" i="16"/>
  <c r="Q87" i="16"/>
  <c r="Q88" i="16"/>
  <c r="Q89" i="16"/>
  <c r="Q90" i="16"/>
  <c r="Q91" i="16"/>
  <c r="Q92" i="16"/>
  <c r="Q93" i="16"/>
  <c r="Q94" i="16"/>
  <c r="Q95" i="16"/>
  <c r="Q96" i="16"/>
  <c r="Q97" i="16"/>
  <c r="Q98" i="16"/>
  <c r="Q99" i="16"/>
  <c r="Q100" i="16"/>
  <c r="Q101" i="16"/>
  <c r="Q102" i="16"/>
  <c r="Q103" i="16"/>
  <c r="Q104" i="16"/>
  <c r="Q105" i="16"/>
  <c r="Q106" i="16"/>
  <c r="Q107" i="16"/>
  <c r="Q108" i="16"/>
  <c r="Q109" i="16"/>
  <c r="Q110" i="16"/>
  <c r="Q111" i="16"/>
  <c r="Q112" i="16"/>
  <c r="Q113" i="16"/>
  <c r="Q114" i="16"/>
  <c r="Q115" i="16"/>
  <c r="Q116" i="16"/>
  <c r="Q117" i="16"/>
  <c r="Q118" i="16"/>
  <c r="Q119" i="16"/>
  <c r="Q120" i="16"/>
  <c r="Q121" i="16"/>
  <c r="Q122" i="16"/>
  <c r="Q123" i="16"/>
  <c r="Q124" i="16"/>
  <c r="Q125" i="16"/>
  <c r="Q126" i="16"/>
  <c r="Q127" i="16"/>
  <c r="Q128" i="16"/>
  <c r="Q129" i="16"/>
  <c r="Q130" i="16"/>
  <c r="Q131" i="16"/>
  <c r="Q132" i="16"/>
  <c r="Q133" i="16"/>
  <c r="Q134" i="16"/>
  <c r="Q135" i="16"/>
  <c r="Q136" i="16"/>
  <c r="Q137" i="16"/>
  <c r="Q138" i="16"/>
  <c r="Q139" i="16"/>
  <c r="Q140" i="16"/>
  <c r="Q141" i="16"/>
  <c r="Q142" i="16"/>
  <c r="Q143" i="16"/>
  <c r="Q144" i="16"/>
  <c r="Q145" i="16"/>
  <c r="Q146" i="16"/>
  <c r="Q147" i="16"/>
  <c r="Q148" i="16"/>
  <c r="Q149" i="16"/>
  <c r="Q150" i="16"/>
  <c r="Q151" i="16"/>
  <c r="Q152" i="16"/>
  <c r="Q153" i="16"/>
  <c r="Q154" i="16"/>
  <c r="Q155" i="16"/>
  <c r="Q156" i="16"/>
  <c r="Q157" i="16"/>
  <c r="Q158" i="16"/>
  <c r="Q159" i="16"/>
  <c r="Q160" i="16"/>
  <c r="Q161" i="16"/>
  <c r="Q162" i="16"/>
  <c r="Q163" i="16"/>
  <c r="Q164"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Q327" i="16"/>
  <c r="Q328" i="16"/>
  <c r="Q329" i="16"/>
  <c r="Q330" i="16"/>
  <c r="Q331" i="16"/>
  <c r="Q332" i="16"/>
  <c r="Q333" i="16"/>
  <c r="Q334" i="16"/>
  <c r="Q335" i="16"/>
  <c r="Q336" i="16"/>
  <c r="Q337" i="16"/>
  <c r="Q338" i="16"/>
  <c r="Q339" i="16"/>
  <c r="Q340" i="16"/>
  <c r="Q341" i="16"/>
  <c r="Q342" i="16"/>
  <c r="Q343" i="16"/>
  <c r="O24" i="16"/>
  <c r="O25" i="16"/>
  <c r="O13" i="16"/>
  <c r="O26" i="16"/>
  <c r="O14" i="16"/>
  <c r="O12" i="16"/>
  <c r="O15" i="16"/>
  <c r="O20" i="16"/>
  <c r="O27" i="16"/>
  <c r="O17" i="16"/>
  <c r="O11" i="16"/>
  <c r="O16" i="16"/>
  <c r="O22" i="16"/>
  <c r="O18" i="16"/>
  <c r="O19" i="16"/>
  <c r="O21" i="16"/>
  <c r="O23" i="16"/>
  <c r="O28" i="16"/>
  <c r="O29" i="16"/>
  <c r="O30" i="16"/>
  <c r="O31" i="16"/>
  <c r="O32" i="16"/>
  <c r="O33" i="16"/>
  <c r="O34" i="16"/>
  <c r="O35" i="16"/>
  <c r="O36" i="16"/>
  <c r="O37" i="16"/>
  <c r="O38" i="16"/>
  <c r="O39" i="16"/>
  <c r="O40" i="16"/>
  <c r="O41" i="16"/>
  <c r="O42" i="16"/>
  <c r="O43" i="16"/>
  <c r="O44" i="16"/>
  <c r="O45" i="16"/>
  <c r="O46" i="16"/>
  <c r="O47" i="16"/>
  <c r="O48" i="16"/>
  <c r="O49" i="16"/>
  <c r="O50" i="16"/>
  <c r="O51" i="16"/>
  <c r="O52" i="16"/>
  <c r="O53" i="16"/>
  <c r="O54" i="16"/>
  <c r="O55" i="16"/>
  <c r="O56" i="16"/>
  <c r="O57" i="16"/>
  <c r="O58" i="16"/>
  <c r="O59" i="16"/>
  <c r="O60" i="16"/>
  <c r="O61" i="16"/>
  <c r="O62" i="16"/>
  <c r="O63" i="16"/>
  <c r="O64" i="16"/>
  <c r="O65" i="16"/>
  <c r="O66" i="16"/>
  <c r="O67" i="16"/>
  <c r="O68" i="16"/>
  <c r="O69" i="16"/>
  <c r="O70" i="16"/>
  <c r="O71" i="16"/>
  <c r="O72" i="16"/>
  <c r="O73" i="16"/>
  <c r="O74" i="16"/>
  <c r="O75" i="16"/>
  <c r="O76" i="16"/>
  <c r="O77" i="16"/>
  <c r="O78" i="16"/>
  <c r="O79" i="16"/>
  <c r="O80" i="16"/>
  <c r="O81" i="16"/>
  <c r="O82" i="16"/>
  <c r="O83" i="16"/>
  <c r="O84" i="16"/>
  <c r="O85" i="16"/>
  <c r="O86" i="16"/>
  <c r="O87" i="16"/>
  <c r="O88" i="16"/>
  <c r="O89" i="16"/>
  <c r="O90" i="16"/>
  <c r="O91" i="16"/>
  <c r="O92" i="16"/>
  <c r="O93" i="16"/>
  <c r="O94" i="16"/>
  <c r="O95" i="16"/>
  <c r="O96" i="16"/>
  <c r="O97" i="16"/>
  <c r="O98" i="16"/>
  <c r="O99" i="16"/>
  <c r="O100" i="16"/>
  <c r="O101" i="16"/>
  <c r="O102" i="16"/>
  <c r="O103" i="16"/>
  <c r="O104" i="16"/>
  <c r="O105" i="16"/>
  <c r="O106" i="16"/>
  <c r="O107" i="16"/>
  <c r="O108" i="16"/>
  <c r="O109" i="16"/>
  <c r="O110" i="16"/>
  <c r="O111" i="16"/>
  <c r="O112" i="16"/>
  <c r="O113" i="16"/>
  <c r="O114" i="16"/>
  <c r="O115" i="16"/>
  <c r="O116" i="16"/>
  <c r="O117" i="16"/>
  <c r="O118" i="16"/>
  <c r="O119" i="16"/>
  <c r="O120" i="16"/>
  <c r="O121" i="16"/>
  <c r="O122" i="16"/>
  <c r="O123" i="16"/>
  <c r="O124" i="16"/>
  <c r="O125" i="16"/>
  <c r="O126" i="16"/>
  <c r="O127" i="16"/>
  <c r="O128" i="16"/>
  <c r="O129" i="16"/>
  <c r="O130" i="16"/>
  <c r="O131" i="16"/>
  <c r="O132" i="16"/>
  <c r="O133" i="16"/>
  <c r="O134" i="16"/>
  <c r="O135" i="16"/>
  <c r="O136" i="16"/>
  <c r="O137" i="16"/>
  <c r="O138" i="16"/>
  <c r="O139" i="16"/>
  <c r="O140" i="16"/>
  <c r="O141" i="16"/>
  <c r="O142" i="16"/>
  <c r="O143" i="16"/>
  <c r="O144" i="16"/>
  <c r="O145" i="16"/>
  <c r="O146" i="16"/>
  <c r="O147" i="16"/>
  <c r="O148" i="16"/>
  <c r="O149" i="16"/>
  <c r="O150" i="16"/>
  <c r="O151" i="16"/>
  <c r="O152" i="16"/>
  <c r="O153" i="16"/>
  <c r="O154" i="16"/>
  <c r="O155" i="16"/>
  <c r="O156" i="16"/>
  <c r="O157" i="16"/>
  <c r="O158" i="16"/>
  <c r="O159" i="16"/>
  <c r="O160" i="16"/>
  <c r="O161" i="16"/>
  <c r="O162" i="16"/>
  <c r="O163" i="16"/>
  <c r="O164"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O327" i="16"/>
  <c r="O328" i="16"/>
  <c r="O329" i="16"/>
  <c r="O330" i="16"/>
  <c r="O331" i="16"/>
  <c r="O332" i="16"/>
  <c r="O333" i="16"/>
  <c r="O334" i="16"/>
  <c r="O335" i="16"/>
  <c r="O336" i="16"/>
  <c r="O337" i="16"/>
  <c r="O338" i="16"/>
  <c r="O339" i="16"/>
  <c r="O340" i="16"/>
  <c r="O341" i="16"/>
  <c r="O342" i="16"/>
  <c r="O343" i="16"/>
  <c r="P25" i="16"/>
  <c r="P21" i="16"/>
  <c r="P22" i="16"/>
  <c r="P20" i="16"/>
  <c r="P15" i="16"/>
  <c r="P23" i="16"/>
  <c r="P24" i="16"/>
  <c r="P26" i="16"/>
  <c r="P19" i="16"/>
  <c r="P12" i="16"/>
  <c r="P11" i="16"/>
  <c r="K32" i="8"/>
  <c r="P14" i="16"/>
  <c r="P17" i="16"/>
  <c r="P13" i="16"/>
  <c r="P18" i="16"/>
  <c r="P16" i="16"/>
  <c r="P27" i="16"/>
  <c r="P28" i="16"/>
  <c r="P29" i="16"/>
  <c r="P31" i="16"/>
  <c r="P30" i="16"/>
  <c r="P32" i="16"/>
  <c r="P33" i="16"/>
  <c r="P34" i="16"/>
  <c r="P35" i="16"/>
  <c r="P36" i="16"/>
  <c r="P37" i="16"/>
  <c r="P38" i="16"/>
  <c r="P39" i="16"/>
  <c r="P40" i="16"/>
  <c r="P41" i="16"/>
  <c r="P42" i="16"/>
  <c r="P43" i="16"/>
  <c r="P44" i="16"/>
  <c r="P45" i="16"/>
  <c r="P46" i="16"/>
  <c r="P47" i="16"/>
  <c r="P48" i="16"/>
  <c r="P49" i="16"/>
  <c r="P50" i="16"/>
  <c r="P51" i="16"/>
  <c r="P52" i="16"/>
  <c r="P53" i="16"/>
  <c r="P54" i="16"/>
  <c r="P55" i="16"/>
  <c r="P56" i="16"/>
  <c r="P57" i="16"/>
  <c r="P58" i="16"/>
  <c r="P59" i="16"/>
  <c r="P60" i="16"/>
  <c r="P61" i="16"/>
  <c r="P62" i="16"/>
  <c r="P63" i="16"/>
  <c r="P64" i="16"/>
  <c r="P65" i="16"/>
  <c r="P66" i="16"/>
  <c r="P67" i="16"/>
  <c r="P68" i="16"/>
  <c r="P69" i="16"/>
  <c r="P70" i="16"/>
  <c r="P71" i="16"/>
  <c r="P72" i="16"/>
  <c r="P73" i="16"/>
  <c r="P74" i="16"/>
  <c r="P75" i="16"/>
  <c r="P76" i="16"/>
  <c r="P77" i="16"/>
  <c r="P78" i="16"/>
  <c r="P79" i="16"/>
  <c r="P80" i="16"/>
  <c r="P81" i="16"/>
  <c r="P82" i="16"/>
  <c r="P83" i="16"/>
  <c r="P84" i="16"/>
  <c r="P85" i="16"/>
  <c r="P86" i="16"/>
  <c r="P87" i="16"/>
  <c r="P88" i="16"/>
  <c r="P89" i="16"/>
  <c r="P90" i="16"/>
  <c r="P91" i="16"/>
  <c r="P92" i="16"/>
  <c r="P93" i="16"/>
  <c r="P94" i="16"/>
  <c r="P95" i="16"/>
  <c r="P96" i="16"/>
  <c r="P97" i="16"/>
  <c r="P98" i="16"/>
  <c r="P99" i="16"/>
  <c r="P100" i="16"/>
  <c r="P101" i="16"/>
  <c r="P102" i="16"/>
  <c r="P103" i="16"/>
  <c r="P104" i="16"/>
  <c r="P105" i="16"/>
  <c r="P106" i="16"/>
  <c r="P107" i="16"/>
  <c r="P108" i="16"/>
  <c r="P109" i="16"/>
  <c r="P110" i="16"/>
  <c r="P111" i="16"/>
  <c r="P112" i="16"/>
  <c r="P113" i="16"/>
  <c r="P114" i="16"/>
  <c r="P115" i="16"/>
  <c r="P116" i="16"/>
  <c r="P117" i="16"/>
  <c r="P118" i="16"/>
  <c r="P119" i="16"/>
  <c r="P120" i="16"/>
  <c r="P121" i="16"/>
  <c r="P122" i="16"/>
  <c r="P123" i="16"/>
  <c r="P124" i="16"/>
  <c r="P125" i="16"/>
  <c r="P126" i="16"/>
  <c r="P127" i="16"/>
  <c r="P128" i="16"/>
  <c r="P129" i="16"/>
  <c r="P130" i="16"/>
  <c r="P131" i="16"/>
  <c r="P132" i="16"/>
  <c r="P133" i="16"/>
  <c r="P134" i="16"/>
  <c r="P135" i="16"/>
  <c r="P136" i="16"/>
  <c r="P137" i="16"/>
  <c r="P138" i="16"/>
  <c r="P139" i="16"/>
  <c r="P140" i="16"/>
  <c r="P141" i="16"/>
  <c r="P142" i="16"/>
  <c r="P143" i="16"/>
  <c r="P144" i="16"/>
  <c r="P145" i="16"/>
  <c r="P146" i="16"/>
  <c r="P147" i="16"/>
  <c r="P148" i="16"/>
  <c r="P149" i="16"/>
  <c r="P150" i="16"/>
  <c r="P151" i="16"/>
  <c r="P152" i="16"/>
  <c r="P153" i="16"/>
  <c r="P154" i="16"/>
  <c r="P155" i="16"/>
  <c r="P156" i="16"/>
  <c r="P157" i="16"/>
  <c r="P158" i="16"/>
  <c r="P159" i="16"/>
  <c r="P160" i="16"/>
  <c r="P161" i="16"/>
  <c r="P162" i="16"/>
  <c r="P163" i="16"/>
  <c r="P164"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P327" i="16"/>
  <c r="P328" i="16"/>
  <c r="P329" i="16"/>
  <c r="P330" i="16"/>
  <c r="P331" i="16"/>
  <c r="P332" i="16"/>
  <c r="P333" i="16"/>
  <c r="P334" i="16"/>
  <c r="P335" i="16"/>
  <c r="P336" i="16"/>
  <c r="P337" i="16"/>
  <c r="P338" i="16"/>
  <c r="P339" i="16"/>
  <c r="P340" i="16"/>
  <c r="P341" i="16"/>
  <c r="P342" i="16"/>
  <c r="P343" i="16"/>
  <c r="R21" i="16"/>
  <c r="R12" i="16"/>
  <c r="R22" i="16"/>
  <c r="R16" i="16"/>
  <c r="R23" i="16"/>
  <c r="R26" i="16"/>
  <c r="R19" i="16"/>
  <c r="R24" i="16"/>
  <c r="R17" i="16"/>
  <c r="R25" i="16"/>
  <c r="R14" i="16"/>
  <c r="AC32" i="8"/>
  <c r="R20" i="16"/>
  <c r="R11" i="16"/>
  <c r="R27" i="16"/>
  <c r="R13" i="16"/>
  <c r="R15" i="16"/>
  <c r="R18" i="16"/>
  <c r="R28" i="16"/>
  <c r="R29" i="16"/>
  <c r="R30" i="16"/>
  <c r="R31" i="16"/>
  <c r="R32" i="16"/>
  <c r="R33" i="16"/>
  <c r="R34" i="16"/>
  <c r="R35" i="16"/>
  <c r="R36" i="16"/>
  <c r="R37" i="16"/>
  <c r="R38" i="16"/>
  <c r="R39" i="16"/>
  <c r="R40" i="16"/>
  <c r="R41" i="16"/>
  <c r="R42" i="16"/>
  <c r="R43" i="16"/>
  <c r="R44" i="16"/>
  <c r="R45" i="16"/>
  <c r="R46" i="16"/>
  <c r="R47" i="16"/>
  <c r="R48" i="16"/>
  <c r="R49" i="16"/>
  <c r="R50" i="16"/>
  <c r="R51" i="16"/>
  <c r="R52" i="16"/>
  <c r="R53" i="16"/>
  <c r="R54" i="16"/>
  <c r="R55" i="16"/>
  <c r="R56" i="16"/>
  <c r="R57" i="16"/>
  <c r="R58" i="16"/>
  <c r="R59" i="16"/>
  <c r="R60" i="16"/>
  <c r="R61" i="16"/>
  <c r="R62" i="16"/>
  <c r="R63" i="16"/>
  <c r="R64" i="16"/>
  <c r="R65" i="16"/>
  <c r="R66" i="16"/>
  <c r="R67" i="16"/>
  <c r="R68" i="16"/>
  <c r="R69" i="16"/>
  <c r="R70" i="16"/>
  <c r="R71" i="16"/>
  <c r="R72" i="16"/>
  <c r="R73" i="16"/>
  <c r="R74" i="16"/>
  <c r="R75" i="16"/>
  <c r="R76" i="16"/>
  <c r="R77" i="16"/>
  <c r="R78" i="16"/>
  <c r="R79" i="16"/>
  <c r="R80" i="16"/>
  <c r="R81" i="16"/>
  <c r="R82" i="16"/>
  <c r="R83" i="16"/>
  <c r="R84" i="16"/>
  <c r="R85" i="16"/>
  <c r="R86" i="16"/>
  <c r="R87" i="16"/>
  <c r="R88" i="16"/>
  <c r="R89" i="16"/>
  <c r="R90" i="16"/>
  <c r="R91" i="16"/>
  <c r="R92" i="16"/>
  <c r="R93" i="16"/>
  <c r="R94" i="16"/>
  <c r="R95" i="16"/>
  <c r="R96" i="16"/>
  <c r="R97" i="16"/>
  <c r="R98" i="16"/>
  <c r="R99" i="16"/>
  <c r="R100" i="16"/>
  <c r="R101" i="16"/>
  <c r="R102" i="16"/>
  <c r="R103" i="16"/>
  <c r="R104" i="16"/>
  <c r="R105" i="16"/>
  <c r="R106" i="16"/>
  <c r="R107" i="16"/>
  <c r="R108" i="16"/>
  <c r="R109" i="16"/>
  <c r="R110" i="16"/>
  <c r="R111" i="16"/>
  <c r="R112" i="16"/>
  <c r="R113" i="16"/>
  <c r="R114" i="16"/>
  <c r="R115" i="16"/>
  <c r="R116" i="16"/>
  <c r="R117" i="16"/>
  <c r="R118" i="16"/>
  <c r="R119" i="16"/>
  <c r="R120" i="16"/>
  <c r="R121" i="16"/>
  <c r="R122" i="16"/>
  <c r="R123" i="16"/>
  <c r="R124" i="16"/>
  <c r="R125" i="16"/>
  <c r="R126" i="16"/>
  <c r="R127" i="16"/>
  <c r="R128" i="16"/>
  <c r="R129" i="16"/>
  <c r="R130" i="16"/>
  <c r="R131" i="16"/>
  <c r="R132" i="16"/>
  <c r="R133" i="16"/>
  <c r="R134" i="16"/>
  <c r="R135" i="16"/>
  <c r="R136" i="16"/>
  <c r="R137" i="16"/>
  <c r="R138" i="16"/>
  <c r="R139" i="16"/>
  <c r="R140" i="16"/>
  <c r="R141" i="16"/>
  <c r="R142" i="16"/>
  <c r="R143" i="16"/>
  <c r="R144" i="16"/>
  <c r="R145" i="16"/>
  <c r="R146" i="16"/>
  <c r="R147" i="16"/>
  <c r="R148" i="16"/>
  <c r="R149" i="16"/>
  <c r="R150" i="16"/>
  <c r="R151" i="16"/>
  <c r="R152" i="16"/>
  <c r="R153" i="16"/>
  <c r="R154" i="16"/>
  <c r="R155" i="16"/>
  <c r="R156" i="16"/>
  <c r="R157" i="16"/>
  <c r="R158" i="16"/>
  <c r="R159" i="16"/>
  <c r="R160" i="16"/>
  <c r="R161" i="16"/>
  <c r="R162" i="16"/>
  <c r="R163" i="16"/>
  <c r="R164"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R327" i="16"/>
  <c r="R328" i="16"/>
  <c r="R329" i="16"/>
  <c r="R330" i="16"/>
  <c r="R331" i="16"/>
  <c r="R332" i="16"/>
  <c r="R333" i="16"/>
  <c r="R334" i="16"/>
  <c r="R335" i="16"/>
  <c r="R336" i="16"/>
  <c r="R337" i="16"/>
  <c r="R338" i="16"/>
  <c r="R339" i="16"/>
  <c r="R340" i="16"/>
  <c r="R341" i="16"/>
  <c r="R342" i="16"/>
  <c r="R343" i="16"/>
  <c r="AT11" i="16"/>
  <c r="Q39" i="8"/>
  <c r="K39" i="8" s="1"/>
  <c r="AT12" i="16"/>
  <c r="AU12" i="16" s="1"/>
  <c r="AS13" i="16"/>
  <c r="B94" i="8" s="1"/>
  <c r="AL13" i="16"/>
  <c r="AM12" i="16"/>
  <c r="AN12" i="16" s="1"/>
  <c r="O49" i="8" l="1"/>
  <c r="O48" i="8"/>
  <c r="O50" i="8"/>
  <c r="O51" i="8"/>
  <c r="K50" i="8"/>
  <c r="K51" i="8"/>
  <c r="K49" i="8"/>
  <c r="K48" i="8"/>
  <c r="M51" i="8"/>
  <c r="M49" i="8"/>
  <c r="M50" i="8"/>
  <c r="M48" i="8"/>
  <c r="AL14" i="16"/>
  <c r="AM13" i="16"/>
  <c r="AN13" i="16" s="1"/>
  <c r="U93" i="8"/>
  <c r="E93" i="8"/>
  <c r="Y93" i="8" s="1"/>
  <c r="AS14" i="16"/>
  <c r="B95" i="8" s="1"/>
  <c r="AT13" i="16"/>
  <c r="AU13" i="16" s="1"/>
  <c r="E92" i="8"/>
  <c r="Y92" i="8" s="1"/>
  <c r="AU11" i="16"/>
  <c r="U92" i="8" s="1"/>
  <c r="E94" i="8" l="1"/>
  <c r="Y94" i="8" s="1"/>
  <c r="U94" i="8"/>
  <c r="O120" i="8"/>
  <c r="O118" i="8"/>
  <c r="O119" i="8"/>
  <c r="O121" i="8"/>
  <c r="M120" i="8"/>
  <c r="M119" i="8"/>
  <c r="M121" i="8"/>
  <c r="M118" i="8"/>
  <c r="Q121" i="8"/>
  <c r="Q119" i="8"/>
  <c r="Q120" i="8"/>
  <c r="Q118" i="8"/>
  <c r="AT14" i="16"/>
  <c r="AU14" i="16" s="1"/>
  <c r="AS15" i="16"/>
  <c r="B96" i="8" s="1"/>
  <c r="AL15" i="16"/>
  <c r="AM14" i="16"/>
  <c r="AN14" i="16" s="1"/>
  <c r="E95" i="8" l="1"/>
  <c r="Y95" i="8" s="1"/>
  <c r="AL16" i="16"/>
  <c r="AM15" i="16"/>
  <c r="AN15" i="16" s="1"/>
  <c r="AT15" i="16"/>
  <c r="AU15" i="16" s="1"/>
  <c r="U96" i="8" s="1"/>
  <c r="AS16" i="16"/>
  <c r="B97" i="8" s="1"/>
  <c r="U95" i="8"/>
  <c r="E96" i="8" l="1"/>
  <c r="Y96" i="8" s="1"/>
  <c r="AS17" i="16"/>
  <c r="B98" i="8" s="1"/>
  <c r="AT16" i="16"/>
  <c r="AU16" i="16" s="1"/>
  <c r="AL17" i="16"/>
  <c r="AM16" i="16"/>
  <c r="AN16" i="16" s="1"/>
  <c r="U97" i="8" l="1"/>
  <c r="E97" i="8"/>
  <c r="Y97" i="8" s="1"/>
  <c r="AM17" i="16"/>
  <c r="AN17" i="16" s="1"/>
  <c r="AL18" i="16"/>
  <c r="AT17" i="16"/>
  <c r="AU17" i="16" s="1"/>
  <c r="U98" i="8" s="1"/>
  <c r="AS18" i="16"/>
  <c r="B99" i="8" s="1"/>
  <c r="E98" i="8" l="1"/>
  <c r="Y98" i="8" s="1"/>
  <c r="AT18" i="16"/>
  <c r="AU18" i="16" s="1"/>
  <c r="U99" i="8" s="1"/>
  <c r="AS19" i="16"/>
  <c r="B100" i="8" s="1"/>
  <c r="AL19" i="16"/>
  <c r="AM18" i="16"/>
  <c r="AN18" i="16" s="1"/>
  <c r="E99" i="8" l="1"/>
  <c r="Y99" i="8" s="1"/>
  <c r="AM19" i="16"/>
  <c r="AN19" i="16" s="1"/>
  <c r="AL20" i="16"/>
  <c r="AS20" i="16"/>
  <c r="B101" i="8" s="1"/>
  <c r="AT19" i="16"/>
  <c r="AU19" i="16" s="1"/>
  <c r="U100" i="8" s="1"/>
  <c r="E100" i="8" l="1"/>
  <c r="Y100" i="8" s="1"/>
  <c r="AT20" i="16"/>
  <c r="AU20" i="16" s="1"/>
  <c r="U101" i="8" s="1"/>
  <c r="AS21" i="16"/>
  <c r="B102" i="8" s="1"/>
  <c r="AM20" i="16"/>
  <c r="AN20" i="16" s="1"/>
  <c r="AL21" i="16"/>
  <c r="E101" i="8" l="1"/>
  <c r="Y101" i="8" s="1"/>
  <c r="AL22" i="16"/>
  <c r="AM21" i="16"/>
  <c r="AN21" i="16" s="1"/>
  <c r="AT21" i="16"/>
  <c r="AU21" i="16" s="1"/>
  <c r="U102" i="8" s="1"/>
  <c r="AS22" i="16"/>
  <c r="B103" i="8" s="1"/>
  <c r="E102" i="8" l="1"/>
  <c r="Y102" i="8" s="1"/>
  <c r="U103" i="8"/>
  <c r="E103" i="8"/>
  <c r="Y103" i="8" s="1"/>
  <c r="AS23" i="16"/>
  <c r="B104" i="8" s="1"/>
  <c r="AT22" i="16"/>
  <c r="AU22" i="16" s="1"/>
  <c r="AM22" i="16"/>
  <c r="AN22" i="16" s="1"/>
  <c r="AL23" i="16"/>
  <c r="AM23" i="16" l="1"/>
  <c r="AN23" i="16" s="1"/>
  <c r="AL24" i="16"/>
  <c r="E104" i="8"/>
  <c r="Y104" i="8" s="1"/>
  <c r="U104" i="8"/>
  <c r="AT23" i="16"/>
  <c r="AU23" i="16" s="1"/>
  <c r="AS24" i="16"/>
  <c r="B105" i="8" s="1"/>
  <c r="U105" i="8" l="1"/>
  <c r="E105" i="8"/>
  <c r="Y105" i="8" s="1"/>
  <c r="AT24" i="16"/>
  <c r="AU24" i="16" s="1"/>
  <c r="AS25" i="16"/>
  <c r="B106" i="8" s="1"/>
  <c r="AL25" i="16"/>
  <c r="AM24" i="16"/>
  <c r="AN24" i="16" s="1"/>
  <c r="AM25" i="16" l="1"/>
  <c r="AN25" i="16" s="1"/>
  <c r="AL26" i="16"/>
  <c r="E106" i="8"/>
  <c r="Y106" i="8" s="1"/>
  <c r="U106" i="8"/>
  <c r="AT25" i="16"/>
  <c r="AU25" i="16" s="1"/>
  <c r="AS26" i="16"/>
  <c r="B107" i="8" s="1"/>
  <c r="U107" i="8" l="1"/>
  <c r="E107" i="8"/>
  <c r="Y107" i="8" s="1"/>
  <c r="AT26" i="16"/>
  <c r="AU26" i="16" s="1"/>
  <c r="AS27" i="16"/>
  <c r="AM26" i="16"/>
  <c r="AN26" i="16" s="1"/>
  <c r="AL27" i="16"/>
  <c r="AL28" i="16" l="1"/>
  <c r="AM27" i="16"/>
  <c r="AN27" i="16" s="1"/>
  <c r="AT27" i="16"/>
  <c r="AU27" i="16" s="1"/>
  <c r="AS28" i="16"/>
  <c r="AT28" i="16" l="1"/>
  <c r="AU28" i="16" s="1"/>
  <c r="AS29" i="16"/>
  <c r="AM28" i="16"/>
  <c r="AN28" i="16" s="1"/>
  <c r="AL29" i="16"/>
  <c r="AM29" i="16" l="1"/>
  <c r="AN29" i="16" s="1"/>
  <c r="AL30" i="16"/>
  <c r="AT29" i="16"/>
  <c r="AU29" i="16" s="1"/>
  <c r="AS30" i="16"/>
  <c r="AT30" i="16" l="1"/>
  <c r="AU30" i="16" s="1"/>
  <c r="AS31" i="16"/>
  <c r="AL31" i="16"/>
  <c r="AM30" i="16"/>
  <c r="AN30" i="16" s="1"/>
  <c r="AM31" i="16" l="1"/>
  <c r="AN31" i="16" s="1"/>
  <c r="AL32" i="16"/>
  <c r="AT31" i="16"/>
  <c r="AU31" i="16" s="1"/>
  <c r="AS32" i="16"/>
  <c r="AT32" i="16" l="1"/>
  <c r="AU32" i="16" s="1"/>
  <c r="AS33" i="16"/>
  <c r="AM32" i="16"/>
  <c r="AN32" i="16" s="1"/>
  <c r="AL33" i="16"/>
  <c r="AL34" i="16" l="1"/>
  <c r="AM33" i="16"/>
  <c r="AN33" i="16" s="1"/>
  <c r="AT33" i="16"/>
  <c r="AU33" i="16" s="1"/>
  <c r="AS34" i="16"/>
  <c r="AT34" i="16" l="1"/>
  <c r="AU34" i="16" s="1"/>
  <c r="AS35" i="16"/>
  <c r="AM34" i="16"/>
  <c r="AN34" i="16" s="1"/>
  <c r="AL35" i="16"/>
  <c r="AM35" i="16" l="1"/>
  <c r="AN35" i="16" s="1"/>
  <c r="AL36" i="16"/>
  <c r="AT35" i="16"/>
  <c r="AU35" i="16" s="1"/>
  <c r="AS36" i="16"/>
  <c r="AT36" i="16" l="1"/>
  <c r="AU36" i="16" s="1"/>
  <c r="AS37" i="16"/>
  <c r="AL37" i="16"/>
  <c r="AM36" i="16"/>
  <c r="AN36" i="16" s="1"/>
  <c r="AM37" i="16" l="1"/>
  <c r="AN37" i="16" s="1"/>
  <c r="AL38" i="16"/>
  <c r="AT37" i="16"/>
  <c r="AU37" i="16" s="1"/>
  <c r="AS38" i="16"/>
  <c r="AT38" i="16" l="1"/>
  <c r="AU38" i="16" s="1"/>
  <c r="AS39" i="16"/>
  <c r="AM38" i="16"/>
  <c r="AN38" i="16" s="1"/>
  <c r="AL39" i="16"/>
  <c r="AL40" i="16" l="1"/>
  <c r="AM39" i="16"/>
  <c r="AN39" i="16" s="1"/>
  <c r="AT39" i="16"/>
  <c r="AU39" i="16" s="1"/>
  <c r="AS40" i="16"/>
  <c r="AT40" i="16" l="1"/>
  <c r="AU40" i="16" s="1"/>
  <c r="AS41" i="16"/>
  <c r="AM40" i="16"/>
  <c r="AN40" i="16" s="1"/>
  <c r="AL41" i="16"/>
  <c r="AM41" i="16" l="1"/>
  <c r="AN41" i="16" s="1"/>
  <c r="AL42" i="16"/>
  <c r="AT41" i="16"/>
  <c r="AU41" i="16" s="1"/>
  <c r="AS42" i="16"/>
  <c r="AS43" i="16" l="1"/>
  <c r="AT42" i="16"/>
  <c r="AU42" i="16" s="1"/>
  <c r="AL43" i="16"/>
  <c r="AM42" i="16"/>
  <c r="AN42" i="16" s="1"/>
  <c r="AM43" i="16" l="1"/>
  <c r="AN43" i="16" s="1"/>
  <c r="AL44" i="16"/>
  <c r="AT43" i="16"/>
  <c r="AU43" i="16" s="1"/>
  <c r="AS44" i="16"/>
  <c r="AT44" i="16" l="1"/>
  <c r="AU44" i="16" s="1"/>
  <c r="AS45" i="16"/>
  <c r="AM44" i="16"/>
  <c r="AN44" i="16" s="1"/>
  <c r="AL45" i="16"/>
  <c r="AM45" i="16" l="1"/>
  <c r="AN45" i="16" s="1"/>
  <c r="AL46" i="16"/>
  <c r="AT45" i="16"/>
  <c r="AU45" i="16" s="1"/>
  <c r="AS46" i="16"/>
  <c r="AS47" i="16" l="1"/>
  <c r="AT46" i="16"/>
  <c r="AU46" i="16" s="1"/>
  <c r="AM46" i="16"/>
  <c r="AN46" i="16" s="1"/>
  <c r="AL47" i="16"/>
  <c r="AM47" i="16" l="1"/>
  <c r="AN47" i="16" s="1"/>
  <c r="AL48" i="16"/>
  <c r="AT47" i="16"/>
  <c r="AU47" i="16" s="1"/>
  <c r="AS48" i="16"/>
  <c r="AS49" i="16" l="1"/>
  <c r="AT48" i="16"/>
  <c r="AU48" i="16" s="1"/>
  <c r="AM48" i="16"/>
  <c r="AN48" i="16" s="1"/>
  <c r="AL49" i="16"/>
  <c r="AL50" i="16" l="1"/>
  <c r="AM49" i="16"/>
  <c r="AN49" i="16" s="1"/>
  <c r="AT49" i="16"/>
  <c r="AU49" i="16" s="1"/>
  <c r="AS50" i="16"/>
  <c r="AT50" i="16" l="1"/>
  <c r="AU50" i="16" s="1"/>
  <c r="AS51" i="16"/>
  <c r="AM50" i="16"/>
  <c r="AN50" i="16" s="1"/>
  <c r="AL51" i="16"/>
  <c r="AM51" i="16" l="1"/>
  <c r="AN51" i="16" s="1"/>
  <c r="AL52" i="16"/>
  <c r="AT51" i="16"/>
  <c r="AU51" i="16" s="1"/>
  <c r="AS52" i="16"/>
  <c r="AT52" i="16" l="1"/>
  <c r="AU52" i="16" s="1"/>
  <c r="AS53" i="16"/>
  <c r="AL53" i="16"/>
  <c r="AM52" i="16"/>
  <c r="AN52" i="16" s="1"/>
  <c r="AM53" i="16" l="1"/>
  <c r="AN53" i="16" s="1"/>
  <c r="AL54" i="16"/>
  <c r="AT53" i="16"/>
  <c r="AU53" i="16" s="1"/>
  <c r="AS54" i="16"/>
  <c r="AS55" i="16" l="1"/>
  <c r="AT54" i="16"/>
  <c r="AU54" i="16" s="1"/>
  <c r="AM54" i="16"/>
  <c r="AN54" i="16" s="1"/>
  <c r="AL55" i="16"/>
  <c r="AL56" i="16" l="1"/>
  <c r="AM55" i="16"/>
  <c r="AN55" i="16" s="1"/>
  <c r="AS56" i="16"/>
  <c r="AT55" i="16"/>
  <c r="AU55" i="16" s="1"/>
  <c r="AT56" i="16" l="1"/>
  <c r="AU56" i="16" s="1"/>
  <c r="AS57" i="16"/>
  <c r="AL57" i="16"/>
  <c r="AM56" i="16"/>
  <c r="AN56" i="16" s="1"/>
  <c r="AM57" i="16" l="1"/>
  <c r="AN57" i="16" s="1"/>
  <c r="AL58" i="16"/>
  <c r="AS58" i="16"/>
  <c r="AT57" i="16"/>
  <c r="AU57" i="16" s="1"/>
  <c r="AT58" i="16" l="1"/>
  <c r="AU58" i="16" s="1"/>
  <c r="AS59" i="16"/>
  <c r="AL59" i="16"/>
  <c r="AM58" i="16"/>
  <c r="AN58" i="16" s="1"/>
  <c r="AM59" i="16" l="1"/>
  <c r="AN59" i="16" s="1"/>
  <c r="AL60" i="16"/>
  <c r="AT59" i="16"/>
  <c r="AU59" i="16" s="1"/>
  <c r="AS60" i="16"/>
  <c r="AT60" i="16" l="1"/>
  <c r="AU60" i="16" s="1"/>
  <c r="AS61" i="16"/>
  <c r="AL61" i="16"/>
  <c r="AM60" i="16"/>
  <c r="AN60" i="16" s="1"/>
  <c r="AL62" i="16" l="1"/>
  <c r="AM61" i="16"/>
  <c r="AN61" i="16" s="1"/>
  <c r="AT61" i="16"/>
  <c r="AU61" i="16" s="1"/>
  <c r="AS62" i="16"/>
  <c r="AT62" i="16" l="1"/>
  <c r="AU62" i="16" s="1"/>
  <c r="AS63" i="16"/>
  <c r="AL63" i="16"/>
  <c r="AM62" i="16"/>
  <c r="AN62" i="16" s="1"/>
  <c r="AL64" i="16" l="1"/>
  <c r="AM63" i="16"/>
  <c r="AN63" i="16" s="1"/>
  <c r="AS64" i="16"/>
  <c r="AT63" i="16"/>
  <c r="AU63" i="16" s="1"/>
  <c r="AS65" i="16" l="1"/>
  <c r="AT64" i="16"/>
  <c r="AU64" i="16" s="1"/>
  <c r="AM64" i="16"/>
  <c r="AN64" i="16" s="1"/>
  <c r="AL65" i="16"/>
  <c r="AM65" i="16" l="1"/>
  <c r="AN65" i="16" s="1"/>
  <c r="AL66" i="16"/>
  <c r="AS66" i="16"/>
  <c r="AT65" i="16"/>
  <c r="AU65" i="16" s="1"/>
  <c r="AS67" i="16" l="1"/>
  <c r="AT66" i="16"/>
  <c r="AU66" i="16" s="1"/>
  <c r="AM66" i="16"/>
  <c r="AN66" i="16" s="1"/>
  <c r="AL67" i="16"/>
  <c r="AM67" i="16" l="1"/>
  <c r="AN67" i="16" s="1"/>
  <c r="AL68" i="16"/>
  <c r="AT67" i="16"/>
  <c r="AU67" i="16" s="1"/>
  <c r="AS68" i="16"/>
  <c r="AS69" i="16" l="1"/>
  <c r="AT68" i="16"/>
  <c r="AU68" i="16" s="1"/>
  <c r="AM68" i="16"/>
  <c r="AN68" i="16" s="1"/>
  <c r="AL69" i="16"/>
  <c r="AL70" i="16" l="1"/>
  <c r="AM69" i="16"/>
  <c r="AN69" i="16" s="1"/>
  <c r="AS70" i="16"/>
  <c r="AT69" i="16"/>
  <c r="AU69" i="16" s="1"/>
  <c r="AS71" i="16" l="1"/>
  <c r="AT70" i="16"/>
  <c r="AU70" i="16" s="1"/>
  <c r="AM70" i="16"/>
  <c r="AN70" i="16" s="1"/>
  <c r="AL71" i="16"/>
  <c r="AL72" i="16" l="1"/>
  <c r="AM71" i="16"/>
  <c r="AN71" i="16" s="1"/>
  <c r="AS72" i="16"/>
  <c r="AT71" i="16"/>
  <c r="AU71" i="16" s="1"/>
  <c r="AT72" i="16" l="1"/>
  <c r="AU72" i="16" s="1"/>
  <c r="AS73" i="16"/>
  <c r="AL73" i="16"/>
  <c r="AM72" i="16"/>
  <c r="AN72" i="16" s="1"/>
  <c r="AM73" i="16" l="1"/>
  <c r="AN73" i="16" s="1"/>
  <c r="AL74" i="16"/>
  <c r="AS74" i="16"/>
  <c r="AT73" i="16"/>
  <c r="AU73" i="16" s="1"/>
  <c r="AT74" i="16" l="1"/>
  <c r="AU74" i="16" s="1"/>
  <c r="AS75" i="16"/>
  <c r="AL75" i="16"/>
  <c r="AM74" i="16"/>
  <c r="AN74" i="16" s="1"/>
  <c r="AM75" i="16" l="1"/>
  <c r="AN75" i="16" s="1"/>
  <c r="AL76" i="16"/>
  <c r="AT75" i="16"/>
  <c r="AU75" i="16" s="1"/>
  <c r="AS76" i="16"/>
  <c r="AT76" i="16" l="1"/>
  <c r="AU76" i="16" s="1"/>
  <c r="AS77" i="16"/>
  <c r="AM76" i="16"/>
  <c r="AN76" i="16" s="1"/>
  <c r="AL77" i="16"/>
  <c r="AM77" i="16" l="1"/>
  <c r="AN77" i="16" s="1"/>
  <c r="AL78" i="16"/>
  <c r="AT77" i="16"/>
  <c r="AU77" i="16" s="1"/>
  <c r="AS78" i="16"/>
  <c r="AT78" i="16" l="1"/>
  <c r="AU78" i="16" s="1"/>
  <c r="AS79" i="16"/>
  <c r="AM78" i="16"/>
  <c r="AN78" i="16" s="1"/>
  <c r="AL79" i="16"/>
  <c r="AM79" i="16" l="1"/>
  <c r="AN79" i="16" s="1"/>
  <c r="AL80" i="16"/>
  <c r="AT79" i="16"/>
  <c r="AU79" i="16" s="1"/>
  <c r="AS80" i="16"/>
  <c r="AT80" i="16" l="1"/>
  <c r="AU80" i="16" s="1"/>
  <c r="AS81" i="16"/>
  <c r="AM80" i="16"/>
  <c r="AN80" i="16" s="1"/>
  <c r="AL81" i="16"/>
  <c r="AM81" i="16" l="1"/>
  <c r="AN81" i="16" s="1"/>
  <c r="AL82" i="16"/>
  <c r="AS82" i="16"/>
  <c r="AT81" i="16"/>
  <c r="AU81" i="16" s="1"/>
  <c r="AT82" i="16" l="1"/>
  <c r="AU82" i="16" s="1"/>
  <c r="AS83" i="16"/>
  <c r="AM82" i="16"/>
  <c r="AN82" i="16" s="1"/>
  <c r="AL83" i="16"/>
  <c r="AM83" i="16" l="1"/>
  <c r="AN83" i="16" s="1"/>
  <c r="AL84" i="16"/>
  <c r="AS84" i="16"/>
  <c r="AT83" i="16"/>
  <c r="AU83" i="16" s="1"/>
  <c r="AT84" i="16" l="1"/>
  <c r="AU84" i="16" s="1"/>
  <c r="AS85" i="16"/>
  <c r="AM84" i="16"/>
  <c r="AN84" i="16" s="1"/>
  <c r="AL85" i="16"/>
  <c r="AM85" i="16" l="1"/>
  <c r="AN85" i="16" s="1"/>
  <c r="AL86" i="16"/>
  <c r="AT85" i="16"/>
  <c r="AU85" i="16" s="1"/>
  <c r="AS86" i="16"/>
  <c r="AS87" i="16" l="1"/>
  <c r="AT86" i="16"/>
  <c r="AU86" i="16" s="1"/>
  <c r="AM86" i="16"/>
  <c r="AN86" i="16" s="1"/>
  <c r="AL87" i="16"/>
  <c r="AM87" i="16" l="1"/>
  <c r="AN87" i="16" s="1"/>
  <c r="AL88" i="16"/>
  <c r="AT87" i="16"/>
  <c r="AU87" i="16" s="1"/>
  <c r="AS88" i="16"/>
  <c r="AT88" i="16" l="1"/>
  <c r="AU88" i="16" s="1"/>
  <c r="AS89" i="16"/>
  <c r="AL89" i="16"/>
  <c r="AM88" i="16"/>
  <c r="AN88" i="16" s="1"/>
  <c r="AM89" i="16" l="1"/>
  <c r="AN89" i="16" s="1"/>
  <c r="AL90" i="16"/>
  <c r="AT89" i="16"/>
  <c r="AU89" i="16" s="1"/>
  <c r="AS90" i="16"/>
  <c r="AT90" i="16" l="1"/>
  <c r="AU90" i="16" s="1"/>
  <c r="AS91" i="16"/>
  <c r="AM90" i="16"/>
  <c r="AN90" i="16" s="1"/>
  <c r="AL91" i="16"/>
  <c r="AM91" i="16" l="1"/>
  <c r="AN91" i="16" s="1"/>
  <c r="AL92" i="16"/>
  <c r="AT91" i="16"/>
  <c r="AU91" i="16" s="1"/>
  <c r="AS92" i="16"/>
  <c r="AS93" i="16" l="1"/>
  <c r="AT92" i="16"/>
  <c r="AU92" i="16" s="1"/>
  <c r="AM92" i="16"/>
  <c r="AN92" i="16" s="1"/>
  <c r="AL93" i="16"/>
  <c r="AM93" i="16" l="1"/>
  <c r="AN93" i="16" s="1"/>
  <c r="AL94" i="16"/>
  <c r="AS94" i="16"/>
  <c r="AT93" i="16"/>
  <c r="AU93" i="16" s="1"/>
  <c r="AT94" i="16" l="1"/>
  <c r="AU94" i="16" s="1"/>
  <c r="AS95" i="16"/>
  <c r="AM94" i="16"/>
  <c r="AN94" i="16" s="1"/>
  <c r="AL95" i="16"/>
  <c r="AM95" i="16" l="1"/>
  <c r="AN95" i="16" s="1"/>
  <c r="AL96" i="16"/>
  <c r="AT95" i="16"/>
  <c r="AU95" i="16" s="1"/>
  <c r="AS96" i="16"/>
  <c r="AS97" i="16" l="1"/>
  <c r="AT96" i="16"/>
  <c r="AU96" i="16" s="1"/>
  <c r="AM96" i="16"/>
  <c r="AN96" i="16" s="1"/>
  <c r="AL97" i="16"/>
  <c r="AM97" i="16" l="1"/>
  <c r="AN97" i="16" s="1"/>
  <c r="AL98" i="16"/>
  <c r="AT97" i="16"/>
  <c r="AU97" i="16" s="1"/>
  <c r="AS98" i="16"/>
  <c r="AS99" i="16" l="1"/>
  <c r="AT98" i="16"/>
  <c r="AU98" i="16" s="1"/>
  <c r="AM98" i="16"/>
  <c r="AN98" i="16" s="1"/>
  <c r="AL99" i="16"/>
  <c r="AL100" i="16" l="1"/>
  <c r="AM99" i="16"/>
  <c r="AN99" i="16" s="1"/>
  <c r="AS100" i="16"/>
  <c r="AT99" i="16"/>
  <c r="AU99" i="16" s="1"/>
  <c r="AT100" i="16" l="1"/>
  <c r="AU100" i="16" s="1"/>
  <c r="AS101" i="16"/>
  <c r="AL101" i="16"/>
  <c r="AM100" i="16"/>
  <c r="AN100" i="16" s="1"/>
  <c r="AM101" i="16" l="1"/>
  <c r="AN101" i="16" s="1"/>
  <c r="AL102" i="16"/>
  <c r="AS102" i="16"/>
  <c r="AT101" i="16"/>
  <c r="AU101" i="16" s="1"/>
  <c r="AS103" i="16" l="1"/>
  <c r="AT102" i="16"/>
  <c r="AU102" i="16" s="1"/>
  <c r="AL103" i="16"/>
  <c r="AM102" i="16"/>
  <c r="AN102" i="16" s="1"/>
  <c r="AM103" i="16" l="1"/>
  <c r="AN103" i="16" s="1"/>
  <c r="AL104" i="16"/>
  <c r="AT103" i="16"/>
  <c r="AU103" i="16" s="1"/>
  <c r="AS104" i="16"/>
  <c r="AT104" i="16" l="1"/>
  <c r="AU104" i="16" s="1"/>
  <c r="AS105" i="16"/>
  <c r="AL105" i="16"/>
  <c r="AM104" i="16"/>
  <c r="AN104" i="16" s="1"/>
  <c r="AL106" i="16" l="1"/>
  <c r="AM105" i="16"/>
  <c r="AN105" i="16" s="1"/>
  <c r="AT105" i="16"/>
  <c r="AU105" i="16" s="1"/>
  <c r="AS106" i="16"/>
  <c r="AT106" i="16" l="1"/>
  <c r="AU106" i="16" s="1"/>
  <c r="AS107" i="16"/>
  <c r="AM106" i="16"/>
  <c r="AN106" i="16" s="1"/>
  <c r="AL107" i="16"/>
  <c r="AL108" i="16" l="1"/>
  <c r="AM107" i="16"/>
  <c r="AN107" i="16" s="1"/>
  <c r="AT107" i="16"/>
  <c r="AU107" i="16" s="1"/>
  <c r="AS108" i="16"/>
  <c r="AT108" i="16" l="1"/>
  <c r="AU108" i="16" s="1"/>
  <c r="AS109" i="16"/>
  <c r="AL109" i="16"/>
  <c r="AM108" i="16"/>
  <c r="AN108" i="16" s="1"/>
  <c r="AM109" i="16" l="1"/>
  <c r="AN109" i="16" s="1"/>
  <c r="AL110" i="16"/>
  <c r="AT109" i="16"/>
  <c r="AU109" i="16" s="1"/>
  <c r="AS110" i="16"/>
  <c r="AT110" i="16" l="1"/>
  <c r="AU110" i="16" s="1"/>
  <c r="AS111" i="16"/>
  <c r="AL111" i="16"/>
  <c r="AM110" i="16"/>
  <c r="AN110" i="16" s="1"/>
  <c r="AL112" i="16" l="1"/>
  <c r="AM111" i="16"/>
  <c r="AN111" i="16" s="1"/>
  <c r="AS112" i="16"/>
  <c r="AT111" i="16"/>
  <c r="AU111" i="16" s="1"/>
  <c r="AS113" i="16" l="1"/>
  <c r="AT112" i="16"/>
  <c r="AU112" i="16" s="1"/>
  <c r="AL113" i="16"/>
  <c r="AM112" i="16"/>
  <c r="AN112" i="16" s="1"/>
  <c r="AL114" i="16" l="1"/>
  <c r="AM113" i="16"/>
  <c r="AN113" i="16" s="1"/>
  <c r="AT113" i="16"/>
  <c r="AU113" i="16" s="1"/>
  <c r="AS114" i="16"/>
  <c r="AT114" i="16" l="1"/>
  <c r="AU114" i="16" s="1"/>
  <c r="AS115" i="16"/>
  <c r="AL115" i="16"/>
  <c r="AM114" i="16"/>
  <c r="AN114" i="16" s="1"/>
  <c r="AM115" i="16" l="1"/>
  <c r="AN115" i="16" s="1"/>
  <c r="AL116" i="16"/>
  <c r="AT115" i="16"/>
  <c r="AU115" i="16" s="1"/>
  <c r="AS116" i="16"/>
  <c r="AS117" i="16" l="1"/>
  <c r="AT116" i="16"/>
  <c r="AU116" i="16" s="1"/>
  <c r="AM116" i="16"/>
  <c r="AN116" i="16" s="1"/>
  <c r="AL117" i="16"/>
  <c r="AM117" i="16" l="1"/>
  <c r="AN117" i="16" s="1"/>
  <c r="AL118" i="16"/>
  <c r="AT117" i="16"/>
  <c r="AU117" i="16" s="1"/>
  <c r="AS118" i="16"/>
  <c r="AL119" i="16" l="1"/>
  <c r="AM118" i="16"/>
  <c r="AN118" i="16" s="1"/>
  <c r="AT118" i="16"/>
  <c r="AU118" i="16" s="1"/>
  <c r="AS119" i="16"/>
  <c r="AT119" i="16" l="1"/>
  <c r="AU119" i="16" s="1"/>
  <c r="AS120" i="16"/>
  <c r="AM119" i="16"/>
  <c r="AN119" i="16" s="1"/>
  <c r="AL120" i="16"/>
  <c r="AL121" i="16" l="1"/>
  <c r="AM120" i="16"/>
  <c r="AN120" i="16" s="1"/>
  <c r="AT120" i="16"/>
  <c r="AU120" i="16" s="1"/>
  <c r="AS121" i="16"/>
  <c r="AT121" i="16" l="1"/>
  <c r="AU121" i="16" s="1"/>
  <c r="AS122" i="16"/>
  <c r="AL122" i="16"/>
  <c r="AM121" i="16"/>
  <c r="AN121" i="16" s="1"/>
  <c r="AL123" i="16" l="1"/>
  <c r="AM122" i="16"/>
  <c r="AN122" i="16" s="1"/>
  <c r="AT122" i="16"/>
  <c r="AU122" i="16" s="1"/>
  <c r="AS123" i="16"/>
  <c r="AT123" i="16" l="1"/>
  <c r="AU123" i="16" s="1"/>
  <c r="AS124" i="16"/>
  <c r="AL124" i="16"/>
  <c r="AM123" i="16"/>
  <c r="AN123" i="16" s="1"/>
  <c r="AL125" i="16" l="1"/>
  <c r="AM124" i="16"/>
  <c r="AN124" i="16" s="1"/>
  <c r="AS125" i="16"/>
  <c r="AT124" i="16"/>
  <c r="AU124" i="16" s="1"/>
  <c r="AT125" i="16" l="1"/>
  <c r="AU125" i="16" s="1"/>
  <c r="AS126" i="16"/>
  <c r="AM125" i="16"/>
  <c r="AN125" i="16" s="1"/>
  <c r="AL126" i="16"/>
  <c r="AL127" i="16" l="1"/>
  <c r="AM126" i="16"/>
  <c r="AN126" i="16" s="1"/>
  <c r="AT126" i="16"/>
  <c r="AU126" i="16" s="1"/>
  <c r="AS127" i="16"/>
  <c r="AT127" i="16" l="1"/>
  <c r="AU127" i="16" s="1"/>
  <c r="AS128" i="16"/>
  <c r="AL128" i="16"/>
  <c r="AM127" i="16"/>
  <c r="AN127" i="16" s="1"/>
  <c r="AT128" i="16" l="1"/>
  <c r="AU128" i="16" s="1"/>
  <c r="AS129" i="16"/>
  <c r="AM128" i="16"/>
  <c r="AN128" i="16" s="1"/>
  <c r="AL129" i="16"/>
  <c r="AL130" i="16" l="1"/>
  <c r="AM129" i="16"/>
  <c r="AN129" i="16" s="1"/>
  <c r="AT129" i="16"/>
  <c r="AU129" i="16" s="1"/>
  <c r="AS130" i="16"/>
  <c r="AS131" i="16" l="1"/>
  <c r="AT130" i="16"/>
  <c r="AU130" i="16" s="1"/>
  <c r="AL131" i="16"/>
  <c r="AM130" i="16"/>
  <c r="AN130" i="16" s="1"/>
  <c r="AM131" i="16" l="1"/>
  <c r="AN131" i="16" s="1"/>
  <c r="AL132" i="16"/>
  <c r="AS132" i="16"/>
  <c r="AT131" i="16"/>
  <c r="AU131" i="16" s="1"/>
  <c r="AT132" i="16" l="1"/>
  <c r="AU132" i="16" s="1"/>
  <c r="AS133" i="16"/>
  <c r="AM132" i="16"/>
  <c r="AN132" i="16" s="1"/>
  <c r="AL133" i="16"/>
  <c r="AL134" i="16" l="1"/>
  <c r="AM133" i="16"/>
  <c r="AN133" i="16" s="1"/>
  <c r="AS134" i="16"/>
  <c r="AT133" i="16"/>
  <c r="AU133" i="16" s="1"/>
  <c r="AT134" i="16" l="1"/>
  <c r="AU134" i="16" s="1"/>
  <c r="AS135" i="16"/>
  <c r="AM134" i="16"/>
  <c r="AN134" i="16" s="1"/>
  <c r="AL135" i="16"/>
  <c r="AT135" i="16" l="1"/>
  <c r="AU135" i="16" s="1"/>
  <c r="AS136" i="16"/>
  <c r="AM135" i="16"/>
  <c r="AN135" i="16" s="1"/>
  <c r="AL136" i="16"/>
  <c r="AM136" i="16" l="1"/>
  <c r="AN136" i="16" s="1"/>
  <c r="AL137" i="16"/>
  <c r="AS137" i="16"/>
  <c r="AT136" i="16"/>
  <c r="AU136" i="16" s="1"/>
  <c r="AS138" i="16" l="1"/>
  <c r="AT137" i="16"/>
  <c r="AU137" i="16" s="1"/>
  <c r="AM137" i="16"/>
  <c r="AN137" i="16" s="1"/>
  <c r="AL138" i="16"/>
  <c r="AM138" i="16" l="1"/>
  <c r="AN138" i="16" s="1"/>
  <c r="AL139" i="16"/>
  <c r="AT138" i="16"/>
  <c r="AU138" i="16" s="1"/>
  <c r="AS139" i="16"/>
  <c r="AS140" i="16" l="1"/>
  <c r="AT139" i="16"/>
  <c r="AU139" i="16" s="1"/>
  <c r="AL140" i="16"/>
  <c r="AM139" i="16"/>
  <c r="AN139" i="16" s="1"/>
  <c r="AM140" i="16" l="1"/>
  <c r="AN140" i="16" s="1"/>
  <c r="AL141" i="16"/>
  <c r="AS141" i="16"/>
  <c r="AT140" i="16"/>
  <c r="AU140" i="16" s="1"/>
  <c r="AT141" i="16" l="1"/>
  <c r="AU141" i="16" s="1"/>
  <c r="AS142" i="16"/>
  <c r="AL142" i="16"/>
  <c r="AM141" i="16"/>
  <c r="AN141" i="16" s="1"/>
  <c r="AM142" i="16" l="1"/>
  <c r="AN142" i="16" s="1"/>
  <c r="AL143" i="16"/>
  <c r="AS143" i="16"/>
  <c r="AT142" i="16"/>
  <c r="AU142" i="16" s="1"/>
  <c r="AT143" i="16" l="1"/>
  <c r="AU143" i="16" s="1"/>
  <c r="AS144" i="16"/>
  <c r="AM143" i="16"/>
  <c r="AN143" i="16" s="1"/>
  <c r="AL144" i="16"/>
  <c r="AM144" i="16" l="1"/>
  <c r="AN144" i="16" s="1"/>
  <c r="AL145" i="16"/>
  <c r="AT144" i="16"/>
  <c r="AU144" i="16" s="1"/>
  <c r="AS145" i="16"/>
  <c r="AT145" i="16" l="1"/>
  <c r="AU145" i="16" s="1"/>
  <c r="AS146" i="16"/>
  <c r="AL146" i="16"/>
  <c r="AM145" i="16"/>
  <c r="AN145" i="16" s="1"/>
  <c r="AM146" i="16" l="1"/>
  <c r="AN146" i="16" s="1"/>
  <c r="AL147" i="16"/>
  <c r="AS147" i="16"/>
  <c r="AT146" i="16"/>
  <c r="AU146" i="16" s="1"/>
  <c r="AM147" i="16" l="1"/>
  <c r="AN147" i="16" s="1"/>
  <c r="AL148" i="16"/>
  <c r="AT147" i="16"/>
  <c r="AU147" i="16" s="1"/>
  <c r="AS148" i="16"/>
  <c r="AT148" i="16" l="1"/>
  <c r="AU148" i="16" s="1"/>
  <c r="AS149" i="16"/>
  <c r="AM148" i="16"/>
  <c r="AN148" i="16" s="1"/>
  <c r="AL149" i="16"/>
  <c r="AM149" i="16" l="1"/>
  <c r="AN149" i="16" s="1"/>
  <c r="AL150" i="16"/>
  <c r="AS150" i="16"/>
  <c r="AT149" i="16"/>
  <c r="AU149" i="16" s="1"/>
  <c r="AT150" i="16" l="1"/>
  <c r="AU150" i="16" s="1"/>
  <c r="AS151" i="16"/>
  <c r="AM150" i="16"/>
  <c r="AN150" i="16" s="1"/>
  <c r="AL151" i="16"/>
  <c r="AL152" i="16" l="1"/>
  <c r="AM151" i="16"/>
  <c r="AN151" i="16" s="1"/>
  <c r="AT151" i="16"/>
  <c r="AU151" i="16" s="1"/>
  <c r="AS152" i="16"/>
  <c r="AS153" i="16" l="1"/>
  <c r="AT152" i="16"/>
  <c r="AU152" i="16" s="1"/>
  <c r="AM152" i="16"/>
  <c r="AN152" i="16" s="1"/>
  <c r="AL153" i="16"/>
  <c r="AM153" i="16" l="1"/>
  <c r="AN153" i="16" s="1"/>
  <c r="AL154" i="16"/>
  <c r="AS154" i="16"/>
  <c r="AT153" i="16"/>
  <c r="AU153" i="16" s="1"/>
  <c r="AT154" i="16" l="1"/>
  <c r="AU154" i="16" s="1"/>
  <c r="AS155" i="16"/>
  <c r="AL155" i="16"/>
  <c r="AM154" i="16"/>
  <c r="AN154" i="16" s="1"/>
  <c r="AM155" i="16" l="1"/>
  <c r="AN155" i="16" s="1"/>
  <c r="AL156" i="16"/>
  <c r="AT155" i="16"/>
  <c r="AU155" i="16" s="1"/>
  <c r="AS156" i="16"/>
  <c r="AT156" i="16" l="1"/>
  <c r="AU156" i="16" s="1"/>
  <c r="AS157" i="16"/>
  <c r="AL157" i="16"/>
  <c r="AM156" i="16"/>
  <c r="AN156" i="16" s="1"/>
  <c r="AM157" i="16" l="1"/>
  <c r="AN157" i="16" s="1"/>
  <c r="AL158" i="16"/>
  <c r="AT157" i="16"/>
  <c r="AU157" i="16" s="1"/>
  <c r="AS158" i="16"/>
  <c r="AT158" i="16" l="1"/>
  <c r="AU158" i="16" s="1"/>
  <c r="AS159" i="16"/>
  <c r="AM158" i="16"/>
  <c r="AN158" i="16" s="1"/>
  <c r="AL159" i="16"/>
  <c r="AM159" i="16" l="1"/>
  <c r="AN159" i="16" s="1"/>
  <c r="AL160" i="16"/>
  <c r="AT159" i="16"/>
  <c r="AU159" i="16" s="1"/>
  <c r="AS160" i="16"/>
  <c r="AT160" i="16" l="1"/>
  <c r="AU160" i="16" s="1"/>
  <c r="AS161" i="16"/>
  <c r="AL161" i="16"/>
  <c r="AM160" i="16"/>
  <c r="AN160" i="16" s="1"/>
  <c r="AM161" i="16" l="1"/>
  <c r="AN161" i="16" s="1"/>
  <c r="AL162" i="16"/>
  <c r="AT161" i="16"/>
  <c r="AU161" i="16" s="1"/>
  <c r="AS162" i="16"/>
  <c r="AT162" i="16" l="1"/>
  <c r="AU162" i="16" s="1"/>
  <c r="AS163" i="16"/>
  <c r="AM162" i="16"/>
  <c r="AN162" i="16" s="1"/>
  <c r="AL163" i="16"/>
  <c r="AL164" i="16" l="1"/>
  <c r="AM163" i="16"/>
  <c r="AN163" i="16" s="1"/>
  <c r="AT163" i="16"/>
  <c r="AU163" i="16" s="1"/>
  <c r="AS164" i="16"/>
  <c r="AT164" i="16" l="1"/>
  <c r="AU164" i="16" s="1"/>
  <c r="AS165" i="16"/>
  <c r="AM164" i="16"/>
  <c r="AN164" i="16" s="1"/>
  <c r="AL165" i="16"/>
  <c r="AM165" i="16" l="1"/>
  <c r="AN165" i="16" s="1"/>
  <c r="AL166" i="16"/>
  <c r="AT165" i="16"/>
  <c r="AU165" i="16" s="1"/>
  <c r="AS166" i="16"/>
  <c r="AT166" i="16" l="1"/>
  <c r="AU166" i="16" s="1"/>
  <c r="AS167" i="16"/>
  <c r="AL167" i="16"/>
  <c r="AM166" i="16"/>
  <c r="AN166" i="16" s="1"/>
  <c r="AM167" i="16" l="1"/>
  <c r="AN167" i="16" s="1"/>
  <c r="AL168" i="16"/>
  <c r="AT167" i="16"/>
  <c r="AU167" i="16" s="1"/>
  <c r="AS168" i="16"/>
  <c r="AT168" i="16" l="1"/>
  <c r="AU168" i="16" s="1"/>
  <c r="AS169" i="16"/>
  <c r="AM168" i="16"/>
  <c r="AN168" i="16" s="1"/>
  <c r="AL169" i="16"/>
  <c r="AL170" i="16" l="1"/>
  <c r="AM169" i="16"/>
  <c r="AN169" i="16" s="1"/>
  <c r="AT169" i="16"/>
  <c r="AU169" i="16" s="1"/>
  <c r="AS170" i="16"/>
  <c r="AT170" i="16" l="1"/>
  <c r="AU170" i="16" s="1"/>
  <c r="AS171" i="16"/>
  <c r="AL171" i="16"/>
  <c r="AM170" i="16"/>
  <c r="AN170" i="16" s="1"/>
  <c r="AL172" i="16" l="1"/>
  <c r="AM171" i="16"/>
  <c r="AN171" i="16" s="1"/>
  <c r="AS172" i="16"/>
  <c r="AT171" i="16"/>
  <c r="AU171" i="16" s="1"/>
  <c r="AT172" i="16" l="1"/>
  <c r="AU172" i="16" s="1"/>
  <c r="AS173" i="16"/>
  <c r="AL173" i="16"/>
  <c r="AM172" i="16"/>
  <c r="AN172" i="16" s="1"/>
  <c r="AM173" i="16" l="1"/>
  <c r="AN173" i="16" s="1"/>
  <c r="AL174" i="16"/>
  <c r="AS174" i="16"/>
  <c r="AT173" i="16"/>
  <c r="AU173" i="16" s="1"/>
  <c r="AT174" i="16" l="1"/>
  <c r="AU174" i="16" s="1"/>
  <c r="AS175" i="16"/>
  <c r="AL175" i="16"/>
  <c r="AM174" i="16"/>
  <c r="AN174" i="16" s="1"/>
  <c r="AL176" i="16" l="1"/>
  <c r="AM175" i="16"/>
  <c r="AN175" i="16" s="1"/>
  <c r="AS176" i="16"/>
  <c r="AT175" i="16"/>
  <c r="AU175" i="16" s="1"/>
  <c r="AS177" i="16" l="1"/>
  <c r="AT176" i="16"/>
  <c r="AU176" i="16" s="1"/>
  <c r="AL177" i="16"/>
  <c r="AM176" i="16"/>
  <c r="AN176" i="16" s="1"/>
  <c r="AL178" i="16" l="1"/>
  <c r="AM177" i="16"/>
  <c r="AN177" i="16" s="1"/>
  <c r="AS178" i="16"/>
  <c r="AT177" i="16"/>
  <c r="AU177" i="16" s="1"/>
  <c r="AS179" i="16" l="1"/>
  <c r="AT178" i="16"/>
  <c r="AU178" i="16" s="1"/>
  <c r="AL179" i="16"/>
  <c r="AM178" i="16"/>
  <c r="AN178" i="16" s="1"/>
  <c r="AL180" i="16" l="1"/>
  <c r="AM179" i="16"/>
  <c r="AN179" i="16" s="1"/>
  <c r="AT179" i="16"/>
  <c r="AU179" i="16" s="1"/>
  <c r="AS180" i="16"/>
  <c r="AS181" i="16" l="1"/>
  <c r="AT180" i="16"/>
  <c r="AU180" i="16" s="1"/>
  <c r="AL181" i="16"/>
  <c r="AM180" i="16"/>
  <c r="AN180" i="16" s="1"/>
  <c r="AL182" i="16" l="1"/>
  <c r="AM181" i="16"/>
  <c r="AN181" i="16" s="1"/>
  <c r="AS182" i="16"/>
  <c r="AT181" i="16"/>
  <c r="AU181" i="16" s="1"/>
  <c r="AT182" i="16" l="1"/>
  <c r="AU182" i="16" s="1"/>
  <c r="AS183" i="16"/>
  <c r="AM182" i="16"/>
  <c r="AN182" i="16" s="1"/>
  <c r="AL183" i="16"/>
  <c r="AM183" i="16" l="1"/>
  <c r="AN183" i="16" s="1"/>
  <c r="AL184" i="16"/>
  <c r="AS184" i="16"/>
  <c r="AT183" i="16"/>
  <c r="AU183" i="16" s="1"/>
  <c r="AT184" i="16" l="1"/>
  <c r="AU184" i="16" s="1"/>
  <c r="AS185" i="16"/>
  <c r="AL185" i="16"/>
  <c r="AM184" i="16"/>
  <c r="AN184" i="16" s="1"/>
  <c r="AM185" i="16" l="1"/>
  <c r="AN185" i="16" s="1"/>
  <c r="AL186" i="16"/>
  <c r="AT185" i="16"/>
  <c r="AU185" i="16" s="1"/>
  <c r="AS186" i="16"/>
  <c r="AS187" i="16" l="1"/>
  <c r="AT186" i="16"/>
  <c r="AU186" i="16" s="1"/>
  <c r="AM186" i="16"/>
  <c r="AN186" i="16" s="1"/>
  <c r="AL187" i="16"/>
  <c r="AL188" i="16" l="1"/>
  <c r="AM187" i="16"/>
  <c r="AN187" i="16" s="1"/>
  <c r="AT187" i="16"/>
  <c r="AU187" i="16" s="1"/>
  <c r="AS188" i="16"/>
  <c r="AT188" i="16" l="1"/>
  <c r="AU188" i="16" s="1"/>
  <c r="AS189" i="16"/>
  <c r="AM188" i="16"/>
  <c r="AN188" i="16" s="1"/>
  <c r="AL189" i="16"/>
  <c r="AM189" i="16" l="1"/>
  <c r="AN189" i="16" s="1"/>
  <c r="AL190" i="16"/>
  <c r="AT189" i="16"/>
  <c r="AU189" i="16" s="1"/>
  <c r="AS190" i="16"/>
  <c r="AT190" i="16" l="1"/>
  <c r="AU190" i="16" s="1"/>
  <c r="AS191" i="16"/>
  <c r="AL191" i="16"/>
  <c r="AM190" i="16"/>
  <c r="AN190" i="16" s="1"/>
  <c r="AM191" i="16" l="1"/>
  <c r="AN191" i="16" s="1"/>
  <c r="AL192" i="16"/>
  <c r="AS192" i="16"/>
  <c r="AT191" i="16"/>
  <c r="AU191" i="16" s="1"/>
  <c r="AT192" i="16" l="1"/>
  <c r="AU192" i="16" s="1"/>
  <c r="AS193" i="16"/>
  <c r="AL193" i="16"/>
  <c r="AM192" i="16"/>
  <c r="AN192" i="16" s="1"/>
  <c r="AL194" i="16" l="1"/>
  <c r="AM193" i="16"/>
  <c r="AN193" i="16" s="1"/>
  <c r="AT193" i="16"/>
  <c r="AU193" i="16" s="1"/>
  <c r="AS194" i="16"/>
  <c r="AT194" i="16" l="1"/>
  <c r="AU194" i="16" s="1"/>
  <c r="AS195" i="16"/>
  <c r="AM194" i="16"/>
  <c r="AN194" i="16" s="1"/>
  <c r="AL195" i="16"/>
  <c r="AM195" i="16" l="1"/>
  <c r="AN195" i="16" s="1"/>
  <c r="AL196" i="16"/>
  <c r="AS196" i="16"/>
  <c r="AT195" i="16"/>
  <c r="AU195" i="16" s="1"/>
  <c r="AL197" i="16" l="1"/>
  <c r="AM196" i="16"/>
  <c r="AN196" i="16" s="1"/>
  <c r="AS197" i="16"/>
  <c r="AT196" i="16"/>
  <c r="AU196" i="16" s="1"/>
  <c r="AT197" i="16" l="1"/>
  <c r="AU197" i="16" s="1"/>
  <c r="AS198" i="16"/>
  <c r="AM197" i="16"/>
  <c r="AN197" i="16" s="1"/>
  <c r="AL198" i="16"/>
  <c r="AM198" i="16" l="1"/>
  <c r="AN198" i="16" s="1"/>
  <c r="AL199" i="16"/>
  <c r="AS199" i="16"/>
  <c r="AT198" i="16"/>
  <c r="AU198" i="16" s="1"/>
  <c r="AS200" i="16" l="1"/>
  <c r="AT199" i="16"/>
  <c r="AU199" i="16" s="1"/>
  <c r="AM199" i="16"/>
  <c r="AN199" i="16" s="1"/>
  <c r="AL200" i="16"/>
  <c r="AL201" i="16" l="1"/>
  <c r="AM200" i="16"/>
  <c r="AN200" i="16" s="1"/>
  <c r="AT200" i="16"/>
  <c r="AU200" i="16" s="1"/>
  <c r="AS201" i="16"/>
  <c r="AS202" i="16" l="1"/>
  <c r="AT201" i="16"/>
  <c r="AU201" i="16" s="1"/>
  <c r="AM201" i="16"/>
  <c r="AN201" i="16" s="1"/>
  <c r="AL202" i="16"/>
  <c r="AM202" i="16" l="1"/>
  <c r="AN202" i="16" s="1"/>
  <c r="AL203" i="16"/>
  <c r="AS203" i="16"/>
  <c r="AT202" i="16"/>
  <c r="AU202" i="16" s="1"/>
  <c r="AT203" i="16" l="1"/>
  <c r="AU203" i="16" s="1"/>
  <c r="AS204" i="16"/>
  <c r="AM203" i="16"/>
  <c r="AN203" i="16" s="1"/>
  <c r="AL204" i="16"/>
  <c r="AL205" i="16" l="1"/>
  <c r="AM204" i="16"/>
  <c r="AN204" i="16" s="1"/>
  <c r="AT204" i="16"/>
  <c r="AU204" i="16" s="1"/>
  <c r="AS205" i="16"/>
  <c r="AT205" i="16" l="1"/>
  <c r="AU205" i="16" s="1"/>
  <c r="AS206" i="16"/>
  <c r="AL206" i="16"/>
  <c r="AM205" i="16"/>
  <c r="AN205" i="16" s="1"/>
  <c r="AM206" i="16" l="1"/>
  <c r="AN206" i="16" s="1"/>
  <c r="AL207" i="16"/>
  <c r="AT206" i="16"/>
  <c r="AU206" i="16" s="1"/>
  <c r="AS207" i="16"/>
  <c r="AS208" i="16" l="1"/>
  <c r="AT207" i="16"/>
  <c r="AU207" i="16" s="1"/>
  <c r="AL208" i="16"/>
  <c r="AM207" i="16"/>
  <c r="AN207" i="16" s="1"/>
  <c r="AL209" i="16" l="1"/>
  <c r="AM208" i="16"/>
  <c r="AN208" i="16" s="1"/>
  <c r="AT208" i="16"/>
  <c r="AU208" i="16" s="1"/>
  <c r="AS209" i="16"/>
  <c r="AT209" i="16" l="1"/>
  <c r="AU209" i="16" s="1"/>
  <c r="AS210" i="16"/>
  <c r="AM209" i="16"/>
  <c r="AN209" i="16" s="1"/>
  <c r="AL210" i="16"/>
  <c r="AL211" i="16" l="1"/>
  <c r="AM210" i="16"/>
  <c r="AN210" i="16" s="1"/>
  <c r="AT210" i="16"/>
  <c r="AU210" i="16" s="1"/>
  <c r="AS211" i="16"/>
  <c r="AT211" i="16" l="1"/>
  <c r="AU211" i="16" s="1"/>
  <c r="AS212" i="16"/>
  <c r="AL212" i="16"/>
  <c r="AM211" i="16"/>
  <c r="AN211" i="16" s="1"/>
  <c r="AM212" i="16" l="1"/>
  <c r="AN212" i="16" s="1"/>
  <c r="AL213" i="16"/>
  <c r="AT212" i="16"/>
  <c r="AU212" i="16" s="1"/>
  <c r="AS213" i="16"/>
  <c r="AS214" i="16" l="1"/>
  <c r="AT213" i="16"/>
  <c r="AU213" i="16" s="1"/>
  <c r="AL214" i="16"/>
  <c r="AM213" i="16"/>
  <c r="AN213" i="16" s="1"/>
  <c r="AL215" i="16" l="1"/>
  <c r="AM214" i="16"/>
  <c r="AN214" i="16" s="1"/>
  <c r="AT214" i="16"/>
  <c r="AU214" i="16" s="1"/>
  <c r="AS215" i="16"/>
  <c r="AT215" i="16" l="1"/>
  <c r="AU215" i="16" s="1"/>
  <c r="AS216" i="16"/>
  <c r="AM215" i="16"/>
  <c r="AN215" i="16" s="1"/>
  <c r="AL216" i="16"/>
  <c r="AL217" i="16" l="1"/>
  <c r="AM216" i="16"/>
  <c r="AN216" i="16" s="1"/>
  <c r="AS217" i="16"/>
  <c r="AT216" i="16"/>
  <c r="AU216" i="16" s="1"/>
  <c r="AT217" i="16" l="1"/>
  <c r="AU217" i="16" s="1"/>
  <c r="AS218" i="16"/>
  <c r="AL218" i="16"/>
  <c r="AM217" i="16"/>
  <c r="AN217" i="16" s="1"/>
  <c r="AM218" i="16" l="1"/>
  <c r="AN218" i="16" s="1"/>
  <c r="AL219" i="16"/>
  <c r="AT218" i="16"/>
  <c r="AU218" i="16" s="1"/>
  <c r="AS219" i="16"/>
  <c r="AS220" i="16" l="1"/>
  <c r="AT219" i="16"/>
  <c r="AU219" i="16" s="1"/>
  <c r="AL220" i="16"/>
  <c r="AM219" i="16"/>
  <c r="AN219" i="16" s="1"/>
  <c r="AL221" i="16" l="1"/>
  <c r="AM220" i="16"/>
  <c r="AN220" i="16" s="1"/>
  <c r="AT220" i="16"/>
  <c r="AU220" i="16" s="1"/>
  <c r="AS221" i="16"/>
  <c r="AT221" i="16" l="1"/>
  <c r="AU221" i="16" s="1"/>
  <c r="AS222" i="16"/>
  <c r="AM221" i="16"/>
  <c r="AN221" i="16" s="1"/>
  <c r="AL222" i="16"/>
  <c r="AL223" i="16" l="1"/>
  <c r="AM222" i="16"/>
  <c r="AN222" i="16" s="1"/>
  <c r="AS223" i="16"/>
  <c r="AT222" i="16"/>
  <c r="AU222" i="16" s="1"/>
  <c r="AT223" i="16" l="1"/>
  <c r="AU223" i="16" s="1"/>
  <c r="AS224" i="16"/>
  <c r="AL224" i="16"/>
  <c r="AM223" i="16"/>
  <c r="AN223" i="16" s="1"/>
  <c r="AM224" i="16" l="1"/>
  <c r="AN224" i="16" s="1"/>
  <c r="AL225" i="16"/>
  <c r="AT224" i="16"/>
  <c r="AU224" i="16" s="1"/>
  <c r="AS225" i="16"/>
  <c r="AT225" i="16" l="1"/>
  <c r="AU225" i="16" s="1"/>
  <c r="AS226" i="16"/>
  <c r="AL226" i="16"/>
  <c r="AM225" i="16"/>
  <c r="AN225" i="16" s="1"/>
  <c r="AL227" i="16" l="1"/>
  <c r="AM226" i="16"/>
  <c r="AN226" i="16" s="1"/>
  <c r="AT226" i="16"/>
  <c r="AU226" i="16" s="1"/>
  <c r="AS227" i="16"/>
  <c r="AT227" i="16" l="1"/>
  <c r="AU227" i="16" s="1"/>
  <c r="AS228" i="16"/>
  <c r="AM227" i="16"/>
  <c r="AN227" i="16" s="1"/>
  <c r="AL228" i="16"/>
  <c r="AL229" i="16" l="1"/>
  <c r="AM228" i="16"/>
  <c r="AN228" i="16" s="1"/>
  <c r="AT228" i="16"/>
  <c r="AU228" i="16" s="1"/>
  <c r="AS229" i="16"/>
  <c r="AT229" i="16" l="1"/>
  <c r="AU229" i="16" s="1"/>
  <c r="AS230" i="16"/>
  <c r="AL230" i="16"/>
  <c r="AM229" i="16"/>
  <c r="AN229" i="16" s="1"/>
  <c r="AM230" i="16" l="1"/>
  <c r="AN230" i="16" s="1"/>
  <c r="AL231" i="16"/>
  <c r="AT230" i="16"/>
  <c r="AU230" i="16" s="1"/>
  <c r="AS231" i="16"/>
  <c r="AS232" i="16" l="1"/>
  <c r="AT231" i="16"/>
  <c r="AU231" i="16" s="1"/>
  <c r="AL232" i="16"/>
  <c r="AM231" i="16"/>
  <c r="AN231" i="16" s="1"/>
  <c r="AL233" i="16" l="1"/>
  <c r="AM232" i="16"/>
  <c r="AN232" i="16" s="1"/>
  <c r="AS233" i="16"/>
  <c r="AT232" i="16"/>
  <c r="AU232" i="16" s="1"/>
  <c r="AT233" i="16" l="1"/>
  <c r="AU233" i="16" s="1"/>
  <c r="AS234" i="16"/>
  <c r="AL234" i="16"/>
  <c r="AM233" i="16"/>
  <c r="AN233" i="16" s="1"/>
  <c r="AL235" i="16" l="1"/>
  <c r="AM234" i="16"/>
  <c r="AN234" i="16" s="1"/>
  <c r="AS235" i="16"/>
  <c r="AT234" i="16"/>
  <c r="AU234" i="16" s="1"/>
  <c r="AS236" i="16" l="1"/>
  <c r="AT235" i="16"/>
  <c r="AU235" i="16" s="1"/>
  <c r="AL236" i="16"/>
  <c r="AM235" i="16"/>
  <c r="AN235" i="16" s="1"/>
  <c r="AM236" i="16" l="1"/>
  <c r="AN236" i="16" s="1"/>
  <c r="AL237" i="16"/>
  <c r="AS237" i="16"/>
  <c r="AT236" i="16"/>
  <c r="AU236" i="16" s="1"/>
  <c r="AT237" i="16" l="1"/>
  <c r="AU237" i="16" s="1"/>
  <c r="AS238" i="16"/>
  <c r="AL238" i="16"/>
  <c r="AM237" i="16"/>
  <c r="AN237" i="16" s="1"/>
  <c r="AL239" i="16" l="1"/>
  <c r="AM238" i="16"/>
  <c r="AN238" i="16" s="1"/>
  <c r="AT238" i="16"/>
  <c r="AU238" i="16" s="1"/>
  <c r="AS239" i="16"/>
  <c r="AS240" i="16" l="1"/>
  <c r="AT239" i="16"/>
  <c r="AU239" i="16" s="1"/>
  <c r="AL240" i="16"/>
  <c r="AM239" i="16"/>
  <c r="AN239" i="16" s="1"/>
  <c r="AL241" i="16" l="1"/>
  <c r="AM240" i="16"/>
  <c r="AN240" i="16" s="1"/>
  <c r="AS241" i="16"/>
  <c r="AT240" i="16"/>
  <c r="AU240" i="16" s="1"/>
  <c r="AS242" i="16" l="1"/>
  <c r="AT241" i="16"/>
  <c r="AU241" i="16" s="1"/>
  <c r="AL242" i="16"/>
  <c r="AM241" i="16"/>
  <c r="AN241" i="16" s="1"/>
  <c r="AL243" i="16" l="1"/>
  <c r="AM242" i="16"/>
  <c r="AN242" i="16" s="1"/>
  <c r="AT242" i="16"/>
  <c r="AU242" i="16" s="1"/>
  <c r="AS243" i="16"/>
  <c r="AS244" i="16" l="1"/>
  <c r="AT243" i="16"/>
  <c r="AU243" i="16" s="1"/>
  <c r="AL244" i="16"/>
  <c r="AM243" i="16"/>
  <c r="AN243" i="16" s="1"/>
  <c r="AL245" i="16" l="1"/>
  <c r="AM244" i="16"/>
  <c r="AN244" i="16" s="1"/>
  <c r="AS245" i="16"/>
  <c r="AT244" i="16"/>
  <c r="AU244" i="16" s="1"/>
  <c r="AT245" i="16" l="1"/>
  <c r="AU245" i="16" s="1"/>
  <c r="AS246" i="16"/>
  <c r="AM245" i="16"/>
  <c r="AN245" i="16" s="1"/>
  <c r="AL246" i="16"/>
  <c r="AL247" i="16" l="1"/>
  <c r="AM246" i="16"/>
  <c r="AN246" i="16" s="1"/>
  <c r="AS247" i="16"/>
  <c r="AT246" i="16"/>
  <c r="AU246" i="16" s="1"/>
  <c r="AT247" i="16" l="1"/>
  <c r="AU247" i="16" s="1"/>
  <c r="AS248" i="16"/>
  <c r="AM247" i="16"/>
  <c r="AN247" i="16" s="1"/>
  <c r="AL248" i="16"/>
  <c r="AM248" i="16" l="1"/>
  <c r="AN248" i="16" s="1"/>
  <c r="AL249" i="16"/>
  <c r="AS249" i="16"/>
  <c r="AT248" i="16"/>
  <c r="AU248" i="16" s="1"/>
  <c r="AS250" i="16" l="1"/>
  <c r="AT249" i="16"/>
  <c r="AU249" i="16" s="1"/>
  <c r="AL250" i="16"/>
  <c r="AM249" i="16"/>
  <c r="AN249" i="16" s="1"/>
  <c r="AM250" i="16" l="1"/>
  <c r="AN250" i="16" s="1"/>
  <c r="AL251" i="16"/>
  <c r="AT250" i="16"/>
  <c r="AU250" i="16" s="1"/>
  <c r="AS251" i="16"/>
  <c r="AT251" i="16" l="1"/>
  <c r="AU251" i="16" s="1"/>
  <c r="AS252" i="16"/>
  <c r="AM251" i="16"/>
  <c r="AN251" i="16" s="1"/>
  <c r="AL252" i="16"/>
  <c r="AL253" i="16" l="1"/>
  <c r="AM252" i="16"/>
  <c r="AN252" i="16" s="1"/>
  <c r="AS253" i="16"/>
  <c r="AT252" i="16"/>
  <c r="AU252" i="16" s="1"/>
  <c r="AT253" i="16" l="1"/>
  <c r="AU253" i="16" s="1"/>
  <c r="AS254" i="16"/>
  <c r="AL254" i="16"/>
  <c r="AM253" i="16"/>
  <c r="AN253" i="16" s="1"/>
  <c r="AM254" i="16" l="1"/>
  <c r="AN254" i="16" s="1"/>
  <c r="AL255" i="16"/>
  <c r="AS255" i="16"/>
  <c r="AT254" i="16"/>
  <c r="AU254" i="16" s="1"/>
  <c r="AT255" i="16" l="1"/>
  <c r="AU255" i="16" s="1"/>
  <c r="AS256" i="16"/>
  <c r="AL256" i="16"/>
  <c r="AM255" i="16"/>
  <c r="AN255" i="16" s="1"/>
  <c r="AL257" i="16" l="1"/>
  <c r="AM256" i="16"/>
  <c r="AN256" i="16" s="1"/>
  <c r="AT256" i="16"/>
  <c r="AU256" i="16" s="1"/>
  <c r="AS257" i="16"/>
  <c r="AS258" i="16" l="1"/>
  <c r="AT257" i="16"/>
  <c r="AU257" i="16" s="1"/>
  <c r="AM257" i="16"/>
  <c r="AN257" i="16" s="1"/>
  <c r="AL258" i="16"/>
  <c r="AL259" i="16" l="1"/>
  <c r="AM258" i="16"/>
  <c r="AN258" i="16" s="1"/>
  <c r="AT258" i="16"/>
  <c r="AU258" i="16" s="1"/>
  <c r="AS259" i="16"/>
  <c r="AT259" i="16" l="1"/>
  <c r="AU259" i="16" s="1"/>
  <c r="AS260" i="16"/>
  <c r="AL260" i="16"/>
  <c r="AM259" i="16"/>
  <c r="AN259" i="16" s="1"/>
  <c r="AM260" i="16" l="1"/>
  <c r="AN260" i="16" s="1"/>
  <c r="AL261" i="16"/>
  <c r="AS261" i="16"/>
  <c r="AT260" i="16"/>
  <c r="AU260" i="16" s="1"/>
  <c r="AS262" i="16" l="1"/>
  <c r="AT261" i="16"/>
  <c r="AU261" i="16" s="1"/>
  <c r="AM261" i="16"/>
  <c r="AN261" i="16" s="1"/>
  <c r="AL262" i="16"/>
  <c r="AM262" i="16" l="1"/>
  <c r="AN262" i="16" s="1"/>
  <c r="AL263" i="16"/>
  <c r="AT262" i="16"/>
  <c r="AU262" i="16" s="1"/>
  <c r="AS263" i="16"/>
  <c r="AS264" i="16" l="1"/>
  <c r="AT263" i="16"/>
  <c r="AU263" i="16" s="1"/>
  <c r="AM263" i="16"/>
  <c r="AN263" i="16" s="1"/>
  <c r="AL264" i="16"/>
  <c r="AM264" i="16" l="1"/>
  <c r="AN264" i="16" s="1"/>
  <c r="AL265" i="16"/>
  <c r="AT264" i="16"/>
  <c r="AU264" i="16" s="1"/>
  <c r="AS265" i="16"/>
  <c r="AT265" i="16" l="1"/>
  <c r="AU265" i="16" s="1"/>
  <c r="AS266" i="16"/>
  <c r="AM265" i="16"/>
  <c r="AN265" i="16" s="1"/>
  <c r="AL266" i="16"/>
  <c r="AL267" i="16" l="1"/>
  <c r="AM266" i="16"/>
  <c r="AN266" i="16" s="1"/>
  <c r="AT266" i="16"/>
  <c r="AU266" i="16" s="1"/>
  <c r="AS267" i="16"/>
  <c r="AS268" i="16" l="1"/>
  <c r="AT267" i="16"/>
  <c r="AU267" i="16" s="1"/>
  <c r="AL268" i="16"/>
  <c r="AM267" i="16"/>
  <c r="AN267" i="16" s="1"/>
  <c r="AL269" i="16" l="1"/>
  <c r="AM268" i="16"/>
  <c r="AN268" i="16" s="1"/>
  <c r="AT268" i="16"/>
  <c r="AU268" i="16" s="1"/>
  <c r="AS269" i="16"/>
  <c r="AS270" i="16" l="1"/>
  <c r="AT269" i="16"/>
  <c r="AU269" i="16" s="1"/>
  <c r="AL270" i="16"/>
  <c r="AM269" i="16"/>
  <c r="AN269" i="16" s="1"/>
  <c r="AL271" i="16" l="1"/>
  <c r="AM270" i="16"/>
  <c r="AN270" i="16" s="1"/>
  <c r="AS271" i="16"/>
  <c r="AT270" i="16"/>
  <c r="AU270" i="16" s="1"/>
  <c r="AT271" i="16" l="1"/>
  <c r="AU271" i="16" s="1"/>
  <c r="AS272" i="16"/>
  <c r="AL272" i="16"/>
  <c r="AM271" i="16"/>
  <c r="AN271" i="16" s="1"/>
  <c r="AL273" i="16" l="1"/>
  <c r="AM272" i="16"/>
  <c r="AN272" i="16" s="1"/>
  <c r="AS273" i="16"/>
  <c r="AT272" i="16"/>
  <c r="AU272" i="16" s="1"/>
  <c r="AT273" i="16" l="1"/>
  <c r="AU273" i="16" s="1"/>
  <c r="AS274" i="16"/>
  <c r="AM273" i="16"/>
  <c r="AN273" i="16" s="1"/>
  <c r="AL274" i="16"/>
  <c r="AM274" i="16" l="1"/>
  <c r="AN274" i="16" s="1"/>
  <c r="AL275" i="16"/>
  <c r="AS275" i="16"/>
  <c r="AT274" i="16"/>
  <c r="AU274" i="16" s="1"/>
  <c r="AT275" i="16" l="1"/>
  <c r="AU275" i="16" s="1"/>
  <c r="AS276" i="16"/>
  <c r="AL276" i="16"/>
  <c r="AM275" i="16"/>
  <c r="AN275" i="16" s="1"/>
  <c r="AM276" i="16" l="1"/>
  <c r="AN276" i="16" s="1"/>
  <c r="AL277" i="16"/>
  <c r="AT276" i="16"/>
  <c r="AU276" i="16" s="1"/>
  <c r="AS277" i="16"/>
  <c r="AT277" i="16" l="1"/>
  <c r="AU277" i="16" s="1"/>
  <c r="AS278" i="16"/>
  <c r="AM277" i="16"/>
  <c r="AN277" i="16" s="1"/>
  <c r="AL278" i="16"/>
  <c r="AT278" i="16" l="1"/>
  <c r="AU278" i="16" s="1"/>
  <c r="AS279" i="16"/>
  <c r="AL279" i="16"/>
  <c r="AM278" i="16"/>
  <c r="AN278" i="16" s="1"/>
  <c r="AM279" i="16" l="1"/>
  <c r="AN279" i="16" s="1"/>
  <c r="AL280" i="16"/>
  <c r="AT279" i="16"/>
  <c r="AU279" i="16" s="1"/>
  <c r="AS280" i="16"/>
  <c r="AS281" i="16" l="1"/>
  <c r="AT280" i="16"/>
  <c r="AU280" i="16" s="1"/>
  <c r="AM280" i="16"/>
  <c r="AN280" i="16" s="1"/>
  <c r="AL281" i="16"/>
  <c r="AL282" i="16" l="1"/>
  <c r="AM281" i="16"/>
  <c r="AN281" i="16" s="1"/>
  <c r="AT281" i="16"/>
  <c r="AU281" i="16" s="1"/>
  <c r="AS282" i="16"/>
  <c r="AT282" i="16" l="1"/>
  <c r="AU282" i="16" s="1"/>
  <c r="AS283" i="16"/>
  <c r="AM282" i="16"/>
  <c r="AN282" i="16" s="1"/>
  <c r="AL283" i="16"/>
  <c r="AM283" i="16" l="1"/>
  <c r="AN283" i="16" s="1"/>
  <c r="AL284" i="16"/>
  <c r="AT283" i="16"/>
  <c r="AU283" i="16" s="1"/>
  <c r="AS284" i="16"/>
  <c r="AT284" i="16" l="1"/>
  <c r="AU284" i="16" s="1"/>
  <c r="AS285" i="16"/>
  <c r="AL285" i="16"/>
  <c r="AM284" i="16"/>
  <c r="AN284" i="16" s="1"/>
  <c r="AM285" i="16" l="1"/>
  <c r="AN285" i="16" s="1"/>
  <c r="AL286" i="16"/>
  <c r="AT285" i="16"/>
  <c r="AU285" i="16" s="1"/>
  <c r="AS286" i="16"/>
  <c r="AS287" i="16" l="1"/>
  <c r="AT286" i="16"/>
  <c r="AU286" i="16" s="1"/>
  <c r="AM286" i="16"/>
  <c r="AN286" i="16" s="1"/>
  <c r="AL287" i="16"/>
  <c r="AL288" i="16" l="1"/>
  <c r="AM287" i="16"/>
  <c r="AN287" i="16" s="1"/>
  <c r="AT287" i="16"/>
  <c r="AU287" i="16" s="1"/>
  <c r="AS288" i="16"/>
  <c r="AT288" i="16" l="1"/>
  <c r="AU288" i="16" s="1"/>
  <c r="AS289" i="16"/>
  <c r="AM288" i="16"/>
  <c r="AN288" i="16" s="1"/>
  <c r="AL289" i="16"/>
  <c r="AM289" i="16" l="1"/>
  <c r="AN289" i="16" s="1"/>
  <c r="AL290" i="16"/>
  <c r="AS290" i="16"/>
  <c r="AT289" i="16"/>
  <c r="AU289" i="16" s="1"/>
  <c r="AT290" i="16" l="1"/>
  <c r="AU290" i="16" s="1"/>
  <c r="AS291" i="16"/>
  <c r="AL291" i="16"/>
  <c r="AM290" i="16"/>
  <c r="AN290" i="16" s="1"/>
  <c r="AM291" i="16" l="1"/>
  <c r="AN291" i="16" s="1"/>
  <c r="AL292" i="16"/>
  <c r="AT291" i="16"/>
  <c r="AU291" i="16" s="1"/>
  <c r="AS292" i="16"/>
  <c r="AS293" i="16" l="1"/>
  <c r="AT292" i="16"/>
  <c r="AU292" i="16" s="1"/>
  <c r="AM292" i="16"/>
  <c r="AN292" i="16" s="1"/>
  <c r="AL293" i="16"/>
  <c r="AL294" i="16" l="1"/>
  <c r="AM293" i="16"/>
  <c r="AN293" i="16" s="1"/>
  <c r="AT293" i="16"/>
  <c r="AU293" i="16" s="1"/>
  <c r="AS294" i="16"/>
  <c r="AS295" i="16" l="1"/>
  <c r="AT294" i="16"/>
  <c r="AU294" i="16" s="1"/>
  <c r="AM294" i="16"/>
  <c r="AN294" i="16" s="1"/>
  <c r="AL295" i="16"/>
  <c r="AM295" i="16" l="1"/>
  <c r="AN295" i="16" s="1"/>
  <c r="AL296" i="16"/>
  <c r="AT295" i="16"/>
  <c r="AU295" i="16" s="1"/>
  <c r="AS296" i="16"/>
  <c r="AT296" i="16" l="1"/>
  <c r="AU296" i="16" s="1"/>
  <c r="AS297" i="16"/>
  <c r="AM296" i="16"/>
  <c r="AN296" i="16" s="1"/>
  <c r="AL297" i="16"/>
  <c r="AM297" i="16" l="1"/>
  <c r="AN297" i="16" s="1"/>
  <c r="AL298" i="16"/>
  <c r="AS298" i="16"/>
  <c r="AT297" i="16"/>
  <c r="AU297" i="16" s="1"/>
  <c r="AT298" i="16" l="1"/>
  <c r="AU298" i="16" s="1"/>
  <c r="AS299" i="16"/>
  <c r="AM298" i="16"/>
  <c r="AN298" i="16" s="1"/>
  <c r="AL299" i="16"/>
  <c r="AM299" i="16" l="1"/>
  <c r="AN299" i="16" s="1"/>
  <c r="AL300" i="16"/>
  <c r="AS300" i="16"/>
  <c r="AT299" i="16"/>
  <c r="AU299" i="16" s="1"/>
  <c r="AS301" i="16" l="1"/>
  <c r="AT300" i="16"/>
  <c r="AU300" i="16" s="1"/>
  <c r="AM300" i="16"/>
  <c r="AN300" i="16" s="1"/>
  <c r="AL301" i="16"/>
  <c r="AM301" i="16" l="1"/>
  <c r="AN301" i="16" s="1"/>
  <c r="AL302" i="16"/>
  <c r="AT301" i="16"/>
  <c r="AU301" i="16" s="1"/>
  <c r="AS302" i="16"/>
  <c r="AT302" i="16" l="1"/>
  <c r="AU302" i="16" s="1"/>
  <c r="AS303" i="16"/>
  <c r="AL303" i="16"/>
  <c r="AM302" i="16"/>
  <c r="AN302" i="16" s="1"/>
  <c r="AM303" i="16" l="1"/>
  <c r="AN303" i="16" s="1"/>
  <c r="AL304" i="16"/>
  <c r="AS304" i="16"/>
  <c r="AT303" i="16"/>
  <c r="AU303" i="16" s="1"/>
  <c r="AS305" i="16" l="1"/>
  <c r="AT304" i="16"/>
  <c r="AU304" i="16" s="1"/>
  <c r="AM304" i="16"/>
  <c r="AN304" i="16" s="1"/>
  <c r="AL305" i="16"/>
  <c r="AM305" i="16" l="1"/>
  <c r="AN305" i="16" s="1"/>
  <c r="AL306" i="16"/>
  <c r="AS306" i="16"/>
  <c r="AT305" i="16"/>
  <c r="AU305" i="16" s="1"/>
  <c r="AS307" i="16" l="1"/>
  <c r="AT306" i="16"/>
  <c r="AU306" i="16" s="1"/>
  <c r="AM306" i="16"/>
  <c r="AN306" i="16" s="1"/>
  <c r="AL307" i="16"/>
  <c r="AM307" i="16" l="1"/>
  <c r="AN307" i="16" s="1"/>
  <c r="AL308" i="16"/>
  <c r="AT307" i="16"/>
  <c r="AU307" i="16" s="1"/>
  <c r="AS308" i="16"/>
  <c r="AT308" i="16" l="1"/>
  <c r="AU308" i="16" s="1"/>
  <c r="AS309" i="16"/>
  <c r="AL309" i="16"/>
  <c r="AM308" i="16"/>
  <c r="AN308" i="16" s="1"/>
  <c r="AM309" i="16" l="1"/>
  <c r="AN309" i="16" s="1"/>
  <c r="AL310" i="16"/>
  <c r="AT309" i="16"/>
  <c r="AU309" i="16" s="1"/>
  <c r="AS310" i="16"/>
  <c r="AT310" i="16" l="1"/>
  <c r="AU310" i="16" s="1"/>
  <c r="AS311" i="16"/>
  <c r="AM310" i="16"/>
  <c r="AN310" i="16" s="1"/>
  <c r="AL311" i="16"/>
  <c r="AM311" i="16" l="1"/>
  <c r="AN311" i="16" s="1"/>
  <c r="AL312" i="16"/>
  <c r="AT311" i="16"/>
  <c r="AU311" i="16" s="1"/>
  <c r="AS312" i="16"/>
  <c r="AT312" i="16" l="1"/>
  <c r="AU312" i="16" s="1"/>
  <c r="AS313" i="16"/>
  <c r="AM312" i="16"/>
  <c r="AN312" i="16" s="1"/>
  <c r="AL313" i="16"/>
  <c r="AM313" i="16" l="1"/>
  <c r="AN313" i="16" s="1"/>
  <c r="AL314" i="16"/>
  <c r="AT313" i="16"/>
  <c r="AU313" i="16" s="1"/>
  <c r="AS314" i="16"/>
  <c r="AT314" i="16" l="1"/>
  <c r="AU314" i="16" s="1"/>
  <c r="AS315" i="16"/>
  <c r="AM314" i="16"/>
  <c r="AN314" i="16" s="1"/>
  <c r="AL315" i="16"/>
  <c r="AM315" i="16" l="1"/>
  <c r="AN315" i="16" s="1"/>
  <c r="AL316" i="16"/>
  <c r="AT315" i="16"/>
  <c r="AU315" i="16" s="1"/>
  <c r="AS316" i="16"/>
  <c r="AT316" i="16" l="1"/>
  <c r="AU316" i="16" s="1"/>
  <c r="AS317" i="16"/>
  <c r="AM316" i="16"/>
  <c r="AN316" i="16" s="1"/>
  <c r="AL317" i="16"/>
  <c r="AM317" i="16" l="1"/>
  <c r="AN317" i="16" s="1"/>
  <c r="AL318" i="16"/>
  <c r="AT317" i="16"/>
  <c r="AU317" i="16" s="1"/>
  <c r="AS318" i="16"/>
  <c r="AT318" i="16" l="1"/>
  <c r="AU318" i="16" s="1"/>
  <c r="AS319" i="16"/>
  <c r="AM318" i="16"/>
  <c r="AN318" i="16" s="1"/>
  <c r="AL319" i="16"/>
  <c r="AM319" i="16" l="1"/>
  <c r="AN319" i="16" s="1"/>
  <c r="AL320" i="16"/>
  <c r="AT319" i="16"/>
  <c r="AU319" i="16" s="1"/>
  <c r="AS320" i="16"/>
  <c r="AS321" i="16" l="1"/>
  <c r="AT320" i="16"/>
  <c r="AU320" i="16" s="1"/>
  <c r="AM320" i="16"/>
  <c r="AN320" i="16" s="1"/>
  <c r="AL321" i="16"/>
  <c r="AL322" i="16" l="1"/>
  <c r="AM321" i="16"/>
  <c r="AN321" i="16" s="1"/>
  <c r="AT321" i="16"/>
  <c r="AU321" i="16" s="1"/>
  <c r="AS322" i="16"/>
  <c r="AT322" i="16" l="1"/>
  <c r="AU322" i="16" s="1"/>
  <c r="AS323" i="16"/>
  <c r="AM322" i="16"/>
  <c r="AN322" i="16" s="1"/>
  <c r="AL323" i="16"/>
  <c r="AM323" i="16" l="1"/>
  <c r="AN323" i="16" s="1"/>
  <c r="AL324" i="16"/>
  <c r="AS324" i="16"/>
  <c r="AT323" i="16"/>
  <c r="AU323" i="16" s="1"/>
  <c r="AT324" i="16" l="1"/>
  <c r="AU324" i="16" s="1"/>
  <c r="AS325" i="16"/>
  <c r="AL325" i="16"/>
  <c r="AM324" i="16"/>
  <c r="AN324" i="16" s="1"/>
  <c r="AM325" i="16" l="1"/>
  <c r="AN325" i="16" s="1"/>
  <c r="AL326" i="16"/>
  <c r="AT325" i="16"/>
  <c r="AU325" i="16" s="1"/>
  <c r="AS326" i="16"/>
  <c r="AS327" i="16" l="1"/>
  <c r="AT326" i="16"/>
  <c r="AU326" i="16" s="1"/>
  <c r="AM326" i="16"/>
  <c r="AN326" i="16" s="1"/>
  <c r="AL327" i="16"/>
  <c r="AL328" i="16" l="1"/>
  <c r="AM327" i="16"/>
  <c r="AN327" i="16" s="1"/>
  <c r="AT327" i="16"/>
  <c r="AU327" i="16" s="1"/>
  <c r="AS328" i="16"/>
  <c r="AT328" i="16" l="1"/>
  <c r="AU328" i="16" s="1"/>
  <c r="AS329" i="16"/>
  <c r="AM328" i="16"/>
  <c r="AN328" i="16" s="1"/>
  <c r="AL329" i="16"/>
  <c r="AM329" i="16" l="1"/>
  <c r="AN329" i="16" s="1"/>
  <c r="AL330" i="16"/>
  <c r="AS330" i="16"/>
  <c r="AT329" i="16"/>
  <c r="AU329" i="16" s="1"/>
  <c r="AT330" i="16" l="1"/>
  <c r="AU330" i="16" s="1"/>
  <c r="AS331" i="16"/>
  <c r="AL331" i="16"/>
  <c r="AM330" i="16"/>
  <c r="AN330" i="16" s="1"/>
  <c r="AM331" i="16" l="1"/>
  <c r="AN331" i="16" s="1"/>
  <c r="AL332" i="16"/>
  <c r="AT331" i="16"/>
  <c r="AU331" i="16" s="1"/>
  <c r="AS332" i="16"/>
  <c r="AS333" i="16" l="1"/>
  <c r="AT332" i="16"/>
  <c r="AU332" i="16" s="1"/>
  <c r="AM332" i="16"/>
  <c r="AN332" i="16" s="1"/>
  <c r="AL333" i="16"/>
  <c r="AL334" i="16" l="1"/>
  <c r="AM333" i="16"/>
  <c r="AN333" i="16" s="1"/>
  <c r="AT333" i="16"/>
  <c r="AU333" i="16" s="1"/>
  <c r="AS334" i="16"/>
  <c r="AT334" i="16" l="1"/>
  <c r="AU334" i="16" s="1"/>
  <c r="AS335" i="16"/>
  <c r="AM334" i="16"/>
  <c r="AN334" i="16" s="1"/>
  <c r="AL335" i="16"/>
  <c r="AM335" i="16" l="1"/>
  <c r="AN335" i="16" s="1"/>
  <c r="AL336" i="16"/>
  <c r="AS336" i="16"/>
  <c r="AT335" i="16"/>
  <c r="AU335" i="16" s="1"/>
  <c r="AT336" i="16" l="1"/>
  <c r="AU336" i="16" s="1"/>
  <c r="AS337" i="16"/>
  <c r="AL337" i="16"/>
  <c r="AM336" i="16"/>
  <c r="AN336" i="16" s="1"/>
  <c r="AM337" i="16" l="1"/>
  <c r="AN337" i="16" s="1"/>
  <c r="AL338" i="16"/>
  <c r="AT337" i="16"/>
  <c r="AU337" i="16" s="1"/>
  <c r="AS338" i="16"/>
  <c r="AS339" i="16" l="1"/>
  <c r="AT338" i="16"/>
  <c r="AU338" i="16" s="1"/>
  <c r="AM338" i="16"/>
  <c r="AN338" i="16" s="1"/>
  <c r="AL339" i="16"/>
  <c r="AL340" i="16" l="1"/>
  <c r="AM339" i="16"/>
  <c r="AN339" i="16" s="1"/>
  <c r="AS340" i="16"/>
  <c r="AT339" i="16"/>
  <c r="AU339" i="16" s="1"/>
  <c r="AT340" i="16" l="1"/>
  <c r="AU340" i="16" s="1"/>
  <c r="AS341" i="16"/>
  <c r="AM340" i="16"/>
  <c r="AN340" i="16" s="1"/>
  <c r="AL341" i="16"/>
  <c r="AM341" i="16" l="1"/>
  <c r="AN341" i="16" s="1"/>
  <c r="AL342" i="16"/>
  <c r="AS342" i="16"/>
  <c r="AT341" i="16"/>
  <c r="AU341" i="16" s="1"/>
  <c r="AS343" i="16" l="1"/>
  <c r="AT342" i="16"/>
  <c r="AU342" i="16" s="1"/>
  <c r="AL343" i="16"/>
  <c r="AM342" i="16"/>
  <c r="AN342" i="16" s="1"/>
  <c r="AM343" i="16" l="1"/>
  <c r="AN343" i="16" s="1"/>
  <c r="AT343" i="16"/>
  <c r="AU343" i="16" s="1"/>
</calcChain>
</file>

<file path=xl/sharedStrings.xml><?xml version="1.0" encoding="utf-8"?>
<sst xmlns="http://schemas.openxmlformats.org/spreadsheetml/2006/main" count="9647" uniqueCount="904">
  <si>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</si>
  <si>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</si>
  <si>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</si>
  <si>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</si>
  <si>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</si>
  <si>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</si>
  <si>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</si>
  <si>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</si>
  <si>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</si>
  <si>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</si>
  <si>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</si>
  <si>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</si>
  <si>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</si>
  <si>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</si>
  <si>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</si>
  <si>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</si>
  <si>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</si>
  <si>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</si>
  <si>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</si>
  <si>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</si>
  <si>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</si>
  <si>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</si>
  <si>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</si>
  <si>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</si>
  <si>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</si>
  <si>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</si>
  <si>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</si>
  <si>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</si>
  <si>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</si>
  <si>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</si>
  <si>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</si>
  <si>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</si>
  <si>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</si>
  <si>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</si>
  <si>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</si>
  <si>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</si>
  <si>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</si>
  <si>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</si>
  <si>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</si>
  <si>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</si>
  <si>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</si>
  <si>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</si>
  <si>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</si>
  <si>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</si>
  <si>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</si>
  <si>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</si>
  <si>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</si>
  <si>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</si>
  <si>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</si>
  <si>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</si>
  <si>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</si>
  <si>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</si>
  <si>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</si>
  <si>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</si>
  <si>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</si>
  <si>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</si>
  <si>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</si>
  <si>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</si>
  <si>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</si>
  <si>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</si>
  <si>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</si>
  <si>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</si>
  <si>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</si>
  <si>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</si>
  <si>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</si>
  <si>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</si>
  <si>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</si>
  <si>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</si>
  <si>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</si>
  <si>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</si>
  <si>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</si>
  <si>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</si>
  <si>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</si>
  <si>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</si>
  <si>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</si>
  <si>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</si>
  <si>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</si>
  <si>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</si>
  <si>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</si>
  <si>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</si>
  <si>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</si>
  <si>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</si>
  <si>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</si>
  <si>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</si>
  <si>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</si>
  <si>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</si>
  <si>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</si>
  <si>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</si>
  <si>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</si>
  <si>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</si>
  <si>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</si>
  <si>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</si>
  <si>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</si>
  <si>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</si>
  <si>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</si>
  <si>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</si>
  <si>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</si>
  <si>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</si>
  <si>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</si>
  <si>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</si>
  <si>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</si>
  <si>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</si>
  <si>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</si>
  <si>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</si>
  <si>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</si>
  <si>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</si>
  <si>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</si>
  <si>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</si>
  <si>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</si>
  <si>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</si>
  <si>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</si>
  <si>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</si>
  <si>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</si>
  <si>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</si>
  <si>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</si>
  <si>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</si>
  <si>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</si>
  <si>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</si>
  <si>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</si>
  <si>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</si>
  <si>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</si>
  <si>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</si>
  <si>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</si>
  <si>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</si>
  <si>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</si>
  <si>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</si>
  <si>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</si>
  <si>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</si>
  <si>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</si>
  <si>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</si>
  <si>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</si>
  <si>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</si>
  <si>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</si>
  <si>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</si>
  <si>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</si>
  <si>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</si>
  <si>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</si>
  <si>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</si>
  <si>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</si>
  <si>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</si>
  <si>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</si>
  <si>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</si>
  <si>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</si>
  <si>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</si>
  <si>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</si>
  <si>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</si>
  <si>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</si>
  <si>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</si>
  <si>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</si>
  <si>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</si>
  <si>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</si>
  <si>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</si>
  <si>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</si>
  <si>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</si>
  <si>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</si>
  <si>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</si>
  <si>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</si>
  <si>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</si>
  <si>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</si>
  <si>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</si>
  <si>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</si>
  <si>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</si>
  <si>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</si>
  <si>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</si>
  <si>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</si>
  <si>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</si>
  <si>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</si>
  <si>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</si>
  <si>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</si>
  <si>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</si>
  <si>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</si>
  <si>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</si>
  <si>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</si>
  <si>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</si>
  <si>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</si>
  <si>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</si>
  <si>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</si>
  <si>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</si>
  <si>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</si>
  <si>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</si>
  <si>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</si>
  <si>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</si>
  <si>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</si>
  <si>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</si>
  <si>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</si>
  <si>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</si>
  <si>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</si>
  <si>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</si>
  <si>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</si>
  <si>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</si>
  <si>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</si>
  <si>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</si>
  <si>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</si>
  <si>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</si>
  <si>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</si>
  <si>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</si>
  <si>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</si>
  <si>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</si>
  <si>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</si>
  <si>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</si>
  <si>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</si>
  <si>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</si>
  <si>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</si>
  <si>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</si>
  <si>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</si>
  <si>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</si>
  <si>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</si>
  <si>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</si>
  <si>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</si>
  <si>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</si>
  <si>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</si>
  <si>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</si>
  <si>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</si>
  <si>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</si>
  <si>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</si>
  <si>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</si>
  <si>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</si>
  <si>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</si>
  <si>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</si>
  <si>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</si>
  <si>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</si>
  <si>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</si>
  <si>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</si>
  <si>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</si>
  <si>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</si>
  <si>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</si>
  <si>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</si>
  <si>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</si>
  <si>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</si>
  <si>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</si>
  <si>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</si>
  <si>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</si>
  <si>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</si>
  <si>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</si>
  <si>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</si>
  <si>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</si>
  <si>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</si>
  <si>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</si>
  <si>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</si>
  <si>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</si>
  <si>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</si>
  <si>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</si>
  <si>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</si>
  <si>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</si>
  <si>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</si>
  <si>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</si>
  <si>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</si>
  <si>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</si>
  <si>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</si>
  <si>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</si>
  <si>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</si>
  <si>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</si>
  <si>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</si>
  <si>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</si>
  <si>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</si>
  <si>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</si>
  <si>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</si>
  <si>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</si>
  <si>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</si>
  <si>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</si>
  <si>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</si>
  <si>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</si>
  <si>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</si>
  <si>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</si>
  <si>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</si>
  <si>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</si>
  <si>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</si>
  <si>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</si>
  <si>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</si>
  <si>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</si>
  <si>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</si>
  <si>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</si>
  <si>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</si>
  <si>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</si>
  <si>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</si>
  <si>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</si>
  <si>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</si>
  <si>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</si>
  <si>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</si>
  <si>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</si>
  <si>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</si>
  <si>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</si>
  <si>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</si>
  <si>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</si>
  <si>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</si>
  <si>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</si>
  <si>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</si>
  <si>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</si>
  <si>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</si>
  <si>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</si>
  <si>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</si>
  <si>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</si>
  <si>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</si>
  <si>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</si>
  <si>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</si>
  <si>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</si>
  <si>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</si>
  <si>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</si>
  <si>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</si>
  <si>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</si>
  <si>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</si>
  <si>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</si>
  <si>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</si>
  <si>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</si>
  <si>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</si>
  <si>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</si>
  <si>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</si>
  <si>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</si>
  <si>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</si>
  <si>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</si>
  <si>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</si>
  <si>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</si>
  <si>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</si>
  <si>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</si>
  <si>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</si>
  <si>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</si>
  <si>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</si>
  <si>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</si>
  <si>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</si>
  <si>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</si>
  <si>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</si>
  <si>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</si>
  <si>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</si>
  <si>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</si>
  <si>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</si>
  <si>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</si>
  <si>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</si>
  <si>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</si>
  <si>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</si>
  <si>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</si>
  <si>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</si>
  <si>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</si>
  <si>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</si>
  <si>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</si>
  <si>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</si>
  <si>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</si>
  <si>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</si>
  <si>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</si>
  <si>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</si>
  <si>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</si>
  <si>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</si>
  <si>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</si>
  <si>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</si>
  <si>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</si>
  <si>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</si>
  <si>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</si>
  <si>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</si>
  <si>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</si>
  <si>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</si>
  <si>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</si>
  <si>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</si>
  <si>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</si>
  <si>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</si>
  <si>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</si>
  <si>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</si>
  <si>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</si>
  <si>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</si>
  <si>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</si>
  <si>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</si>
  <si>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</si>
  <si>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</si>
  <si>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</si>
  <si>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</si>
  <si>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</si>
  <si>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</si>
  <si>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</si>
  <si>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</si>
  <si>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</si>
  <si>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</si>
  <si>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</si>
  <si>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</si>
  <si>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</si>
  <si>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</si>
  <si>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</si>
  <si>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</si>
  <si>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</si>
  <si>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</si>
  <si>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</si>
  <si>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</si>
  <si>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</si>
  <si>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</si>
  <si>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</si>
  <si>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</si>
  <si>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</si>
  <si>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</si>
  <si>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</si>
  <si>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</si>
  <si>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</si>
  <si>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</si>
  <si>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</si>
  <si>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</si>
  <si>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</si>
  <si>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</si>
  <si>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</si>
  <si>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</si>
  <si>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</si>
  <si>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</si>
  <si>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</si>
  <si>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</si>
  <si>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</si>
  <si>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</si>
  <si>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</si>
  <si>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</si>
  <si>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</si>
  <si>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</si>
  <si>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</si>
  <si>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</si>
  <si>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</si>
  <si>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</si>
  <si>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</si>
  <si>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</si>
  <si>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</si>
  <si>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</si>
  <si>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</si>
  <si>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</si>
  <si>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</si>
  <si>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</si>
  <si>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</si>
  <si>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</si>
  <si>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</si>
  <si>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</si>
  <si>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</si>
  <si>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</si>
  <si>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</si>
  <si>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</si>
  <si>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</si>
  <si>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</si>
  <si>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</si>
  <si>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</si>
  <si>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</si>
  <si>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</si>
  <si>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</si>
  <si>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</si>
  <si>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</si>
  <si>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</si>
  <si>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</si>
  <si>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</si>
  <si>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</si>
  <si>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</si>
  <si>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</si>
  <si>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</si>
  <si>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</si>
  <si>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</si>
  <si>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</si>
  <si>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</si>
  <si>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</si>
  <si>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</si>
  <si>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</si>
  <si>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</si>
  <si>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</si>
  <si>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</si>
  <si>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</si>
  <si>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</si>
  <si>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</si>
  <si>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</si>
  <si>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</si>
  <si>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</si>
  <si>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</si>
  <si>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</si>
  <si>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</si>
  <si>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</si>
  <si>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</si>
  <si>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</si>
  <si>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</si>
  <si>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</si>
  <si>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</si>
  <si>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</si>
  <si>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</si>
  <si>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</si>
  <si>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</si>
  <si>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</si>
  <si>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</si>
  <si>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</si>
  <si>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</si>
  <si>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</si>
  <si>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</si>
  <si>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</si>
  <si>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</si>
  <si>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</si>
  <si>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</si>
  <si>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</si>
  <si>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</si>
  <si>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</si>
  <si>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</si>
  <si>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</si>
  <si>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</si>
  <si>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</si>
  <si>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</si>
  <si>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</si>
  <si>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</si>
  <si>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</si>
  <si>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</si>
  <si>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</si>
  <si>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</si>
  <si>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</si>
  <si>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</si>
  <si>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</si>
  <si>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</si>
  <si>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</si>
  <si>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</si>
  <si>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</si>
  <si>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</si>
  <si>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</si>
  <si>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</si>
  <si>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</si>
  <si>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</si>
  <si>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</si>
  <si>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</si>
  <si>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</si>
  <si>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</si>
  <si>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</si>
  <si>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</si>
  <si>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</si>
  <si>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</si>
  <si>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</si>
  <si>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</si>
  <si>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</si>
  <si>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</si>
  <si>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</si>
  <si>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</si>
  <si>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</si>
  <si>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</si>
  <si>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</si>
  <si>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</si>
  <si>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</si>
  <si>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</si>
  <si>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</si>
  <si>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</si>
  <si>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</si>
  <si>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</si>
  <si>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</si>
  <si>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</si>
  <si>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</si>
  <si>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</si>
  <si>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</si>
  <si>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</si>
  <si>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</si>
  <si>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</si>
  <si>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</si>
  <si>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</si>
  <si>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</si>
  <si>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</si>
  <si>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</si>
  <si>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</si>
  <si>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</si>
  <si>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</si>
  <si>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</si>
  <si>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</si>
  <si>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</si>
  <si>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</si>
  <si>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</si>
  <si>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</si>
  <si>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</si>
  <si>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</si>
  <si>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</si>
  <si>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</si>
  <si>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</si>
  <si>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</si>
  <si>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</si>
  <si>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</si>
  <si>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</si>
  <si>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</si>
  <si>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</si>
  <si>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</si>
  <si>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</si>
  <si>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</si>
  <si>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</si>
  <si>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</si>
  <si>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</si>
  <si>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</si>
  <si>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</si>
  <si>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</si>
  <si>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</si>
  <si>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</si>
  <si>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</si>
  <si>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</si>
  <si>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</si>
  <si>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</si>
  <si>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</si>
  <si>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</si>
  <si>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</si>
  <si>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</si>
  <si>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</si>
  <si>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</si>
  <si>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</si>
  <si>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</si>
  <si>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</si>
  <si>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</si>
  <si>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</si>
  <si>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</si>
  <si>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</si>
  <si>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</si>
  <si>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</si>
  <si>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</si>
  <si>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</si>
  <si>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</si>
  <si>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</si>
  <si>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</si>
  <si>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</si>
  <si>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</si>
  <si>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</si>
  <si>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</si>
  <si>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</si>
  <si>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</si>
  <si>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</si>
  <si>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</si>
  <si>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</si>
  <si>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</si>
  <si>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</si>
  <si>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</si>
  <si>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</si>
  <si>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</si>
  <si>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</si>
  <si>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</si>
  <si>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</si>
  <si>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</si>
  <si>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</si>
  <si>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</si>
  <si>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</si>
  <si>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</si>
  <si>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</si>
  <si>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</si>
  <si>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</si>
  <si>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</si>
  <si>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</si>
  <si>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</si>
  <si>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</si>
  <si>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</si>
  <si>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</si>
  <si>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</si>
  <si>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</si>
  <si>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</si>
  <si>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</si>
  <si>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</si>
  <si>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</si>
  <si>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</si>
  <si>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</si>
  <si>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</si>
  <si>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</si>
  <si>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</si>
  <si>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</si>
  <si>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</si>
  <si>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</si>
  <si>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</si>
  <si>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</si>
  <si>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</si>
  <si>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</si>
  <si>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</si>
  <si>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</si>
  <si>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</si>
  <si>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</si>
  <si>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</si>
  <si>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</si>
  <si>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</si>
  <si>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</si>
  <si>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</si>
  <si>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</si>
  <si>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</si>
  <si>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</si>
  <si>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</si>
  <si>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</si>
  <si>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</si>
  <si>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</si>
  <si>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</si>
  <si>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</si>
  <si>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</si>
  <si>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</si>
  <si>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</si>
  <si>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</si>
  <si>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</si>
  <si>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</si>
  <si>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</si>
  <si>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</si>
  <si>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</si>
  <si>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</si>
  <si>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</si>
  <si>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</si>
  <si>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</si>
  <si>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</si>
  <si>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</si>
  <si>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</si>
  <si>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</si>
  <si>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</si>
  <si>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</si>
  <si>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</si>
  <si>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</si>
  <si>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</si>
  <si>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</si>
  <si>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</si>
  <si>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</si>
  <si>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</si>
  <si>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</si>
  <si>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</si>
  <si>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</si>
  <si>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</si>
  <si>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</si>
  <si>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</si>
  <si>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</si>
  <si>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</si>
  <si>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</si>
  <si>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</si>
  <si>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</si>
  <si>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</si>
  <si>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</si>
  <si>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</si>
  <si>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</si>
  <si>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</si>
  <si>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</si>
  <si>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</si>
  <si>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</si>
  <si>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</si>
  <si>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</si>
  <si>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</si>
  <si>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</si>
  <si>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</si>
  <si>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</si>
  <si>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</si>
  <si>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</si>
  <si>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</si>
  <si>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</si>
  <si>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</si>
  <si>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</si>
  <si>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</si>
  <si>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</si>
  <si>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</si>
  <si>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</si>
  <si>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</si>
  <si>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</si>
  <si>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</si>
  <si>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</si>
  <si>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</si>
  <si>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</si>
  <si>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</si>
  <si>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</si>
  <si>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</si>
  <si>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</si>
  <si>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</si>
  <si>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</si>
  <si>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</si>
  <si>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</si>
  <si>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</si>
  <si>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</si>
  <si>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</si>
  <si>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</si>
  <si>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</si>
  <si>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</si>
  <si>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</si>
  <si>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</si>
  <si>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</si>
  <si>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</si>
  <si>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</si>
  <si>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</si>
  <si>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</si>
  <si>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</si>
  <si>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</si>
  <si>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</si>
  <si>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</si>
  <si>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</si>
  <si>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</si>
  <si>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</si>
  <si>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</si>
  <si>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</si>
  <si>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</si>
  <si>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</si>
  <si>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</si>
  <si>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</si>
  <si>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</si>
  <si>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</si>
  <si>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</si>
  <si>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</si>
  <si>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</si>
  <si>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</si>
  <si>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</si>
  <si>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</si>
  <si>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</si>
  <si>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</si>
  <si>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</si>
  <si>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</si>
  <si>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</si>
  <si>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</si>
  <si>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</si>
  <si>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</si>
  <si>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</si>
  <si>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</si>
  <si>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</si>
  <si>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</si>
  <si>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</si>
  <si>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</si>
  <si>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</si>
  <si>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</si>
  <si>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</si>
  <si>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</si>
  <si>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</si>
  <si>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</si>
  <si>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</si>
  <si>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</si>
  <si>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</si>
  <si>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</si>
  <si>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</si>
  <si>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</si>
  <si>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</si>
  <si>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</si>
  <si>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</si>
  <si>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</si>
  <si>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</si>
  <si>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</si>
  <si>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</si>
  <si>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</si>
  <si>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</si>
  <si>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</si>
  <si>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</si>
  <si>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</si>
  <si>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</si>
  <si>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</si>
  <si>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</si>
  <si>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</si>
  <si>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</si>
  <si>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</si>
  <si>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</si>
  <si>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</si>
  <si>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</si>
  <si>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</si>
  <si>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</si>
  <si>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</si>
  <si>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</si>
  <si>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</si>
  <si>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</si>
  <si>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</si>
  <si>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</si>
  <si>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</si>
  <si>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</si>
  <si>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</si>
  <si>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</si>
  <si>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</si>
  <si>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</si>
  <si>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</si>
  <si>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</si>
  <si>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</si>
  <si>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</si>
  <si>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</si>
  <si>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</si>
  <si>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</si>
  <si>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</si>
  <si>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</si>
  <si>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</si>
  <si>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</si>
  <si>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</si>
  <si>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</si>
  <si>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</si>
  <si>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</si>
  <si>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</si>
  <si>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</si>
  <si>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</si>
  <si>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</si>
  <si>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</si>
  <si>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</si>
  <si>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</si>
  <si>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</si>
  <si>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</si>
  <si>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</si>
  <si>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</si>
  <si>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</si>
  <si>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</si>
  <si>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</si>
  <si>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</si>
  <si>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</si>
  <si>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</si>
  <si>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</si>
  <si>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</si>
  <si>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</si>
  <si>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</si>
  <si>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</si>
  <si>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</si>
  <si>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</si>
  <si>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</si>
  <si>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</si>
  <si>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</si>
  <si>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</si>
  <si>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</si>
  <si>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</si>
  <si>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</si>
  <si>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</si>
  <si>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</si>
  <si>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</si>
  <si>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</si>
  <si>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www.gov.uk</t>
  </si>
  <si>
    <t>Planning Application Turnaround</t>
  </si>
  <si>
    <t>D</t>
  </si>
  <si>
    <t>Major Developments - % within 13 weeks or agreed time</t>
  </si>
  <si>
    <t>Minor Developments - % within 8 weeks or agreed time</t>
  </si>
  <si>
    <t>Other Developments - % within 8 weeks or agreed time</t>
  </si>
  <si>
    <t>Source: General Development Control (District) PS1 returns</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</si>
  <si>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</si>
  <si>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</si>
  <si>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</si>
  <si>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</si>
  <si>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</si>
  <si>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Bournemouth, Christchurch &amp; Poole</t>
  </si>
  <si>
    <t>East Suffolk</t>
  </si>
  <si>
    <t>Somerset West &amp; Taunton</t>
  </si>
  <si>
    <t>West Suffolk</t>
  </si>
  <si>
    <t>North Northamptonshire</t>
  </si>
  <si>
    <t>West Northamptonshire</t>
  </si>
  <si>
    <t>Year Ending December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</si>
</sst>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80">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7">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30" fillId="0" borderId="0" applyFont="0" applyFill="0" applyBorder="0" applyAlignment="0" applyProtection="0"/>
    <xf numFmtId="0" fontId="43" fillId="0" borderId="0"/>
    <xf numFmtId="0" fontId="43" fillId="0" borderId="0"/>
    <xf numFmtId="9" fontId="33" fillId="0" borderId="0" applyFont="0" applyFill="0" applyBorder="0" applyAlignment="0" applyProtection="0"/>
    <xf numFmtId="0" fontId="48" fillId="0" borderId="0"/>
    <xf numFmtId="0" fontId="26" fillId="0" borderId="0"/>
    <xf numFmtId="0" fontId="25" fillId="8" borderId="0" applyNumberFormat="0" applyBorder="0" applyAlignment="0" applyProtection="0"/>
    <xf numFmtId="0" fontId="25" fillId="8"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51" fillId="0" borderId="0" applyFont="0" applyFill="0" applyBorder="0" applyAlignment="0" applyProtection="0"/>
    <xf numFmtId="0" fontId="52"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0" borderId="0"/>
    <xf numFmtId="0" fontId="25" fillId="7" borderId="10" applyNumberFormat="0" applyFont="0" applyAlignment="0" applyProtection="0"/>
    <xf numFmtId="0" fontId="25" fillId="7" borderId="10" applyNumberFormat="0" applyFont="0" applyAlignment="0" applyProtection="0"/>
    <xf numFmtId="9" fontId="25" fillId="0" borderId="0" applyFont="0" applyFill="0" applyBorder="0" applyAlignment="0" applyProtection="0"/>
    <xf numFmtId="37" fontId="26" fillId="0" borderId="0"/>
    <xf numFmtId="9" fontId="26" fillId="0" borderId="0" applyFont="0" applyFill="0" applyBorder="0" applyAlignment="0" applyProtection="0"/>
    <xf numFmtId="43" fontId="24" fillId="0" borderId="0" applyFont="0" applyFill="0" applyBorder="0" applyAlignment="0" applyProtection="0"/>
    <xf numFmtId="43" fontId="26" fillId="0" borderId="0" applyFont="0" applyFill="0" applyBorder="0" applyAlignment="0" applyProtection="0"/>
    <xf numFmtId="0" fontId="60" fillId="0" borderId="0"/>
    <xf numFmtId="44" fontId="60" fillId="0" borderId="0" applyFont="0" applyFill="0" applyBorder="0" applyAlignment="0" applyProtection="0"/>
    <xf numFmtId="169" fontId="26" fillId="0" borderId="0" applyFont="0" applyFill="0" applyBorder="0" applyAlignment="0" applyProtection="0"/>
    <xf numFmtId="0" fontId="69" fillId="24" borderId="0"/>
    <xf numFmtId="0" fontId="23" fillId="0" borderId="0"/>
    <xf numFmtId="0" fontId="22" fillId="0" borderId="0"/>
    <xf numFmtId="43" fontId="22" fillId="0" borderId="0" applyFont="0" applyFill="0" applyBorder="0" applyAlignment="0" applyProtection="0"/>
    <xf numFmtId="9" fontId="22" fillId="0" borderId="0" applyFont="0" applyFill="0" applyBorder="0" applyAlignment="0" applyProtection="0"/>
  </cellStyleXfs>
  <cellXfs count="342">
    <xf numFmtId="0" fontId="0" fillId="0" borderId="0" xfId="0"/>
    <xf numFmtId="0" fontId="27" fillId="0" borderId="0" xfId="0" applyFont="1"/>
    <xf numFmtId="0" fontId="0" fillId="0" borderId="0" xfId="0" applyAlignment="1">
      <alignment horizontal="center"/>
    </xf>
    <xf numFmtId="0" fontId="0" fillId="0" borderId="0" xfId="0" applyAlignment="1">
      <alignment horizontal="left"/>
    </xf>
    <xf numFmtId="0" fontId="26"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31" fillId="0" borderId="0" xfId="0" applyFont="1"/>
    <xf numFmtId="0" fontId="35" fillId="0" borderId="6" xfId="0" applyFont="1" applyBorder="1" applyAlignment="1">
      <alignment horizontal="center"/>
    </xf>
    <xf numFmtId="2" fontId="0" fillId="0" borderId="0" xfId="0" applyNumberFormat="1" applyAlignment="1">
      <alignment horizontal="center"/>
    </xf>
    <xf numFmtId="0" fontId="26" fillId="0" borderId="0" xfId="0" applyFont="1" applyAlignment="1">
      <alignment horizontal="center" vertical="center" textRotation="90"/>
    </xf>
    <xf numFmtId="0" fontId="35" fillId="0" borderId="0" xfId="0" applyFont="1" applyAlignment="1">
      <alignment horizontal="center"/>
    </xf>
    <xf numFmtId="2" fontId="0" fillId="0" borderId="0" xfId="0" applyNumberFormat="1"/>
    <xf numFmtId="0" fontId="26" fillId="0" borderId="0" xfId="0" applyFont="1" applyAlignment="1">
      <alignment horizontal="center"/>
    </xf>
    <xf numFmtId="0" fontId="36" fillId="0" borderId="6" xfId="0" applyFont="1" applyBorder="1" applyAlignment="1">
      <alignment horizontal="center"/>
    </xf>
    <xf numFmtId="0" fontId="37" fillId="0" borderId="0" xfId="0" applyFont="1"/>
    <xf numFmtId="0" fontId="30" fillId="0" borderId="0" xfId="0" applyFont="1" applyAlignment="1">
      <alignment horizontal="left"/>
    </xf>
    <xf numFmtId="0" fontId="0" fillId="0" borderId="7" xfId="0" applyBorder="1"/>
    <xf numFmtId="2" fontId="44" fillId="0" borderId="0" xfId="0" applyNumberFormat="1" applyFont="1"/>
    <xf numFmtId="0" fontId="0" fillId="20" borderId="0" xfId="0" applyFill="1"/>
    <xf numFmtId="0" fontId="47" fillId="0" borderId="0" xfId="0" applyFont="1" applyAlignment="1">
      <alignment wrapText="1"/>
    </xf>
    <xf numFmtId="0" fontId="47" fillId="0" borderId="0" xfId="0" applyFont="1" applyAlignment="1">
      <alignment horizontal="left" wrapText="1"/>
    </xf>
    <xf numFmtId="0" fontId="26" fillId="0" borderId="0" xfId="0" applyFont="1" applyAlignment="1">
      <alignment horizontal="left"/>
    </xf>
    <xf numFmtId="0" fontId="26" fillId="0" borderId="0" xfId="5" applyFont="1" applyAlignment="1">
      <alignment horizontal="center"/>
    </xf>
    <xf numFmtId="0" fontId="49" fillId="0" borderId="0" xfId="0" applyFont="1"/>
    <xf numFmtId="0" fontId="0" fillId="0" borderId="0" xfId="5" applyFont="1" applyAlignment="1">
      <alignment horizontal="center"/>
    </xf>
    <xf numFmtId="0" fontId="45" fillId="0" borderId="0" xfId="0" applyFont="1" applyAlignment="1">
      <alignment horizontal="left"/>
    </xf>
    <xf numFmtId="0" fontId="50" fillId="0" borderId="0" xfId="0" applyFont="1"/>
    <xf numFmtId="0" fontId="45" fillId="0" borderId="0" xfId="0" applyFont="1"/>
    <xf numFmtId="0" fontId="46" fillId="0" borderId="0" xfId="0" applyFont="1"/>
    <xf numFmtId="0" fontId="27" fillId="0" borderId="4" xfId="0" applyFont="1" applyBorder="1"/>
    <xf numFmtId="0" fontId="0" fillId="22" borderId="0" xfId="0" applyFill="1"/>
    <xf numFmtId="0" fontId="0" fillId="0" borderId="9" xfId="0" applyBorder="1"/>
    <xf numFmtId="0" fontId="0" fillId="0" borderId="1" xfId="0" applyBorder="1" applyAlignment="1">
      <alignment horizontal="left"/>
    </xf>
    <xf numFmtId="0" fontId="27" fillId="0" borderId="0" xfId="0" applyFont="1" applyAlignment="1">
      <alignment horizontal="right"/>
    </xf>
    <xf numFmtId="0" fontId="45" fillId="0" borderId="1" xfId="0" applyFont="1" applyBorder="1" applyAlignment="1">
      <alignment horizontal="left"/>
    </xf>
    <xf numFmtId="0" fontId="27" fillId="0" borderId="1" xfId="0" applyFont="1" applyBorder="1"/>
    <xf numFmtId="1" fontId="0" fillId="0" borderId="0" xfId="0" applyNumberFormat="1" applyAlignment="1">
      <alignment horizontal="left"/>
    </xf>
    <xf numFmtId="1" fontId="0" fillId="0" borderId="0" xfId="0" applyNumberFormat="1"/>
    <xf numFmtId="0" fontId="0" fillId="0" borderId="0" xfId="0" applyAlignment="1">
      <alignment horizontal="right"/>
    </xf>
    <xf numFmtId="2" fontId="0" fillId="0" borderId="0" xfId="0" applyNumberFormat="1" applyAlignment="1">
      <alignment horizontal="left"/>
    </xf>
    <xf numFmtId="0" fontId="0" fillId="0" borderId="8" xfId="0" applyBorder="1" applyAlignment="1">
      <alignment horizontal="left"/>
    </xf>
    <xf numFmtId="0" fontId="0" fillId="0" borderId="9" xfId="0" applyBorder="1" applyAlignment="1">
      <alignment horizontal="right"/>
    </xf>
    <xf numFmtId="0" fontId="0" fillId="0" borderId="8" xfId="0" applyBorder="1"/>
    <xf numFmtId="0" fontId="34" fillId="0" borderId="0" xfId="0" applyFont="1"/>
    <xf numFmtId="0" fontId="45" fillId="0" borderId="0" xfId="0" applyFont="1" applyAlignment="1">
      <alignment horizontal="left" wrapText="1"/>
    </xf>
    <xf numFmtId="1" fontId="0" fillId="0" borderId="1" xfId="0" applyNumberFormat="1" applyBorder="1" applyAlignment="1">
      <alignment horizontal="left"/>
    </xf>
    <xf numFmtId="1" fontId="34" fillId="0" borderId="0" xfId="0" applyNumberFormat="1" applyFont="1" applyAlignment="1">
      <alignment horizontal="left"/>
    </xf>
    <xf numFmtId="0" fontId="27" fillId="0" borderId="3" xfId="0" applyFont="1" applyBorder="1" applyAlignment="1">
      <alignment horizontal="left"/>
    </xf>
    <xf numFmtId="0" fontId="27" fillId="0" borderId="4" xfId="0" applyFont="1" applyBorder="1" applyAlignment="1">
      <alignment horizontal="right"/>
    </xf>
    <xf numFmtId="0" fontId="27" fillId="0" borderId="3" xfId="0" applyFont="1" applyBorder="1"/>
    <xf numFmtId="0" fontId="27" fillId="0" borderId="4" xfId="0" applyFont="1" applyBorder="1" applyAlignment="1">
      <alignment horizontal="left"/>
    </xf>
    <xf numFmtId="0" fontId="0" fillId="21" borderId="0" xfId="0" applyFill="1"/>
    <xf numFmtId="0" fontId="55" fillId="22" borderId="0" xfId="0" applyFont="1" applyFill="1"/>
    <xf numFmtId="0" fontId="54" fillId="0" borderId="0" xfId="0" applyFont="1"/>
    <xf numFmtId="0" fontId="54" fillId="0" borderId="4" xfId="0" applyFont="1" applyBorder="1"/>
    <xf numFmtId="0" fontId="55" fillId="0" borderId="0" xfId="0" applyFont="1"/>
    <xf numFmtId="0" fontId="55" fillId="0" borderId="0" xfId="0" quotePrefix="1" applyFont="1"/>
    <xf numFmtId="0" fontId="55" fillId="0" borderId="9" xfId="0" applyFont="1" applyBorder="1"/>
    <xf numFmtId="0" fontId="0" fillId="22" borderId="1" xfId="0" applyFill="1" applyBorder="1"/>
    <xf numFmtId="0" fontId="27" fillId="22" borderId="0" xfId="0" applyFont="1" applyFill="1" applyAlignment="1">
      <alignment horizontal="right"/>
    </xf>
    <xf numFmtId="0" fontId="0" fillId="22" borderId="8" xfId="0" applyFill="1" applyBorder="1"/>
    <xf numFmtId="0" fontId="27" fillId="22" borderId="0" xfId="0" applyFont="1" applyFill="1" applyAlignment="1">
      <alignment horizontal="left"/>
    </xf>
    <xf numFmtId="0" fontId="45" fillId="22" borderId="1" xfId="0" applyFont="1" applyFill="1" applyBorder="1"/>
    <xf numFmtId="0" fontId="27" fillId="22" borderId="0" xfId="0" applyFont="1" applyFill="1"/>
    <xf numFmtId="0" fontId="0" fillId="21" borderId="11" xfId="0" applyFill="1" applyBorder="1"/>
    <xf numFmtId="10" fontId="0" fillId="0" borderId="0" xfId="0" applyNumberFormat="1"/>
    <xf numFmtId="37" fontId="27" fillId="0" borderId="0" xfId="51" applyFont="1"/>
    <xf numFmtId="37" fontId="26" fillId="0" borderId="0" xfId="51"/>
    <xf numFmtId="37" fontId="0" fillId="0" borderId="0" xfId="51" applyFont="1"/>
    <xf numFmtId="2" fontId="0" fillId="22" borderId="0" xfId="0" applyNumberFormat="1" applyFill="1"/>
    <xf numFmtId="2" fontId="27" fillId="0" borderId="4" xfId="0" applyNumberFormat="1" applyFont="1" applyBorder="1"/>
    <xf numFmtId="2" fontId="0" fillId="0" borderId="9" xfId="0" applyNumberFormat="1" applyBorder="1"/>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1" fontId="0" fillId="0" borderId="0" xfId="0" applyNumberFormat="1" applyAlignment="1">
      <alignment horizontal="right"/>
    </xf>
    <xf numFmtId="0" fontId="0" fillId="22" borderId="12" xfId="0" applyFill="1" applyBorder="1"/>
    <xf numFmtId="0" fontId="0" fillId="0" borderId="12" xfId="0" applyBorder="1"/>
    <xf numFmtId="0" fontId="0" fillId="0" borderId="14" xfId="0" applyBorder="1"/>
    <xf numFmtId="10" fontId="0" fillId="22" borderId="0" xfId="4" applyNumberFormat="1" applyFont="1" applyFill="1" applyAlignment="1">
      <alignment horizontal="left"/>
    </xf>
    <xf numFmtId="0" fontId="34" fillId="22" borderId="0" xfId="0" applyFont="1" applyFill="1"/>
    <xf numFmtId="0" fontId="34" fillId="22" borderId="0" xfId="0" applyFont="1" applyFill="1" applyAlignment="1">
      <alignment vertical="top"/>
    </xf>
    <xf numFmtId="0" fontId="45" fillId="0" borderId="1" xfId="0" applyFont="1" applyBorder="1" applyAlignment="1">
      <alignment wrapText="1"/>
    </xf>
    <xf numFmtId="0" fontId="45" fillId="0" borderId="0" xfId="0" applyFont="1" applyAlignment="1">
      <alignment wrapText="1"/>
    </xf>
    <xf numFmtId="165" fontId="59" fillId="0" borderId="0" xfId="54" applyNumberFormat="1" applyFont="1" applyFill="1" applyBorder="1" applyAlignment="1">
      <alignment horizontal="right"/>
    </xf>
    <xf numFmtId="0" fontId="0" fillId="22" borderId="0" xfId="4" applyNumberFormat="1" applyFont="1" applyFill="1"/>
    <xf numFmtId="0" fontId="27" fillId="22" borderId="0" xfId="4" applyNumberFormat="1" applyFont="1" applyFill="1" applyBorder="1" applyAlignment="1">
      <alignment horizontal="right"/>
    </xf>
    <xf numFmtId="0" fontId="27" fillId="0" borderId="0" xfId="4" applyNumberFormat="1" applyFont="1" applyFill="1"/>
    <xf numFmtId="0" fontId="0" fillId="0" borderId="0" xfId="4" applyNumberFormat="1" applyFont="1" applyFill="1" applyBorder="1" applyAlignment="1">
      <alignment horizontal="right"/>
    </xf>
    <xf numFmtId="0" fontId="27" fillId="0" borderId="0" xfId="4" applyNumberFormat="1" applyFont="1" applyFill="1" applyBorder="1" applyAlignment="1">
      <alignment horizontal="right"/>
    </xf>
    <xf numFmtId="0" fontId="27"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38" fillId="23" borderId="6" xfId="54" applyFont="1" applyFill="1" applyBorder="1"/>
    <xf numFmtId="43" fontId="56" fillId="23" borderId="6" xfId="54" applyFont="1" applyFill="1" applyBorder="1" applyAlignment="1">
      <alignment horizontal="center"/>
    </xf>
    <xf numFmtId="43" fontId="38" fillId="23" borderId="6" xfId="54" applyFont="1" applyFill="1" applyBorder="1" applyAlignment="1"/>
    <xf numFmtId="43" fontId="0" fillId="0" borderId="6" xfId="54" applyFont="1" applyBorder="1"/>
    <xf numFmtId="43" fontId="35" fillId="0" borderId="6" xfId="54" applyFont="1" applyBorder="1" applyAlignment="1">
      <alignment horizontal="center"/>
    </xf>
    <xf numFmtId="43" fontId="0" fillId="0" borderId="6" xfId="54" applyFont="1" applyBorder="1" applyAlignment="1"/>
    <xf numFmtId="43" fontId="0" fillId="0" borderId="0" xfId="54" applyFont="1"/>
    <xf numFmtId="43" fontId="26" fillId="0" borderId="6" xfId="54" applyFont="1" applyBorder="1" applyAlignment="1">
      <alignment horizontal="center"/>
    </xf>
    <xf numFmtId="43" fontId="0" fillId="0" borderId="6" xfId="54" applyFont="1" applyBorder="1" applyAlignment="1">
      <alignment horizontal="center"/>
    </xf>
    <xf numFmtId="2" fontId="34" fillId="0" borderId="0" xfId="0" applyNumberFormat="1" applyFont="1"/>
    <xf numFmtId="0" fontId="27" fillId="22" borderId="0" xfId="4" applyNumberFormat="1" applyFont="1" applyFill="1"/>
    <xf numFmtId="0" fontId="27" fillId="22" borderId="0" xfId="4" applyNumberFormat="1" applyFont="1" applyFill="1" applyBorder="1"/>
    <xf numFmtId="0" fontId="26"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6" fillId="0" borderId="0" xfId="54" applyFont="1" applyBorder="1" applyAlignment="1">
      <alignment vertical="center" textRotation="90"/>
    </xf>
    <xf numFmtId="43" fontId="0" fillId="0" borderId="15" xfId="54" applyFont="1" applyBorder="1"/>
    <xf numFmtId="43" fontId="35" fillId="0" borderId="15" xfId="54" applyFont="1" applyBorder="1" applyAlignment="1">
      <alignment horizontal="center"/>
    </xf>
    <xf numFmtId="43" fontId="0" fillId="0" borderId="15" xfId="54" applyFont="1" applyBorder="1" applyAlignment="1"/>
    <xf numFmtId="1" fontId="0" fillId="0" borderId="0" xfId="4" applyNumberFormat="1" applyFont="1" applyFill="1" applyBorder="1" applyAlignment="1">
      <alignment horizontal="right"/>
    </xf>
    <xf numFmtId="0" fontId="26" fillId="0" borderId="0" xfId="0" applyFont="1" applyAlignment="1">
      <alignment vertical="top" wrapText="1"/>
    </xf>
    <xf numFmtId="0" fontId="26" fillId="0" borderId="4" xfId="0" applyFont="1" applyBorder="1" applyAlignment="1">
      <alignment vertical="top" wrapText="1"/>
    </xf>
    <xf numFmtId="168" fontId="68" fillId="0" borderId="0" xfId="37" applyNumberFormat="1" applyFont="1" applyAlignment="1">
      <alignment horizontal="left"/>
    </xf>
    <xf numFmtId="0" fontId="61" fillId="0" borderId="0" xfId="37" applyFont="1" applyAlignment="1" applyProtection="1">
      <alignment horizontal="left" vertical="top" wrapText="1" readingOrder="1"/>
      <protection locked="0"/>
    </xf>
    <xf numFmtId="0" fontId="62" fillId="0" borderId="0" xfId="0" applyFont="1" applyAlignment="1" applyProtection="1">
      <alignment vertical="top" wrapText="1" readingOrder="1"/>
      <protection locked="0"/>
    </xf>
    <xf numFmtId="167" fontId="63" fillId="0" borderId="0" xfId="37" applyNumberFormat="1" applyFont="1" applyAlignment="1" applyProtection="1">
      <alignment horizontal="right" vertical="top" wrapText="1" readingOrder="1"/>
      <protection locked="0"/>
    </xf>
    <xf numFmtId="0" fontId="64" fillId="0" borderId="0" xfId="0" applyFont="1" applyAlignment="1" applyProtection="1">
      <alignment vertical="top" wrapText="1" readingOrder="1"/>
      <protection locked="0"/>
    </xf>
    <xf numFmtId="167" fontId="65" fillId="0" borderId="0" xfId="37" applyNumberFormat="1" applyFont="1" applyAlignment="1" applyProtection="1">
      <alignment horizontal="right" vertical="top" wrapText="1" readingOrder="1"/>
      <protection locked="0"/>
    </xf>
    <xf numFmtId="0" fontId="64" fillId="0" borderId="0" xfId="37" applyFont="1" applyAlignment="1" applyProtection="1">
      <alignment vertical="top" wrapText="1" readingOrder="1"/>
      <protection locked="0"/>
    </xf>
    <xf numFmtId="0" fontId="26" fillId="0" borderId="0" xfId="37" applyAlignment="1">
      <alignment readingOrder="1"/>
    </xf>
    <xf numFmtId="49" fontId="28" fillId="0" borderId="0" xfId="57" applyNumberFormat="1" applyFont="1" applyFill="1" applyBorder="1" applyAlignment="1">
      <alignment horizontal="right"/>
    </xf>
    <xf numFmtId="49" fontId="70" fillId="0" borderId="0" xfId="58" applyNumberFormat="1" applyFont="1" applyFill="1" applyAlignment="1">
      <alignment horizontal="right"/>
    </xf>
    <xf numFmtId="0" fontId="66" fillId="0" borderId="0" xfId="0" applyFont="1"/>
    <xf numFmtId="0" fontId="45" fillId="22" borderId="0" xfId="0" applyFont="1" applyFill="1"/>
    <xf numFmtId="0" fontId="0" fillId="22" borderId="0" xfId="0" quotePrefix="1" applyFill="1"/>
    <xf numFmtId="0" fontId="27" fillId="22" borderId="13" xfId="0" applyFont="1" applyFill="1" applyBorder="1"/>
    <xf numFmtId="0" fontId="27" fillId="22" borderId="4" xfId="0" applyFont="1" applyFill="1" applyBorder="1"/>
    <xf numFmtId="0" fontId="0" fillId="22" borderId="4" xfId="0" applyFill="1" applyBorder="1"/>
    <xf numFmtId="0" fontId="61" fillId="22" borderId="0" xfId="37" applyFont="1" applyFill="1" applyAlignment="1" applyProtection="1">
      <alignment horizontal="right" vertical="top" wrapText="1" readingOrder="1"/>
      <protection locked="0"/>
    </xf>
    <xf numFmtId="0" fontId="0" fillId="22" borderId="0" xfId="0" applyFill="1" applyAlignment="1">
      <alignment wrapText="1"/>
    </xf>
    <xf numFmtId="0" fontId="26" fillId="0" borderId="0" xfId="37"/>
    <xf numFmtId="0" fontId="29" fillId="22" borderId="0" xfId="0" applyFont="1" applyFill="1"/>
    <xf numFmtId="0" fontId="39" fillId="0" borderId="0" xfId="0" applyFont="1"/>
    <xf numFmtId="0" fontId="71" fillId="0" borderId="0" xfId="0" applyFont="1"/>
    <xf numFmtId="0" fontId="27" fillId="25" borderId="16" xfId="60" applyFont="1" applyFill="1" applyBorder="1"/>
    <xf numFmtId="170" fontId="27" fillId="25" borderId="16" xfId="60" applyNumberFormat="1" applyFont="1" applyFill="1" applyBorder="1" applyAlignment="1">
      <alignment horizontal="left"/>
    </xf>
    <xf numFmtId="0" fontId="26" fillId="25" borderId="0" xfId="0" applyFont="1" applyFill="1"/>
    <xf numFmtId="0" fontId="27" fillId="25" borderId="22" xfId="60" applyFont="1" applyFill="1" applyBorder="1" applyProtection="1">
      <protection locked="0"/>
    </xf>
    <xf numFmtId="0" fontId="27" fillId="25" borderId="17" xfId="60" applyFont="1" applyFill="1" applyBorder="1" applyAlignment="1">
      <alignment wrapText="1"/>
    </xf>
    <xf numFmtId="0" fontId="27" fillId="25" borderId="17" xfId="60" applyFont="1" applyFill="1" applyBorder="1"/>
    <xf numFmtId="0" fontId="22" fillId="0" borderId="18" xfId="60" applyBorder="1" applyProtection="1">
      <protection locked="0"/>
    </xf>
    <xf numFmtId="0" fontId="27" fillId="25" borderId="16" xfId="60" applyFont="1" applyFill="1" applyBorder="1" applyAlignment="1">
      <alignment horizontal="left"/>
    </xf>
    <xf numFmtId="0" fontId="59" fillId="25" borderId="21" xfId="60" applyFont="1" applyFill="1" applyBorder="1" applyProtection="1">
      <protection locked="0"/>
    </xf>
    <xf numFmtId="167" fontId="62" fillId="0" borderId="0" xfId="37" applyNumberFormat="1" applyFont="1" applyAlignment="1" applyProtection="1">
      <alignment horizontal="right" vertical="top" wrapText="1" readingOrder="1"/>
      <protection locked="0"/>
    </xf>
    <xf numFmtId="0" fontId="28" fillId="22" borderId="0" xfId="0" applyFont="1" applyFill="1"/>
    <xf numFmtId="0" fontId="59" fillId="0" borderId="0" xfId="0" applyFont="1" applyAlignment="1" applyProtection="1">
      <alignment vertical="top" wrapText="1" readingOrder="1"/>
      <protection locked="0"/>
    </xf>
    <xf numFmtId="0" fontId="0" fillId="25" borderId="0" xfId="0" applyFill="1"/>
    <xf numFmtId="0" fontId="65" fillId="0" borderId="0" xfId="37" applyFont="1" applyAlignment="1" applyProtection="1">
      <alignment horizontal="right" vertical="top" wrapText="1" readingOrder="1"/>
      <protection locked="0"/>
    </xf>
    <xf numFmtId="0" fontId="61" fillId="0" borderId="0" xfId="37" applyFont="1" applyAlignment="1" applyProtection="1">
      <alignment vertical="top" wrapText="1" readingOrder="1"/>
      <protection locked="0"/>
    </xf>
    <xf numFmtId="0" fontId="64" fillId="0" borderId="0" xfId="37" applyFont="1" applyAlignment="1" applyProtection="1">
      <alignment horizontal="right" vertical="top" wrapText="1" readingOrder="1"/>
      <protection locked="0"/>
    </xf>
    <xf numFmtId="167" fontId="64" fillId="0" borderId="0" xfId="37" applyNumberFormat="1" applyFont="1" applyAlignment="1" applyProtection="1">
      <alignment horizontal="right" vertical="top" wrapText="1" readingOrder="1"/>
      <protection locked="0"/>
    </xf>
    <xf numFmtId="167" fontId="64" fillId="0" borderId="0" xfId="37" applyNumberFormat="1" applyFont="1" applyAlignment="1" applyProtection="1">
      <alignment vertical="top" wrapText="1" readingOrder="1"/>
      <protection locked="0"/>
    </xf>
    <xf numFmtId="167" fontId="62" fillId="0" borderId="0" xfId="37" applyNumberFormat="1" applyFont="1" applyAlignment="1" applyProtection="1">
      <alignment vertical="top" wrapText="1" readingOrder="1"/>
      <protection locked="0"/>
    </xf>
    <xf numFmtId="0" fontId="67" fillId="0" borderId="0" xfId="37" applyFont="1" applyAlignment="1" applyProtection="1">
      <alignment vertical="top" wrapText="1" readingOrder="1"/>
      <protection locked="0"/>
    </xf>
    <xf numFmtId="0" fontId="61" fillId="0" borderId="0" xfId="37" applyFont="1" applyAlignment="1" applyProtection="1">
      <alignment wrapText="1" readingOrder="1"/>
      <protection locked="0"/>
    </xf>
    <xf numFmtId="0" fontId="65" fillId="0" borderId="4" xfId="37" applyFont="1" applyBorder="1" applyAlignment="1" applyProtection="1">
      <alignment horizontal="right" vertical="top" wrapText="1" readingOrder="1"/>
      <protection locked="0"/>
    </xf>
    <xf numFmtId="0" fontId="0" fillId="0" borderId="16" xfId="60" applyFont="1" applyBorder="1" applyProtection="1">
      <protection locked="0"/>
    </xf>
    <xf numFmtId="0" fontId="64" fillId="0" borderId="4" xfId="37" applyFont="1" applyBorder="1" applyAlignment="1" applyProtection="1">
      <alignment horizontal="right" vertical="top" wrapText="1" readingOrder="1"/>
      <protection locked="0"/>
    </xf>
    <xf numFmtId="0" fontId="72" fillId="22" borderId="0" xfId="0" applyFont="1" applyFill="1"/>
    <xf numFmtId="0" fontId="73" fillId="22" borderId="0" xfId="0" applyFont="1" applyFill="1"/>
    <xf numFmtId="0" fontId="73" fillId="22" borderId="0" xfId="0" applyFont="1" applyFill="1" applyAlignment="1">
      <alignment horizontal="right"/>
    </xf>
    <xf numFmtId="10" fontId="26" fillId="22" borderId="0" xfId="4" applyNumberFormat="1" applyFont="1" applyFill="1" applyAlignment="1">
      <alignment horizontal="right"/>
    </xf>
    <xf numFmtId="0" fontId="26" fillId="25" borderId="0" xfId="0" applyFont="1" applyFill="1" applyAlignment="1">
      <alignment wrapText="1"/>
    </xf>
    <xf numFmtId="0" fontId="28" fillId="22" borderId="4" xfId="0" applyFont="1" applyFill="1" applyBorder="1"/>
    <xf numFmtId="0" fontId="27" fillId="25" borderId="23" xfId="60" applyFont="1" applyFill="1" applyBorder="1"/>
    <xf numFmtId="0" fontId="26" fillId="0" borderId="0" xfId="0" applyFont="1" applyAlignment="1" applyProtection="1">
      <alignment wrapText="1"/>
      <protection locked="0"/>
    </xf>
    <xf numFmtId="0" fontId="26" fillId="0" borderId="0" xfId="0" applyFont="1" applyProtection="1">
      <protection locked="0"/>
    </xf>
    <xf numFmtId="0" fontId="0" fillId="0" borderId="0" xfId="0" applyProtection="1">
      <protection locked="0"/>
    </xf>
    <xf numFmtId="0" fontId="74" fillId="22" borderId="1" xfId="0" applyFont="1" applyFill="1" applyBorder="1"/>
    <xf numFmtId="0" fontId="74" fillId="22" borderId="0" xfId="0" applyFont="1" applyFill="1"/>
    <xf numFmtId="0" fontId="74" fillId="22" borderId="1" xfId="0" applyFont="1" applyFill="1" applyBorder="1" applyAlignment="1">
      <alignment horizontal="left"/>
    </xf>
    <xf numFmtId="165" fontId="75" fillId="22" borderId="0" xfId="54" applyNumberFormat="1" applyFont="1" applyFill="1" applyBorder="1" applyAlignment="1">
      <alignment horizontal="right"/>
    </xf>
    <xf numFmtId="0" fontId="75" fillId="22" borderId="0" xfId="0" applyFont="1" applyFill="1"/>
    <xf numFmtId="0" fontId="75" fillId="22" borderId="3" xfId="0" applyFont="1" applyFill="1" applyBorder="1"/>
    <xf numFmtId="0" fontId="75" fillId="22" borderId="4" xfId="0" applyFont="1" applyFill="1" applyBorder="1"/>
    <xf numFmtId="1" fontId="74" fillId="22" borderId="0" xfId="0" applyNumberFormat="1" applyFont="1" applyFill="1" applyAlignment="1">
      <alignment horizontal="left"/>
    </xf>
    <xf numFmtId="0" fontId="74" fillId="22" borderId="0" xfId="0" applyFont="1" applyFill="1" applyAlignment="1">
      <alignment horizontal="left"/>
    </xf>
    <xf numFmtId="0" fontId="74" fillId="22" borderId="8" xfId="0" applyFont="1" applyFill="1" applyBorder="1"/>
    <xf numFmtId="0" fontId="74" fillId="22" borderId="9" xfId="0" applyFont="1" applyFill="1" applyBorder="1"/>
    <xf numFmtId="0" fontId="74" fillId="22" borderId="1" xfId="0" applyFont="1" applyFill="1" applyBorder="1" applyAlignment="1">
      <alignment wrapText="1"/>
    </xf>
    <xf numFmtId="0" fontId="74" fillId="22" borderId="0" xfId="0" applyFont="1" applyFill="1" applyAlignment="1">
      <alignment wrapText="1"/>
    </xf>
    <xf numFmtId="1" fontId="74" fillId="22"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27" fillId="22" borderId="8" xfId="0" applyFont="1" applyFill="1" applyBorder="1"/>
    <xf numFmtId="0" fontId="27" fillId="22" borderId="7" xfId="0" applyFont="1" applyFill="1" applyBorder="1"/>
    <xf numFmtId="0" fontId="77" fillId="0" borderId="26" xfId="60" applyFont="1" applyBorder="1" applyAlignment="1" applyProtection="1">
      <alignment wrapText="1"/>
      <protection locked="0"/>
    </xf>
    <xf numFmtId="0" fontId="77" fillId="0" borderId="27" xfId="60" applyFont="1" applyBorder="1" applyAlignment="1" applyProtection="1">
      <alignment wrapText="1"/>
      <protection locked="0"/>
    </xf>
    <xf numFmtId="0" fontId="77" fillId="0" borderId="28" xfId="60" applyFont="1" applyBorder="1" applyAlignment="1" applyProtection="1">
      <alignment wrapText="1"/>
      <protection locked="0"/>
    </xf>
    <xf numFmtId="0" fontId="77" fillId="0" borderId="24" xfId="60" applyFont="1" applyBorder="1" applyAlignment="1" applyProtection="1">
      <alignment wrapText="1"/>
      <protection locked="0"/>
    </xf>
    <xf numFmtId="0" fontId="77" fillId="0" borderId="29" xfId="60" applyFont="1" applyBorder="1" applyAlignment="1" applyProtection="1">
      <alignment wrapText="1"/>
      <protection locked="0"/>
    </xf>
    <xf numFmtId="0" fontId="77" fillId="0" borderId="25" xfId="60" applyFont="1" applyBorder="1" applyAlignment="1" applyProtection="1">
      <alignment wrapText="1"/>
      <protection locked="0"/>
    </xf>
    <xf numFmtId="0" fontId="77" fillId="0" borderId="30" xfId="60" applyFont="1" applyBorder="1" applyAlignment="1" applyProtection="1">
      <alignment wrapText="1"/>
      <protection locked="0"/>
    </xf>
    <xf numFmtId="0" fontId="77" fillId="0" borderId="31" xfId="60" applyFont="1" applyBorder="1" applyAlignment="1" applyProtection="1">
      <alignment vertical="top" wrapText="1"/>
      <protection locked="0"/>
    </xf>
    <xf numFmtId="0" fontId="27" fillId="22" borderId="32" xfId="0" applyFont="1" applyFill="1" applyBorder="1"/>
    <xf numFmtId="0" fontId="77" fillId="0" borderId="33" xfId="60" applyFont="1" applyBorder="1" applyAlignment="1" applyProtection="1">
      <alignment wrapText="1"/>
      <protection locked="0"/>
    </xf>
    <xf numFmtId="0" fontId="77" fillId="0" borderId="34" xfId="60" applyFont="1" applyBorder="1" applyAlignment="1" applyProtection="1">
      <alignment vertical="top" wrapText="1"/>
      <protection locked="0"/>
    </xf>
    <xf numFmtId="0" fontId="77" fillId="0" borderId="32" xfId="60" applyFont="1" applyBorder="1" applyAlignment="1" applyProtection="1">
      <alignment wrapText="1"/>
      <protection locked="0"/>
    </xf>
    <xf numFmtId="0" fontId="77" fillId="0" borderId="36" xfId="60" applyFont="1" applyBorder="1" applyAlignment="1" applyProtection="1">
      <alignment wrapText="1"/>
      <protection locked="0"/>
    </xf>
    <xf numFmtId="0" fontId="0" fillId="0" borderId="35" xfId="0" applyBorder="1" applyAlignment="1">
      <alignment horizontal="center"/>
    </xf>
    <xf numFmtId="0" fontId="76" fillId="25" borderId="0" xfId="0" applyFont="1" applyFill="1"/>
    <xf numFmtId="0" fontId="0" fillId="0" borderId="0" xfId="0" quotePrefix="1" applyAlignment="1">
      <alignment horizontal="left" indent="2"/>
    </xf>
    <xf numFmtId="0" fontId="21" fillId="0" borderId="16" xfId="60" applyFont="1" applyBorder="1" applyAlignment="1" applyProtection="1">
      <alignment wrapText="1"/>
      <protection locked="0"/>
    </xf>
    <xf numFmtId="0" fontId="21" fillId="0" borderId="17" xfId="60" applyFont="1" applyBorder="1" applyProtection="1">
      <protection locked="0"/>
    </xf>
    <xf numFmtId="0" fontId="0" fillId="0" borderId="37" xfId="0" applyBorder="1"/>
    <xf numFmtId="0" fontId="0" fillId="0" borderId="11" xfId="0" applyBorder="1"/>
    <xf numFmtId="0" fontId="0" fillId="0" borderId="38" xfId="0" applyBorder="1"/>
    <xf numFmtId="0" fontId="0" fillId="0" borderId="35" xfId="0" applyBorder="1"/>
    <xf numFmtId="0" fontId="20" fillId="0" borderId="16" xfId="60" applyFont="1" applyBorder="1" applyAlignment="1" applyProtection="1">
      <alignment wrapText="1"/>
      <protection locked="0"/>
    </xf>
    <xf numFmtId="0" fontId="19" fillId="0" borderId="16" xfId="60" applyFont="1" applyBorder="1" applyAlignment="1" applyProtection="1">
      <alignment wrapText="1"/>
      <protection locked="0"/>
    </xf>
    <xf numFmtId="0" fontId="18" fillId="0" borderId="16" xfId="60" applyFont="1" applyBorder="1" applyAlignment="1" applyProtection="1">
      <alignment wrapText="1"/>
      <protection locked="0"/>
    </xf>
    <xf numFmtId="0" fontId="17" fillId="0" borderId="16" xfId="60" applyFont="1" applyBorder="1" applyAlignment="1" applyProtection="1">
      <alignment wrapText="1"/>
      <protection locked="0"/>
    </xf>
    <xf numFmtId="0" fontId="16" fillId="0" borderId="16" xfId="60" applyFont="1" applyBorder="1" applyAlignment="1" applyProtection="1">
      <alignment wrapText="1"/>
      <protection locked="0"/>
    </xf>
    <xf numFmtId="0" fontId="15" fillId="0" borderId="16" xfId="60" applyFont="1" applyBorder="1" applyAlignment="1" applyProtection="1">
      <alignment wrapText="1"/>
      <protection locked="0"/>
    </xf>
    <xf numFmtId="0" fontId="14" fillId="0" borderId="16" xfId="60" applyFont="1" applyBorder="1" applyAlignment="1" applyProtection="1">
      <alignment wrapText="1"/>
      <protection locked="0"/>
    </xf>
    <xf numFmtId="0" fontId="78" fillId="0" borderId="0" xfId="0" applyFont="1"/>
    <xf numFmtId="0" fontId="0" fillId="0" borderId="40" xfId="0" applyBorder="1"/>
    <xf numFmtId="0" fontId="0" fillId="0" borderId="41" xfId="0" applyBorder="1"/>
    <xf numFmtId="0" fontId="79" fillId="0" borderId="39" xfId="0" applyFont="1" applyBorder="1"/>
    <xf numFmtId="0" fontId="13" fillId="0" borderId="16" xfId="60" applyFont="1" applyBorder="1" applyAlignment="1" applyProtection="1">
      <alignment wrapText="1"/>
      <protection locked="0"/>
    </xf>
    <xf numFmtId="0" fontId="12" fillId="0" borderId="16" xfId="60" applyFont="1" applyBorder="1" applyAlignment="1" applyProtection="1">
      <alignment wrapText="1"/>
      <protection locked="0"/>
    </xf>
    <xf numFmtId="0" fontId="11" fillId="0" borderId="16" xfId="60" applyFont="1" applyBorder="1" applyAlignment="1" applyProtection="1">
      <alignment wrapText="1"/>
      <protection locked="0"/>
    </xf>
    <xf numFmtId="0" fontId="10" fillId="0" borderId="16" xfId="60" applyFont="1" applyBorder="1" applyAlignment="1" applyProtection="1">
      <alignment wrapText="1"/>
      <protection locked="0"/>
    </xf>
    <xf numFmtId="0" fontId="9" fillId="0" borderId="16" xfId="60" applyFont="1" applyBorder="1" applyAlignment="1" applyProtection="1">
      <alignment wrapText="1"/>
      <protection locked="0"/>
    </xf>
    <xf numFmtId="0" fontId="8" fillId="0" borderId="16" xfId="60" applyFont="1" applyBorder="1" applyAlignment="1" applyProtection="1">
      <alignment wrapText="1"/>
      <protection locked="0"/>
    </xf>
    <xf numFmtId="0" fontId="7" fillId="0" borderId="16" xfId="60" applyFont="1" applyBorder="1" applyAlignment="1" applyProtection="1">
      <alignment wrapText="1"/>
      <protection locked="0"/>
    </xf>
    <xf numFmtId="0" fontId="6" fillId="0" borderId="16" xfId="60" applyFont="1" applyBorder="1" applyAlignment="1" applyProtection="1">
      <alignment wrapText="1"/>
      <protection locked="0"/>
    </xf>
    <xf numFmtId="43" fontId="0" fillId="0" borderId="0" xfId="54" applyFont="1" applyBorder="1"/>
    <xf numFmtId="43" fontId="35" fillId="0" borderId="0" xfId="54" applyFont="1" applyBorder="1" applyAlignment="1">
      <alignment horizontal="center"/>
    </xf>
    <xf numFmtId="43" fontId="0" fillId="0" borderId="0" xfId="54" applyFont="1" applyBorder="1" applyAlignment="1"/>
    <xf numFmtId="43" fontId="0" fillId="0" borderId="0" xfId="0" applyNumberFormat="1"/>
    <xf numFmtId="0" fontId="5" fillId="0" borderId="16" xfId="60" applyFont="1" applyBorder="1" applyAlignment="1" applyProtection="1">
      <alignment wrapText="1"/>
      <protection locked="0"/>
    </xf>
    <xf numFmtId="0" fontId="27" fillId="25" borderId="0" xfId="60" applyFont="1" applyFill="1"/>
    <xf numFmtId="0" fontId="64" fillId="0" borderId="16" xfId="0" applyFont="1" applyBorder="1" applyAlignment="1" applyProtection="1">
      <alignment vertical="top" wrapText="1" readingOrder="1"/>
      <protection locked="0"/>
    </xf>
    <xf numFmtId="167" fontId="64" fillId="0" borderId="16" xfId="37" applyNumberFormat="1" applyFont="1" applyBorder="1" applyAlignment="1" applyProtection="1">
      <alignment horizontal="right" vertical="top" wrapText="1" readingOrder="1"/>
      <protection locked="0"/>
    </xf>
    <xf numFmtId="0" fontId="27" fillId="0" borderId="0" xfId="0" applyFont="1" applyAlignment="1">
      <alignment horizontal="left"/>
    </xf>
    <xf numFmtId="0" fontId="4" fillId="0" borderId="16" xfId="60" applyFont="1" applyBorder="1" applyAlignment="1" applyProtection="1">
      <alignment wrapText="1"/>
      <protection locked="0"/>
    </xf>
    <xf numFmtId="0" fontId="3" fillId="0" borderId="16" xfId="60" applyFont="1" applyBorder="1" applyAlignment="1" applyProtection="1">
      <alignment wrapText="1"/>
      <protection locked="0"/>
    </xf>
    <xf numFmtId="0" fontId="2" fillId="0" borderId="16" xfId="60" applyFont="1" applyBorder="1" applyAlignment="1" applyProtection="1">
      <alignment wrapText="1"/>
      <protection locked="0"/>
    </xf>
    <xf numFmtId="0" fontId="1" fillId="0" borderId="16" xfId="60" applyFont="1" applyBorder="1" applyAlignment="1" applyProtection="1">
      <alignment wrapText="1"/>
      <protection locked="0"/>
    </xf>
    <xf numFmtId="0" fontId="0" fillId="0" borderId="42"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0" fillId="0" borderId="46" xfId="0" applyBorder="1" applyAlignment="1" applyProtection="1">
      <alignment horizontal="left" vertical="top"/>
      <protection locked="0"/>
    </xf>
    <xf numFmtId="2" fontId="0" fillId="0" borderId="0" xfId="4" applyNumberFormat="1" applyFont="1" applyAlignment="1">
      <alignment horizontal="left" vertical="top"/>
    </xf>
    <xf numFmtId="0" fontId="0" fillId="0" borderId="0" xfId="0" applyAlignment="1">
      <alignment horizontal="center"/>
    </xf>
    <xf numFmtId="0" fontId="0" fillId="21" borderId="0" xfId="0" quotePrefix="1" applyFill="1" applyAlignment="1">
      <alignment horizontal="center"/>
    </xf>
    <xf numFmtId="0" fontId="0" fillId="21" borderId="0" xfId="0" applyFill="1" applyAlignment="1">
      <alignment horizontal="center"/>
    </xf>
    <xf numFmtId="0" fontId="27" fillId="0" borderId="0" xfId="0" applyFont="1" applyAlignment="1">
      <alignment horizontal="left"/>
    </xf>
    <xf numFmtId="2" fontId="0" fillId="0" borderId="0" xfId="52" applyNumberFormat="1" applyFont="1" applyAlignment="1">
      <alignment horizontal="right"/>
    </xf>
    <xf numFmtId="0" fontId="0" fillId="0" borderId="0" xfId="0" applyAlignment="1">
      <alignment horizontal="left"/>
    </xf>
    <xf numFmtId="2" fontId="0" fillId="0" borderId="0" xfId="52" applyNumberFormat="1" applyFont="1" applyAlignment="1">
      <alignment horizontal="center"/>
    </xf>
    <xf numFmtId="0" fontId="0" fillId="21" borderId="0" xfId="0" applyFill="1" applyAlignment="1">
      <alignment horizontal="left"/>
    </xf>
    <xf numFmtId="2" fontId="27" fillId="0" borderId="0" xfId="4" applyNumberFormat="1" applyFont="1" applyAlignment="1">
      <alignment horizontal="right"/>
    </xf>
    <xf numFmtId="0" fontId="42" fillId="23" borderId="0" xfId="0" applyFont="1" applyFill="1" applyAlignment="1">
      <alignment horizontal="center" vertical="center"/>
    </xf>
    <xf numFmtId="1" fontId="0" fillId="0" borderId="0" xfId="0" applyNumberFormat="1" applyAlignment="1">
      <alignment horizontal="center"/>
    </xf>
    <xf numFmtId="0" fontId="27" fillId="0" borderId="8" xfId="0" applyFont="1" applyBorder="1" applyAlignment="1">
      <alignment horizontal="left" vertical="top"/>
    </xf>
    <xf numFmtId="0" fontId="27" fillId="0" borderId="9" xfId="0" applyFont="1" applyBorder="1" applyAlignment="1">
      <alignment horizontal="left" vertical="top"/>
    </xf>
    <xf numFmtId="0" fontId="27" fillId="0" borderId="1" xfId="0" applyFont="1" applyBorder="1" applyAlignment="1">
      <alignment horizontal="left" vertical="top"/>
    </xf>
    <xf numFmtId="0" fontId="27" fillId="0" borderId="0" xfId="0" applyFont="1" applyAlignment="1">
      <alignment horizontal="left" vertical="top"/>
    </xf>
    <xf numFmtId="2" fontId="27" fillId="0" borderId="0" xfId="4" applyNumberFormat="1" applyFont="1" applyAlignment="1">
      <alignment horizontal="center"/>
    </xf>
    <xf numFmtId="0" fontId="39" fillId="0" borderId="0" xfId="0" applyFont="1" applyAlignment="1">
      <alignment horizontal="center"/>
    </xf>
    <xf numFmtId="0" fontId="27" fillId="21" borderId="0" xfId="0" applyFont="1" applyFill="1" applyAlignment="1">
      <alignment horizontal="center"/>
    </xf>
    <xf numFmtId="0" fontId="27" fillId="0" borderId="0" xfId="0" applyFont="1" applyAlignment="1">
      <alignment horizontal="center"/>
    </xf>
    <xf numFmtId="2" fontId="27" fillId="21" borderId="0" xfId="4" applyNumberFormat="1" applyFont="1" applyFill="1" applyAlignment="1">
      <alignment horizontal="center"/>
    </xf>
    <xf numFmtId="0" fontId="30" fillId="0" borderId="0" xfId="0" applyFont="1" applyAlignment="1">
      <alignment horizontal="left"/>
    </xf>
    <xf numFmtId="1" fontId="28" fillId="0" borderId="4" xfId="4" applyNumberFormat="1" applyFont="1" applyBorder="1" applyAlignment="1">
      <alignment horizontal="center"/>
    </xf>
    <xf numFmtId="0" fontId="40" fillId="23" borderId="4" xfId="0" applyFont="1" applyFill="1" applyBorder="1" applyAlignment="1">
      <alignment horizontal="center"/>
    </xf>
    <xf numFmtId="0" fontId="0" fillId="23" borderId="4" xfId="0" applyFill="1" applyBorder="1" applyAlignment="1">
      <alignment horizontal="center"/>
    </xf>
    <xf numFmtId="0" fontId="32" fillId="3" borderId="0" xfId="0" applyFont="1" applyFill="1" applyAlignment="1" applyProtection="1">
      <alignment horizontal="left" vertical="top" wrapText="1"/>
      <protection locked="0"/>
    </xf>
    <xf numFmtId="0" fontId="26" fillId="0" borderId="0" xfId="0" applyFont="1" applyAlignment="1">
      <alignment horizontal="left"/>
    </xf>
    <xf numFmtId="0" fontId="26" fillId="0" borderId="1" xfId="0" applyFont="1" applyBorder="1" applyAlignment="1" applyProtection="1">
      <alignment horizontal="left" vertical="center" wrapText="1"/>
      <protection locked="0"/>
    </xf>
    <xf numFmtId="0" fontId="26" fillId="0" borderId="0" xfId="0" applyFont="1" applyAlignment="1" applyProtection="1">
      <alignment horizontal="left" vertical="center" wrapText="1"/>
      <protection locked="0"/>
    </xf>
    <xf numFmtId="0" fontId="26" fillId="0" borderId="2" xfId="0" applyFont="1" applyBorder="1" applyAlignment="1" applyProtection="1">
      <alignment horizontal="left" vertical="center" wrapText="1"/>
      <protection locked="0"/>
    </xf>
    <xf numFmtId="0" fontId="0" fillId="0" borderId="0" xfId="0" quotePrefix="1" applyAlignment="1">
      <alignment horizontal="center"/>
    </xf>
    <xf numFmtId="43" fontId="0" fillId="0" borderId="15" xfId="54" applyFont="1" applyBorder="1" applyAlignment="1">
      <alignment horizontal="center"/>
    </xf>
    <xf numFmtId="43" fontId="26" fillId="0" borderId="15" xfId="54" applyFont="1" applyBorder="1" applyAlignment="1">
      <alignment horizontal="center"/>
    </xf>
    <xf numFmtId="0" fontId="26" fillId="0" borderId="0" xfId="0" applyFont="1" applyAlignment="1">
      <alignment horizontal="left" vertical="top" wrapText="1"/>
    </xf>
    <xf numFmtId="2" fontId="0" fillId="0" borderId="0" xfId="0" applyNumberFormat="1" applyAlignment="1">
      <alignment horizontal="center"/>
    </xf>
    <xf numFmtId="166" fontId="0" fillId="0" borderId="0" xfId="54" applyNumberFormat="1" applyFont="1" applyAlignment="1">
      <alignment horizontal="center"/>
    </xf>
    <xf numFmtId="0" fontId="27" fillId="0" borderId="9" xfId="0" applyFont="1" applyBorder="1" applyAlignment="1">
      <alignment horizontal="left" vertical="center" wrapText="1"/>
    </xf>
    <xf numFmtId="0" fontId="27" fillId="0" borderId="7" xfId="0" applyFont="1" applyBorder="1" applyAlignment="1">
      <alignment horizontal="left" vertical="center" wrapText="1"/>
    </xf>
    <xf numFmtId="0" fontId="27" fillId="0" borderId="0" xfId="0" applyFont="1" applyAlignment="1">
      <alignment horizontal="left" vertical="center" wrapText="1"/>
    </xf>
    <xf numFmtId="0" fontId="27" fillId="0" borderId="2" xfId="0" applyFont="1" applyBorder="1" applyAlignment="1">
      <alignment horizontal="left" vertical="center" wrapText="1"/>
    </xf>
    <xf numFmtId="0" fontId="27" fillId="0" borderId="8" xfId="0" applyFont="1" applyBorder="1" applyAlignment="1">
      <alignment horizontal="center" vertical="center"/>
    </xf>
    <xf numFmtId="0" fontId="27" fillId="0" borderId="9" xfId="0" applyFont="1" applyBorder="1" applyAlignment="1">
      <alignment horizontal="center" vertical="center"/>
    </xf>
    <xf numFmtId="0" fontId="27" fillId="0" borderId="1" xfId="0" applyFont="1" applyBorder="1" applyAlignment="1">
      <alignment horizontal="center" vertical="center"/>
    </xf>
    <xf numFmtId="0" fontId="27" fillId="0" borderId="0" xfId="0" applyFont="1" applyAlignment="1">
      <alignment horizontal="center" vertical="center"/>
    </xf>
    <xf numFmtId="43" fontId="0" fillId="0" borderId="6" xfId="54" applyFont="1" applyBorder="1" applyAlignment="1">
      <alignment horizontal="center"/>
    </xf>
    <xf numFmtId="164" fontId="0" fillId="0" borderId="15" xfId="54" applyNumberFormat="1" applyFont="1" applyBorder="1" applyAlignment="1">
      <alignment horizontal="center"/>
    </xf>
    <xf numFmtId="164" fontId="0" fillId="0" borderId="0" xfId="54" applyNumberFormat="1" applyFont="1" applyBorder="1" applyAlignment="1">
      <alignment horizontal="center"/>
    </xf>
    <xf numFmtId="164" fontId="0" fillId="0" borderId="6" xfId="54" applyNumberFormat="1" applyFont="1" applyBorder="1" applyAlignment="1">
      <alignment horizontal="center"/>
    </xf>
    <xf numFmtId="43" fontId="26" fillId="0" borderId="0" xfId="54" applyFont="1" applyBorder="1" applyAlignment="1">
      <alignment horizontal="center"/>
    </xf>
    <xf numFmtId="164" fontId="26" fillId="0" borderId="6" xfId="54" applyNumberFormat="1" applyFont="1" applyBorder="1" applyAlignment="1">
      <alignment horizontal="center"/>
    </xf>
    <xf numFmtId="0" fontId="58" fillId="23" borderId="0" xfId="0" applyFont="1" applyFill="1" applyAlignment="1">
      <alignment horizontal="center" vertical="center"/>
    </xf>
    <xf numFmtId="43" fontId="0" fillId="0" borderId="0" xfId="54" applyFont="1" applyBorder="1" applyAlignment="1">
      <alignment horizontal="center"/>
    </xf>
    <xf numFmtId="0" fontId="27" fillId="3" borderId="1" xfId="0" applyFont="1" applyFill="1" applyBorder="1" applyAlignment="1" applyProtection="1">
      <alignment horizontal="center" vertical="center" wrapText="1"/>
      <protection locked="0"/>
    </xf>
    <xf numFmtId="0" fontId="27" fillId="3" borderId="0" xfId="0" applyFont="1" applyFill="1" applyAlignment="1" applyProtection="1">
      <alignment horizontal="center" vertical="center" wrapText="1"/>
      <protection locked="0"/>
    </xf>
    <xf numFmtId="0" fontId="27" fillId="3" borderId="2" xfId="0" applyFont="1" applyFill="1" applyBorder="1" applyAlignment="1" applyProtection="1">
      <alignment horizontal="center" vertical="center" wrapText="1"/>
      <protection locked="0"/>
    </xf>
    <xf numFmtId="0" fontId="57" fillId="23" borderId="0" xfId="0" applyFont="1" applyFill="1" applyAlignment="1">
      <alignment horizontal="center" vertical="center"/>
    </xf>
    <xf numFmtId="0" fontId="29" fillId="2" borderId="4" xfId="0" applyFont="1" applyFill="1" applyBorder="1" applyAlignment="1">
      <alignment horizontal="center"/>
    </xf>
    <xf numFmtId="0" fontId="40" fillId="5" borderId="4" xfId="0" applyFont="1" applyFill="1" applyBorder="1" applyAlignment="1">
      <alignment horizontal="center"/>
    </xf>
    <xf numFmtId="0" fontId="26" fillId="0" borderId="8" xfId="0" applyFont="1" applyBorder="1" applyAlignment="1">
      <alignment horizontal="left"/>
    </xf>
    <xf numFmtId="0" fontId="26" fillId="0" borderId="9" xfId="0" applyFont="1" applyBorder="1" applyAlignment="1">
      <alignment horizontal="left"/>
    </xf>
    <xf numFmtId="0" fontId="26" fillId="0" borderId="7" xfId="0" applyFont="1" applyBorder="1" applyAlignment="1">
      <alignment horizontal="left"/>
    </xf>
    <xf numFmtId="0" fontId="32" fillId="3" borderId="1" xfId="0" applyFont="1" applyFill="1" applyBorder="1" applyAlignment="1" applyProtection="1">
      <alignment horizontal="center" vertical="center" wrapText="1"/>
      <protection locked="0"/>
    </xf>
    <xf numFmtId="0" fontId="32" fillId="3" borderId="0" xfId="0" applyFont="1" applyFill="1" applyAlignment="1" applyProtection="1">
      <alignment horizontal="center" vertical="center" wrapText="1"/>
      <protection locked="0"/>
    </xf>
    <xf numFmtId="0" fontId="32" fillId="3" borderId="2" xfId="0" applyFont="1" applyFill="1" applyBorder="1" applyAlignment="1" applyProtection="1">
      <alignment horizontal="center" vertical="center" wrapText="1"/>
      <protection locked="0"/>
    </xf>
    <xf numFmtId="0" fontId="27" fillId="3" borderId="3" xfId="0" applyFont="1" applyFill="1" applyBorder="1" applyAlignment="1" applyProtection="1">
      <alignment horizontal="center" vertical="center" wrapText="1"/>
      <protection locked="0"/>
    </xf>
    <xf numFmtId="0" fontId="27" fillId="3" borderId="4" xfId="0" applyFont="1" applyFill="1" applyBorder="1" applyAlignment="1" applyProtection="1">
      <alignment horizontal="center" vertical="center" wrapText="1"/>
      <protection locked="0"/>
    </xf>
    <xf numFmtId="0" fontId="27" fillId="3" borderId="5" xfId="0" applyFont="1" applyFill="1" applyBorder="1" applyAlignment="1" applyProtection="1">
      <alignment horizontal="center" vertical="center" wrapText="1"/>
      <protection locked="0"/>
    </xf>
    <xf numFmtId="0" fontId="26" fillId="4" borderId="1" xfId="0" applyFont="1" applyFill="1" applyBorder="1" applyAlignment="1" applyProtection="1">
      <alignment horizontal="left" vertical="center" wrapText="1"/>
      <protection locked="0"/>
    </xf>
    <xf numFmtId="0" fontId="26" fillId="4" borderId="0" xfId="0" applyFont="1" applyFill="1" applyAlignment="1" applyProtection="1">
      <alignment horizontal="left" vertical="center" wrapText="1"/>
      <protection locked="0"/>
    </xf>
    <xf numFmtId="0" fontId="26" fillId="4" borderId="2" xfId="0" applyFont="1" applyFill="1" applyBorder="1" applyAlignment="1" applyProtection="1">
      <alignment horizontal="left" vertical="center" wrapText="1"/>
      <protection locked="0"/>
    </xf>
    <xf numFmtId="43" fontId="38" fillId="23" borderId="6" xfId="54" applyFont="1" applyFill="1" applyBorder="1" applyAlignment="1">
      <alignment horizontal="center"/>
    </xf>
    <xf numFmtId="0" fontId="27" fillId="0" borderId="7" xfId="0" applyFont="1" applyBorder="1" applyAlignment="1">
      <alignment horizontal="left" vertical="top"/>
    </xf>
    <xf numFmtId="0" fontId="27" fillId="0" borderId="2" xfId="0" applyFont="1" applyBorder="1" applyAlignment="1">
      <alignment horizontal="left" vertical="top"/>
    </xf>
    <xf numFmtId="0" fontId="40" fillId="6" borderId="4" xfId="0" applyFont="1" applyFill="1" applyBorder="1" applyAlignment="1">
      <alignment horizontal="center"/>
    </xf>
    <xf numFmtId="43" fontId="38" fillId="21" borderId="6" xfId="54" applyFont="1" applyFill="1" applyBorder="1" applyAlignment="1">
      <alignment horizontal="center"/>
    </xf>
    <xf numFmtId="43" fontId="28" fillId="0" borderId="15" xfId="54" applyFont="1" applyBorder="1" applyAlignment="1">
      <alignment horizontal="center" vertical="center" textRotation="90"/>
    </xf>
    <xf numFmtId="43" fontId="28" fillId="0" borderId="0" xfId="54" applyFont="1" applyBorder="1" applyAlignment="1">
      <alignment horizontal="center" vertical="center" textRotation="90"/>
    </xf>
    <xf numFmtId="43" fontId="26" fillId="0" borderId="6" xfId="54" applyFont="1" applyBorder="1" applyAlignment="1">
      <alignment horizontal="center"/>
    </xf>
    <xf numFmtId="0" fontId="44" fillId="23" borderId="0" xfId="0" quotePrefix="1" applyFont="1" applyFill="1" applyAlignment="1">
      <alignment horizontal="center"/>
    </xf>
    <xf numFmtId="0" fontId="45" fillId="22" borderId="1" xfId="0" applyFont="1" applyFill="1" applyBorder="1" applyAlignment="1">
      <alignment horizontal="left" wrapText="1"/>
    </xf>
    <xf numFmtId="0" fontId="45" fillId="22" borderId="0" xfId="0" applyFont="1" applyFill="1" applyAlignment="1">
      <alignment horizontal="left" wrapText="1"/>
    </xf>
    <xf numFmtId="0" fontId="74" fillId="22" borderId="1" xfId="0" applyFont="1" applyFill="1" applyBorder="1" applyAlignment="1">
      <alignment horizontal="left" vertical="top" wrapText="1"/>
    </xf>
    <xf numFmtId="0" fontId="74" fillId="22" borderId="0" xfId="0" applyFont="1" applyFill="1" applyAlignment="1">
      <alignment horizontal="left" vertical="top" wrapText="1"/>
    </xf>
    <xf numFmtId="0" fontId="74" fillId="22" borderId="2" xfId="0" applyFont="1" applyFill="1" applyBorder="1" applyAlignment="1">
      <alignment horizontal="left" vertical="top" wrapText="1"/>
    </xf>
    <xf numFmtId="0" fontId="27" fillId="25" borderId="19" xfId="60" applyFont="1" applyFill="1" applyBorder="1" applyAlignment="1">
      <alignment horizontal="left" vertical="center" wrapText="1"/>
    </xf>
    <xf numFmtId="0" fontId="27" fillId="25" borderId="20" xfId="60" applyFont="1" applyFill="1" applyBorder="1" applyAlignment="1">
      <alignment horizontal="left" vertical="center" wrapText="1"/>
    </xf>
    <xf numFmtId="167" fontId="62" fillId="0" borderId="0" xfId="37" applyNumberFormat="1" applyFont="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27">
    <dxf>
      <numFmt numFmtId="13" formatCode="0%"/>
    </dxf>
    <dxf>
      <font>
        <b/>
        <i val="0"/>
        <color theme="0"/>
      </font>
      <fill>
        <patternFill>
          <bgColor theme="6" tint="-0.499984740745262"/>
        </patternFill>
      </fill>
    </dxf>
    <dxf>
      <font>
        <b/>
        <i val="0"/>
        <color theme="0"/>
      </font>
      <fill>
        <patternFill>
          <bgColor theme="6" tint="-0.499984740745262"/>
        </patternFill>
      </fill>
    </dxf>
    <dxf>
      <numFmt numFmtId="14" formatCode="0.00%"/>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6" tint="-0.499984740745262"/>
        </patternFill>
      </fill>
    </dxf>
    <dxf>
      <numFmt numFmtId="14" formatCode="0.00%"/>
    </dxf>
    <dxf>
      <numFmt numFmtId="14" formatCode="0.00%"/>
    </dxf>
    <dxf>
      <numFmt numFmtId="14" formatCode="0.00%"/>
    </dxf>
    <dxf>
      <font>
        <color theme="0"/>
      </font>
      <fill>
        <patternFill>
          <bgColor theme="0"/>
        </patternFill>
      </fill>
    </dxf>
    <dxf>
      <font>
        <color theme="0"/>
      </font>
      <fill>
        <patternFill>
          <bgColor theme="0"/>
        </patternFill>
      </fill>
    </dxf>
    <dxf>
      <font>
        <color theme="0"/>
      </font>
      <fill>
        <patternFill>
          <bgColor theme="0"/>
        </patternFill>
      </fill>
    </dxf>
    <dxf>
      <font>
        <b/>
        <i val="0"/>
        <color theme="0"/>
      </font>
      <fill>
        <patternFill>
          <bgColor theme="6" tint="-0.499984740745262"/>
        </patternFill>
      </fill>
    </dxf>
    <dxf>
      <font>
        <b/>
        <i val="0"/>
        <condense val="0"/>
        <extend val="0"/>
        <color indexed="9"/>
      </font>
      <fill>
        <patternFill>
          <bgColor theme="6" tint="-0.499984740745262"/>
        </patternFill>
      </fill>
    </dxf>
    <dxf>
      <font>
        <color theme="0"/>
      </font>
      <fill>
        <patternFill>
          <bgColor theme="0"/>
        </patternFill>
      </fill>
    </dxf>
    <dxf>
      <font>
        <b/>
        <i val="0"/>
        <color theme="0"/>
      </font>
      <fill>
        <patternFill>
          <bgColor theme="6" tint="-0.499984740745262"/>
        </patternFill>
      </fill>
    </dxf>
    <dxf>
      <font>
        <b val="0"/>
        <i val="0"/>
        <color auto="1"/>
      </font>
      <numFmt numFmtId="0" formatCode="General"/>
      <fill>
        <patternFill patternType="none">
          <bgColor auto="1"/>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571"/>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8"/>
                <c:pt idx="17">
                  <c:v>u</c:v>
                </c:pt>
              </c:strCache>
            </c:strRef>
          </c:cat>
          <c:val>
            <c:numRef>
              <c:f>[0]!TopQuart</c:f>
              <c:numCache>
                <c:formatCode>General</c:formatCode>
                <c:ptCount val="58"/>
                <c:pt idx="0">
                  <c:v>100</c:v>
                </c:pt>
                <c:pt idx="1">
                  <c:v>100</c:v>
                </c:pt>
                <c:pt idx="2">
                  <c:v>100</c:v>
                </c:pt>
                <c:pt idx="3">
                  <c:v>100</c:v>
                </c:pt>
                <c:pt idx="4">
                  <c:v>100</c:v>
                </c:pt>
                <c:pt idx="5">
                  <c:v>100</c:v>
                </c:pt>
                <c:pt idx="6">
                  <c:v>100</c:v>
                </c:pt>
                <c:pt idx="7">
                  <c:v>100</c:v>
                </c:pt>
                <c:pt idx="8">
                  <c:v>100</c:v>
                </c:pt>
                <c:pt idx="9">
                  <c:v>100</c:v>
                </c:pt>
                <c:pt idx="10">
                  <c:v>100</c:v>
                </c:pt>
                <c:pt idx="11">
                  <c:v>97.777777777777771</c:v>
                </c:pt>
                <c:pt idx="12">
                  <c:v>96.666666666666671</c:v>
                </c:pt>
                <c:pt idx="13">
                  <c:v>96.05263157894737</c:v>
                </c:pt>
                <c:pt idx="14">
                  <c:v>95.890410958904098</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numCache>
            </c:numRef>
          </c:val>
          <c:extLst>
            <c:ext xmlns:c16="http://schemas.microsoft.com/office/drawing/2014/chart" uri="{C3380CC4-5D6E-409C-BE32-E72D297353CC}">
              <c16:uniqueId val="{00000000-5757-42BF-99A8-BA1B0D0DE3A0}"/>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8"/>
                <c:pt idx="17">
                  <c:v>u</c:v>
                </c:pt>
              </c:strCache>
            </c:strRef>
          </c:cat>
          <c:val>
            <c:numRef>
              <c:f>[0]!SecQuart</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95.652173913043484</c:v>
                </c:pt>
                <c:pt idx="16">
                  <c:v>95.121951219512198</c:v>
                </c:pt>
                <c:pt idx="17">
                  <c:v>94.444444444444443</c:v>
                </c:pt>
                <c:pt idx="18">
                  <c:v>94.444444444444443</c:v>
                </c:pt>
                <c:pt idx="19">
                  <c:v>94.285714285714278</c:v>
                </c:pt>
                <c:pt idx="20">
                  <c:v>94.117647058823522</c:v>
                </c:pt>
                <c:pt idx="21">
                  <c:v>93.939393939393938</c:v>
                </c:pt>
                <c:pt idx="22">
                  <c:v>93.939393939393938</c:v>
                </c:pt>
                <c:pt idx="23">
                  <c:v>93.684210526315795</c:v>
                </c:pt>
                <c:pt idx="24">
                  <c:v>92.682926829268297</c:v>
                </c:pt>
                <c:pt idx="25">
                  <c:v>92</c:v>
                </c:pt>
                <c:pt idx="26">
                  <c:v>91.379310344827587</c:v>
                </c:pt>
                <c:pt idx="27">
                  <c:v>90.476190476190482</c:v>
                </c:pt>
                <c:pt idx="28">
                  <c:v>90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numCache>
            </c:numRef>
          </c:val>
          <c:extLst>
            <c:ext xmlns:c16="http://schemas.microsoft.com/office/drawing/2014/chart" uri="{C3380CC4-5D6E-409C-BE32-E72D297353CC}">
              <c16:uniqueId val="{00000001-5757-42BF-99A8-BA1B0D0DE3A0}"/>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8"/>
                <c:pt idx="17">
                  <c:v>u</c:v>
                </c:pt>
              </c:strCache>
            </c:strRef>
          </c:cat>
          <c:val>
            <c:numRef>
              <c:f>[0]!ThirdQuart</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89.393939393939391</c:v>
                </c:pt>
                <c:pt idx="30">
                  <c:v>89.285714285714292</c:v>
                </c:pt>
                <c:pt idx="31">
                  <c:v>89.285714285714292</c:v>
                </c:pt>
                <c:pt idx="32">
                  <c:v>88.118811881188122</c:v>
                </c:pt>
                <c:pt idx="33">
                  <c:v>87.5</c:v>
                </c:pt>
                <c:pt idx="34">
                  <c:v>87.096774193548384</c:v>
                </c:pt>
                <c:pt idx="35">
                  <c:v>87.037037037037038</c:v>
                </c:pt>
                <c:pt idx="36">
                  <c:v>86.666666666666671</c:v>
                </c:pt>
                <c:pt idx="37">
                  <c:v>86.666666666666671</c:v>
                </c:pt>
                <c:pt idx="38">
                  <c:v>86.666666666666671</c:v>
                </c:pt>
                <c:pt idx="39">
                  <c:v>86.36363636363636</c:v>
                </c:pt>
                <c:pt idx="40">
                  <c:v>85.276073619631902</c:v>
                </c:pt>
                <c:pt idx="41">
                  <c:v>83.333333333333343</c:v>
                </c:pt>
                <c:pt idx="42">
                  <c:v>83.333333333333343</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numCache>
            </c:numRef>
          </c:val>
          <c:extLst>
            <c:ext xmlns:c16="http://schemas.microsoft.com/office/drawing/2014/chart" uri="{C3380CC4-5D6E-409C-BE32-E72D297353CC}">
              <c16:uniqueId val="{00000002-5757-42BF-99A8-BA1B0D0DE3A0}"/>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8"/>
                <c:pt idx="17">
                  <c:v>u</c:v>
                </c:pt>
              </c:strCache>
            </c:strRef>
          </c:cat>
          <c:val>
            <c:numRef>
              <c:f>[0]!BotQuart</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82.35294117647058</c:v>
                </c:pt>
                <c:pt idx="44">
                  <c:v>80.412371134020617</c:v>
                </c:pt>
                <c:pt idx="45">
                  <c:v>80</c:v>
                </c:pt>
                <c:pt idx="46">
                  <c:v>79.234972677595621</c:v>
                </c:pt>
                <c:pt idx="47">
                  <c:v>78.94736842105263</c:v>
                </c:pt>
                <c:pt idx="48">
                  <c:v>77.685950413223139</c:v>
                </c:pt>
                <c:pt idx="49">
                  <c:v>72.972972972972968</c:v>
                </c:pt>
                <c:pt idx="50">
                  <c:v>72.448979591836732</c:v>
                </c:pt>
                <c:pt idx="51">
                  <c:v>71.428571428571431</c:v>
                </c:pt>
                <c:pt idx="52">
                  <c:v>69.696969696969703</c:v>
                </c:pt>
                <c:pt idx="53">
                  <c:v>68.376068376068375</c:v>
                </c:pt>
                <c:pt idx="54">
                  <c:v>62.711864406779661</c:v>
                </c:pt>
                <c:pt idx="55">
                  <c:v>59.482758620689658</c:v>
                </c:pt>
                <c:pt idx="56">
                  <c:v>45.454545454545453</c:v>
                </c:pt>
                <c:pt idx="57">
                  <c:v>40.909090909090914</c:v>
                </c:pt>
              </c:numCache>
            </c:numRef>
          </c:val>
          <c:extLst>
            <c:ext xmlns:c16="http://schemas.microsoft.com/office/drawing/2014/chart" uri="{C3380CC4-5D6E-409C-BE32-E72D297353CC}">
              <c16:uniqueId val="{00000003-5757-42BF-99A8-BA1B0D0DE3A0}"/>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8"/>
                <c:pt idx="17">
                  <c:v>u</c:v>
                </c:pt>
              </c:strCache>
            </c:strRef>
          </c:cat>
          <c:val>
            <c:numRef>
              <c:f>[0]!MarkData</c:f>
              <c:numCache>
                <c:formatCode>0.00</c:formatCode>
                <c:ptCount val="58"/>
                <c:pt idx="0">
                  <c:v>100</c:v>
                </c:pt>
                <c:pt idx="1">
                  <c:v>100</c:v>
                </c:pt>
                <c:pt idx="2">
                  <c:v>100</c:v>
                </c:pt>
                <c:pt idx="3">
                  <c:v>100</c:v>
                </c:pt>
                <c:pt idx="4">
                  <c:v>100</c:v>
                </c:pt>
                <c:pt idx="5">
                  <c:v>100</c:v>
                </c:pt>
                <c:pt idx="6">
                  <c:v>100</c:v>
                </c:pt>
                <c:pt idx="7">
                  <c:v>100</c:v>
                </c:pt>
                <c:pt idx="8">
                  <c:v>100</c:v>
                </c:pt>
                <c:pt idx="9">
                  <c:v>100</c:v>
                </c:pt>
                <c:pt idx="10">
                  <c:v>100</c:v>
                </c:pt>
                <c:pt idx="11">
                  <c:v>97.777777777777771</c:v>
                </c:pt>
                <c:pt idx="12">
                  <c:v>96.666666666666671</c:v>
                </c:pt>
                <c:pt idx="13">
                  <c:v>96.05263157894737</c:v>
                </c:pt>
                <c:pt idx="14">
                  <c:v>95.890410958904098</c:v>
                </c:pt>
                <c:pt idx="15">
                  <c:v>95.652173913043484</c:v>
                </c:pt>
                <c:pt idx="16">
                  <c:v>95.121951219512198</c:v>
                </c:pt>
                <c:pt idx="17">
                  <c:v>94.444444444444443</c:v>
                </c:pt>
                <c:pt idx="18">
                  <c:v>94.444444444444443</c:v>
                </c:pt>
                <c:pt idx="19">
                  <c:v>94.285714285714278</c:v>
                </c:pt>
                <c:pt idx="20">
                  <c:v>94.117647058823522</c:v>
                </c:pt>
                <c:pt idx="21">
                  <c:v>93.939393939393938</c:v>
                </c:pt>
                <c:pt idx="22">
                  <c:v>93.939393939393938</c:v>
                </c:pt>
                <c:pt idx="23">
                  <c:v>93.684210526315795</c:v>
                </c:pt>
                <c:pt idx="24">
                  <c:v>92.682926829268297</c:v>
                </c:pt>
                <c:pt idx="25">
                  <c:v>92</c:v>
                </c:pt>
                <c:pt idx="26">
                  <c:v>91.379310344827587</c:v>
                </c:pt>
                <c:pt idx="27">
                  <c:v>90.476190476190482</c:v>
                </c:pt>
                <c:pt idx="28">
                  <c:v>90</c:v>
                </c:pt>
                <c:pt idx="29">
                  <c:v>89.393939393939391</c:v>
                </c:pt>
                <c:pt idx="30">
                  <c:v>89.285714285714292</c:v>
                </c:pt>
                <c:pt idx="31">
                  <c:v>89.285714285714292</c:v>
                </c:pt>
                <c:pt idx="32">
                  <c:v>88.118811881188122</c:v>
                </c:pt>
                <c:pt idx="33">
                  <c:v>87.5</c:v>
                </c:pt>
                <c:pt idx="34">
                  <c:v>87.096774193548384</c:v>
                </c:pt>
                <c:pt idx="35">
                  <c:v>87.037037037037038</c:v>
                </c:pt>
                <c:pt idx="36">
                  <c:v>86.666666666666671</c:v>
                </c:pt>
                <c:pt idx="37">
                  <c:v>86.666666666666671</c:v>
                </c:pt>
                <c:pt idx="38">
                  <c:v>86.666666666666671</c:v>
                </c:pt>
                <c:pt idx="39">
                  <c:v>86.36363636363636</c:v>
                </c:pt>
                <c:pt idx="40">
                  <c:v>85.276073619631902</c:v>
                </c:pt>
                <c:pt idx="41">
                  <c:v>83.333333333333343</c:v>
                </c:pt>
                <c:pt idx="42">
                  <c:v>83.333333333333343</c:v>
                </c:pt>
                <c:pt idx="43">
                  <c:v>82.35294117647058</c:v>
                </c:pt>
                <c:pt idx="44">
                  <c:v>80.412371134020617</c:v>
                </c:pt>
                <c:pt idx="45">
                  <c:v>80</c:v>
                </c:pt>
                <c:pt idx="46">
                  <c:v>79.234972677595621</c:v>
                </c:pt>
                <c:pt idx="47">
                  <c:v>78.94736842105263</c:v>
                </c:pt>
                <c:pt idx="48">
                  <c:v>77.685950413223139</c:v>
                </c:pt>
                <c:pt idx="49">
                  <c:v>72.972972972972968</c:v>
                </c:pt>
                <c:pt idx="50">
                  <c:v>72.448979591836732</c:v>
                </c:pt>
                <c:pt idx="51">
                  <c:v>71.428571428571431</c:v>
                </c:pt>
                <c:pt idx="52">
                  <c:v>69.696969696969703</c:v>
                </c:pt>
                <c:pt idx="53">
                  <c:v>68.376068376068375</c:v>
                </c:pt>
                <c:pt idx="54">
                  <c:v>62.711864406779661</c:v>
                </c:pt>
                <c:pt idx="55">
                  <c:v>59.482758620689658</c:v>
                </c:pt>
                <c:pt idx="56">
                  <c:v>45.454545454545453</c:v>
                </c:pt>
                <c:pt idx="57">
                  <c:v>40.909090909090914</c:v>
                </c:pt>
              </c:numCache>
            </c:numRef>
          </c:val>
          <c:extLst>
            <c:ext xmlns:c16="http://schemas.microsoft.com/office/drawing/2014/chart" uri="{C3380CC4-5D6E-409C-BE32-E72D297353CC}">
              <c16:uniqueId val="{00000004-5757-42BF-99A8-BA1B0D0DE3A0}"/>
            </c:ext>
          </c:extLst>
        </c:ser>
        <c:dLbls>
          <c:showLegendKey val="0"/>
          <c:showVal val="0"/>
          <c:showCatName val="0"/>
          <c:showSerName val="0"/>
          <c:showPercent val="0"/>
          <c:showBubbleSize val="0"/>
        </c:dLbls>
        <c:gapWidth val="0"/>
        <c:overlap val="100"/>
        <c:axId val="110697088"/>
        <c:axId val="117178368"/>
      </c:barChart>
      <c:catAx>
        <c:axId val="110697088"/>
        <c:scaling>
          <c:orientation val="minMax"/>
        </c:scaling>
        <c:delete val="0"/>
        <c:axPos val="b"/>
        <c:numFmt formatCode="General" sourceLinked="1"/>
        <c:majorTickMark val="none"/>
        <c:minorTickMark val="none"/>
        <c:tickLblPos val="none"/>
        <c:crossAx val="117178368"/>
        <c:crosses val="autoZero"/>
        <c:auto val="1"/>
        <c:lblAlgn val="ctr"/>
        <c:lblOffset val="100"/>
        <c:noMultiLvlLbl val="0"/>
      </c:catAx>
      <c:valAx>
        <c:axId val="117178368"/>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110697088"/>
        <c:crosses val="autoZero"/>
        <c:crossBetween val="between"/>
      </c:valAx>
      <c:spPr>
        <a:ln>
          <a:noFill/>
        </a:ln>
      </c:spPr>
    </c:plotArea>
    <c:plotVisOnly val="1"/>
    <c:dispBlanksAs val="gap"/>
    <c:showDLblsOverMax val="0"/>
  </c:chart>
  <c:spPr>
    <a:ln>
      <a:noFill/>
    </a:ln>
  </c:spPr>
  <c:printSettings>
    <c:headerFooter alignWithMargins="0"/>
    <c:pageMargins b="0.75000000000000799" l="0.70000000000000062" r="0.70000000000000062" t="0.75000000000000799"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071"/>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FE5D-4C70-94DE-CDB4C3FB22C2}"/>
              </c:ext>
            </c:extLst>
          </c:dPt>
          <c:cat>
            <c:strRef>
              <c:f>Profile!$D$48:$D$53</c:f>
              <c:strCache>
                <c:ptCount val="4"/>
                <c:pt idx="0">
                  <c:v>Cheshire East</c:v>
                </c:pt>
                <c:pt idx="1">
                  <c:v>Unitaries</c:v>
                </c:pt>
                <c:pt idx="2">
                  <c:v>Regional</c:v>
                </c:pt>
                <c:pt idx="3">
                  <c:v> Rural </c:v>
                </c:pt>
              </c:strCache>
            </c:strRef>
          </c:cat>
          <c:val>
            <c:numRef>
              <c:f>Profile!$E$48:$E$51</c:f>
              <c:numCache>
                <c:formatCode>0.00</c:formatCode>
                <c:ptCount val="4"/>
                <c:pt idx="0">
                  <c:v>94.444444444444443</c:v>
                </c:pt>
                <c:pt idx="1">
                  <c:v>87.080949679493656</c:v>
                </c:pt>
                <c:pt idx="2">
                  <c:v>91.576686404272621</c:v>
                </c:pt>
                <c:pt idx="3">
                  <c:v>82.901648261340299</c:v>
                </c:pt>
              </c:numCache>
            </c:numRef>
          </c:val>
          <c:extLst>
            <c:ext xmlns:c16="http://schemas.microsoft.com/office/drawing/2014/chart" uri="{C3380CC4-5D6E-409C-BE32-E72D297353CC}">
              <c16:uniqueId val="{00000001-FE5D-4C70-94DE-CDB4C3FB22C2}"/>
            </c:ext>
          </c:extLst>
        </c:ser>
        <c:dLbls>
          <c:showLegendKey val="0"/>
          <c:showVal val="0"/>
          <c:showCatName val="0"/>
          <c:showSerName val="0"/>
          <c:showPercent val="0"/>
          <c:showBubbleSize val="0"/>
        </c:dLbls>
        <c:gapWidth val="39"/>
        <c:overlap val="100"/>
        <c:axId val="118144000"/>
        <c:axId val="129446656"/>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95.830851697438945</c:v>
                </c:pt>
                <c:pt idx="1">
                  <c:v>95.830851697438945</c:v>
                </c:pt>
                <c:pt idx="2">
                  <c:v>95.830851697438945</c:v>
                </c:pt>
                <c:pt idx="3">
                  <c:v>95.830851697438945</c:v>
                </c:pt>
              </c:numCache>
            </c:numRef>
          </c:val>
          <c:smooth val="0"/>
          <c:extLst>
            <c:ext xmlns:c16="http://schemas.microsoft.com/office/drawing/2014/chart" uri="{C3380CC4-5D6E-409C-BE32-E72D297353CC}">
              <c16:uniqueId val="{00000002-FE5D-4C70-94DE-CDB4C3FB22C2}"/>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89.696969696969688</c:v>
                </c:pt>
                <c:pt idx="1">
                  <c:v>89.696969696969688</c:v>
                </c:pt>
                <c:pt idx="2">
                  <c:v>89.696969696969688</c:v>
                </c:pt>
                <c:pt idx="3">
                  <c:v>89.696969696969688</c:v>
                </c:pt>
              </c:numCache>
            </c:numRef>
          </c:val>
          <c:smooth val="0"/>
          <c:extLst>
            <c:ext xmlns:c16="http://schemas.microsoft.com/office/drawing/2014/chart" uri="{C3380CC4-5D6E-409C-BE32-E72D297353CC}">
              <c16:uniqueId val="{00000003-FE5D-4C70-94DE-CDB4C3FB22C2}"/>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82.598039215686271</c:v>
                </c:pt>
                <c:pt idx="1">
                  <c:v>82.598039215686271</c:v>
                </c:pt>
                <c:pt idx="2">
                  <c:v>82.598039215686271</c:v>
                </c:pt>
                <c:pt idx="3">
                  <c:v>82.598039215686271</c:v>
                </c:pt>
              </c:numCache>
            </c:numRef>
          </c:val>
          <c:smooth val="0"/>
          <c:extLst>
            <c:ext xmlns:c16="http://schemas.microsoft.com/office/drawing/2014/chart" uri="{C3380CC4-5D6E-409C-BE32-E72D297353CC}">
              <c16:uniqueId val="{00000004-FE5D-4C70-94DE-CDB4C3FB22C2}"/>
            </c:ext>
          </c:extLst>
        </c:ser>
        <c:dLbls>
          <c:showLegendKey val="0"/>
          <c:showVal val="0"/>
          <c:showCatName val="0"/>
          <c:showSerName val="0"/>
          <c:showPercent val="0"/>
          <c:showBubbleSize val="0"/>
        </c:dLbls>
        <c:marker val="1"/>
        <c:smooth val="0"/>
        <c:axId val="118144000"/>
        <c:axId val="129446656"/>
      </c:lineChart>
      <c:catAx>
        <c:axId val="118144000"/>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129446656"/>
        <c:crosses val="autoZero"/>
        <c:auto val="1"/>
        <c:lblAlgn val="ctr"/>
        <c:lblOffset val="100"/>
        <c:noMultiLvlLbl val="0"/>
      </c:catAx>
      <c:valAx>
        <c:axId val="129446656"/>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118144000"/>
        <c:crosses val="autoZero"/>
        <c:crossBetween val="between"/>
      </c:valAx>
    </c:plotArea>
    <c:legend>
      <c:legendPos val="b"/>
      <c:legendEntry>
        <c:idx val="0"/>
        <c:delete val="1"/>
      </c:legendEntry>
      <c:layout>
        <c:manualLayout>
          <c:xMode val="edge"/>
          <c:yMode val="edge"/>
          <c:x val="0.1012078373924179"/>
          <c:y val="0.909169445914358"/>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766" l="0.70000000000000062" r="0.70000000000000062" t="0.7500000000000076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8004E-2"/>
          <c:y val="6.0725521892544924E-2"/>
          <c:w val="0.93589299789538694"/>
          <c:h val="0.66660374406842393"/>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DA9F-4B7E-AE62-25FD22282643}"/>
              </c:ext>
            </c:extLst>
          </c:dPt>
          <c:cat>
            <c:strRef>
              <c:f>Profile!$F$118:$F$121</c:f>
              <c:strCache>
                <c:ptCount val="4"/>
                <c:pt idx="0">
                  <c:v>Cheshire East</c:v>
                </c:pt>
                <c:pt idx="1">
                  <c:v>Predominantly Rural</c:v>
                </c:pt>
                <c:pt idx="2">
                  <c:v>Predominantly Urban</c:v>
                </c:pt>
                <c:pt idx="3">
                  <c:v>Urban with Significant Rural</c:v>
                </c:pt>
              </c:strCache>
            </c:strRef>
          </c:cat>
          <c:val>
            <c:numRef>
              <c:f>Profile!$G$118:$G$121</c:f>
              <c:numCache>
                <c:formatCode>0.00</c:formatCode>
                <c:ptCount val="4"/>
                <c:pt idx="0">
                  <c:v>94.444444444444443</c:v>
                </c:pt>
                <c:pt idx="1">
                  <c:v>80.431666049516977</c:v>
                </c:pt>
                <c:pt idx="2">
                  <c:v>89.779847708590623</c:v>
                </c:pt>
                <c:pt idx="3">
                  <c:v>84.897476123334798</c:v>
                </c:pt>
              </c:numCache>
            </c:numRef>
          </c:val>
          <c:extLst>
            <c:ext xmlns:c16="http://schemas.microsoft.com/office/drawing/2014/chart" uri="{C3380CC4-5D6E-409C-BE32-E72D297353CC}">
              <c16:uniqueId val="{00000001-DA9F-4B7E-AE62-25FD22282643}"/>
            </c:ext>
          </c:extLst>
        </c:ser>
        <c:dLbls>
          <c:showLegendKey val="0"/>
          <c:showVal val="0"/>
          <c:showCatName val="0"/>
          <c:showSerName val="0"/>
          <c:showPercent val="0"/>
          <c:showBubbleSize val="0"/>
        </c:dLbls>
        <c:gapWidth val="39"/>
        <c:overlap val="100"/>
        <c:axId val="132970368"/>
        <c:axId val="132971904"/>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95.830851697438945</c:v>
                </c:pt>
                <c:pt idx="1">
                  <c:v>95.830851697438945</c:v>
                </c:pt>
                <c:pt idx="2">
                  <c:v>95.830851697438945</c:v>
                </c:pt>
                <c:pt idx="3">
                  <c:v>95.830851697438945</c:v>
                </c:pt>
              </c:numCache>
            </c:numRef>
          </c:val>
          <c:smooth val="0"/>
          <c:extLst>
            <c:ext xmlns:c16="http://schemas.microsoft.com/office/drawing/2014/chart" uri="{C3380CC4-5D6E-409C-BE32-E72D297353CC}">
              <c16:uniqueId val="{00000002-DA9F-4B7E-AE62-25FD22282643}"/>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89.696969696969688</c:v>
                </c:pt>
                <c:pt idx="1">
                  <c:v>89.696969696969688</c:v>
                </c:pt>
                <c:pt idx="2">
                  <c:v>89.696969696969688</c:v>
                </c:pt>
                <c:pt idx="3">
                  <c:v>89.696969696969688</c:v>
                </c:pt>
              </c:numCache>
            </c:numRef>
          </c:val>
          <c:smooth val="0"/>
          <c:extLst>
            <c:ext xmlns:c16="http://schemas.microsoft.com/office/drawing/2014/chart" uri="{C3380CC4-5D6E-409C-BE32-E72D297353CC}">
              <c16:uniqueId val="{00000003-DA9F-4B7E-AE62-25FD22282643}"/>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82.598039215686271</c:v>
                </c:pt>
                <c:pt idx="1">
                  <c:v>82.598039215686271</c:v>
                </c:pt>
                <c:pt idx="2">
                  <c:v>82.598039215686271</c:v>
                </c:pt>
                <c:pt idx="3">
                  <c:v>82.598039215686271</c:v>
                </c:pt>
              </c:numCache>
            </c:numRef>
          </c:val>
          <c:smooth val="0"/>
          <c:extLst>
            <c:ext xmlns:c16="http://schemas.microsoft.com/office/drawing/2014/chart" uri="{C3380CC4-5D6E-409C-BE32-E72D297353CC}">
              <c16:uniqueId val="{00000004-DA9F-4B7E-AE62-25FD22282643}"/>
            </c:ext>
          </c:extLst>
        </c:ser>
        <c:dLbls>
          <c:showLegendKey val="0"/>
          <c:showVal val="0"/>
          <c:showCatName val="0"/>
          <c:showSerName val="0"/>
          <c:showPercent val="0"/>
          <c:showBubbleSize val="0"/>
        </c:dLbls>
        <c:marker val="1"/>
        <c:smooth val="0"/>
        <c:axId val="132970368"/>
        <c:axId val="132971904"/>
      </c:lineChart>
      <c:catAx>
        <c:axId val="13297036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32971904"/>
        <c:crosses val="autoZero"/>
        <c:auto val="1"/>
        <c:lblAlgn val="ctr"/>
        <c:lblOffset val="100"/>
        <c:noMultiLvlLbl val="0"/>
      </c:catAx>
      <c:valAx>
        <c:axId val="132971904"/>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297036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788" l="0.70000000000000062" r="0.70000000000000062" t="0.75000000000000788"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69"/>
  <sheetViews>
    <sheetView showGridLines="0" tabSelected="1" zoomScaleNormal="100" workbookViewId="0">
      <selection activeCell="J5" sqref="J5:S6"/>
    </sheetView>
  </sheetViews>
  <sheetFormatPr defaultColWidth="0" defaultRowHeight="13.2" zeroHeight="1"/>
  <cols>
    <col min="1" max="1" width="0.6640625" customWidth="1"/>
    <col min="2" max="39" width="2.44140625" customWidth="1"/>
    <col min="40" max="40" width="2.33203125" customWidth="1"/>
    <col min="41" max="41" width="3" customWidth="1"/>
  </cols>
  <sheetData>
    <row r="1" spans="2:40" ht="19.5" customHeight="1">
      <c r="B1" s="304" t="str">
        <f>VLOOKUP('Filtered Data'!D1,'Filtered Data'!L1:O6,3,FALSE)</f>
        <v>Unitary</v>
      </c>
      <c r="C1" s="304"/>
      <c r="D1" s="304"/>
      <c r="E1" s="304"/>
      <c r="F1" s="304"/>
      <c r="G1" s="304"/>
      <c r="H1" s="304"/>
      <c r="I1" s="304"/>
      <c r="J1" s="304"/>
      <c r="K1" s="304"/>
      <c r="L1" s="304"/>
      <c r="M1" s="304"/>
      <c r="N1" s="304"/>
      <c r="O1" s="304"/>
      <c r="P1" s="304"/>
      <c r="Q1" s="304"/>
      <c r="R1" s="304"/>
      <c r="S1" s="304"/>
      <c r="T1" s="304"/>
      <c r="U1" s="304"/>
      <c r="V1" s="304"/>
      <c r="W1" s="304"/>
      <c r="X1" s="304"/>
      <c r="Y1" s="304"/>
      <c r="Z1" s="304"/>
      <c r="AA1" s="304"/>
      <c r="AB1" s="304"/>
      <c r="AC1" s="304"/>
      <c r="AD1" s="304"/>
      <c r="AE1" s="304"/>
      <c r="AF1" s="304"/>
      <c r="AG1" s="304"/>
      <c r="AH1" s="304"/>
      <c r="AI1" s="304"/>
      <c r="AJ1" s="304"/>
      <c r="AK1" s="304"/>
      <c r="AL1" s="304"/>
      <c r="AM1" s="304"/>
      <c r="AN1" s="304"/>
    </row>
    <row r="2" spans="2:40"/>
    <row r="3" spans="2:40" ht="19.5" customHeight="1">
      <c r="B3" s="309" t="str">
        <f>Data!B3</f>
        <v>Planning Application Turnaround</v>
      </c>
      <c r="C3" s="309"/>
      <c r="D3" s="309"/>
      <c r="E3" s="309"/>
      <c r="F3" s="309"/>
      <c r="G3" s="309"/>
      <c r="H3" s="309"/>
      <c r="I3" s="309"/>
      <c r="J3" s="309"/>
      <c r="K3" s="309"/>
      <c r="L3" s="309"/>
      <c r="M3" s="309"/>
      <c r="N3" s="309"/>
      <c r="O3" s="309"/>
      <c r="P3" s="309"/>
      <c r="Q3" s="309"/>
      <c r="R3" s="309"/>
      <c r="S3" s="309"/>
      <c r="T3" s="309"/>
      <c r="U3" s="309"/>
      <c r="V3" s="309"/>
      <c r="W3" s="309"/>
      <c r="X3" s="309"/>
      <c r="Y3" s="309"/>
      <c r="Z3" s="309"/>
      <c r="AA3" s="309"/>
      <c r="AB3" s="309"/>
      <c r="AC3" s="309"/>
      <c r="AD3" s="309"/>
      <c r="AE3" s="309"/>
      <c r="AF3" s="309"/>
      <c r="AG3" s="309"/>
      <c r="AH3" s="309"/>
      <c r="AI3" s="309"/>
      <c r="AJ3" s="309"/>
      <c r="AK3" s="309"/>
      <c r="AL3" s="309"/>
      <c r="AM3" s="309"/>
      <c r="AN3" s="309"/>
    </row>
    <row r="4" spans="2:40">
      <c r="D4" s="3"/>
      <c r="E4" s="3"/>
    </row>
    <row r="5" spans="2:40" ht="15.75" customHeight="1">
      <c r="B5" s="275" t="s">
        <v>334</v>
      </c>
      <c r="C5" s="275"/>
      <c r="D5" s="275"/>
      <c r="E5" s="275"/>
      <c r="J5" s="279" t="s">
        <v>304</v>
      </c>
      <c r="K5" s="279"/>
      <c r="L5" s="279"/>
      <c r="M5" s="279"/>
      <c r="N5" s="279"/>
      <c r="O5" s="279"/>
      <c r="P5" s="279"/>
      <c r="Q5" s="279"/>
      <c r="R5" s="279"/>
      <c r="S5" s="279"/>
      <c r="W5" s="312" t="s">
        <v>361</v>
      </c>
      <c r="X5" s="313"/>
      <c r="Y5" s="313"/>
      <c r="Z5" s="313"/>
      <c r="AA5" s="313"/>
      <c r="AB5" s="313"/>
      <c r="AC5" s="313"/>
      <c r="AD5" s="313"/>
      <c r="AE5" s="313"/>
      <c r="AF5" s="313"/>
      <c r="AG5" s="313"/>
      <c r="AH5" s="313"/>
      <c r="AI5" s="313"/>
      <c r="AJ5" s="313"/>
      <c r="AK5" s="313"/>
      <c r="AL5" s="313"/>
      <c r="AM5" s="314"/>
    </row>
    <row r="6" spans="2:40" ht="17.25" customHeight="1">
      <c r="J6" s="279"/>
      <c r="K6" s="279"/>
      <c r="L6" s="279"/>
      <c r="M6" s="279"/>
      <c r="N6" s="279"/>
      <c r="O6" s="279"/>
      <c r="P6" s="279"/>
      <c r="Q6" s="279"/>
      <c r="R6" s="279"/>
      <c r="S6" s="279"/>
      <c r="W6" s="315" t="s">
        <v>888</v>
      </c>
      <c r="X6" s="316"/>
      <c r="Y6" s="316"/>
      <c r="Z6" s="316"/>
      <c r="AA6" s="316"/>
      <c r="AB6" s="316"/>
      <c r="AC6" s="316"/>
      <c r="AD6" s="316"/>
      <c r="AE6" s="316"/>
      <c r="AF6" s="316"/>
      <c r="AG6" s="316"/>
      <c r="AH6" s="316"/>
      <c r="AI6" s="316"/>
      <c r="AJ6" s="316"/>
      <c r="AK6" s="316"/>
      <c r="AL6" s="316"/>
      <c r="AM6" s="317"/>
    </row>
    <row r="7" spans="2:40" ht="12.75" customHeight="1">
      <c r="W7" s="315"/>
      <c r="X7" s="316"/>
      <c r="Y7" s="316"/>
      <c r="Z7" s="316"/>
      <c r="AA7" s="316"/>
      <c r="AB7" s="316"/>
      <c r="AC7" s="316"/>
      <c r="AD7" s="316"/>
      <c r="AE7" s="316"/>
      <c r="AF7" s="316"/>
      <c r="AG7" s="316"/>
      <c r="AH7" s="316"/>
      <c r="AI7" s="316"/>
      <c r="AJ7" s="316"/>
      <c r="AK7" s="316"/>
      <c r="AL7" s="316"/>
      <c r="AM7" s="317"/>
    </row>
    <row r="8" spans="2:40" ht="12.75" customHeight="1">
      <c r="B8" s="260" t="str">
        <f>IF('Filtered Data'!D1="L","County:","Type of Authority:")</f>
        <v>Type of Authority:</v>
      </c>
      <c r="C8" s="280"/>
      <c r="D8" s="280"/>
      <c r="E8" s="280"/>
      <c r="F8" s="280"/>
      <c r="G8" s="280"/>
      <c r="H8" s="280"/>
      <c r="I8" s="280"/>
      <c r="J8" s="3" t="str">
        <f>IF('Filtered Data'!D1="L",'Filtered Data'!I3,VLOOKUP('Filtered Data'!D1,'Filtered Data'!L1:O5,3,FALSE))</f>
        <v>Unitary</v>
      </c>
      <c r="K8" s="3"/>
      <c r="L8" s="3"/>
      <c r="M8" s="3"/>
      <c r="N8" s="3"/>
      <c r="O8" s="3"/>
      <c r="P8" s="3"/>
      <c r="Q8" s="3"/>
      <c r="R8" s="3"/>
      <c r="W8" s="315"/>
      <c r="X8" s="316"/>
      <c r="Y8" s="316"/>
      <c r="Z8" s="316"/>
      <c r="AA8" s="316"/>
      <c r="AB8" s="316"/>
      <c r="AC8" s="316"/>
      <c r="AD8" s="316"/>
      <c r="AE8" s="316"/>
      <c r="AF8" s="316"/>
      <c r="AG8" s="316"/>
      <c r="AH8" s="316"/>
      <c r="AI8" s="316"/>
      <c r="AJ8" s="316"/>
      <c r="AK8" s="316"/>
      <c r="AL8" s="316"/>
      <c r="AM8" s="317"/>
    </row>
    <row r="9" spans="2:40" ht="12.75" customHeight="1">
      <c r="B9" s="260" t="str">
        <f>IF('Filtered Data'!D1="L","Rural Classification:","Region:")</f>
        <v>Region:</v>
      </c>
      <c r="C9" s="280"/>
      <c r="D9" s="280"/>
      <c r="E9" s="280"/>
      <c r="F9" s="280"/>
      <c r="G9" s="280"/>
      <c r="H9" s="280"/>
      <c r="I9" s="280"/>
      <c r="J9" s="3" t="str">
        <f>IF('Filtered Data'!D1="L",'Filtered Data'!H3,'Filtered Data'!G3)</f>
        <v>North West</v>
      </c>
      <c r="K9" s="3"/>
      <c r="L9" s="3"/>
      <c r="M9" s="3"/>
      <c r="N9" s="3"/>
      <c r="O9" s="3"/>
      <c r="P9" s="3"/>
      <c r="Q9" s="3"/>
      <c r="R9" s="3"/>
      <c r="W9" s="315"/>
      <c r="X9" s="316"/>
      <c r="Y9" s="316"/>
      <c r="Z9" s="316"/>
      <c r="AA9" s="316"/>
      <c r="AB9" s="316"/>
      <c r="AC9" s="316"/>
      <c r="AD9" s="316"/>
      <c r="AE9" s="316"/>
      <c r="AF9" s="316"/>
      <c r="AG9" s="316"/>
      <c r="AH9" s="316"/>
      <c r="AI9" s="316"/>
      <c r="AJ9" s="316"/>
      <c r="AK9" s="316"/>
      <c r="AL9" s="316"/>
      <c r="AM9" s="317"/>
    </row>
    <row r="10" spans="2:40" ht="12.75" customHeight="1">
      <c r="B10" s="280" t="str">
        <f>IF('Filtered Data'!D1="L","",IF('Filtered Data'!D1="SC","Rural Classification:",IF('Filtered Data'!D1="UA","Rural Classification:","County:")))</f>
        <v>Rural Classification:</v>
      </c>
      <c r="C10" s="280"/>
      <c r="D10" s="280"/>
      <c r="E10" s="280"/>
      <c r="F10" s="280"/>
      <c r="G10" s="280"/>
      <c r="H10" s="280"/>
      <c r="I10" s="280"/>
      <c r="J10" s="260" t="str">
        <f>IF('Filtered Data'!D1="L","",IF('Filtered Data'!D1="MD",'Filtered Data'!I3,IF('Filtered Data'!D1="SD",'Filtered Data'!I3,'Filtered Data'!H3)))</f>
        <v>Urban with Significant Rural</v>
      </c>
      <c r="K10" s="260"/>
      <c r="L10" s="260"/>
      <c r="M10" s="260"/>
      <c r="N10" s="260"/>
      <c r="O10" s="260"/>
      <c r="P10" s="260"/>
      <c r="Q10" s="260"/>
      <c r="R10" s="260"/>
      <c r="W10" s="315"/>
      <c r="X10" s="316"/>
      <c r="Y10" s="316"/>
      <c r="Z10" s="316"/>
      <c r="AA10" s="316"/>
      <c r="AB10" s="316"/>
      <c r="AC10" s="316"/>
      <c r="AD10" s="316"/>
      <c r="AE10" s="316"/>
      <c r="AF10" s="316"/>
      <c r="AG10" s="316"/>
      <c r="AH10" s="316"/>
      <c r="AI10" s="316"/>
      <c r="AJ10" s="316"/>
      <c r="AK10" s="316"/>
      <c r="AL10" s="316"/>
      <c r="AM10" s="317"/>
    </row>
    <row r="11" spans="2:40" ht="12.75" customHeight="1">
      <c r="B11" s="280" t="str">
        <f>IF('Filtered Data'!D1="L","",IF('Filtered Data'!D1="SC","",IF('Filtered Data'!D1="UA","","Rural Classification:")))</f>
        <v/>
      </c>
      <c r="C11" s="280"/>
      <c r="D11" s="280"/>
      <c r="E11" s="280"/>
      <c r="F11" s="280"/>
      <c r="G11" s="280"/>
      <c r="H11" s="280"/>
      <c r="I11" s="280"/>
      <c r="J11" s="3" t="str">
        <f>IF('Filtered Data'!D1="MD",'Filtered Data'!H3,IF('Filtered Data'!D1="SD",'Filtered Data'!H3,""))</f>
        <v/>
      </c>
      <c r="K11" s="3"/>
      <c r="W11" s="321" t="s">
        <v>364</v>
      </c>
      <c r="X11" s="322"/>
      <c r="Y11" s="322"/>
      <c r="Z11" s="322"/>
      <c r="AA11" s="322"/>
      <c r="AB11" s="322"/>
      <c r="AC11" s="322"/>
      <c r="AD11" s="322"/>
      <c r="AE11" s="322"/>
      <c r="AF11" s="322"/>
      <c r="AG11" s="322"/>
      <c r="AH11" s="322"/>
      <c r="AI11" s="322"/>
      <c r="AJ11" s="322"/>
      <c r="AK11" s="322"/>
      <c r="AL11" s="322"/>
      <c r="AM11" s="323"/>
    </row>
    <row r="12" spans="2:40" ht="12.75" customHeight="1">
      <c r="W12" s="306" t="s">
        <v>903</v>
      </c>
      <c r="X12" s="307"/>
      <c r="Y12" s="307"/>
      <c r="Z12" s="307"/>
      <c r="AA12" s="307"/>
      <c r="AB12" s="307"/>
      <c r="AC12" s="307"/>
      <c r="AD12" s="307"/>
      <c r="AE12" s="307"/>
      <c r="AF12" s="307"/>
      <c r="AG12" s="307"/>
      <c r="AH12" s="307"/>
      <c r="AI12" s="307"/>
      <c r="AJ12" s="307"/>
      <c r="AK12" s="307"/>
      <c r="AL12" s="307"/>
      <c r="AM12" s="308"/>
    </row>
    <row r="13" spans="2:40" ht="12.75" customHeight="1">
      <c r="B13" s="19"/>
      <c r="C13" s="19"/>
      <c r="D13" s="19"/>
      <c r="E13" s="19"/>
      <c r="F13" s="19"/>
      <c r="G13" s="19"/>
      <c r="H13" s="19"/>
      <c r="I13" s="19"/>
      <c r="J13" s="3"/>
      <c r="K13" s="3"/>
      <c r="L13" s="3"/>
      <c r="M13" s="3"/>
      <c r="N13" s="3"/>
      <c r="O13" s="3"/>
      <c r="P13" s="3"/>
      <c r="Q13" s="3"/>
      <c r="R13" s="3"/>
      <c r="W13" s="281" t="s">
        <v>365</v>
      </c>
      <c r="X13" s="282"/>
      <c r="Y13" s="282"/>
      <c r="Z13" s="282"/>
      <c r="AA13" s="282"/>
      <c r="AB13" s="282"/>
      <c r="AC13" s="282"/>
      <c r="AD13" s="282"/>
      <c r="AE13" s="282"/>
      <c r="AF13" s="282"/>
      <c r="AG13" s="282"/>
      <c r="AH13" s="282"/>
      <c r="AI13" s="282"/>
      <c r="AJ13" s="282"/>
      <c r="AK13" s="282"/>
      <c r="AL13" s="282"/>
      <c r="AM13" s="283"/>
    </row>
    <row r="14" spans="2:40" ht="25.5" customHeight="1">
      <c r="B14" s="19"/>
      <c r="C14" s="19"/>
      <c r="D14" s="19"/>
      <c r="E14" s="19"/>
      <c r="F14" s="19"/>
      <c r="G14" s="19"/>
      <c r="H14" s="19"/>
      <c r="I14" s="19"/>
      <c r="J14" s="3"/>
      <c r="K14" s="3"/>
      <c r="L14" s="3"/>
      <c r="M14" s="3"/>
      <c r="N14" s="3"/>
      <c r="O14" s="3"/>
      <c r="P14" s="3"/>
      <c r="Q14" s="3"/>
      <c r="R14" s="3"/>
      <c r="W14" s="318" t="str">
        <f>HLOOKUP(W6,Data!4:6,3,FALSE)</f>
        <v>www.gov.uk</v>
      </c>
      <c r="X14" s="319"/>
      <c r="Y14" s="319"/>
      <c r="Z14" s="319"/>
      <c r="AA14" s="319"/>
      <c r="AB14" s="319"/>
      <c r="AC14" s="319"/>
      <c r="AD14" s="319"/>
      <c r="AE14" s="319"/>
      <c r="AF14" s="319"/>
      <c r="AG14" s="319"/>
      <c r="AH14" s="319"/>
      <c r="AI14" s="319"/>
      <c r="AJ14" s="319"/>
      <c r="AK14" s="319"/>
      <c r="AL14" s="319"/>
      <c r="AM14" s="320"/>
    </row>
    <row r="15" spans="2:40"/>
    <row r="16" spans="2:40">
      <c r="B16" s="266" t="str">
        <f>W6&amp;" - "&amp;W12</f>
        <v>Major Developments - % within 13 weeks or agreed time - Year Ending December 2022</v>
      </c>
      <c r="C16" s="267"/>
      <c r="D16" s="267"/>
      <c r="E16" s="267"/>
      <c r="F16" s="267"/>
      <c r="G16" s="267"/>
      <c r="H16" s="267"/>
      <c r="I16" s="267"/>
      <c r="J16" s="267"/>
      <c r="K16" s="267"/>
      <c r="L16" s="267"/>
      <c r="M16" s="267"/>
      <c r="N16" s="267"/>
      <c r="O16" s="267"/>
      <c r="P16" s="267"/>
      <c r="Q16" s="267"/>
      <c r="R16" s="267"/>
      <c r="S16" s="267"/>
      <c r="T16" s="267"/>
      <c r="U16" s="267"/>
      <c r="V16" s="267"/>
      <c r="W16" s="267"/>
      <c r="X16" s="267"/>
      <c r="Y16" s="267"/>
      <c r="Z16" s="267"/>
      <c r="AA16" s="267"/>
      <c r="AB16" s="267"/>
      <c r="AC16" s="267"/>
      <c r="AD16" s="267"/>
      <c r="AE16" s="267"/>
      <c r="AF16" s="267"/>
      <c r="AG16" s="267"/>
      <c r="AH16" s="267"/>
      <c r="AI16" s="267"/>
      <c r="AJ16" s="267"/>
      <c r="AK16" s="267"/>
      <c r="AL16" s="267"/>
      <c r="AM16" s="325"/>
    </row>
    <row r="17" spans="2:42">
      <c r="B17" s="268"/>
      <c r="C17" s="269"/>
      <c r="D17" s="269"/>
      <c r="E17" s="269"/>
      <c r="F17" s="269"/>
      <c r="G17" s="269"/>
      <c r="H17" s="269"/>
      <c r="I17" s="269"/>
      <c r="J17" s="269"/>
      <c r="K17" s="269"/>
      <c r="L17" s="269"/>
      <c r="M17" s="269"/>
      <c r="N17" s="269"/>
      <c r="O17" s="269"/>
      <c r="P17" s="269"/>
      <c r="Q17" s="269"/>
      <c r="R17" s="269"/>
      <c r="S17" s="269"/>
      <c r="T17" s="269"/>
      <c r="U17" s="269"/>
      <c r="V17" s="269"/>
      <c r="W17" s="269"/>
      <c r="X17" s="269"/>
      <c r="Y17" s="269"/>
      <c r="Z17" s="269"/>
      <c r="AA17" s="269"/>
      <c r="AB17" s="269"/>
      <c r="AC17" s="269"/>
      <c r="AD17" s="269"/>
      <c r="AE17" s="269"/>
      <c r="AF17" s="269"/>
      <c r="AG17" s="269"/>
      <c r="AH17" s="269"/>
      <c r="AI17" s="269"/>
      <c r="AJ17" s="269"/>
      <c r="AK17" s="269"/>
      <c r="AL17" s="269"/>
      <c r="AM17" s="326"/>
      <c r="AP17" s="60"/>
    </row>
    <row r="18" spans="2:42">
      <c r="B18" s="5"/>
      <c r="AM18" s="6"/>
      <c r="AP18" s="60"/>
    </row>
    <row r="19" spans="2:42">
      <c r="B19" s="5"/>
      <c r="AM19" s="6"/>
      <c r="AP19" s="60"/>
    </row>
    <row r="20" spans="2:42">
      <c r="B20" s="5"/>
      <c r="AM20" s="6"/>
      <c r="AP20" s="60"/>
    </row>
    <row r="21" spans="2:42">
      <c r="B21" s="5"/>
      <c r="D21" t="str">
        <f>IF('Filtered Data'!D8=".","",'Filtered Data'!D8)</f>
        <v>%</v>
      </c>
      <c r="AM21" s="6"/>
      <c r="AP21" s="60"/>
    </row>
    <row r="22" spans="2:42">
      <c r="B22" s="5"/>
      <c r="D22" t="str">
        <f>'Filtered Data'!D8</f>
        <v>%</v>
      </c>
      <c r="AM22" s="6"/>
      <c r="AP22" s="60"/>
    </row>
    <row r="23" spans="2:42">
      <c r="B23" s="5"/>
      <c r="AM23" s="6"/>
      <c r="AP23" s="60"/>
    </row>
    <row r="24" spans="2:42">
      <c r="B24" s="5"/>
      <c r="AM24" s="6"/>
      <c r="AP24" s="60"/>
    </row>
    <row r="25" spans="2:42">
      <c r="B25" s="5"/>
      <c r="AM25" s="6"/>
      <c r="AP25" s="60"/>
    </row>
    <row r="26" spans="2:42">
      <c r="B26" s="5"/>
      <c r="AM26" s="6"/>
      <c r="AP26" s="60"/>
    </row>
    <row r="27" spans="2:42">
      <c r="B27" s="5"/>
      <c r="AM27" s="6"/>
      <c r="AP27" s="60"/>
    </row>
    <row r="28" spans="2:42">
      <c r="B28" s="5"/>
      <c r="AM28" s="6"/>
      <c r="AP28" s="60"/>
    </row>
    <row r="29" spans="2:42">
      <c r="B29" s="5"/>
      <c r="AM29" s="6"/>
      <c r="AP29" s="60"/>
    </row>
    <row r="30" spans="2:42">
      <c r="B30" s="5"/>
      <c r="AM30" s="6"/>
      <c r="AP30" s="60"/>
    </row>
    <row r="31" spans="2:42">
      <c r="B31" s="5"/>
      <c r="AM31" s="6"/>
      <c r="AP31" s="60"/>
    </row>
    <row r="32" spans="2:42">
      <c r="B32" s="7"/>
      <c r="C32" s="8"/>
      <c r="D32" s="8"/>
      <c r="E32" s="277" t="s">
        <v>340</v>
      </c>
      <c r="F32" s="278"/>
      <c r="G32" s="278"/>
      <c r="H32" s="278"/>
      <c r="I32" s="278"/>
      <c r="J32" s="278"/>
      <c r="K32" s="276">
        <f>IF('Filtered Data'!$H$8="..",'Filtered Data'!O10,'Filtered Data'!O10/100)</f>
        <v>0.95830851697438946</v>
      </c>
      <c r="L32" s="276"/>
      <c r="M32" s="276"/>
      <c r="N32" s="310" t="s">
        <v>351</v>
      </c>
      <c r="O32" s="310"/>
      <c r="P32" s="310"/>
      <c r="Q32" s="310"/>
      <c r="R32" s="310"/>
      <c r="S32" s="310"/>
      <c r="T32" s="276">
        <f>IF('Filtered Data'!$H$8="..",'Filtered Data'!P10,'Filtered Data'!P10/100)</f>
        <v>0.89696969696969686</v>
      </c>
      <c r="U32" s="276"/>
      <c r="V32" s="276"/>
      <c r="W32" s="276"/>
      <c r="X32" s="327" t="s">
        <v>352</v>
      </c>
      <c r="Y32" s="327"/>
      <c r="Z32" s="327"/>
      <c r="AA32" s="327"/>
      <c r="AB32" s="327"/>
      <c r="AC32" s="276">
        <f>IF('Filtered Data'!$H$8="..",'Filtered Data'!Q10,'Filtered Data'!Q10/100)</f>
        <v>0.8259803921568627</v>
      </c>
      <c r="AD32" s="276"/>
      <c r="AE32" s="276"/>
      <c r="AF32" s="311" t="s">
        <v>341</v>
      </c>
      <c r="AG32" s="311"/>
      <c r="AH32" s="311"/>
      <c r="AI32" s="311"/>
      <c r="AJ32" s="311"/>
      <c r="AK32" s="311"/>
      <c r="AL32" s="311"/>
      <c r="AM32" s="9"/>
      <c r="AP32" s="60"/>
    </row>
    <row r="33" spans="2:16384">
      <c r="B33" s="4" t="str">
        <f>"The graph &amp; quartile information show data for all "&amp;V37&amp;" "&amp;VLOOKUP('Filtered Data'!D1,'Filtered Data'!L1:O6,3,FALSE)&amp;" councils in England."</f>
        <v>The graph &amp; quartile information show data for all 58 Unitary councils in England.</v>
      </c>
      <c r="AP33" s="60"/>
    </row>
    <row r="34" spans="2:16384">
      <c r="AO34" s="10"/>
      <c r="AP34" s="6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c r="XEI34" s="10"/>
      <c r="XEJ34" s="10"/>
      <c r="XEK34" s="10"/>
      <c r="XEL34" s="10"/>
      <c r="XEM34" s="10"/>
      <c r="XEN34" s="10"/>
      <c r="XEO34" s="10"/>
      <c r="XEP34" s="10"/>
      <c r="XEQ34" s="10"/>
      <c r="XER34" s="10"/>
      <c r="XES34" s="10"/>
      <c r="XET34" s="10"/>
      <c r="XEU34" s="10"/>
      <c r="XEV34" s="10"/>
      <c r="XEW34" s="10"/>
      <c r="XEX34" s="10"/>
      <c r="XEY34" s="10"/>
      <c r="XEZ34" s="10"/>
      <c r="XFA34" s="10"/>
      <c r="XFB34" s="10"/>
      <c r="XFC34" s="10"/>
      <c r="XFD34" s="10"/>
    </row>
    <row r="35" spans="2:16384">
      <c r="B35" s="98" t="str">
        <f>J5</f>
        <v>Cheshire East</v>
      </c>
      <c r="C35" s="98"/>
      <c r="D35" s="98"/>
      <c r="E35" s="98"/>
      <c r="F35" s="98"/>
      <c r="G35" s="98"/>
      <c r="H35" s="98"/>
      <c r="I35" s="98"/>
      <c r="J35" s="98"/>
      <c r="K35" s="99" t="s">
        <v>355</v>
      </c>
      <c r="L35" s="324">
        <f>IF(ISERROR(IF('Filtered Data'!$H$8="%.",(VLOOKUP(J5,'Filtered Data'!C:H,4,FALSE))/100,(VLOOKUP(J5,'Filtered Data'!C:H,4,FALSE)))),"",(IF('Filtered Data'!$H$8="%.",(VLOOKUP(J5,'Filtered Data'!C:H,4,FALSE))/100,(VLOOKUP(J5,'Filtered Data'!C:H,4,FALSE)))))</f>
        <v>0.94444444444444442</v>
      </c>
      <c r="M35" s="324"/>
      <c r="N35" s="324"/>
      <c r="O35" s="324"/>
      <c r="P35" s="100"/>
      <c r="Q35" s="324" t="s">
        <v>353</v>
      </c>
      <c r="R35" s="324"/>
      <c r="S35" s="324"/>
      <c r="T35" s="324"/>
      <c r="U35" s="324"/>
      <c r="V35" s="324"/>
      <c r="W35" s="324"/>
      <c r="AP35" s="60"/>
    </row>
    <row r="36" spans="2:16384" ht="12.75" customHeight="1">
      <c r="B36" s="328" t="str">
        <f>'Filtered Data'!R8&amp;" Quartile"</f>
        <v>Second Quartile</v>
      </c>
      <c r="C36" s="328"/>
      <c r="D36" s="328"/>
      <c r="E36" s="328"/>
      <c r="F36" s="328"/>
      <c r="G36" s="328"/>
      <c r="H36" s="328"/>
      <c r="I36" s="328"/>
      <c r="J36" s="328"/>
      <c r="K36" s="328"/>
      <c r="L36" s="328"/>
      <c r="M36" s="328"/>
      <c r="N36" s="328"/>
      <c r="O36" s="328"/>
      <c r="P36" s="328"/>
      <c r="Q36" s="328"/>
      <c r="R36" s="328"/>
      <c r="S36" s="328"/>
      <c r="T36" s="328"/>
      <c r="U36" s="328"/>
      <c r="V36" s="328"/>
      <c r="W36" s="328"/>
      <c r="Z36" s="17" t="s">
        <v>357</v>
      </c>
      <c r="AB36" s="287" t="s">
        <v>359</v>
      </c>
      <c r="AC36" s="287"/>
      <c r="AD36" s="287"/>
      <c r="AE36" s="287"/>
      <c r="AF36" s="287"/>
      <c r="AG36" s="287"/>
      <c r="AH36" s="287"/>
      <c r="AI36" s="287"/>
      <c r="AJ36" s="287"/>
      <c r="AK36" s="287"/>
      <c r="AL36" s="287"/>
      <c r="AM36" s="118"/>
      <c r="AP36" s="60"/>
    </row>
    <row r="37" spans="2:16384" ht="12.75" customHeight="1">
      <c r="B37" s="101" t="str">
        <f>VLOOKUP('Filtered Data'!D1,'Filtered Data'!L1:O6,2,FALSE)</f>
        <v>Unitaries</v>
      </c>
      <c r="C37" s="101"/>
      <c r="D37" s="101"/>
      <c r="E37" s="101"/>
      <c r="F37" s="101"/>
      <c r="G37" s="101"/>
      <c r="H37" s="101"/>
      <c r="I37" s="101"/>
      <c r="J37" s="329" t="s">
        <v>798</v>
      </c>
      <c r="K37" s="102" t="str">
        <f>IF(Q37="","",IF('Filtered Data'!I8="D",IF($L$35&gt;=L37,"J","L"),IF('Filtered Data'!I8="A",IF($L$35&lt;=L37,"J","L"))))</f>
        <v>J</v>
      </c>
      <c r="L37" s="298">
        <f>'Filtered Data'!M9</f>
        <v>0.87080949679493658</v>
      </c>
      <c r="M37" s="298"/>
      <c r="N37" s="298"/>
      <c r="O37" s="298"/>
      <c r="P37" s="103"/>
      <c r="Q37" s="301">
        <f>VLOOKUP(J5,'Filtered Data'!C:I,7,FALSE)</f>
        <v>18</v>
      </c>
      <c r="R37" s="301"/>
      <c r="S37" s="104"/>
      <c r="T37" s="105" t="s">
        <v>354</v>
      </c>
      <c r="U37" s="106"/>
      <c r="V37" s="301">
        <f>COUNT('Filtered Data'!I11:I349)</f>
        <v>58</v>
      </c>
      <c r="W37" s="301"/>
      <c r="AB37" s="287"/>
      <c r="AC37" s="287"/>
      <c r="AD37" s="287"/>
      <c r="AE37" s="287"/>
      <c r="AF37" s="287"/>
      <c r="AG37" s="287"/>
      <c r="AH37" s="287"/>
      <c r="AI37" s="287"/>
      <c r="AJ37" s="287"/>
      <c r="AK37" s="287"/>
      <c r="AL37" s="287"/>
      <c r="AM37" s="118"/>
      <c r="AP37" s="60"/>
    </row>
    <row r="38" spans="2:16384">
      <c r="B38" s="101" t="str">
        <f>IF('Filtered Data'!D1="L","Family",IF('Filtered Data'!D1="SD",VLOOKUP(J5,classifications!C:J,6,FALSE),"Rural"))</f>
        <v>Rural</v>
      </c>
      <c r="C38" s="101"/>
      <c r="D38" s="101"/>
      <c r="E38" s="101"/>
      <c r="F38" s="101"/>
      <c r="G38" s="101"/>
      <c r="H38" s="101"/>
      <c r="I38" s="101"/>
      <c r="J38" s="330"/>
      <c r="K38" s="102" t="str">
        <f>IF(Q38="","",IF('Filtered Data'!I8="D",IF($L$35&gt;=L38,"J","L"),IF('Filtered Data'!I8="A",IF($L$35&lt;=L38,"J","L"))))</f>
        <v>J</v>
      </c>
      <c r="L38" s="298">
        <f>IF('Filtered Data'!D1="L",'Filtered Data'!AG9,'Filtered Data'!Y9)</f>
        <v>0.82901648261340299</v>
      </c>
      <c r="M38" s="298"/>
      <c r="N38" s="298"/>
      <c r="O38" s="298"/>
      <c r="P38" s="103"/>
      <c r="Q38" s="303">
        <f>IF(ISERROR(IF('Filtered Data'!D1="L",VLOOKUP(J5,'Filtered Data'!AF11:AH25,3,FALSE),VLOOKUP(J5,'Filtered Data'!$L$11:$Z$349,15,FALSE))),"",(IF('Filtered Data'!D1="L",VLOOKUP(J5,'Filtered Data'!AF11:AH25,3,FALSE),VLOOKUP(J5,'Filtered Data'!$L$11:$Z$349,15,FALSE))))</f>
        <v>3</v>
      </c>
      <c r="R38" s="303"/>
      <c r="S38" s="331" t="s">
        <v>354</v>
      </c>
      <c r="T38" s="298"/>
      <c r="U38" s="298"/>
      <c r="V38" s="301">
        <f>IF('Filtered Data'!D1="L",16,COUNT('Filtered Data'!Z:Z))</f>
        <v>21</v>
      </c>
      <c r="W38" s="301"/>
      <c r="AB38" s="118"/>
      <c r="AC38" s="118"/>
      <c r="AD38" s="118"/>
      <c r="AE38" s="118"/>
      <c r="AF38" s="118"/>
      <c r="AG38" s="118"/>
      <c r="AH38" s="118"/>
      <c r="AI38" s="118"/>
      <c r="AJ38" s="118"/>
      <c r="AK38" s="118"/>
      <c r="AL38" s="118"/>
      <c r="AM38" s="118"/>
      <c r="AP38" s="60"/>
    </row>
    <row r="39" spans="2:16384">
      <c r="B39" s="101" t="str">
        <f>IF('Filtered Data'!D1="L","",IF('Filtered Data'!D1="SD",J10,"Regional"))</f>
        <v>Regional</v>
      </c>
      <c r="C39" s="101"/>
      <c r="D39" s="101"/>
      <c r="E39" s="101"/>
      <c r="F39" s="101"/>
      <c r="G39" s="101"/>
      <c r="H39" s="101"/>
      <c r="I39" s="101"/>
      <c r="J39" s="330"/>
      <c r="K39" s="102" t="str">
        <f>IF(Q39="","",IF('Filtered Data'!I8="D",IF($L$35&gt;=L39,"J","L"),IF('Filtered Data'!I8="A",IF($L$35&lt;=L39,"J","L"))))</f>
        <v>J</v>
      </c>
      <c r="L39" s="298">
        <f>IF('Filtered Data'!D1="L","",IF('Filtered Data'!D1="SD",'Filtered Data'!AJ9,'Filtered Data'!AQ9))</f>
        <v>0.91576686404272623</v>
      </c>
      <c r="M39" s="298"/>
      <c r="N39" s="298"/>
      <c r="O39" s="298"/>
      <c r="P39" s="103"/>
      <c r="Q39" s="301">
        <f>IF(ISERROR(IF('Filtered Data'!D1="L","",IF('Filtered Data'!D1="SD",VLOOKUP(J5,'Filtered Data'!L:AK,26,FALSE),(VLOOKUP(J5,'Filtered Data'!L:AR,33,FALSE))))),"",(IF('Filtered Data'!D1="L","",IF('Filtered Data'!D1="SD",VLOOKUP(J5,'Filtered Data'!L:AK,26,FALSE),(VLOOKUP(J5,'Filtered Data'!L:AR,33,FALSE))))))</f>
        <v>3</v>
      </c>
      <c r="R39" s="301"/>
      <c r="S39" s="104"/>
      <c r="T39" s="106" t="str">
        <f>IF(B39="","","out of")</f>
        <v>out of</v>
      </c>
      <c r="U39" s="106"/>
      <c r="V39" s="301">
        <f>IF('Filtered Data'!D1="L","",IF('Filtered Data'!D1="SD",COUNT('Filtered Data'!AK11:AK349),(COUNT('Filtered Data'!AQ11:AQ349))))</f>
        <v>6</v>
      </c>
      <c r="W39" s="301"/>
      <c r="Z39" s="11" t="s">
        <v>358</v>
      </c>
      <c r="AB39" s="287" t="s">
        <v>360</v>
      </c>
      <c r="AC39" s="287"/>
      <c r="AD39" s="287"/>
      <c r="AE39" s="287"/>
      <c r="AF39" s="287"/>
      <c r="AG39" s="287"/>
      <c r="AH39" s="287"/>
      <c r="AI39" s="287"/>
      <c r="AJ39" s="287"/>
      <c r="AK39" s="287"/>
      <c r="AL39" s="287"/>
      <c r="AM39" s="287"/>
      <c r="AP39" s="60"/>
    </row>
    <row r="40" spans="2:16384" ht="12.75" customHeight="1">
      <c r="B40" s="114"/>
      <c r="C40" s="114"/>
      <c r="D40" s="114"/>
      <c r="E40" s="114"/>
      <c r="F40" s="114"/>
      <c r="G40" s="114"/>
      <c r="H40" s="114"/>
      <c r="I40" s="114"/>
      <c r="J40" s="113"/>
      <c r="K40" s="115"/>
      <c r="L40" s="285"/>
      <c r="M40" s="285"/>
      <c r="N40" s="285"/>
      <c r="O40" s="285"/>
      <c r="P40" s="116"/>
      <c r="Q40" s="299"/>
      <c r="R40" s="299"/>
      <c r="S40" s="285"/>
      <c r="T40" s="286"/>
      <c r="U40" s="286"/>
      <c r="V40" s="299"/>
      <c r="W40" s="299"/>
      <c r="AB40" s="287"/>
      <c r="AC40" s="287"/>
      <c r="AD40" s="287"/>
      <c r="AE40" s="287"/>
      <c r="AF40" s="287"/>
      <c r="AG40" s="287"/>
      <c r="AH40" s="287"/>
      <c r="AI40" s="287"/>
      <c r="AJ40" s="287"/>
      <c r="AK40" s="287"/>
      <c r="AL40" s="287"/>
      <c r="AM40" s="287"/>
      <c r="AP40" s="60"/>
    </row>
    <row r="41" spans="2:16384">
      <c r="B41" s="235"/>
      <c r="C41" s="235"/>
      <c r="D41" s="235"/>
      <c r="E41" s="235"/>
      <c r="F41" s="235"/>
      <c r="G41" s="235"/>
      <c r="H41" s="235"/>
      <c r="I41" s="235"/>
      <c r="J41" s="113"/>
      <c r="K41" s="236" t="str">
        <f>IF(B41="","",IF('Filtered Data'!D1="UA","",(IF($L$35&gt;=L41,"J","L"))))</f>
        <v/>
      </c>
      <c r="L41" s="305"/>
      <c r="M41" s="305"/>
      <c r="N41" s="305"/>
      <c r="O41" s="305"/>
      <c r="P41" s="237"/>
      <c r="Q41" s="300"/>
      <c r="R41" s="300"/>
      <c r="S41" s="302"/>
      <c r="T41" s="302"/>
      <c r="U41" s="302"/>
      <c r="V41" s="300"/>
      <c r="W41" s="300"/>
      <c r="AB41" s="118"/>
      <c r="AC41" s="118"/>
      <c r="AD41" s="118"/>
      <c r="AE41" s="118"/>
      <c r="AF41" s="118"/>
      <c r="AG41" s="118"/>
      <c r="AH41" s="118"/>
      <c r="AI41" s="118"/>
      <c r="AJ41" s="118"/>
      <c r="AK41" s="118"/>
      <c r="AL41" s="118"/>
      <c r="AM41" s="118"/>
      <c r="AP41" s="60"/>
    </row>
    <row r="42" spans="2:16384">
      <c r="J42" s="13"/>
      <c r="K42" s="14"/>
      <c r="L42" s="12"/>
      <c r="M42" s="12"/>
      <c r="N42" s="12"/>
      <c r="O42" s="12"/>
      <c r="P42" s="15"/>
      <c r="Q42" s="2"/>
      <c r="R42" s="2"/>
      <c r="S42" s="16"/>
      <c r="T42" s="2"/>
      <c r="U42" s="2"/>
      <c r="V42" s="2"/>
      <c r="W42" s="2"/>
      <c r="AB42" s="119"/>
      <c r="AC42" s="119"/>
      <c r="AD42" s="119"/>
      <c r="AE42" s="119"/>
      <c r="AF42" s="119"/>
      <c r="AG42" s="119"/>
      <c r="AH42" s="119"/>
      <c r="AI42" s="119"/>
      <c r="AJ42" s="119"/>
      <c r="AK42" s="119"/>
      <c r="AL42" s="119"/>
      <c r="AM42" s="119"/>
      <c r="AP42" s="60"/>
    </row>
    <row r="43" spans="2:16384">
      <c r="B43" s="294" t="s">
        <v>356</v>
      </c>
      <c r="C43" s="295"/>
      <c r="D43" s="295"/>
      <c r="E43" s="295"/>
      <c r="F43" s="295"/>
      <c r="G43" s="295"/>
      <c r="H43" s="295"/>
      <c r="I43" s="295"/>
      <c r="J43" s="295"/>
      <c r="K43" s="295"/>
      <c r="L43" s="295"/>
      <c r="M43" s="295"/>
      <c r="N43" s="295"/>
      <c r="O43" s="290" t="str">
        <f>W6&amp;" - "&amp;W12</f>
        <v>Major Developments - % within 13 weeks or agreed time - Year Ending December 2022</v>
      </c>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1"/>
      <c r="AP43" s="60"/>
    </row>
    <row r="44" spans="2:16384">
      <c r="B44" s="296"/>
      <c r="C44" s="297"/>
      <c r="D44" s="297"/>
      <c r="E44" s="297"/>
      <c r="F44" s="297"/>
      <c r="G44" s="297"/>
      <c r="H44" s="297"/>
      <c r="I44" s="297"/>
      <c r="J44" s="297"/>
      <c r="K44" s="297"/>
      <c r="L44" s="297"/>
      <c r="M44" s="297"/>
      <c r="N44" s="297"/>
      <c r="O44" s="292"/>
      <c r="P44" s="292"/>
      <c r="Q44" s="292"/>
      <c r="R44" s="292"/>
      <c r="S44" s="292"/>
      <c r="T44" s="292"/>
      <c r="U44" s="292"/>
      <c r="V44" s="292"/>
      <c r="W44" s="292"/>
      <c r="X44" s="292"/>
      <c r="Y44" s="292"/>
      <c r="Z44" s="292"/>
      <c r="AA44" s="292"/>
      <c r="AB44" s="292"/>
      <c r="AC44" s="292"/>
      <c r="AD44" s="292"/>
      <c r="AE44" s="292"/>
      <c r="AF44" s="292"/>
      <c r="AG44" s="292"/>
      <c r="AH44" s="292"/>
      <c r="AI44" s="292"/>
      <c r="AJ44" s="292"/>
      <c r="AK44" s="292"/>
      <c r="AL44" s="292"/>
      <c r="AM44" s="293"/>
      <c r="AP44" s="60"/>
    </row>
    <row r="45" spans="2:16384">
      <c r="B45" s="5"/>
      <c r="K45" s="15"/>
      <c r="L45" s="15"/>
      <c r="M45" s="15"/>
      <c r="N45" s="15"/>
      <c r="AM45" s="6"/>
      <c r="AP45" s="60"/>
    </row>
    <row r="46" spans="2:16384">
      <c r="B46" s="5"/>
      <c r="K46" s="15"/>
      <c r="L46" s="15"/>
      <c r="M46" s="15"/>
      <c r="N46" s="15"/>
      <c r="AM46" s="6"/>
      <c r="AP46" s="60"/>
    </row>
    <row r="47" spans="2:16384">
      <c r="B47" s="5"/>
      <c r="D47" t="e">
        <f>IF((VLOOKUP(Profile!W6,'Indicator info'!A:B,4,FALSE))=".","",(VLOOKUP(Profile!W6,'Indicator info'!A:B,4,FALSE)))</f>
        <v>#REF!</v>
      </c>
      <c r="K47" s="15" t="s">
        <v>793</v>
      </c>
      <c r="L47" s="15"/>
      <c r="M47" s="15" t="s">
        <v>794</v>
      </c>
      <c r="N47" s="15"/>
      <c r="O47" t="s">
        <v>795</v>
      </c>
      <c r="AM47" s="6"/>
      <c r="AP47" s="60"/>
    </row>
    <row r="48" spans="2:16384">
      <c r="B48" s="5"/>
      <c r="D48" s="69" t="str">
        <f>B35</f>
        <v>Cheshire East</v>
      </c>
      <c r="E48" s="288">
        <f>IF('Filtered Data'!$H$8="..",L35,L35*100)</f>
        <v>94.444444444444443</v>
      </c>
      <c r="F48" s="288"/>
      <c r="G48" s="288"/>
      <c r="H48" s="288"/>
      <c r="K48" s="255">
        <f>IF('Filtered Data'!$H$8="..",K$32,K$32*100)</f>
        <v>95.830851697438945</v>
      </c>
      <c r="L48" s="255"/>
      <c r="M48" s="255">
        <f>IF('Filtered Data'!$H$8="..",T$32,T$32*100)</f>
        <v>89.696969696969688</v>
      </c>
      <c r="N48" s="255"/>
      <c r="O48" s="255">
        <f>IF('Filtered Data'!$H$8="..",AC$32,AC$32*100)</f>
        <v>82.598039215686271</v>
      </c>
      <c r="P48" s="255"/>
      <c r="AM48" s="6"/>
      <c r="AP48" s="60"/>
    </row>
    <row r="49" spans="2:42">
      <c r="B49" s="5"/>
      <c r="D49" t="str">
        <f>B37</f>
        <v>Unitaries</v>
      </c>
      <c r="E49" s="288">
        <f>IF('Filtered Data'!$H$8="..",L37,L37*100)</f>
        <v>87.080949679493656</v>
      </c>
      <c r="F49" s="288"/>
      <c r="G49" s="288"/>
      <c r="H49" s="288"/>
      <c r="K49" s="255">
        <f>IF('Filtered Data'!$H$8="..",K$32,K$32*100)</f>
        <v>95.830851697438945</v>
      </c>
      <c r="L49" s="255"/>
      <c r="M49" s="255">
        <f>IF('Filtered Data'!$H$8="..",T$32,T$32*100)</f>
        <v>89.696969696969688</v>
      </c>
      <c r="N49" s="255"/>
      <c r="O49" s="255">
        <f>IF('Filtered Data'!$H$8="..",AC$32,AC$32*100)</f>
        <v>82.598039215686271</v>
      </c>
      <c r="P49" s="255"/>
      <c r="AM49" s="6"/>
      <c r="AP49" s="60"/>
    </row>
    <row r="50" spans="2:42">
      <c r="B50" s="5"/>
      <c r="D50" s="69" t="str">
        <f>B39</f>
        <v>Regional</v>
      </c>
      <c r="E50" s="288">
        <f>IF('Filtered Data'!$H$8="..",L39,L39*100)</f>
        <v>91.576686404272621</v>
      </c>
      <c r="F50" s="288"/>
      <c r="G50" s="288"/>
      <c r="H50" s="288"/>
      <c r="K50" s="255">
        <f>IF('Filtered Data'!$H$8="..",K$32,K$32*100)</f>
        <v>95.830851697438945</v>
      </c>
      <c r="L50" s="255"/>
      <c r="M50" s="255">
        <f>IF('Filtered Data'!$H$8="..",T$32,T$32*100)</f>
        <v>89.696969696969688</v>
      </c>
      <c r="N50" s="255"/>
      <c r="O50" s="255">
        <f>IF('Filtered Data'!$H$8="..",AC$32,AC$32*100)</f>
        <v>82.598039215686271</v>
      </c>
      <c r="P50" s="255"/>
      <c r="AM50" s="6"/>
      <c r="AP50" s="60"/>
    </row>
    <row r="51" spans="2:42">
      <c r="B51" s="5"/>
      <c r="D51" s="238" t="str">
        <f>B38</f>
        <v>Rural</v>
      </c>
      <c r="E51" s="288">
        <f>IF('Filtered Data'!$H$8="..",L38,L38*100)</f>
        <v>82.901648261340299</v>
      </c>
      <c r="F51" s="288"/>
      <c r="G51" s="288"/>
      <c r="H51" s="288"/>
      <c r="K51" s="255">
        <f>IF('Filtered Data'!$H$8="..",K$32,K$32*100)</f>
        <v>95.830851697438945</v>
      </c>
      <c r="L51" s="255"/>
      <c r="M51" s="255">
        <f>IF('Filtered Data'!$H$8="..",T$32,T$32*100)</f>
        <v>89.696969696969688</v>
      </c>
      <c r="N51" s="255"/>
      <c r="O51" s="255">
        <f>IF('Filtered Data'!$H$8="..",AC$32,AC$32*100)</f>
        <v>82.598039215686271</v>
      </c>
      <c r="P51" s="255"/>
      <c r="AM51" s="6"/>
      <c r="AP51" s="60"/>
    </row>
    <row r="52" spans="2:42">
      <c r="B52" s="5"/>
      <c r="E52" s="288"/>
      <c r="F52" s="288"/>
      <c r="G52" s="288"/>
      <c r="H52" s="288"/>
      <c r="K52" s="255"/>
      <c r="L52" s="255"/>
      <c r="M52" s="255"/>
      <c r="N52" s="255"/>
      <c r="O52" s="255"/>
      <c r="P52" s="255"/>
      <c r="AM52" s="6"/>
      <c r="AP52" s="60"/>
    </row>
    <row r="53" spans="2:42">
      <c r="B53" s="5"/>
      <c r="E53" s="289"/>
      <c r="F53" s="289"/>
      <c r="G53" s="289"/>
      <c r="H53" s="289"/>
      <c r="K53" s="255"/>
      <c r="L53" s="255"/>
      <c r="M53" s="255"/>
      <c r="N53" s="255"/>
      <c r="O53" s="255"/>
      <c r="P53" s="255"/>
      <c r="AM53" s="6"/>
      <c r="AP53" s="60"/>
    </row>
    <row r="54" spans="2:42">
      <c r="B54" s="5"/>
      <c r="AM54" s="6"/>
      <c r="AP54" s="60"/>
    </row>
    <row r="55" spans="2:42">
      <c r="B55" s="5"/>
      <c r="AM55" s="6"/>
      <c r="AP55" s="60"/>
    </row>
    <row r="56" spans="2:42">
      <c r="B56" s="5"/>
      <c r="AM56" s="6"/>
      <c r="AP56" s="60"/>
    </row>
    <row r="57" spans="2:42">
      <c r="B57" s="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9"/>
      <c r="AP57" s="60"/>
    </row>
    <row r="58" spans="2:42" ht="1.5" customHeight="1">
      <c r="AP58" s="60"/>
    </row>
    <row r="59" spans="2:42" ht="19.5" customHeight="1">
      <c r="B59" s="264" t="str">
        <f>B3</f>
        <v>Planning Application Turnaround</v>
      </c>
      <c r="C59" s="264"/>
      <c r="D59" s="264"/>
      <c r="E59" s="264"/>
      <c r="F59" s="264"/>
      <c r="G59" s="264"/>
      <c r="H59" s="264"/>
      <c r="I59" s="264"/>
      <c r="J59" s="264"/>
      <c r="K59" s="264"/>
      <c r="L59" s="264"/>
      <c r="M59" s="264"/>
      <c r="N59" s="264"/>
      <c r="O59" s="264"/>
      <c r="P59" s="264"/>
      <c r="Q59" s="264"/>
      <c r="R59" s="264"/>
      <c r="S59" s="264"/>
      <c r="T59" s="264"/>
      <c r="U59" s="264"/>
      <c r="V59" s="264"/>
      <c r="W59" s="264"/>
      <c r="X59" s="264"/>
      <c r="Y59" s="264"/>
      <c r="Z59" s="264"/>
      <c r="AA59" s="264"/>
      <c r="AB59" s="264"/>
      <c r="AC59" s="264"/>
      <c r="AD59" s="264"/>
      <c r="AE59" s="264"/>
      <c r="AF59" s="264"/>
      <c r="AG59" s="264"/>
      <c r="AH59" s="264"/>
      <c r="AI59" s="264"/>
      <c r="AJ59" s="264"/>
      <c r="AK59" s="264"/>
      <c r="AL59" s="264"/>
      <c r="AM59" s="264"/>
      <c r="AN59" s="264"/>
      <c r="AP59" s="60"/>
    </row>
    <row r="60" spans="2:42">
      <c r="AP60" s="60"/>
    </row>
    <row r="61" spans="2:42" ht="12" customHeight="1">
      <c r="B61" s="1" t="str">
        <f>W6&amp;" - "&amp;W12</f>
        <v>Major Developments - % within 13 weeks or agreed time - Year Ending December 2022</v>
      </c>
      <c r="AP61" s="60"/>
    </row>
    <row r="62" spans="2:42" ht="12" customHeight="1">
      <c r="AP62" s="60"/>
    </row>
    <row r="63" spans="2:42" ht="12" customHeight="1">
      <c r="B63" s="1" t="s">
        <v>362</v>
      </c>
      <c r="AP63" s="60"/>
    </row>
    <row r="64" spans="2:42" ht="12" customHeight="1">
      <c r="AP64" s="60"/>
    </row>
    <row r="65" spans="2:42" ht="12" customHeight="1">
      <c r="B65" s="273" t="s">
        <v>353</v>
      </c>
      <c r="C65" s="273"/>
      <c r="D65" s="273"/>
      <c r="E65" s="258" t="s">
        <v>333</v>
      </c>
      <c r="F65" s="258"/>
      <c r="G65" s="258"/>
      <c r="H65" s="258"/>
      <c r="I65" s="258"/>
      <c r="J65" s="258"/>
      <c r="K65" s="258"/>
      <c r="L65" s="258"/>
      <c r="M65" s="258"/>
      <c r="N65" s="258"/>
      <c r="O65" s="258"/>
      <c r="P65" s="258"/>
      <c r="Q65" s="258"/>
      <c r="R65" s="258"/>
      <c r="S65" s="258"/>
      <c r="T65" s="258"/>
      <c r="U65" s="273" t="s">
        <v>363</v>
      </c>
      <c r="V65" s="273"/>
      <c r="W65" s="273"/>
      <c r="X65" s="273"/>
      <c r="Y65" s="1"/>
      <c r="Z65" s="1"/>
      <c r="AA65" s="1"/>
      <c r="AB65" s="1"/>
      <c r="AC65" s="4"/>
      <c r="AD65" s="1"/>
      <c r="AE65" s="1"/>
      <c r="AF65" s="1"/>
      <c r="AG65" s="1"/>
      <c r="AI65" s="1"/>
      <c r="AJ65" s="1"/>
      <c r="AK65" s="1"/>
      <c r="AL65" s="1"/>
      <c r="AP65" s="60"/>
    </row>
    <row r="66" spans="2:42" ht="12" customHeight="1">
      <c r="B66" s="284">
        <v>1</v>
      </c>
      <c r="C66" s="255"/>
      <c r="D66" s="255"/>
      <c r="E66" s="260" t="str">
        <f>VLOOKUP(B66,'Filtered Data'!K:L,2,FALSE)</f>
        <v>Bath &amp; North East Somerset</v>
      </c>
      <c r="F66" s="260"/>
      <c r="G66" s="260"/>
      <c r="H66" s="260"/>
      <c r="I66" s="260"/>
      <c r="J66" s="260"/>
      <c r="K66" s="260"/>
      <c r="L66" s="260"/>
      <c r="M66" s="260"/>
      <c r="N66" s="260"/>
      <c r="O66" s="260"/>
      <c r="P66" s="260"/>
      <c r="Q66" s="260"/>
      <c r="R66" s="260"/>
      <c r="S66" s="260"/>
      <c r="T66" s="260"/>
      <c r="U66" s="261">
        <f>IF('Filtered Data'!$H$8="%.",(VLOOKUP(B66,'Filtered Data'!K:M,3,FALSE))/100,VLOOKUP(B66,'Filtered Data'!K:M,3,FALSE))</f>
        <v>1</v>
      </c>
      <c r="V66" s="261"/>
      <c r="W66" s="261"/>
      <c r="X66" s="261"/>
      <c r="Y66" s="140" t="str">
        <f>IF((VLOOKUP(E66,classifications!C:K,9,FALSE))="Sparse","S","")</f>
        <v/>
      </c>
      <c r="Z66" s="140"/>
      <c r="AA66" s="140"/>
      <c r="AB66" s="140"/>
      <c r="AC66" s="140"/>
      <c r="AD66" s="271"/>
      <c r="AE66" s="271"/>
      <c r="AF66" s="271"/>
      <c r="AG66" s="271"/>
      <c r="AH66" s="271"/>
      <c r="AI66" s="271"/>
      <c r="AJ66" s="271"/>
      <c r="AK66" s="271"/>
      <c r="AL66" s="271"/>
      <c r="AP66" s="60"/>
    </row>
    <row r="67" spans="2:42" ht="12" customHeight="1">
      <c r="B67" s="284">
        <v>2</v>
      </c>
      <c r="C67" s="255"/>
      <c r="D67" s="255"/>
      <c r="E67" s="260" t="str">
        <f>VLOOKUP(B67,'Filtered Data'!K:L,2,FALSE)</f>
        <v>Blackburn with Darwen</v>
      </c>
      <c r="F67" s="260"/>
      <c r="G67" s="260"/>
      <c r="H67" s="260"/>
      <c r="I67" s="260"/>
      <c r="J67" s="260"/>
      <c r="K67" s="260"/>
      <c r="L67" s="260"/>
      <c r="M67" s="260"/>
      <c r="N67" s="260"/>
      <c r="O67" s="260"/>
      <c r="P67" s="260"/>
      <c r="Q67" s="260"/>
      <c r="R67" s="260"/>
      <c r="S67" s="260"/>
      <c r="T67" s="260"/>
      <c r="U67" s="261">
        <f>IF('Filtered Data'!$H$8="%.",(VLOOKUP(B67,'Filtered Data'!K:M,3,FALSE))/100,VLOOKUP(B67,'Filtered Data'!K:M,3,FALSE))</f>
        <v>1</v>
      </c>
      <c r="V67" s="261"/>
      <c r="W67" s="261"/>
      <c r="X67" s="261"/>
      <c r="Y67" s="140" t="str">
        <f>IF((VLOOKUP(E67,classifications!C:K,9,FALSE))="Sparse","S","")</f>
        <v/>
      </c>
      <c r="Z67" s="140"/>
      <c r="AA67" s="140"/>
      <c r="AB67" s="140"/>
      <c r="AC67" s="140"/>
      <c r="AD67" s="271"/>
      <c r="AE67" s="271"/>
      <c r="AF67" s="271"/>
      <c r="AG67" s="271"/>
      <c r="AH67" s="271"/>
      <c r="AI67" s="271"/>
      <c r="AJ67" s="271"/>
      <c r="AK67" s="271"/>
      <c r="AL67" s="271"/>
      <c r="AP67" s="60"/>
    </row>
    <row r="68" spans="2:42" ht="12" customHeight="1">
      <c r="B68" s="284">
        <v>3</v>
      </c>
      <c r="C68" s="255"/>
      <c r="D68" s="255"/>
      <c r="E68" s="260" t="str">
        <f>VLOOKUP(B68,'Filtered Data'!K:L,2,FALSE)</f>
        <v>Blackpool</v>
      </c>
      <c r="F68" s="260"/>
      <c r="G68" s="260"/>
      <c r="H68" s="260"/>
      <c r="I68" s="260"/>
      <c r="J68" s="260"/>
      <c r="K68" s="260"/>
      <c r="L68" s="260"/>
      <c r="M68" s="260"/>
      <c r="N68" s="260"/>
      <c r="O68" s="260"/>
      <c r="P68" s="260"/>
      <c r="Q68" s="260"/>
      <c r="R68" s="260"/>
      <c r="S68" s="260"/>
      <c r="T68" s="260"/>
      <c r="U68" s="261">
        <f>IF('Filtered Data'!$H$8="%.",(VLOOKUP(B68,'Filtered Data'!K:M,3,FALSE))/100,VLOOKUP(B68,'Filtered Data'!K:M,3,FALSE))</f>
        <v>1</v>
      </c>
      <c r="V68" s="261"/>
      <c r="W68" s="261"/>
      <c r="X68" s="261"/>
      <c r="Y68" s="140" t="str">
        <f>IF((VLOOKUP(E68,classifications!C:K,9,FALSE))="Sparse","S","")</f>
        <v/>
      </c>
      <c r="Z68" s="140"/>
      <c r="AA68" s="140"/>
      <c r="AB68" s="140"/>
      <c r="AC68" s="140"/>
      <c r="AD68" s="271"/>
      <c r="AE68" s="271"/>
      <c r="AF68" s="271"/>
      <c r="AG68" s="271"/>
      <c r="AH68" s="271"/>
      <c r="AI68" s="271"/>
      <c r="AJ68" s="271"/>
      <c r="AK68" s="271"/>
      <c r="AL68" s="271"/>
      <c r="AP68" s="60"/>
    </row>
    <row r="69" spans="2:42" ht="12" customHeight="1">
      <c r="B69" s="284">
        <v>4</v>
      </c>
      <c r="C69" s="255"/>
      <c r="D69" s="255"/>
      <c r="E69" s="260" t="str">
        <f>VLOOKUP(B69,'Filtered Data'!K:L,2,FALSE)</f>
        <v>Hartlepool</v>
      </c>
      <c r="F69" s="260"/>
      <c r="G69" s="260"/>
      <c r="H69" s="260"/>
      <c r="I69" s="260"/>
      <c r="J69" s="260"/>
      <c r="K69" s="260"/>
      <c r="L69" s="260"/>
      <c r="M69" s="260"/>
      <c r="N69" s="260"/>
      <c r="O69" s="260"/>
      <c r="P69" s="260"/>
      <c r="Q69" s="260"/>
      <c r="R69" s="260"/>
      <c r="S69" s="260"/>
      <c r="T69" s="260"/>
      <c r="U69" s="261">
        <f>IF('Filtered Data'!$H$8="%.",(VLOOKUP(B69,'Filtered Data'!K:M,3,FALSE))/100,VLOOKUP(B69,'Filtered Data'!K:M,3,FALSE))</f>
        <v>1</v>
      </c>
      <c r="V69" s="261"/>
      <c r="W69" s="261"/>
      <c r="X69" s="261"/>
      <c r="Y69" s="140" t="str">
        <f>IF((VLOOKUP(E69,classifications!C:K,9,FALSE))="Sparse","S","")</f>
        <v/>
      </c>
      <c r="Z69" s="140"/>
      <c r="AA69" s="140"/>
      <c r="AB69" s="140"/>
      <c r="AC69" s="140"/>
      <c r="AD69" s="271"/>
      <c r="AE69" s="271"/>
      <c r="AF69" s="271"/>
      <c r="AG69" s="271"/>
      <c r="AH69" s="271"/>
      <c r="AI69" s="271"/>
      <c r="AJ69" s="271"/>
      <c r="AK69" s="271"/>
      <c r="AL69" s="271"/>
      <c r="AP69" s="60"/>
    </row>
    <row r="70" spans="2:42" ht="12" customHeight="1">
      <c r="B70" s="284">
        <v>5</v>
      </c>
      <c r="C70" s="255"/>
      <c r="D70" s="255"/>
      <c r="E70" s="260" t="str">
        <f>VLOOKUP(B70,'Filtered Data'!K:L,2,FALSE)</f>
        <v>North East Lincolnshire</v>
      </c>
      <c r="F70" s="260"/>
      <c r="G70" s="260"/>
      <c r="H70" s="260"/>
      <c r="I70" s="260"/>
      <c r="J70" s="260"/>
      <c r="K70" s="260"/>
      <c r="L70" s="260"/>
      <c r="M70" s="260"/>
      <c r="N70" s="260"/>
      <c r="O70" s="260"/>
      <c r="P70" s="260"/>
      <c r="Q70" s="260"/>
      <c r="R70" s="260"/>
      <c r="S70" s="260"/>
      <c r="T70" s="260"/>
      <c r="U70" s="261">
        <f>IF('Filtered Data'!$H$8="%.",(VLOOKUP(B70,'Filtered Data'!K:M,3,FALSE))/100,VLOOKUP(B70,'Filtered Data'!K:M,3,FALSE))</f>
        <v>1</v>
      </c>
      <c r="V70" s="261"/>
      <c r="W70" s="261"/>
      <c r="X70" s="261"/>
      <c r="Y70" s="140" t="str">
        <f>IF((VLOOKUP(E70,classifications!C:K,9,FALSE))="Sparse","S","")</f>
        <v/>
      </c>
      <c r="Z70" s="140"/>
      <c r="AA70" s="140"/>
      <c r="AB70" s="140"/>
      <c r="AC70" s="140"/>
      <c r="AD70" s="271"/>
      <c r="AE70" s="271"/>
      <c r="AF70" s="271"/>
      <c r="AG70" s="271"/>
      <c r="AH70" s="271"/>
      <c r="AI70" s="271"/>
      <c r="AJ70" s="271"/>
      <c r="AK70" s="271"/>
      <c r="AL70" s="271"/>
      <c r="AP70" s="60"/>
    </row>
    <row r="71" spans="2:42" ht="12" customHeight="1">
      <c r="B71" s="284">
        <v>6</v>
      </c>
      <c r="C71" s="255"/>
      <c r="D71" s="255"/>
      <c r="E71" s="260" t="str">
        <f>VLOOKUP(B71,'Filtered Data'!K:L,2,FALSE)</f>
        <v>Plymouth</v>
      </c>
      <c r="F71" s="260"/>
      <c r="G71" s="260"/>
      <c r="H71" s="260"/>
      <c r="I71" s="260"/>
      <c r="J71" s="260"/>
      <c r="K71" s="260"/>
      <c r="L71" s="260"/>
      <c r="M71" s="260"/>
      <c r="N71" s="260"/>
      <c r="O71" s="260"/>
      <c r="P71" s="260"/>
      <c r="Q71" s="260"/>
      <c r="R71" s="260"/>
      <c r="S71" s="260"/>
      <c r="T71" s="260"/>
      <c r="U71" s="261">
        <f>IF('Filtered Data'!$H$8="%.",(VLOOKUP(B71,'Filtered Data'!K:M,3,FALSE))/100,VLOOKUP(B71,'Filtered Data'!K:M,3,FALSE))</f>
        <v>1</v>
      </c>
      <c r="V71" s="261"/>
      <c r="W71" s="261"/>
      <c r="X71" s="261"/>
      <c r="Y71" s="140" t="str">
        <f>IF((VLOOKUP(E71,classifications!C:K,9,FALSE))="Sparse","S","")</f>
        <v/>
      </c>
      <c r="Z71" s="140"/>
      <c r="AA71" s="140"/>
      <c r="AB71" s="140"/>
      <c r="AC71" s="140"/>
      <c r="AD71" s="271"/>
      <c r="AE71" s="271"/>
      <c r="AF71" s="271"/>
      <c r="AG71" s="271"/>
      <c r="AH71" s="271"/>
      <c r="AI71" s="271"/>
      <c r="AJ71" s="271"/>
      <c r="AK71" s="271"/>
      <c r="AL71" s="271"/>
      <c r="AP71" s="60"/>
    </row>
    <row r="72" spans="2:42" ht="12" customHeight="1">
      <c r="B72" s="284">
        <v>7</v>
      </c>
      <c r="C72" s="255"/>
      <c r="D72" s="255"/>
      <c r="E72" s="260" t="str">
        <f>VLOOKUP(B72,'Filtered Data'!K:L,2,FALSE)</f>
        <v>Southampton</v>
      </c>
      <c r="F72" s="260"/>
      <c r="G72" s="260"/>
      <c r="H72" s="260"/>
      <c r="I72" s="260"/>
      <c r="J72" s="260"/>
      <c r="K72" s="260"/>
      <c r="L72" s="260"/>
      <c r="M72" s="260"/>
      <c r="N72" s="260"/>
      <c r="O72" s="260"/>
      <c r="P72" s="260"/>
      <c r="Q72" s="260"/>
      <c r="R72" s="260"/>
      <c r="S72" s="260"/>
      <c r="T72" s="260"/>
      <c r="U72" s="261">
        <f>IF('Filtered Data'!$H$8="%.",(VLOOKUP(B72,'Filtered Data'!K:M,3,FALSE))/100,VLOOKUP(B72,'Filtered Data'!K:M,3,FALSE))</f>
        <v>1</v>
      </c>
      <c r="V72" s="261"/>
      <c r="W72" s="261"/>
      <c r="X72" s="261"/>
      <c r="Y72" s="140" t="str">
        <f>IF((VLOOKUP(E72,classifications!C:K,9,FALSE))="Sparse","S","")</f>
        <v/>
      </c>
      <c r="Z72" s="140"/>
      <c r="AA72" s="140"/>
      <c r="AB72" s="140"/>
      <c r="AC72" s="140"/>
      <c r="AD72" s="271"/>
      <c r="AE72" s="271"/>
      <c r="AF72" s="271"/>
      <c r="AG72" s="271"/>
      <c r="AH72" s="271"/>
      <c r="AI72" s="271"/>
      <c r="AJ72" s="271"/>
      <c r="AK72" s="271"/>
      <c r="AL72" s="271"/>
      <c r="AP72" s="60"/>
    </row>
    <row r="73" spans="2:42" ht="12" customHeight="1">
      <c r="B73" s="284">
        <v>8</v>
      </c>
      <c r="C73" s="255"/>
      <c r="D73" s="255"/>
      <c r="E73" s="260" t="str">
        <f>VLOOKUP(B73,'Filtered Data'!K:L,2,FALSE)</f>
        <v>Southend-on-Sea</v>
      </c>
      <c r="F73" s="260"/>
      <c r="G73" s="260"/>
      <c r="H73" s="260"/>
      <c r="I73" s="260"/>
      <c r="J73" s="260"/>
      <c r="K73" s="260"/>
      <c r="L73" s="260"/>
      <c r="M73" s="260"/>
      <c r="N73" s="260"/>
      <c r="O73" s="260"/>
      <c r="P73" s="260"/>
      <c r="Q73" s="260"/>
      <c r="R73" s="260"/>
      <c r="S73" s="260"/>
      <c r="T73" s="260"/>
      <c r="U73" s="261">
        <f>IF('Filtered Data'!$H$8="%.",(VLOOKUP(B73,'Filtered Data'!K:M,3,FALSE))/100,VLOOKUP(B73,'Filtered Data'!K:M,3,FALSE))</f>
        <v>1</v>
      </c>
      <c r="V73" s="261"/>
      <c r="W73" s="261"/>
      <c r="X73" s="261"/>
      <c r="Y73" s="140" t="str">
        <f>IF((VLOOKUP(E73,classifications!C:K,9,FALSE))="Sparse","S","")</f>
        <v/>
      </c>
      <c r="Z73" s="140"/>
      <c r="AA73" s="140"/>
      <c r="AB73" s="140"/>
      <c r="AC73" s="140"/>
      <c r="AD73" s="271"/>
      <c r="AE73" s="271"/>
      <c r="AF73" s="271"/>
      <c r="AG73" s="271"/>
      <c r="AH73" s="271"/>
      <c r="AI73" s="271"/>
      <c r="AJ73" s="271"/>
      <c r="AK73" s="271"/>
      <c r="AL73" s="271"/>
      <c r="AP73" s="60"/>
    </row>
    <row r="74" spans="2:42" ht="12" customHeight="1">
      <c r="B74" s="284">
        <v>9</v>
      </c>
      <c r="C74" s="255"/>
      <c r="D74" s="255"/>
      <c r="E74" s="260" t="str">
        <f>VLOOKUP(B74,'Filtered Data'!K:L,2,FALSE)</f>
        <v>Stoke-on-Trent</v>
      </c>
      <c r="F74" s="260"/>
      <c r="G74" s="260"/>
      <c r="H74" s="260"/>
      <c r="I74" s="260"/>
      <c r="J74" s="260"/>
      <c r="K74" s="260"/>
      <c r="L74" s="260"/>
      <c r="M74" s="260"/>
      <c r="N74" s="260"/>
      <c r="O74" s="260"/>
      <c r="P74" s="260"/>
      <c r="Q74" s="260"/>
      <c r="R74" s="260"/>
      <c r="S74" s="260"/>
      <c r="T74" s="260"/>
      <c r="U74" s="261">
        <f>IF('Filtered Data'!$H$8="%.",(VLOOKUP(B74,'Filtered Data'!K:M,3,FALSE))/100,VLOOKUP(B74,'Filtered Data'!K:M,3,FALSE))</f>
        <v>1</v>
      </c>
      <c r="V74" s="261"/>
      <c r="W74" s="261"/>
      <c r="X74" s="261"/>
      <c r="Y74" s="140" t="str">
        <f>IF((VLOOKUP(E74,classifications!C:K,9,FALSE))="Sparse","S","")</f>
        <v/>
      </c>
      <c r="Z74" s="140"/>
      <c r="AA74" s="140"/>
      <c r="AB74" s="140"/>
      <c r="AC74" s="140"/>
      <c r="AD74" s="271"/>
      <c r="AE74" s="271"/>
      <c r="AF74" s="271"/>
      <c r="AG74" s="271"/>
      <c r="AH74" s="271"/>
      <c r="AI74" s="271"/>
      <c r="AJ74" s="271"/>
      <c r="AK74" s="271"/>
      <c r="AL74" s="271"/>
      <c r="AP74" s="60"/>
    </row>
    <row r="75" spans="2:42" ht="12" customHeight="1">
      <c r="B75" s="284">
        <v>10</v>
      </c>
      <c r="C75" s="255"/>
      <c r="D75" s="255"/>
      <c r="E75" s="260" t="str">
        <f>VLOOKUP(B75,'Filtered Data'!K:L,2,FALSE)</f>
        <v>Swindon</v>
      </c>
      <c r="F75" s="260"/>
      <c r="G75" s="260"/>
      <c r="H75" s="260"/>
      <c r="I75" s="260"/>
      <c r="J75" s="260"/>
      <c r="K75" s="260"/>
      <c r="L75" s="260"/>
      <c r="M75" s="260"/>
      <c r="N75" s="260"/>
      <c r="O75" s="260"/>
      <c r="P75" s="260"/>
      <c r="Q75" s="260"/>
      <c r="R75" s="260"/>
      <c r="S75" s="260"/>
      <c r="T75" s="260"/>
      <c r="U75" s="261">
        <f>IF('Filtered Data'!$H$8="%.",(VLOOKUP(B75,'Filtered Data'!K:M,3,FALSE))/100,VLOOKUP(B75,'Filtered Data'!K:M,3,FALSE))</f>
        <v>1</v>
      </c>
      <c r="V75" s="261"/>
      <c r="W75" s="261"/>
      <c r="X75" s="261"/>
      <c r="Y75" s="140" t="str">
        <f>IF((VLOOKUP(E75,classifications!C:K,9,FALSE))="Sparse","S","")</f>
        <v/>
      </c>
      <c r="Z75" s="140"/>
      <c r="AA75" s="140"/>
      <c r="AB75" s="140"/>
      <c r="AC75" s="140"/>
      <c r="AD75" s="271"/>
      <c r="AE75" s="271"/>
      <c r="AF75" s="271"/>
      <c r="AG75" s="271"/>
      <c r="AH75" s="271"/>
      <c r="AI75" s="271"/>
      <c r="AJ75" s="271"/>
      <c r="AK75" s="271"/>
      <c r="AL75" s="271"/>
      <c r="AP75" s="60"/>
    </row>
    <row r="76" spans="2:42" ht="12" customHeight="1">
      <c r="B76" s="284">
        <v>11</v>
      </c>
      <c r="C76" s="255"/>
      <c r="D76" s="255"/>
      <c r="E76" s="260" t="str">
        <f>VLOOKUP(B76,'Filtered Data'!K:L,2,FALSE)</f>
        <v>Telford &amp; Wrekin</v>
      </c>
      <c r="F76" s="260"/>
      <c r="G76" s="260"/>
      <c r="H76" s="260"/>
      <c r="I76" s="260"/>
      <c r="J76" s="260"/>
      <c r="K76" s="260"/>
      <c r="L76" s="260"/>
      <c r="M76" s="260"/>
      <c r="N76" s="260"/>
      <c r="O76" s="260"/>
      <c r="P76" s="260"/>
      <c r="Q76" s="260"/>
      <c r="R76" s="260"/>
      <c r="S76" s="260"/>
      <c r="T76" s="260"/>
      <c r="U76" s="261">
        <f>IF('Filtered Data'!$H$8="%.",(VLOOKUP(B76,'Filtered Data'!K:M,3,FALSE))/100,VLOOKUP(B76,'Filtered Data'!K:M,3,FALSE))</f>
        <v>1</v>
      </c>
      <c r="V76" s="261"/>
      <c r="W76" s="261"/>
      <c r="X76" s="261"/>
      <c r="Y76" s="140" t="str">
        <f>IF((VLOOKUP(E76,classifications!C:K,9,FALSE))="Sparse","S","")</f>
        <v/>
      </c>
      <c r="Z76" s="140"/>
      <c r="AA76" s="140"/>
      <c r="AB76" s="140"/>
      <c r="AC76" s="140"/>
      <c r="AD76" s="271"/>
      <c r="AE76" s="271"/>
      <c r="AF76" s="271"/>
      <c r="AG76" s="271"/>
      <c r="AH76" s="271"/>
      <c r="AI76" s="271"/>
      <c r="AJ76" s="271"/>
      <c r="AK76" s="271"/>
      <c r="AL76" s="271"/>
      <c r="AP76" s="60"/>
    </row>
    <row r="77" spans="2:42" ht="12" customHeight="1">
      <c r="B77" s="284">
        <v>12</v>
      </c>
      <c r="C77" s="255"/>
      <c r="D77" s="255"/>
      <c r="E77" s="260" t="str">
        <f>VLOOKUP(B77,'Filtered Data'!K:L,2,FALSE)</f>
        <v>Wokingham</v>
      </c>
      <c r="F77" s="260"/>
      <c r="G77" s="260"/>
      <c r="H77" s="260"/>
      <c r="I77" s="260"/>
      <c r="J77" s="260"/>
      <c r="K77" s="260"/>
      <c r="L77" s="260"/>
      <c r="M77" s="260"/>
      <c r="N77" s="260"/>
      <c r="O77" s="260"/>
      <c r="P77" s="260"/>
      <c r="Q77" s="260"/>
      <c r="R77" s="260"/>
      <c r="S77" s="260"/>
      <c r="T77" s="260"/>
      <c r="U77" s="261">
        <f>IF('Filtered Data'!$H$8="%.",(VLOOKUP(B77,'Filtered Data'!K:M,3,FALSE))/100,VLOOKUP(B77,'Filtered Data'!K:M,3,FALSE))</f>
        <v>0.97777777777777775</v>
      </c>
      <c r="V77" s="261"/>
      <c r="W77" s="261"/>
      <c r="X77" s="261"/>
      <c r="Y77" s="140" t="str">
        <f>IF((VLOOKUP(E77,classifications!C:K,9,FALSE))="Sparse","S","")</f>
        <v/>
      </c>
      <c r="Z77" s="140"/>
      <c r="AA77" s="140"/>
      <c r="AB77" s="140"/>
      <c r="AC77" s="140"/>
      <c r="AD77" s="271"/>
      <c r="AE77" s="271"/>
      <c r="AF77" s="271"/>
      <c r="AG77" s="271"/>
      <c r="AH77" s="271"/>
      <c r="AI77" s="271"/>
      <c r="AJ77" s="271"/>
      <c r="AK77" s="271"/>
      <c r="AL77" s="271"/>
      <c r="AP77" s="60"/>
    </row>
    <row r="78" spans="2:42" ht="12" customHeight="1">
      <c r="B78" s="284">
        <v>13</v>
      </c>
      <c r="C78" s="255"/>
      <c r="D78" s="255"/>
      <c r="E78" s="260" t="str">
        <f>VLOOKUP(B78,'Filtered Data'!K:L,2,FALSE)</f>
        <v>Thurrock</v>
      </c>
      <c r="F78" s="260"/>
      <c r="G78" s="260"/>
      <c r="H78" s="260"/>
      <c r="I78" s="260"/>
      <c r="J78" s="260"/>
      <c r="K78" s="260"/>
      <c r="L78" s="260"/>
      <c r="M78" s="260"/>
      <c r="N78" s="260"/>
      <c r="O78" s="260"/>
      <c r="P78" s="260"/>
      <c r="Q78" s="260"/>
      <c r="R78" s="260"/>
      <c r="S78" s="260"/>
      <c r="T78" s="260"/>
      <c r="U78" s="261">
        <f>IF('Filtered Data'!$H$8="%.",(VLOOKUP(B78,'Filtered Data'!K:M,3,FALSE))/100,VLOOKUP(B78,'Filtered Data'!K:M,3,FALSE))</f>
        <v>0.96666666666666667</v>
      </c>
      <c r="V78" s="261"/>
      <c r="W78" s="261"/>
      <c r="X78" s="261"/>
      <c r="Y78" s="140" t="str">
        <f>IF((VLOOKUP(E78,classifications!C:K,9,FALSE))="Sparse","S","")</f>
        <v/>
      </c>
      <c r="Z78" s="140"/>
      <c r="AA78" s="140"/>
      <c r="AB78" s="140"/>
      <c r="AC78" s="140"/>
      <c r="AD78" s="271"/>
      <c r="AE78" s="271"/>
      <c r="AF78" s="271"/>
      <c r="AG78" s="271"/>
      <c r="AH78" s="271"/>
      <c r="AI78" s="271"/>
      <c r="AJ78" s="271"/>
      <c r="AK78" s="271"/>
      <c r="AL78" s="271"/>
      <c r="AP78" s="60"/>
    </row>
    <row r="79" spans="2:42" ht="12" customHeight="1">
      <c r="B79" s="284">
        <v>14</v>
      </c>
      <c r="C79" s="255"/>
      <c r="D79" s="255"/>
      <c r="E79" s="260" t="str">
        <f>VLOOKUP(B79,'Filtered Data'!K:L,2,FALSE)</f>
        <v>East Riding of Yorkshire</v>
      </c>
      <c r="F79" s="260"/>
      <c r="G79" s="260"/>
      <c r="H79" s="260"/>
      <c r="I79" s="260"/>
      <c r="J79" s="260"/>
      <c r="K79" s="260"/>
      <c r="L79" s="260"/>
      <c r="M79" s="260"/>
      <c r="N79" s="260"/>
      <c r="O79" s="260"/>
      <c r="P79" s="260"/>
      <c r="Q79" s="260"/>
      <c r="R79" s="260"/>
      <c r="S79" s="260"/>
      <c r="T79" s="260"/>
      <c r="U79" s="261">
        <f>IF('Filtered Data'!$H$8="%.",(VLOOKUP(B79,'Filtered Data'!K:M,3,FALSE))/100,VLOOKUP(B79,'Filtered Data'!K:M,3,FALSE))</f>
        <v>0.96052631578947367</v>
      </c>
      <c r="V79" s="261"/>
      <c r="W79" s="261"/>
      <c r="X79" s="261"/>
      <c r="Y79" s="140" t="str">
        <f>IF((VLOOKUP(E79,classifications!C:K,9,FALSE))="Sparse","S","")</f>
        <v>S</v>
      </c>
      <c r="Z79" s="140"/>
      <c r="AA79" s="140"/>
      <c r="AB79" s="140"/>
      <c r="AC79" s="140"/>
      <c r="AD79" s="271"/>
      <c r="AE79" s="271"/>
      <c r="AF79" s="271"/>
      <c r="AG79" s="271"/>
      <c r="AH79" s="271"/>
      <c r="AI79" s="271"/>
      <c r="AJ79" s="271"/>
      <c r="AK79" s="271"/>
      <c r="AL79" s="271"/>
      <c r="AP79" s="60"/>
    </row>
    <row r="80" spans="2:42" ht="12" customHeight="1">
      <c r="B80" s="284">
        <v>15</v>
      </c>
      <c r="C80" s="255"/>
      <c r="D80" s="255"/>
      <c r="E80" s="260" t="str">
        <f>VLOOKUP(B80,'Filtered Data'!K:L,2,FALSE)</f>
        <v>Milton Keynes</v>
      </c>
      <c r="F80" s="260"/>
      <c r="G80" s="260"/>
      <c r="H80" s="260"/>
      <c r="I80" s="260"/>
      <c r="J80" s="260"/>
      <c r="K80" s="260"/>
      <c r="L80" s="260"/>
      <c r="M80" s="260"/>
      <c r="N80" s="260"/>
      <c r="O80" s="260"/>
      <c r="P80" s="260"/>
      <c r="Q80" s="260"/>
      <c r="R80" s="260"/>
      <c r="S80" s="260"/>
      <c r="T80" s="260"/>
      <c r="U80" s="261">
        <f>IF('Filtered Data'!$H$8="%.",(VLOOKUP(B80,'Filtered Data'!K:M,3,FALSE))/100,VLOOKUP(B80,'Filtered Data'!K:M,3,FALSE))</f>
        <v>0.95890410958904093</v>
      </c>
      <c r="V80" s="261"/>
      <c r="W80" s="261"/>
      <c r="X80" s="261"/>
      <c r="Y80" s="140" t="str">
        <f>IF((VLOOKUP(E80,classifications!C:K,9,FALSE))="Sparse","S","")</f>
        <v/>
      </c>
      <c r="Z80" s="140"/>
      <c r="AA80" s="140"/>
      <c r="AB80" s="140"/>
      <c r="AC80" s="140"/>
      <c r="AD80" s="271"/>
      <c r="AE80" s="271"/>
      <c r="AF80" s="271"/>
      <c r="AG80" s="271"/>
      <c r="AH80" s="271"/>
      <c r="AI80" s="271"/>
      <c r="AJ80" s="271"/>
      <c r="AK80" s="271"/>
      <c r="AL80" s="271"/>
      <c r="AP80" s="60"/>
    </row>
    <row r="81" spans="1:48" ht="12" customHeight="1">
      <c r="B81" s="284">
        <v>16</v>
      </c>
      <c r="C81" s="255"/>
      <c r="D81" s="255"/>
      <c r="E81" s="260" t="str">
        <f>VLOOKUP(B81,'Filtered Data'!K:L,2,FALSE)</f>
        <v>Torbay</v>
      </c>
      <c r="F81" s="260"/>
      <c r="G81" s="260"/>
      <c r="H81" s="260"/>
      <c r="I81" s="260"/>
      <c r="J81" s="260"/>
      <c r="K81" s="260"/>
      <c r="L81" s="260"/>
      <c r="M81" s="260"/>
      <c r="N81" s="260"/>
      <c r="O81" s="260"/>
      <c r="P81" s="260"/>
      <c r="Q81" s="260"/>
      <c r="R81" s="260"/>
      <c r="S81" s="260"/>
      <c r="T81" s="260"/>
      <c r="U81" s="261">
        <f>IF('Filtered Data'!$H$8="%.",(VLOOKUP(B81,'Filtered Data'!K:M,3,FALSE))/100,VLOOKUP(B81,'Filtered Data'!K:M,3,FALSE))</f>
        <v>0.95652173913043481</v>
      </c>
      <c r="V81" s="261"/>
      <c r="W81" s="261"/>
      <c r="X81" s="261"/>
      <c r="Y81" s="140" t="str">
        <f>IF((VLOOKUP(E81,classifications!C:K,9,FALSE))="Sparse","S","")</f>
        <v/>
      </c>
      <c r="Z81" s="140"/>
      <c r="AA81" s="140"/>
      <c r="AB81" s="140"/>
      <c r="AC81" s="140"/>
      <c r="AD81" s="271"/>
      <c r="AE81" s="271"/>
      <c r="AF81" s="271"/>
      <c r="AG81" s="271"/>
      <c r="AH81" s="271"/>
      <c r="AI81" s="271"/>
      <c r="AJ81" s="271"/>
      <c r="AK81" s="271"/>
      <c r="AL81" s="271"/>
      <c r="AP81" s="60"/>
    </row>
    <row r="82" spans="1:48" ht="12" customHeight="1">
      <c r="B82" s="284">
        <v>17</v>
      </c>
      <c r="C82" s="255"/>
      <c r="D82" s="255"/>
      <c r="E82" s="260" t="str">
        <f>VLOOKUP(B82,'Filtered Data'!K:L,2,FALSE)</f>
        <v>York</v>
      </c>
      <c r="F82" s="260"/>
      <c r="G82" s="260"/>
      <c r="H82" s="260"/>
      <c r="I82" s="260"/>
      <c r="J82" s="260"/>
      <c r="K82" s="260"/>
      <c r="L82" s="260"/>
      <c r="M82" s="260"/>
      <c r="N82" s="260"/>
      <c r="O82" s="260"/>
      <c r="P82" s="260"/>
      <c r="Q82" s="260"/>
      <c r="R82" s="260"/>
      <c r="S82" s="260"/>
      <c r="T82" s="260"/>
      <c r="U82" s="261">
        <f>IF('Filtered Data'!$H$8="%.",(VLOOKUP(B82,'Filtered Data'!K:M,3,FALSE))/100,VLOOKUP(B82,'Filtered Data'!K:M,3,FALSE))</f>
        <v>0.95121951219512202</v>
      </c>
      <c r="V82" s="261"/>
      <c r="W82" s="261"/>
      <c r="X82" s="261"/>
      <c r="Y82" s="140" t="str">
        <f>IF((VLOOKUP(E82,classifications!C:K,9,FALSE))="Sparse","S","")</f>
        <v/>
      </c>
      <c r="Z82" s="140"/>
      <c r="AA82" s="140"/>
      <c r="AB82" s="140"/>
      <c r="AC82" s="140"/>
      <c r="AD82" s="271"/>
      <c r="AE82" s="271"/>
      <c r="AF82" s="271"/>
      <c r="AG82" s="271"/>
      <c r="AH82" s="271"/>
      <c r="AI82" s="271"/>
      <c r="AJ82" s="271"/>
      <c r="AK82" s="271"/>
      <c r="AL82" s="271"/>
      <c r="AP82" s="60"/>
    </row>
    <row r="83" spans="1:48" ht="12" customHeight="1">
      <c r="B83" s="284">
        <v>18</v>
      </c>
      <c r="C83" s="255"/>
      <c r="D83" s="255"/>
      <c r="E83" s="260" t="str">
        <f>VLOOKUP(B83,'Filtered Data'!K:L,2,FALSE)</f>
        <v>Cheshire East</v>
      </c>
      <c r="F83" s="260"/>
      <c r="G83" s="260"/>
      <c r="H83" s="260"/>
      <c r="I83" s="260"/>
      <c r="J83" s="260"/>
      <c r="K83" s="260"/>
      <c r="L83" s="260"/>
      <c r="M83" s="260"/>
      <c r="N83" s="260"/>
      <c r="O83" s="260"/>
      <c r="P83" s="260"/>
      <c r="Q83" s="260"/>
      <c r="R83" s="260"/>
      <c r="S83" s="260"/>
      <c r="T83" s="260"/>
      <c r="U83" s="261">
        <f>IF('Filtered Data'!$H$8="%.",(VLOOKUP(B83,'Filtered Data'!K:M,3,FALSE))/100,VLOOKUP(B83,'Filtered Data'!K:M,3,FALSE))</f>
        <v>0.94444444444444442</v>
      </c>
      <c r="V83" s="261"/>
      <c r="W83" s="261"/>
      <c r="X83" s="261"/>
      <c r="Y83" s="140" t="str">
        <f>IF((VLOOKUP(E83,classifications!C:K,9,FALSE))="Sparse","S","")</f>
        <v>S</v>
      </c>
      <c r="Z83" s="140"/>
      <c r="AA83" s="140"/>
      <c r="AB83" s="140"/>
      <c r="AC83" s="140"/>
      <c r="AD83" s="271"/>
      <c r="AE83" s="271"/>
      <c r="AF83" s="271"/>
      <c r="AG83" s="271"/>
      <c r="AH83" s="271"/>
      <c r="AI83" s="271"/>
      <c r="AJ83" s="271"/>
      <c r="AK83" s="271"/>
      <c r="AL83" s="271"/>
      <c r="AP83" s="60"/>
    </row>
    <row r="84" spans="1:48" ht="12" customHeight="1">
      <c r="B84" s="284">
        <v>19</v>
      </c>
      <c r="C84" s="255"/>
      <c r="D84" s="255"/>
      <c r="E84" s="260" t="str">
        <f>VLOOKUP(B84,'Filtered Data'!K:L,2,FALSE)</f>
        <v>Nottingham</v>
      </c>
      <c r="F84" s="260"/>
      <c r="G84" s="260"/>
      <c r="H84" s="260"/>
      <c r="I84" s="260"/>
      <c r="J84" s="260"/>
      <c r="K84" s="260"/>
      <c r="L84" s="260"/>
      <c r="M84" s="260"/>
      <c r="N84" s="260"/>
      <c r="O84" s="260"/>
      <c r="P84" s="260"/>
      <c r="Q84" s="260"/>
      <c r="R84" s="260"/>
      <c r="S84" s="260"/>
      <c r="T84" s="260"/>
      <c r="U84" s="261">
        <f>IF('Filtered Data'!$H$8="%.",(VLOOKUP(B84,'Filtered Data'!K:M,3,FALSE))/100,VLOOKUP(B84,'Filtered Data'!K:M,3,FALSE))</f>
        <v>0.94444444444444442</v>
      </c>
      <c r="V84" s="261"/>
      <c r="W84" s="261"/>
      <c r="X84" s="261"/>
      <c r="Y84" s="140" t="str">
        <f>IF((VLOOKUP(E84,classifications!C:K,9,FALSE))="Sparse","S","")</f>
        <v/>
      </c>
      <c r="Z84" s="140"/>
      <c r="AA84" s="140"/>
      <c r="AB84" s="140"/>
      <c r="AC84" s="140"/>
      <c r="AD84" s="271"/>
      <c r="AE84" s="271"/>
      <c r="AF84" s="271"/>
      <c r="AG84" s="271"/>
      <c r="AH84" s="271"/>
      <c r="AI84" s="271"/>
      <c r="AJ84" s="271"/>
      <c r="AK84" s="271"/>
      <c r="AL84" s="271"/>
      <c r="AP84" s="60"/>
    </row>
    <row r="85" spans="1:48" ht="12" customHeight="1">
      <c r="B85" s="284">
        <v>20</v>
      </c>
      <c r="C85" s="284"/>
      <c r="D85" s="284"/>
      <c r="E85" s="260" t="str">
        <f>VLOOKUP(B85,'Filtered Data'!K:L,2,FALSE)</f>
        <v>Bristol</v>
      </c>
      <c r="F85" s="260"/>
      <c r="G85" s="260"/>
      <c r="H85" s="260"/>
      <c r="I85" s="260"/>
      <c r="J85" s="260"/>
      <c r="K85" s="260"/>
      <c r="L85" s="260"/>
      <c r="M85" s="260"/>
      <c r="N85" s="260"/>
      <c r="O85" s="260"/>
      <c r="P85" s="260"/>
      <c r="Q85" s="260"/>
      <c r="R85" s="260"/>
      <c r="S85" s="260"/>
      <c r="T85" s="260"/>
      <c r="U85" s="261">
        <f>IF('Filtered Data'!$H$8="%.",(VLOOKUP(B85,'Filtered Data'!K:M,3,FALSE))/100,VLOOKUP(B85,'Filtered Data'!K:M,3,FALSE))</f>
        <v>0.94285714285714273</v>
      </c>
      <c r="V85" s="261"/>
      <c r="W85" s="261"/>
      <c r="X85" s="261"/>
      <c r="Y85" s="140" t="str">
        <f>IF((VLOOKUP(E85,classifications!C:K,9,FALSE))="Sparse","S","")</f>
        <v/>
      </c>
      <c r="Z85" s="140"/>
      <c r="AA85" s="140"/>
      <c r="AB85" s="140"/>
      <c r="AC85" s="140"/>
      <c r="AD85" s="271"/>
      <c r="AE85" s="271"/>
      <c r="AF85" s="271"/>
      <c r="AG85" s="271"/>
      <c r="AH85" s="271"/>
      <c r="AI85" s="271"/>
      <c r="AJ85" s="271"/>
      <c r="AK85" s="271"/>
      <c r="AL85" s="271"/>
      <c r="AP85" s="60"/>
    </row>
    <row r="86" spans="1:48" ht="12" customHeight="1">
      <c r="A86" s="55"/>
      <c r="B86" s="332" t="str">
        <f>IF(Q37&lt;=MAX(B66:D85),"",Q37)</f>
        <v/>
      </c>
      <c r="C86" s="332"/>
      <c r="D86" s="332"/>
      <c r="E86" s="262" t="str">
        <f>IF(B86="","",VLOOKUP(B86,'Filtered Data'!K:L,2,FALSE))</f>
        <v/>
      </c>
      <c r="F86" s="262"/>
      <c r="G86" s="262"/>
      <c r="H86" s="262"/>
      <c r="I86" s="262"/>
      <c r="J86" s="262"/>
      <c r="K86" s="262"/>
      <c r="L86" s="262"/>
      <c r="M86" s="262"/>
      <c r="N86" s="262"/>
      <c r="O86" s="262"/>
      <c r="P86" s="262"/>
      <c r="Q86" s="262"/>
      <c r="R86" s="262"/>
      <c r="S86" s="262"/>
      <c r="T86" s="262"/>
      <c r="U86" s="274" t="str">
        <f>IF(B86="","",L35)</f>
        <v/>
      </c>
      <c r="V86" s="274"/>
      <c r="W86" s="274"/>
      <c r="X86" s="274"/>
      <c r="Y86" s="140" t="str">
        <f>IF(B86="","",IF((VLOOKUP(E86,classifications!C:K,9,FALSE))="Sparse","S",""))</f>
        <v/>
      </c>
      <c r="Z86" s="140"/>
      <c r="AA86" s="140"/>
      <c r="AB86" s="140"/>
      <c r="AC86" s="140"/>
      <c r="AD86" s="272"/>
      <c r="AE86" s="272"/>
      <c r="AF86" s="272"/>
      <c r="AG86" s="272"/>
      <c r="AH86" s="272"/>
      <c r="AI86" s="272"/>
      <c r="AJ86" s="272"/>
      <c r="AK86" s="272"/>
      <c r="AL86" s="272"/>
      <c r="AP86" s="60"/>
    </row>
    <row r="87" spans="1:48" ht="12" customHeight="1">
      <c r="B87" s="2"/>
      <c r="C87" s="2"/>
      <c r="D87" s="2"/>
      <c r="E87" s="3"/>
      <c r="F87" s="3"/>
      <c r="G87" s="3"/>
      <c r="H87" s="3"/>
      <c r="I87" s="3"/>
      <c r="J87" s="3"/>
      <c r="K87" s="3"/>
      <c r="L87" s="3"/>
      <c r="M87" s="3"/>
      <c r="N87" s="3"/>
      <c r="O87" s="3"/>
      <c r="P87" s="3"/>
      <c r="Q87" s="3"/>
      <c r="R87" s="3"/>
      <c r="S87" s="3"/>
      <c r="T87" s="3"/>
      <c r="U87" s="12"/>
      <c r="V87" s="12"/>
      <c r="W87" s="12"/>
      <c r="X87" s="12"/>
      <c r="AP87" s="60"/>
    </row>
    <row r="88" spans="1:48" ht="12" customHeight="1">
      <c r="AP88" s="60"/>
    </row>
    <row r="89" spans="1:48" ht="12" customHeight="1">
      <c r="B89" s="1" t="str">
        <f>IF('Filtered Data'!D1="MD","",IF('Filtered Data'!D1="SC","",IF('Filtered Data'!D1="UA","Regional Authorites:","County Authorities:")))</f>
        <v>Regional Authorites:</v>
      </c>
      <c r="K89" s="1" t="str">
        <f>IF('Filtered Data'!D1="UA",J9,J10)</f>
        <v>North West</v>
      </c>
      <c r="U89" s="1"/>
      <c r="AD89" s="1"/>
      <c r="AP89" s="60"/>
    </row>
    <row r="90" spans="1:48" ht="12" customHeight="1">
      <c r="B90" s="1"/>
      <c r="AP90" s="60"/>
    </row>
    <row r="91" spans="1:48" ht="12" customHeight="1">
      <c r="B91" s="273" t="str">
        <f>IF('Filtered Data'!D1="MD","",IF('Filtered Data'!D1="SC","","Rank"))</f>
        <v>Rank</v>
      </c>
      <c r="C91" s="273"/>
      <c r="D91" s="273"/>
      <c r="E91" s="258" t="str">
        <f>IF('Filtered Data'!D1="MD","",IF('Filtered Data'!D1="SC","","Authority"))</f>
        <v>Authority</v>
      </c>
      <c r="F91" s="258"/>
      <c r="G91" s="258"/>
      <c r="H91" s="258"/>
      <c r="I91" s="258"/>
      <c r="J91" s="258"/>
      <c r="K91" s="258"/>
      <c r="L91" s="258"/>
      <c r="M91" s="258"/>
      <c r="N91" s="258"/>
      <c r="O91" s="243"/>
      <c r="P91" s="243"/>
      <c r="Q91" s="243"/>
      <c r="R91" s="243"/>
      <c r="S91" s="243"/>
      <c r="T91" s="243"/>
      <c r="U91" s="273" t="str">
        <f>IF('Filtered Data'!D1="MD","",IF('Filtered Data'!D1="SC","","Value"))</f>
        <v>Value</v>
      </c>
      <c r="V91" s="273"/>
      <c r="W91" s="273"/>
      <c r="X91" s="273"/>
      <c r="AA91" s="273"/>
      <c r="AB91" s="273"/>
      <c r="AC91" s="273"/>
      <c r="AD91" s="258"/>
      <c r="AE91" s="258"/>
      <c r="AF91" s="258"/>
      <c r="AG91" s="258"/>
      <c r="AH91" s="258"/>
      <c r="AI91" s="258"/>
      <c r="AJ91" s="258"/>
      <c r="AK91" s="258"/>
      <c r="AL91" s="258"/>
      <c r="AM91" s="258"/>
      <c r="AN91" s="273"/>
      <c r="AO91" s="273"/>
      <c r="AP91" s="273"/>
      <c r="AV91" s="60"/>
    </row>
    <row r="92" spans="1:48" ht="12" customHeight="1">
      <c r="B92" s="256">
        <f>IF('Filtered Data'!$D$1="MD","",IF('Filtered Data'!$D$1="SC","",IF('Filtered Data'!$D$1="UA",'Filtered Data'!AS11,'Filtered Data'!AL11)))</f>
        <v>1</v>
      </c>
      <c r="C92" s="257"/>
      <c r="D92" s="257"/>
      <c r="E92" s="262" t="str">
        <f>IF(B92="","",IF('Filtered Data'!$D$1="UA",VLOOKUP(B92,'Filtered Data'!AS:AU,2,FALSE),VLOOKUP(B92,'Filtered Data'!AL:AN,2,FALSE)))</f>
        <v>Blackburn with Darwen</v>
      </c>
      <c r="F92" s="262"/>
      <c r="G92" s="262"/>
      <c r="H92" s="262"/>
      <c r="I92" s="262"/>
      <c r="J92" s="262"/>
      <c r="K92" s="262"/>
      <c r="L92" s="262"/>
      <c r="M92" s="262"/>
      <c r="N92" s="262"/>
      <c r="O92" s="262"/>
      <c r="P92" s="262"/>
      <c r="Q92" s="262"/>
      <c r="R92" s="262"/>
      <c r="S92" s="262"/>
      <c r="T92" s="262"/>
      <c r="U92" s="261">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1</v>
      </c>
      <c r="V92" s="261"/>
      <c r="W92" s="261"/>
      <c r="X92" s="261"/>
      <c r="Y92" s="141" t="str">
        <f>IF(E92="","",IF((VLOOKUP(E92,classifications!C:K,9,FALSE))="Sparse","S",""))</f>
        <v/>
      </c>
      <c r="AA92" s="265"/>
      <c r="AB92" s="255"/>
      <c r="AC92" s="255"/>
      <c r="AD92" s="260"/>
      <c r="AE92" s="260"/>
      <c r="AF92" s="260"/>
      <c r="AG92" s="260"/>
      <c r="AH92" s="260"/>
      <c r="AI92" s="260"/>
      <c r="AJ92" s="260"/>
      <c r="AK92" s="260"/>
      <c r="AL92" s="260"/>
      <c r="AM92" s="260"/>
      <c r="AN92" s="259"/>
      <c r="AO92" s="259"/>
      <c r="AP92" s="259"/>
      <c r="AQ92" s="259"/>
      <c r="AR92" s="141"/>
      <c r="AV92" s="60"/>
    </row>
    <row r="93" spans="1:48" ht="12" customHeight="1">
      <c r="B93" s="256">
        <f>IF('Filtered Data'!$D$1="MD","",IF('Filtered Data'!$D$1="SC","",IF('Filtered Data'!$D$1="UA",'Filtered Data'!AS12,'Filtered Data'!AL12)))</f>
        <v>2</v>
      </c>
      <c r="C93" s="257"/>
      <c r="D93" s="257"/>
      <c r="E93" s="262" t="str">
        <f>IF(B93="","",IF('Filtered Data'!$D$1="UA",VLOOKUP(B93,'Filtered Data'!AS:AU,2,FALSE),VLOOKUP(B93,'Filtered Data'!AL:AN,2,FALSE)))</f>
        <v>Blackpool</v>
      </c>
      <c r="F93" s="262"/>
      <c r="G93" s="262"/>
      <c r="H93" s="262"/>
      <c r="I93" s="262"/>
      <c r="J93" s="262"/>
      <c r="K93" s="262"/>
      <c r="L93" s="262"/>
      <c r="M93" s="262"/>
      <c r="N93" s="262"/>
      <c r="O93" s="262"/>
      <c r="P93" s="262"/>
      <c r="Q93" s="262"/>
      <c r="R93" s="262"/>
      <c r="S93" s="262"/>
      <c r="T93" s="262"/>
      <c r="U93" s="261">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1</v>
      </c>
      <c r="V93" s="261"/>
      <c r="W93" s="261"/>
      <c r="X93" s="261"/>
      <c r="Y93" s="141" t="str">
        <f>IF(E93="","",IF((VLOOKUP(E93,classifications!C:K,9,FALSE))="Sparse","S",""))</f>
        <v/>
      </c>
      <c r="AA93" s="265"/>
      <c r="AB93" s="255"/>
      <c r="AC93" s="255"/>
      <c r="AD93" s="260"/>
      <c r="AE93" s="260"/>
      <c r="AF93" s="260"/>
      <c r="AG93" s="260"/>
      <c r="AH93" s="260"/>
      <c r="AI93" s="260"/>
      <c r="AJ93" s="260"/>
      <c r="AK93" s="260"/>
      <c r="AL93" s="260"/>
      <c r="AM93" s="260"/>
      <c r="AN93" s="259"/>
      <c r="AO93" s="259"/>
      <c r="AP93" s="259"/>
      <c r="AQ93" s="259"/>
      <c r="AR93" s="141"/>
      <c r="AV93" s="60"/>
    </row>
    <row r="94" spans="1:48" ht="12" customHeight="1">
      <c r="B94" s="256">
        <f>IF('Filtered Data'!$D$1="MD","",IF('Filtered Data'!$D$1="SC","",IF('Filtered Data'!$D$1="UA",'Filtered Data'!AS13,'Filtered Data'!AL13)))</f>
        <v>3</v>
      </c>
      <c r="C94" s="257"/>
      <c r="D94" s="257"/>
      <c r="E94" s="262" t="str">
        <f>IF(B94="","",IF('Filtered Data'!$D$1="UA",VLOOKUP(B94,'Filtered Data'!AS:AU,2,FALSE),VLOOKUP(B94,'Filtered Data'!AL:AN,2,FALSE)))</f>
        <v>Cheshire East</v>
      </c>
      <c r="F94" s="262"/>
      <c r="G94" s="262"/>
      <c r="H94" s="262"/>
      <c r="I94" s="262"/>
      <c r="J94" s="262"/>
      <c r="K94" s="262"/>
      <c r="L94" s="262"/>
      <c r="M94" s="262"/>
      <c r="N94" s="262"/>
      <c r="O94" s="262"/>
      <c r="P94" s="262"/>
      <c r="Q94" s="262"/>
      <c r="R94" s="262"/>
      <c r="S94" s="262"/>
      <c r="T94" s="262"/>
      <c r="U94" s="261">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0.94444444444444442</v>
      </c>
      <c r="V94" s="261"/>
      <c r="W94" s="261"/>
      <c r="X94" s="261"/>
      <c r="Y94" s="141" t="str">
        <f>IF(E94="","",IF((VLOOKUP(E94,classifications!C:K,9,FALSE))="Sparse","S",""))</f>
        <v>S</v>
      </c>
      <c r="AA94" s="265"/>
      <c r="AB94" s="255"/>
      <c r="AC94" s="255"/>
      <c r="AD94" s="260"/>
      <c r="AE94" s="260"/>
      <c r="AF94" s="260"/>
      <c r="AG94" s="260"/>
      <c r="AH94" s="260"/>
      <c r="AI94" s="260"/>
      <c r="AJ94" s="260"/>
      <c r="AK94" s="260"/>
      <c r="AL94" s="260"/>
      <c r="AM94" s="260"/>
      <c r="AN94" s="259"/>
      <c r="AO94" s="259"/>
      <c r="AP94" s="259"/>
      <c r="AQ94" s="259"/>
      <c r="AR94" s="141"/>
      <c r="AV94" s="60"/>
    </row>
    <row r="95" spans="1:48" ht="12" customHeight="1">
      <c r="B95" s="256">
        <f>IF('Filtered Data'!$D$1="MD","",IF('Filtered Data'!$D$1="SC","",IF('Filtered Data'!$D$1="UA",'Filtered Data'!AS14,'Filtered Data'!AL14)))</f>
        <v>4</v>
      </c>
      <c r="C95" s="257"/>
      <c r="D95" s="257"/>
      <c r="E95" s="262" t="str">
        <f>IF(B95="","",IF('Filtered Data'!$D$1="UA",VLOOKUP(B95,'Filtered Data'!AS:AU,2,FALSE),VLOOKUP(B95,'Filtered Data'!AL:AN,2,FALSE)))</f>
        <v>Warrington</v>
      </c>
      <c r="F95" s="262"/>
      <c r="G95" s="262"/>
      <c r="H95" s="262"/>
      <c r="I95" s="262"/>
      <c r="J95" s="262"/>
      <c r="K95" s="262"/>
      <c r="L95" s="262"/>
      <c r="M95" s="262"/>
      <c r="N95" s="262"/>
      <c r="O95" s="262"/>
      <c r="P95" s="262"/>
      <c r="Q95" s="262"/>
      <c r="R95" s="262"/>
      <c r="S95" s="262"/>
      <c r="T95" s="262"/>
      <c r="U95" s="261">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0.93939393939393934</v>
      </c>
      <c r="V95" s="261"/>
      <c r="W95" s="261"/>
      <c r="X95" s="261"/>
      <c r="Y95" s="141" t="str">
        <f>IF(E95="","",IF((VLOOKUP(E95,classifications!C:K,9,FALSE))="Sparse","S",""))</f>
        <v/>
      </c>
      <c r="AA95" s="265"/>
      <c r="AB95" s="255"/>
      <c r="AC95" s="255"/>
      <c r="AD95" s="260"/>
      <c r="AE95" s="260"/>
      <c r="AF95" s="260"/>
      <c r="AG95" s="260"/>
      <c r="AH95" s="260"/>
      <c r="AI95" s="260"/>
      <c r="AJ95" s="260"/>
      <c r="AK95" s="260"/>
      <c r="AL95" s="260"/>
      <c r="AM95" s="260"/>
      <c r="AN95" s="259"/>
      <c r="AO95" s="259"/>
      <c r="AP95" s="259"/>
      <c r="AQ95" s="259"/>
      <c r="AR95" s="141"/>
      <c r="AV95" s="60"/>
    </row>
    <row r="96" spans="1:48" ht="12" customHeight="1">
      <c r="B96" s="256">
        <f>IF('Filtered Data'!$D$1="MD","",IF('Filtered Data'!$D$1="SC","",IF('Filtered Data'!$D$1="UA",'Filtered Data'!AS15,'Filtered Data'!AL15)))</f>
        <v>5</v>
      </c>
      <c r="C96" s="257"/>
      <c r="D96" s="257"/>
      <c r="E96" s="262" t="str">
        <f>IF(B96="","",IF('Filtered Data'!$D$1="UA",VLOOKUP(B96,'Filtered Data'!AS:AU,2,FALSE),VLOOKUP(B96,'Filtered Data'!AL:AN,2,FALSE)))</f>
        <v>Cheshire West &amp; Chester</v>
      </c>
      <c r="F96" s="262"/>
      <c r="G96" s="262"/>
      <c r="H96" s="262"/>
      <c r="I96" s="262"/>
      <c r="J96" s="262"/>
      <c r="K96" s="262"/>
      <c r="L96" s="262"/>
      <c r="M96" s="262"/>
      <c r="N96" s="262"/>
      <c r="O96" s="262"/>
      <c r="P96" s="262"/>
      <c r="Q96" s="262"/>
      <c r="R96" s="262"/>
      <c r="S96" s="262"/>
      <c r="T96" s="262"/>
      <c r="U96" s="261">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0.91379310344827591</v>
      </c>
      <c r="V96" s="261"/>
      <c r="W96" s="261"/>
      <c r="X96" s="261"/>
      <c r="Y96" s="141" t="str">
        <f>IF(E96="","",IF((VLOOKUP(E96,classifications!C:K,9,FALSE))="Sparse","S",""))</f>
        <v/>
      </c>
      <c r="AA96" s="265"/>
      <c r="AB96" s="255"/>
      <c r="AC96" s="255"/>
      <c r="AD96" s="260"/>
      <c r="AE96" s="260"/>
      <c r="AF96" s="260"/>
      <c r="AG96" s="260"/>
      <c r="AH96" s="260"/>
      <c r="AI96" s="260"/>
      <c r="AJ96" s="260"/>
      <c r="AK96" s="260"/>
      <c r="AL96" s="260"/>
      <c r="AM96" s="260"/>
      <c r="AN96" s="259"/>
      <c r="AO96" s="259"/>
      <c r="AP96" s="259"/>
      <c r="AQ96" s="259"/>
      <c r="AR96" s="141"/>
      <c r="AV96" s="60"/>
    </row>
    <row r="97" spans="2:48" ht="12" customHeight="1">
      <c r="B97" s="256">
        <f>IF('Filtered Data'!$D$1="MD","",IF('Filtered Data'!$D$1="SC","",IF('Filtered Data'!$D$1="UA",'Filtered Data'!AS16,'Filtered Data'!AL16)))</f>
        <v>6</v>
      </c>
      <c r="C97" s="257"/>
      <c r="D97" s="257"/>
      <c r="E97" s="262" t="str">
        <f>IF(B97="","",IF('Filtered Data'!$D$1="UA",VLOOKUP(B97,'Filtered Data'!AS:AU,2,FALSE),VLOOKUP(B97,'Filtered Data'!AL:AN,2,FALSE)))</f>
        <v>Halton</v>
      </c>
      <c r="F97" s="262"/>
      <c r="G97" s="262"/>
      <c r="H97" s="262"/>
      <c r="I97" s="262"/>
      <c r="J97" s="262"/>
      <c r="K97" s="262"/>
      <c r="L97" s="262"/>
      <c r="M97" s="262"/>
      <c r="N97" s="262"/>
      <c r="O97" s="262"/>
      <c r="P97" s="262"/>
      <c r="Q97" s="262"/>
      <c r="R97" s="262"/>
      <c r="S97" s="262"/>
      <c r="T97" s="262"/>
      <c r="U97" s="261">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0.69696969696969702</v>
      </c>
      <c r="V97" s="261"/>
      <c r="W97" s="261"/>
      <c r="X97" s="261"/>
      <c r="Y97" s="141" t="str">
        <f>IF(E97="","",IF((VLOOKUP(E97,classifications!C:K,9,FALSE))="Sparse","S",""))</f>
        <v/>
      </c>
      <c r="AA97" s="265"/>
      <c r="AB97" s="255"/>
      <c r="AC97" s="255"/>
      <c r="AD97" s="260"/>
      <c r="AE97" s="260"/>
      <c r="AF97" s="260"/>
      <c r="AG97" s="260"/>
      <c r="AH97" s="260"/>
      <c r="AI97" s="260"/>
      <c r="AJ97" s="260"/>
      <c r="AK97" s="260"/>
      <c r="AL97" s="260"/>
      <c r="AM97" s="260"/>
      <c r="AN97" s="259"/>
      <c r="AO97" s="259"/>
      <c r="AP97" s="259"/>
      <c r="AQ97" s="259"/>
      <c r="AR97" s="141"/>
      <c r="AV97" s="60"/>
    </row>
    <row r="98" spans="2:48" ht="12" customHeight="1">
      <c r="B98" s="256" t="str">
        <f>IF('Filtered Data'!$D$1="MD","",IF('Filtered Data'!$D$1="SC","",IF('Filtered Data'!$D$1="UA",'Filtered Data'!AS17,'Filtered Data'!AL17)))</f>
        <v/>
      </c>
      <c r="C98" s="257"/>
      <c r="D98" s="257"/>
      <c r="E98" s="262" t="str">
        <f>IF(B98="","",IF('Filtered Data'!$D$1="UA",VLOOKUP(B98,'Filtered Data'!AS:AU,2,FALSE),VLOOKUP(B98,'Filtered Data'!AL:AN,2,FALSE)))</f>
        <v/>
      </c>
      <c r="F98" s="262"/>
      <c r="G98" s="262"/>
      <c r="H98" s="262"/>
      <c r="I98" s="262"/>
      <c r="J98" s="262"/>
      <c r="K98" s="262"/>
      <c r="L98" s="262"/>
      <c r="M98" s="262"/>
      <c r="N98" s="262"/>
      <c r="O98" s="262"/>
      <c r="P98" s="262"/>
      <c r="Q98" s="262"/>
      <c r="R98" s="262"/>
      <c r="S98" s="262"/>
      <c r="T98" s="262"/>
      <c r="U98" s="261"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261"/>
      <c r="W98" s="261"/>
      <c r="X98" s="261"/>
      <c r="Y98" s="141" t="str">
        <f>IF(E98="","",IF((VLOOKUP(E98,classifications!C:K,9,FALSE))="Sparse","S",""))</f>
        <v/>
      </c>
      <c r="AA98" s="265"/>
      <c r="AB98" s="255"/>
      <c r="AC98" s="255"/>
      <c r="AD98" s="260"/>
      <c r="AE98" s="260"/>
      <c r="AF98" s="260"/>
      <c r="AG98" s="260"/>
      <c r="AH98" s="260"/>
      <c r="AI98" s="260"/>
      <c r="AJ98" s="260"/>
      <c r="AK98" s="260"/>
      <c r="AL98" s="260"/>
      <c r="AM98" s="260"/>
      <c r="AN98" s="259"/>
      <c r="AO98" s="259"/>
      <c r="AP98" s="259"/>
      <c r="AQ98" s="259"/>
      <c r="AR98" s="141"/>
      <c r="AV98" s="60"/>
    </row>
    <row r="99" spans="2:48" ht="12" customHeight="1">
      <c r="B99" s="256" t="str">
        <f>IF('Filtered Data'!$D$1="MD","",IF('Filtered Data'!$D$1="SC","",IF('Filtered Data'!$D$1="UA",'Filtered Data'!AS18,'Filtered Data'!AL18)))</f>
        <v/>
      </c>
      <c r="C99" s="257"/>
      <c r="D99" s="257"/>
      <c r="E99" s="262" t="str">
        <f>IF(B99="","",IF('Filtered Data'!$D$1="UA",VLOOKUP(B99,'Filtered Data'!AS:AU,2,FALSE),VLOOKUP(B99,'Filtered Data'!AL:AN,2,FALSE)))</f>
        <v/>
      </c>
      <c r="F99" s="262"/>
      <c r="G99" s="262"/>
      <c r="H99" s="262"/>
      <c r="I99" s="262"/>
      <c r="J99" s="262"/>
      <c r="K99" s="262"/>
      <c r="L99" s="262"/>
      <c r="M99" s="262"/>
      <c r="N99" s="262"/>
      <c r="O99" s="262"/>
      <c r="P99" s="262"/>
      <c r="Q99" s="262"/>
      <c r="R99" s="262"/>
      <c r="S99" s="262"/>
      <c r="T99" s="262"/>
      <c r="U99" s="261"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261"/>
      <c r="W99" s="261"/>
      <c r="X99" s="261"/>
      <c r="Y99" s="141" t="str">
        <f>IF(E99="","",IF((VLOOKUP(E99,classifications!C:K,9,FALSE))="Sparse","S",""))</f>
        <v/>
      </c>
      <c r="AA99" s="265"/>
      <c r="AB99" s="255"/>
      <c r="AC99" s="255"/>
      <c r="AD99" s="260"/>
      <c r="AE99" s="260"/>
      <c r="AF99" s="260"/>
      <c r="AG99" s="260"/>
      <c r="AH99" s="260"/>
      <c r="AI99" s="260"/>
      <c r="AJ99" s="260"/>
      <c r="AK99" s="260"/>
      <c r="AL99" s="260"/>
      <c r="AM99" s="260"/>
      <c r="AN99" s="259"/>
      <c r="AO99" s="259"/>
      <c r="AP99" s="259"/>
      <c r="AQ99" s="259"/>
      <c r="AR99" s="141"/>
      <c r="AV99" s="60"/>
    </row>
    <row r="100" spans="2:48" ht="12" customHeight="1">
      <c r="B100" s="256" t="str">
        <f>IF('Filtered Data'!$D$1="MD","",IF('Filtered Data'!$D$1="SC","",IF('Filtered Data'!$D$1="UA",'Filtered Data'!AS19,'Filtered Data'!AL19)))</f>
        <v/>
      </c>
      <c r="C100" s="257"/>
      <c r="D100" s="257"/>
      <c r="E100" s="262" t="str">
        <f>IF(B100="","",IF('Filtered Data'!$D$1="UA",VLOOKUP(B100,'Filtered Data'!AS:AU,2,FALSE),VLOOKUP(B100,'Filtered Data'!AL:AN,2,FALSE)))</f>
        <v/>
      </c>
      <c r="F100" s="262"/>
      <c r="G100" s="262"/>
      <c r="H100" s="262"/>
      <c r="I100" s="262"/>
      <c r="J100" s="262"/>
      <c r="K100" s="262"/>
      <c r="L100" s="262"/>
      <c r="M100" s="262"/>
      <c r="N100" s="262"/>
      <c r="O100" s="262"/>
      <c r="P100" s="262"/>
      <c r="Q100" s="262"/>
      <c r="R100" s="262"/>
      <c r="S100" s="262"/>
      <c r="T100" s="262"/>
      <c r="U100" s="261"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61"/>
      <c r="W100" s="261"/>
      <c r="X100" s="261"/>
      <c r="Y100" s="141" t="str">
        <f>IF(E100="","",IF((VLOOKUP(E100,classifications!C:K,9,FALSE))="Sparse","S",""))</f>
        <v/>
      </c>
      <c r="AA100" s="265"/>
      <c r="AB100" s="255"/>
      <c r="AC100" s="255"/>
      <c r="AD100" s="260"/>
      <c r="AE100" s="260"/>
      <c r="AF100" s="260"/>
      <c r="AG100" s="260"/>
      <c r="AH100" s="260"/>
      <c r="AI100" s="260"/>
      <c r="AJ100" s="260"/>
      <c r="AK100" s="260"/>
      <c r="AL100" s="260"/>
      <c r="AM100" s="260"/>
      <c r="AN100" s="259"/>
      <c r="AO100" s="259"/>
      <c r="AP100" s="259"/>
      <c r="AQ100" s="259"/>
      <c r="AR100" s="141"/>
      <c r="AV100" s="60"/>
    </row>
    <row r="101" spans="2:48" ht="12" customHeight="1">
      <c r="B101" s="256" t="str">
        <f>IF('Filtered Data'!$D$1="MD","",IF('Filtered Data'!$D$1="SC","",IF('Filtered Data'!$D$1="UA",'Filtered Data'!AS20,'Filtered Data'!AL20)))</f>
        <v/>
      </c>
      <c r="C101" s="257"/>
      <c r="D101" s="257"/>
      <c r="E101" s="262" t="str">
        <f>IF(B101="","",IF('Filtered Data'!$D$1="UA",VLOOKUP(B101,'Filtered Data'!AS:AU,2,FALSE),VLOOKUP(B101,'Filtered Data'!AL:AN,2,FALSE)))</f>
        <v/>
      </c>
      <c r="F101" s="262"/>
      <c r="G101" s="262"/>
      <c r="H101" s="262"/>
      <c r="I101" s="262"/>
      <c r="J101" s="262"/>
      <c r="K101" s="262"/>
      <c r="L101" s="262"/>
      <c r="M101" s="262"/>
      <c r="N101" s="262"/>
      <c r="O101" s="262"/>
      <c r="P101" s="262"/>
      <c r="Q101" s="262"/>
      <c r="R101" s="262"/>
      <c r="S101" s="262"/>
      <c r="T101" s="262"/>
      <c r="U101" s="261"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61"/>
      <c r="W101" s="261"/>
      <c r="X101" s="261"/>
      <c r="Y101" s="141" t="str">
        <f>IF(E101="","",IF((VLOOKUP(E101,classifications!C:K,9,FALSE))="Sparse","S",""))</f>
        <v/>
      </c>
      <c r="AA101" s="265"/>
      <c r="AB101" s="255"/>
      <c r="AC101" s="255"/>
      <c r="AD101" s="260"/>
      <c r="AE101" s="260"/>
      <c r="AF101" s="260"/>
      <c r="AG101" s="260"/>
      <c r="AH101" s="260"/>
      <c r="AI101" s="260"/>
      <c r="AJ101" s="260"/>
      <c r="AK101" s="260"/>
      <c r="AL101" s="260"/>
      <c r="AM101" s="260"/>
      <c r="AN101" s="259"/>
      <c r="AO101" s="259"/>
      <c r="AP101" s="259"/>
      <c r="AQ101" s="259"/>
      <c r="AR101" s="141"/>
      <c r="AV101" s="60"/>
    </row>
    <row r="102" spans="2:48" ht="12" customHeight="1">
      <c r="B102" s="256" t="str">
        <f>IF('Filtered Data'!$D$1="MD","",IF('Filtered Data'!$D$1="SC","",IF('Filtered Data'!$D$1="UA",'Filtered Data'!AS21,'Filtered Data'!AL21)))</f>
        <v/>
      </c>
      <c r="C102" s="257"/>
      <c r="D102" s="257"/>
      <c r="E102" s="262" t="str">
        <f>IF(B102="","",IF('Filtered Data'!$D$1="UA",VLOOKUP(B102,'Filtered Data'!AS:AU,2,FALSE),VLOOKUP(B102,'Filtered Data'!AL:AN,2,FALSE)))</f>
        <v/>
      </c>
      <c r="F102" s="262"/>
      <c r="G102" s="262"/>
      <c r="H102" s="262"/>
      <c r="I102" s="262"/>
      <c r="J102" s="262"/>
      <c r="K102" s="262"/>
      <c r="L102" s="262"/>
      <c r="M102" s="262"/>
      <c r="N102" s="262"/>
      <c r="O102" s="262"/>
      <c r="P102" s="262"/>
      <c r="Q102" s="262"/>
      <c r="R102" s="262"/>
      <c r="S102" s="262"/>
      <c r="T102" s="262"/>
      <c r="U102" s="261"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61"/>
      <c r="W102" s="261"/>
      <c r="X102" s="261"/>
      <c r="Y102" s="141" t="str">
        <f>IF(E102="","",IF((VLOOKUP(E102,classifications!C:K,9,FALSE))="Sparse","S",""))</f>
        <v/>
      </c>
      <c r="AA102" s="265"/>
      <c r="AB102" s="255"/>
      <c r="AC102" s="255"/>
      <c r="AD102" s="260"/>
      <c r="AE102" s="260"/>
      <c r="AF102" s="260"/>
      <c r="AG102" s="260"/>
      <c r="AH102" s="260"/>
      <c r="AI102" s="260"/>
      <c r="AJ102" s="260"/>
      <c r="AK102" s="260"/>
      <c r="AL102" s="260"/>
      <c r="AM102" s="260"/>
      <c r="AN102" s="259"/>
      <c r="AO102" s="259"/>
      <c r="AP102" s="259"/>
      <c r="AQ102" s="259"/>
      <c r="AR102" s="141"/>
      <c r="AV102" s="60"/>
    </row>
    <row r="103" spans="2:48" ht="12" customHeight="1">
      <c r="B103" s="256" t="str">
        <f>IF('Filtered Data'!$D$1="MD","",IF('Filtered Data'!$D$1="SC","",IF('Filtered Data'!$D$1="UA",'Filtered Data'!AS22,'Filtered Data'!AL22)))</f>
        <v/>
      </c>
      <c r="C103" s="257"/>
      <c r="D103" s="257"/>
      <c r="E103" s="262" t="str">
        <f>IF(B103="","",IF('Filtered Data'!$D$1="UA",VLOOKUP(B103,'Filtered Data'!AS:AU,2,FALSE),VLOOKUP(B103,'Filtered Data'!AL:AN,2,FALSE)))</f>
        <v/>
      </c>
      <c r="F103" s="262"/>
      <c r="G103" s="262"/>
      <c r="H103" s="262"/>
      <c r="I103" s="262"/>
      <c r="J103" s="262"/>
      <c r="K103" s="262"/>
      <c r="L103" s="262"/>
      <c r="M103" s="262"/>
      <c r="N103" s="262"/>
      <c r="O103" s="262"/>
      <c r="P103" s="262"/>
      <c r="Q103" s="262"/>
      <c r="R103" s="262"/>
      <c r="S103" s="262"/>
      <c r="T103" s="262"/>
      <c r="U103" s="261"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61"/>
      <c r="W103" s="261"/>
      <c r="X103" s="261"/>
      <c r="Y103" s="141" t="str">
        <f>IF(E103="","",IF((VLOOKUP(E103,classifications!C:K,9,FALSE))="Sparse","S",""))</f>
        <v/>
      </c>
      <c r="AA103" s="265"/>
      <c r="AB103" s="255"/>
      <c r="AC103" s="255"/>
      <c r="AD103" s="260"/>
      <c r="AE103" s="260"/>
      <c r="AF103" s="260"/>
      <c r="AG103" s="260"/>
      <c r="AH103" s="260"/>
      <c r="AI103" s="260"/>
      <c r="AJ103" s="260"/>
      <c r="AK103" s="260"/>
      <c r="AL103" s="260"/>
      <c r="AM103" s="260"/>
      <c r="AN103" s="259"/>
      <c r="AO103" s="259"/>
      <c r="AP103" s="259"/>
      <c r="AQ103" s="259"/>
      <c r="AR103" s="141"/>
      <c r="AV103" s="60"/>
    </row>
    <row r="104" spans="2:48" ht="12" customHeight="1">
      <c r="B104" s="256" t="str">
        <f>IF('Filtered Data'!$D$1="MD","",IF('Filtered Data'!$D$1="SC","",IF('Filtered Data'!$D$1="UA",'Filtered Data'!AS23,'Filtered Data'!AL23)))</f>
        <v/>
      </c>
      <c r="C104" s="257"/>
      <c r="D104" s="257"/>
      <c r="E104" s="262" t="str">
        <f>IF(B104="","",IF('Filtered Data'!$D$1="UA",VLOOKUP(B104,'Filtered Data'!AS:AU,2,FALSE),VLOOKUP(B104,'Filtered Data'!AL:AN,2,FALSE)))</f>
        <v/>
      </c>
      <c r="F104" s="262"/>
      <c r="G104" s="262"/>
      <c r="H104" s="262"/>
      <c r="I104" s="262"/>
      <c r="J104" s="262"/>
      <c r="K104" s="262"/>
      <c r="L104" s="262"/>
      <c r="M104" s="262"/>
      <c r="N104" s="262"/>
      <c r="O104" s="262"/>
      <c r="P104" s="262"/>
      <c r="Q104" s="262"/>
      <c r="R104" s="262"/>
      <c r="S104" s="262"/>
      <c r="T104" s="262"/>
      <c r="U104" s="261"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61"/>
      <c r="W104" s="261"/>
      <c r="X104" s="261"/>
      <c r="Y104" s="141" t="str">
        <f>IF(E104="","",IF((VLOOKUP(E104,classifications!C:K,9,FALSE))="Sparse","S",""))</f>
        <v/>
      </c>
      <c r="AA104" s="265"/>
      <c r="AB104" s="255"/>
      <c r="AC104" s="255"/>
      <c r="AD104" s="260"/>
      <c r="AE104" s="260"/>
      <c r="AF104" s="260"/>
      <c r="AG104" s="260"/>
      <c r="AH104" s="260"/>
      <c r="AI104" s="260"/>
      <c r="AJ104" s="260"/>
      <c r="AK104" s="260"/>
      <c r="AL104" s="260"/>
      <c r="AM104" s="260"/>
      <c r="AN104" s="259"/>
      <c r="AO104" s="259"/>
      <c r="AP104" s="259"/>
      <c r="AQ104" s="259"/>
      <c r="AR104" s="141"/>
      <c r="AV104" s="60"/>
    </row>
    <row r="105" spans="2:48" ht="12" customHeight="1">
      <c r="B105" s="256" t="str">
        <f>IF('Filtered Data'!$D$1="MD","",IF('Filtered Data'!$D$1="SC","",IF('Filtered Data'!$D$1="UA",'Filtered Data'!AS24,'Filtered Data'!AL24)))</f>
        <v/>
      </c>
      <c r="C105" s="257"/>
      <c r="D105" s="257"/>
      <c r="E105" s="262" t="str">
        <f>IF(B105="","",IF('Filtered Data'!$D$1="UA",VLOOKUP(B105,'Filtered Data'!AS:AU,2,FALSE),VLOOKUP(B105,'Filtered Data'!AL:AN,2,FALSE)))</f>
        <v/>
      </c>
      <c r="F105" s="262"/>
      <c r="G105" s="262"/>
      <c r="H105" s="262"/>
      <c r="I105" s="262"/>
      <c r="J105" s="262"/>
      <c r="K105" s="262"/>
      <c r="L105" s="262"/>
      <c r="M105" s="262"/>
      <c r="N105" s="262"/>
      <c r="O105" s="262"/>
      <c r="P105" s="262"/>
      <c r="Q105" s="262"/>
      <c r="R105" s="262"/>
      <c r="S105" s="262"/>
      <c r="T105" s="262"/>
      <c r="U105" s="261"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61"/>
      <c r="W105" s="261"/>
      <c r="X105" s="261"/>
      <c r="Y105" s="141" t="str">
        <f>IF(E105="","",IF((VLOOKUP(E105,classifications!C:K,9,FALSE))="Sparse","S",""))</f>
        <v/>
      </c>
      <c r="AA105" s="265"/>
      <c r="AB105" s="255"/>
      <c r="AC105" s="255"/>
      <c r="AD105" s="260"/>
      <c r="AE105" s="260"/>
      <c r="AF105" s="260"/>
      <c r="AG105" s="260"/>
      <c r="AH105" s="260"/>
      <c r="AI105" s="260"/>
      <c r="AJ105" s="260"/>
      <c r="AK105" s="260"/>
      <c r="AL105" s="260"/>
      <c r="AM105" s="260"/>
      <c r="AN105" s="259"/>
      <c r="AO105" s="259"/>
      <c r="AP105" s="259"/>
      <c r="AQ105" s="259"/>
      <c r="AR105" s="141"/>
      <c r="AV105" s="60"/>
    </row>
    <row r="106" spans="2:48" ht="12" customHeight="1">
      <c r="B106" s="256" t="str">
        <f>IF('Filtered Data'!$D$1="MD","",IF('Filtered Data'!$D$1="SC","",IF('Filtered Data'!$D$1="UA",'Filtered Data'!AS25,'Filtered Data'!AL25)))</f>
        <v/>
      </c>
      <c r="C106" s="257"/>
      <c r="D106" s="257"/>
      <c r="E106" s="262" t="str">
        <f>IF(B106="","",IF('Filtered Data'!$D$1="UA",VLOOKUP(B106,'Filtered Data'!AS:AU,2,FALSE),VLOOKUP(B106,'Filtered Data'!AL:AN,2,FALSE)))</f>
        <v/>
      </c>
      <c r="F106" s="262"/>
      <c r="G106" s="262"/>
      <c r="H106" s="262"/>
      <c r="I106" s="262"/>
      <c r="J106" s="262"/>
      <c r="K106" s="262"/>
      <c r="L106" s="262"/>
      <c r="M106" s="262"/>
      <c r="N106" s="262"/>
      <c r="O106" s="262"/>
      <c r="P106" s="262"/>
      <c r="Q106" s="262"/>
      <c r="R106" s="262"/>
      <c r="S106" s="262"/>
      <c r="T106" s="262"/>
      <c r="U106" s="261"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61"/>
      <c r="W106" s="261"/>
      <c r="X106" s="261"/>
      <c r="Y106" s="141" t="str">
        <f>IF(E106="","",IF((VLOOKUP(E106,classifications!C:K,9,FALSE))="Sparse","S",""))</f>
        <v/>
      </c>
      <c r="AA106" s="265"/>
      <c r="AB106" s="255"/>
      <c r="AC106" s="255"/>
      <c r="AD106" s="260"/>
      <c r="AE106" s="260"/>
      <c r="AF106" s="260"/>
      <c r="AG106" s="260"/>
      <c r="AH106" s="260"/>
      <c r="AI106" s="260"/>
      <c r="AJ106" s="260"/>
      <c r="AK106" s="260"/>
      <c r="AL106" s="260"/>
      <c r="AM106" s="260"/>
      <c r="AN106" s="259"/>
      <c r="AO106" s="259"/>
      <c r="AP106" s="259"/>
      <c r="AQ106" s="259"/>
      <c r="AR106" s="141"/>
      <c r="AV106" s="60"/>
    </row>
    <row r="107" spans="2:48" ht="12" customHeight="1">
      <c r="B107" s="256" t="str">
        <f>IF('Filtered Data'!$D$1="MD","",IF('Filtered Data'!$D$1="SC","",IF('Filtered Data'!$D$1="UA",'Filtered Data'!AS26,'Filtered Data'!AL26)))</f>
        <v/>
      </c>
      <c r="C107" s="257"/>
      <c r="D107" s="257"/>
      <c r="E107" s="262" t="str">
        <f>IF(B107="","",IF('Filtered Data'!$D$1="UA",VLOOKUP(B107,'Filtered Data'!AS:AU,2,FALSE),VLOOKUP(B107,'Filtered Data'!AL:AN,2,FALSE)))</f>
        <v/>
      </c>
      <c r="F107" s="262"/>
      <c r="G107" s="262"/>
      <c r="H107" s="262"/>
      <c r="I107" s="262"/>
      <c r="J107" s="262"/>
      <c r="K107" s="262"/>
      <c r="L107" s="262"/>
      <c r="M107" s="262"/>
      <c r="N107" s="262"/>
      <c r="O107" s="262"/>
      <c r="P107" s="262"/>
      <c r="Q107" s="262"/>
      <c r="R107" s="262"/>
      <c r="S107" s="262"/>
      <c r="T107" s="262"/>
      <c r="U107" s="261"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61"/>
      <c r="W107" s="261"/>
      <c r="X107" s="261"/>
      <c r="Y107" s="141" t="str">
        <f>IF(E107="","",IF((VLOOKUP(E107,classifications!C:K,9,FALSE))="Sparse","S",""))</f>
        <v/>
      </c>
      <c r="AA107" s="265"/>
      <c r="AB107" s="255"/>
      <c r="AC107" s="255"/>
      <c r="AD107" s="260"/>
      <c r="AE107" s="260"/>
      <c r="AF107" s="260"/>
      <c r="AG107" s="260"/>
      <c r="AH107" s="260"/>
      <c r="AI107" s="260"/>
      <c r="AJ107" s="260"/>
      <c r="AK107" s="260"/>
      <c r="AL107" s="260"/>
      <c r="AM107" s="260"/>
      <c r="AN107" s="259"/>
      <c r="AO107" s="259"/>
      <c r="AP107" s="259"/>
      <c r="AQ107" s="259"/>
      <c r="AR107" s="141"/>
      <c r="AV107" s="60"/>
    </row>
    <row r="108" spans="2:48" ht="12" customHeight="1">
      <c r="B108" s="255"/>
      <c r="C108" s="255"/>
      <c r="D108" s="255"/>
      <c r="E108" s="258" t="str">
        <f>IF('Filtered Data'!D1="MD","",IF('Filtered Data'!D1="SC","","Average"))</f>
        <v>Average</v>
      </c>
      <c r="F108" s="258"/>
      <c r="G108" s="258"/>
      <c r="H108" s="258"/>
      <c r="I108" s="258"/>
      <c r="J108" s="258"/>
      <c r="K108" s="258"/>
      <c r="L108" s="258"/>
      <c r="M108" s="258"/>
      <c r="N108" s="258"/>
      <c r="O108" s="243"/>
      <c r="P108" s="243"/>
      <c r="Q108" s="243"/>
      <c r="R108" s="243"/>
      <c r="S108" s="243"/>
      <c r="T108" s="243"/>
      <c r="U108" s="270">
        <f>L39</f>
        <v>0.91576686404272623</v>
      </c>
      <c r="V108" s="270"/>
      <c r="W108" s="270"/>
      <c r="X108" s="270"/>
      <c r="Y108" s="141"/>
      <c r="AA108" s="255"/>
      <c r="AB108" s="255"/>
      <c r="AC108" s="255"/>
      <c r="AD108" s="1"/>
      <c r="AE108" s="1"/>
      <c r="AF108" s="1"/>
      <c r="AG108" s="1"/>
      <c r="AH108" s="1"/>
      <c r="AI108" s="1"/>
      <c r="AJ108" s="1"/>
      <c r="AK108" s="1"/>
      <c r="AL108" s="1"/>
      <c r="AM108" s="21"/>
      <c r="AN108" s="263"/>
      <c r="AO108" s="263"/>
      <c r="AP108" s="263"/>
      <c r="AQ108" s="263"/>
      <c r="AV108" s="60"/>
    </row>
    <row r="109" spans="2:48" ht="12" customHeight="1">
      <c r="W109" s="18">
        <f>COUNT(AA92:AB107)</f>
        <v>0</v>
      </c>
    </row>
    <row r="110" spans="2:48" ht="19.5" customHeight="1">
      <c r="B110" s="264" t="str">
        <f>B3</f>
        <v>Planning Application Turnaround</v>
      </c>
      <c r="C110" s="264"/>
      <c r="D110" s="264"/>
      <c r="E110" s="264"/>
      <c r="F110" s="264"/>
      <c r="G110" s="264"/>
      <c r="H110" s="264"/>
      <c r="I110" s="264"/>
      <c r="J110" s="264"/>
      <c r="K110" s="264"/>
      <c r="L110" s="264"/>
      <c r="M110" s="264"/>
      <c r="N110" s="264"/>
      <c r="O110" s="264"/>
      <c r="P110" s="264"/>
      <c r="Q110" s="264"/>
      <c r="R110" s="264"/>
      <c r="S110" s="264"/>
      <c r="T110" s="264"/>
      <c r="U110" s="264"/>
      <c r="V110" s="264"/>
      <c r="W110" s="264"/>
      <c r="X110" s="264"/>
      <c r="Y110" s="264"/>
      <c r="Z110" s="264"/>
      <c r="AA110" s="264"/>
      <c r="AB110" s="264"/>
      <c r="AC110" s="264"/>
      <c r="AD110" s="264"/>
      <c r="AE110" s="264"/>
      <c r="AF110" s="264"/>
      <c r="AG110" s="264"/>
      <c r="AH110" s="264"/>
      <c r="AI110" s="264"/>
      <c r="AJ110" s="264"/>
      <c r="AK110" s="264"/>
      <c r="AL110" s="264"/>
      <c r="AM110" s="264"/>
      <c r="AN110" s="264"/>
    </row>
    <row r="111" spans="2:48" ht="12" customHeight="1"/>
    <row r="112" spans="2:48" ht="12" customHeight="1">
      <c r="B112" s="258" t="s">
        <v>370</v>
      </c>
      <c r="C112" s="258"/>
      <c r="D112" s="258"/>
      <c r="E112" s="258"/>
      <c r="F112" s="258"/>
      <c r="G112" s="258"/>
      <c r="H112" s="258"/>
      <c r="I112" s="258"/>
      <c r="J112" s="258"/>
      <c r="K112" s="258"/>
      <c r="L112" s="258"/>
      <c r="M112" s="258"/>
      <c r="N112" s="258"/>
      <c r="O112" s="258"/>
      <c r="P112" s="258"/>
      <c r="Q112" s="258"/>
      <c r="R112" s="258"/>
      <c r="S112" s="258"/>
      <c r="T112" s="258"/>
      <c r="U112" s="258"/>
      <c r="V112" s="258"/>
      <c r="W112" s="258"/>
      <c r="X112" s="258"/>
      <c r="Y112" s="258"/>
      <c r="Z112" s="258"/>
      <c r="AA112" s="258"/>
      <c r="AB112" s="258"/>
      <c r="AC112" s="258"/>
      <c r="AD112" s="258"/>
      <c r="AE112" s="258"/>
      <c r="AF112" s="258"/>
      <c r="AG112" s="258"/>
      <c r="AH112" s="258"/>
      <c r="AI112" s="258"/>
      <c r="AJ112" s="258"/>
      <c r="AK112" s="258"/>
      <c r="AL112" s="258"/>
      <c r="AM112" s="258"/>
      <c r="AN112" s="258"/>
    </row>
    <row r="113" spans="2:40" ht="12" customHeight="1"/>
    <row r="114" spans="2:40" ht="12" customHeight="1">
      <c r="B114" s="266" t="str">
        <f>W6&amp;" - "&amp;W12</f>
        <v>Major Developments - % within 13 weeks or agreed time - Year Ending December 2022</v>
      </c>
      <c r="C114" s="267"/>
      <c r="D114" s="267"/>
      <c r="E114" s="267"/>
      <c r="F114" s="267"/>
      <c r="G114" s="267"/>
      <c r="H114" s="267"/>
      <c r="I114" s="267"/>
      <c r="J114" s="267"/>
      <c r="K114" s="267"/>
      <c r="L114" s="267"/>
      <c r="M114" s="267"/>
      <c r="N114" s="267"/>
      <c r="O114" s="267"/>
      <c r="P114" s="267"/>
      <c r="Q114" s="267"/>
      <c r="R114" s="267"/>
      <c r="S114" s="267"/>
      <c r="T114" s="267"/>
      <c r="U114" s="267"/>
      <c r="V114" s="267"/>
      <c r="W114" s="267"/>
      <c r="X114" s="267"/>
      <c r="Y114" s="267"/>
      <c r="Z114" s="267"/>
      <c r="AA114" s="267"/>
      <c r="AB114" s="267"/>
      <c r="AC114" s="267"/>
      <c r="AD114" s="267"/>
      <c r="AE114" s="267"/>
      <c r="AF114" s="267"/>
      <c r="AG114" s="267"/>
      <c r="AH114" s="267"/>
      <c r="AI114" s="267"/>
      <c r="AJ114" s="267"/>
      <c r="AK114" s="267"/>
      <c r="AL114" s="267"/>
      <c r="AM114" s="267"/>
      <c r="AN114" s="20"/>
    </row>
    <row r="115" spans="2:40" ht="12" customHeight="1">
      <c r="B115" s="268"/>
      <c r="C115" s="269"/>
      <c r="D115" s="269"/>
      <c r="E115" s="269"/>
      <c r="F115" s="269"/>
      <c r="G115" s="269"/>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6"/>
    </row>
    <row r="116" spans="2:40" ht="12" customHeight="1">
      <c r="B116" s="5"/>
      <c r="AN116" s="6"/>
    </row>
    <row r="117" spans="2:40" ht="12" customHeight="1">
      <c r="B117" s="5"/>
      <c r="M117" s="15" t="s">
        <v>793</v>
      </c>
      <c r="N117" s="15"/>
      <c r="O117" s="15" t="s">
        <v>794</v>
      </c>
      <c r="P117" s="15"/>
      <c r="Q117" t="s">
        <v>795</v>
      </c>
      <c r="AN117" s="6"/>
    </row>
    <row r="118" spans="2:40" ht="12" customHeight="1">
      <c r="B118" s="5"/>
      <c r="F118" t="str">
        <f>J5</f>
        <v>Cheshire East</v>
      </c>
      <c r="G118" s="254">
        <f>IF('Filtered Data'!H8="..",L35,L35*100)</f>
        <v>94.444444444444443</v>
      </c>
      <c r="H118" s="254"/>
      <c r="I118" s="254"/>
      <c r="J118" s="254"/>
      <c r="K118" s="254"/>
      <c r="M118" s="255">
        <f>K$48</f>
        <v>95.830851697438945</v>
      </c>
      <c r="N118" s="255"/>
      <c r="O118" s="255">
        <f>M$48</f>
        <v>89.696969696969688</v>
      </c>
      <c r="P118" s="255"/>
      <c r="Q118" s="255">
        <f>O$48</f>
        <v>82.598039215686271</v>
      </c>
      <c r="R118" s="255"/>
      <c r="AN118" s="6"/>
    </row>
    <row r="119" spans="2:40" ht="12" customHeight="1">
      <c r="B119" s="5"/>
      <c r="F119" t="s">
        <v>380</v>
      </c>
      <c r="G119" s="254">
        <f>IF('Filtered Data'!H8="%%",(AVERAGEIF('Filtered Data'!AA$10:AA$486,$F119,'Filtered Data'!M$10:M$486))*100,(AVERAGEIF('Filtered Data'!AA$10:AA$486,$F119,'Filtered Data'!M$10:M$486)))</f>
        <v>80.431666049516977</v>
      </c>
      <c r="H119" s="254"/>
      <c r="I119" s="254"/>
      <c r="J119" s="254"/>
      <c r="K119" s="254"/>
      <c r="M119" s="255">
        <f>K$48</f>
        <v>95.830851697438945</v>
      </c>
      <c r="N119" s="255"/>
      <c r="O119" s="255">
        <f>M$48</f>
        <v>89.696969696969688</v>
      </c>
      <c r="P119" s="255"/>
      <c r="Q119" s="255">
        <f>O$48</f>
        <v>82.598039215686271</v>
      </c>
      <c r="R119" s="255"/>
      <c r="AN119" s="6"/>
    </row>
    <row r="120" spans="2:40" ht="12" customHeight="1">
      <c r="B120" s="5"/>
      <c r="F120" t="s">
        <v>382</v>
      </c>
      <c r="G120" s="254">
        <f>IF('Filtered Data'!H8="%%",(AVERAGEIF('Filtered Data'!AA$10:AA$486,$F120,'Filtered Data'!M$10:M$486))*100,(AVERAGEIF('Filtered Data'!AA$10:AA$486,$F120,'Filtered Data'!M$10:M$486)))</f>
        <v>89.779847708590623</v>
      </c>
      <c r="H120" s="254"/>
      <c r="I120" s="254"/>
      <c r="J120" s="254"/>
      <c r="K120" s="254"/>
      <c r="M120" s="255">
        <f>K$48</f>
        <v>95.830851697438945</v>
      </c>
      <c r="N120" s="255"/>
      <c r="O120" s="255">
        <f>M$48</f>
        <v>89.696969696969688</v>
      </c>
      <c r="P120" s="255"/>
      <c r="Q120" s="255">
        <f>O$48</f>
        <v>82.598039215686271</v>
      </c>
      <c r="R120" s="255"/>
      <c r="AN120" s="6"/>
    </row>
    <row r="121" spans="2:40" ht="12" customHeight="1">
      <c r="B121" s="5"/>
      <c r="F121" t="s">
        <v>895</v>
      </c>
      <c r="G121" s="254">
        <f>IF('Filtered Data'!H8="%%",(AVERAGEIF('Filtered Data'!AA$10:AA$486,$F121,'Filtered Data'!M$10:M$486))*100,(AVERAGEIF('Filtered Data'!AA$10:AA$486,$F121,'Filtered Data'!M$10:M$486)))</f>
        <v>84.897476123334798</v>
      </c>
      <c r="H121" s="254"/>
      <c r="I121" s="254"/>
      <c r="J121" s="254"/>
      <c r="K121" s="254"/>
      <c r="M121" s="255">
        <f>K$48</f>
        <v>95.830851697438945</v>
      </c>
      <c r="N121" s="255"/>
      <c r="O121" s="255">
        <f>M$48</f>
        <v>89.696969696969688</v>
      </c>
      <c r="P121" s="255"/>
      <c r="Q121" s="255">
        <f>O$48</f>
        <v>82.598039215686271</v>
      </c>
      <c r="R121" s="255"/>
      <c r="AN121" s="6"/>
    </row>
    <row r="122" spans="2:40" ht="12" customHeight="1">
      <c r="B122" s="5"/>
      <c r="G122" s="254"/>
      <c r="H122" s="254"/>
      <c r="I122" s="254"/>
      <c r="J122" s="254"/>
      <c r="K122" s="254"/>
      <c r="M122" s="255"/>
      <c r="N122" s="255"/>
      <c r="O122" s="255"/>
      <c r="P122" s="255"/>
      <c r="Q122" s="255"/>
      <c r="R122" s="255"/>
      <c r="AN122" s="6"/>
    </row>
    <row r="123" spans="2:40" ht="12" customHeight="1">
      <c r="B123" s="5"/>
      <c r="G123" s="254"/>
      <c r="H123" s="254"/>
      <c r="I123" s="254"/>
      <c r="J123" s="254"/>
      <c r="K123" s="254"/>
      <c r="M123" s="255"/>
      <c r="N123" s="255"/>
      <c r="O123" s="255"/>
      <c r="P123" s="255"/>
      <c r="Q123" s="255"/>
      <c r="R123" s="255"/>
      <c r="AN123" s="6"/>
    </row>
    <row r="124" spans="2:40" ht="12" customHeight="1">
      <c r="B124" s="5"/>
      <c r="G124" s="254"/>
      <c r="H124" s="254"/>
      <c r="I124" s="254"/>
      <c r="J124" s="254"/>
      <c r="K124" s="254"/>
      <c r="M124" s="255"/>
      <c r="N124" s="255"/>
      <c r="O124" s="255"/>
      <c r="P124" s="255"/>
      <c r="Q124" s="255"/>
      <c r="R124" s="255"/>
      <c r="AN124" s="6"/>
    </row>
    <row r="125" spans="2:40" ht="12" customHeight="1">
      <c r="B125" s="5"/>
      <c r="AN125" s="6"/>
    </row>
    <row r="126" spans="2:40" ht="12" customHeight="1">
      <c r="B126" s="5"/>
      <c r="AN126" s="6"/>
    </row>
    <row r="127" spans="2:40" ht="12" customHeight="1">
      <c r="B127" s="5"/>
      <c r="AN127" s="6"/>
    </row>
    <row r="128" spans="2:40" ht="12" customHeight="1">
      <c r="B128" s="5"/>
      <c r="AN128" s="6"/>
    </row>
    <row r="129" spans="2:40" ht="12" customHeight="1">
      <c r="B129" s="5"/>
      <c r="AN129" s="6"/>
    </row>
    <row r="130" spans="2:40" ht="12" customHeight="1">
      <c r="B130" s="5"/>
      <c r="AN130" s="6"/>
    </row>
    <row r="131" spans="2:40" ht="12" customHeight="1">
      <c r="B131" s="5"/>
      <c r="AN131" s="6"/>
    </row>
    <row r="132" spans="2:40" ht="12" customHeight="1">
      <c r="B132" s="5"/>
      <c r="AN132" s="6"/>
    </row>
    <row r="133" spans="2:40" ht="12" customHeight="1">
      <c r="B133" s="5"/>
      <c r="AN133" s="6"/>
    </row>
    <row r="134" spans="2:40" ht="12" customHeight="1">
      <c r="B134" s="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9"/>
    </row>
    <row r="135" spans="2:40" ht="12" customHeight="1"/>
    <row r="136" spans="2:40" ht="12" customHeight="1">
      <c r="B136" s="223" t="s">
        <v>891</v>
      </c>
    </row>
    <row r="137" spans="2:40" ht="13.8" thickBot="1"/>
    <row r="138" spans="2:40">
      <c r="B138" s="226" t="s">
        <v>892</v>
      </c>
      <c r="C138" s="224"/>
      <c r="D138" s="224"/>
      <c r="E138" s="224"/>
      <c r="F138" s="224"/>
      <c r="G138" s="224"/>
      <c r="H138" s="224"/>
      <c r="I138" s="224"/>
      <c r="J138" s="224"/>
      <c r="K138" s="224"/>
      <c r="L138" s="224"/>
      <c r="M138" s="224"/>
      <c r="N138" s="224"/>
      <c r="O138" s="224"/>
      <c r="P138" s="224"/>
      <c r="Q138" s="224"/>
      <c r="R138" s="224"/>
      <c r="S138" s="224"/>
      <c r="T138" s="224"/>
      <c r="U138" s="224"/>
      <c r="V138" s="224"/>
      <c r="W138" s="224"/>
      <c r="X138" s="224"/>
      <c r="Y138" s="224"/>
      <c r="Z138" s="224"/>
      <c r="AA138" s="224"/>
      <c r="AB138" s="224"/>
      <c r="AC138" s="224"/>
      <c r="AD138" s="224"/>
      <c r="AE138" s="224"/>
      <c r="AF138" s="224"/>
      <c r="AG138" s="224"/>
      <c r="AH138" s="224"/>
      <c r="AI138" s="224"/>
      <c r="AJ138" s="224"/>
      <c r="AK138" s="224"/>
      <c r="AL138" s="224"/>
      <c r="AM138" s="224"/>
      <c r="AN138" s="225"/>
    </row>
    <row r="139" spans="2:40">
      <c r="B139" s="248"/>
      <c r="C139" s="249"/>
      <c r="D139" s="249"/>
      <c r="E139" s="249"/>
      <c r="F139" s="249"/>
      <c r="G139" s="249"/>
      <c r="H139" s="249"/>
      <c r="I139" s="249"/>
      <c r="J139" s="249"/>
      <c r="K139" s="249"/>
      <c r="L139" s="249"/>
      <c r="M139" s="249"/>
      <c r="N139" s="249"/>
      <c r="O139" s="249"/>
      <c r="P139" s="249"/>
      <c r="Q139" s="249"/>
      <c r="R139" s="249"/>
      <c r="S139" s="249"/>
      <c r="T139" s="249"/>
      <c r="U139" s="249"/>
      <c r="V139" s="249"/>
      <c r="W139" s="249"/>
      <c r="X139" s="249"/>
      <c r="Y139" s="249"/>
      <c r="Z139" s="249"/>
      <c r="AA139" s="249"/>
      <c r="AB139" s="249"/>
      <c r="AC139" s="249"/>
      <c r="AD139" s="249"/>
      <c r="AE139" s="249"/>
      <c r="AF139" s="249"/>
      <c r="AG139" s="249"/>
      <c r="AH139" s="249"/>
      <c r="AI139" s="249"/>
      <c r="AJ139" s="249"/>
      <c r="AK139" s="249"/>
      <c r="AL139" s="249"/>
      <c r="AM139" s="249"/>
      <c r="AN139" s="250"/>
    </row>
    <row r="140" spans="2:40">
      <c r="B140" s="248"/>
      <c r="C140" s="249"/>
      <c r="D140" s="249"/>
      <c r="E140" s="249"/>
      <c r="F140" s="249"/>
      <c r="G140" s="249"/>
      <c r="H140" s="249"/>
      <c r="I140" s="249"/>
      <c r="J140" s="249"/>
      <c r="K140" s="249"/>
      <c r="L140" s="249"/>
      <c r="M140" s="249"/>
      <c r="N140" s="249"/>
      <c r="O140" s="249"/>
      <c r="P140" s="249"/>
      <c r="Q140" s="249"/>
      <c r="R140" s="249"/>
      <c r="S140" s="249"/>
      <c r="T140" s="249"/>
      <c r="U140" s="249"/>
      <c r="V140" s="249"/>
      <c r="W140" s="249"/>
      <c r="X140" s="249"/>
      <c r="Y140" s="249"/>
      <c r="Z140" s="249"/>
      <c r="AA140" s="249"/>
      <c r="AB140" s="249"/>
      <c r="AC140" s="249"/>
      <c r="AD140" s="249"/>
      <c r="AE140" s="249"/>
      <c r="AF140" s="249"/>
      <c r="AG140" s="249"/>
      <c r="AH140" s="249"/>
      <c r="AI140" s="249"/>
      <c r="AJ140" s="249"/>
      <c r="AK140" s="249"/>
      <c r="AL140" s="249"/>
      <c r="AM140" s="249"/>
      <c r="AN140" s="250"/>
    </row>
    <row r="141" spans="2:40">
      <c r="B141" s="248"/>
      <c r="C141" s="249"/>
      <c r="D141" s="249"/>
      <c r="E141" s="249"/>
      <c r="F141" s="249"/>
      <c r="G141" s="249"/>
      <c r="H141" s="249"/>
      <c r="I141" s="249"/>
      <c r="J141" s="249"/>
      <c r="K141" s="249"/>
      <c r="L141" s="249"/>
      <c r="M141" s="249"/>
      <c r="N141" s="249"/>
      <c r="O141" s="249"/>
      <c r="P141" s="249"/>
      <c r="Q141" s="249"/>
      <c r="R141" s="249"/>
      <c r="S141" s="249"/>
      <c r="T141" s="249"/>
      <c r="U141" s="249"/>
      <c r="V141" s="249"/>
      <c r="W141" s="249"/>
      <c r="X141" s="249"/>
      <c r="Y141" s="249"/>
      <c r="Z141" s="249"/>
      <c r="AA141" s="249"/>
      <c r="AB141" s="249"/>
      <c r="AC141" s="249"/>
      <c r="AD141" s="249"/>
      <c r="AE141" s="249"/>
      <c r="AF141" s="249"/>
      <c r="AG141" s="249"/>
      <c r="AH141" s="249"/>
      <c r="AI141" s="249"/>
      <c r="AJ141" s="249"/>
      <c r="AK141" s="249"/>
      <c r="AL141" s="249"/>
      <c r="AM141" s="249"/>
      <c r="AN141" s="250"/>
    </row>
    <row r="142" spans="2:40">
      <c r="B142" s="248"/>
      <c r="C142" s="249"/>
      <c r="D142" s="249"/>
      <c r="E142" s="249"/>
      <c r="F142" s="249"/>
      <c r="G142" s="249"/>
      <c r="H142" s="249"/>
      <c r="I142" s="249"/>
      <c r="J142" s="249"/>
      <c r="K142" s="249"/>
      <c r="L142" s="249"/>
      <c r="M142" s="249"/>
      <c r="N142" s="249"/>
      <c r="O142" s="249"/>
      <c r="P142" s="249"/>
      <c r="Q142" s="249"/>
      <c r="R142" s="249"/>
      <c r="S142" s="249"/>
      <c r="T142" s="249"/>
      <c r="U142" s="249"/>
      <c r="V142" s="249"/>
      <c r="W142" s="249"/>
      <c r="X142" s="249"/>
      <c r="Y142" s="249"/>
      <c r="Z142" s="249"/>
      <c r="AA142" s="249"/>
      <c r="AB142" s="249"/>
      <c r="AC142" s="249"/>
      <c r="AD142" s="249"/>
      <c r="AE142" s="249"/>
      <c r="AF142" s="249"/>
      <c r="AG142" s="249"/>
      <c r="AH142" s="249"/>
      <c r="AI142" s="249"/>
      <c r="AJ142" s="249"/>
      <c r="AK142" s="249"/>
      <c r="AL142" s="249"/>
      <c r="AM142" s="249"/>
      <c r="AN142" s="250"/>
    </row>
    <row r="143" spans="2:40">
      <c r="B143" s="248"/>
      <c r="C143" s="249"/>
      <c r="D143" s="249"/>
      <c r="E143" s="249"/>
      <c r="F143" s="249"/>
      <c r="G143" s="249"/>
      <c r="H143" s="249"/>
      <c r="I143" s="249"/>
      <c r="J143" s="249"/>
      <c r="K143" s="249"/>
      <c r="L143" s="249"/>
      <c r="M143" s="249"/>
      <c r="N143" s="249"/>
      <c r="O143" s="249"/>
      <c r="P143" s="249"/>
      <c r="Q143" s="249"/>
      <c r="R143" s="249"/>
      <c r="S143" s="249"/>
      <c r="T143" s="249"/>
      <c r="U143" s="249"/>
      <c r="V143" s="249"/>
      <c r="W143" s="249"/>
      <c r="X143" s="249"/>
      <c r="Y143" s="249"/>
      <c r="Z143" s="249"/>
      <c r="AA143" s="249"/>
      <c r="AB143" s="249"/>
      <c r="AC143" s="249"/>
      <c r="AD143" s="249"/>
      <c r="AE143" s="249"/>
      <c r="AF143" s="249"/>
      <c r="AG143" s="249"/>
      <c r="AH143" s="249"/>
      <c r="AI143" s="249"/>
      <c r="AJ143" s="249"/>
      <c r="AK143" s="249"/>
      <c r="AL143" s="249"/>
      <c r="AM143" s="249"/>
      <c r="AN143" s="250"/>
    </row>
    <row r="144" spans="2:40">
      <c r="B144" s="248"/>
      <c r="C144" s="249"/>
      <c r="D144" s="249"/>
      <c r="E144" s="249"/>
      <c r="F144" s="249"/>
      <c r="G144" s="249"/>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249"/>
      <c r="AL144" s="249"/>
      <c r="AM144" s="249"/>
      <c r="AN144" s="250"/>
    </row>
    <row r="145" spans="2:40">
      <c r="B145" s="248"/>
      <c r="C145" s="249"/>
      <c r="D145" s="249"/>
      <c r="E145" s="249"/>
      <c r="F145" s="249"/>
      <c r="G145" s="249"/>
      <c r="H145" s="249"/>
      <c r="I145" s="249"/>
      <c r="J145" s="249"/>
      <c r="K145" s="249"/>
      <c r="L145" s="249"/>
      <c r="M145" s="249"/>
      <c r="N145" s="249"/>
      <c r="O145" s="249"/>
      <c r="P145" s="249"/>
      <c r="Q145" s="249"/>
      <c r="R145" s="249"/>
      <c r="S145" s="249"/>
      <c r="T145" s="249"/>
      <c r="U145" s="249"/>
      <c r="V145" s="249"/>
      <c r="W145" s="249"/>
      <c r="X145" s="249"/>
      <c r="Y145" s="249"/>
      <c r="Z145" s="249"/>
      <c r="AA145" s="249"/>
      <c r="AB145" s="249"/>
      <c r="AC145" s="249"/>
      <c r="AD145" s="249"/>
      <c r="AE145" s="249"/>
      <c r="AF145" s="249"/>
      <c r="AG145" s="249"/>
      <c r="AH145" s="249"/>
      <c r="AI145" s="249"/>
      <c r="AJ145" s="249"/>
      <c r="AK145" s="249"/>
      <c r="AL145" s="249"/>
      <c r="AM145" s="249"/>
      <c r="AN145" s="250"/>
    </row>
    <row r="146" spans="2:40">
      <c r="B146" s="248"/>
      <c r="C146" s="249"/>
      <c r="D146" s="249"/>
      <c r="E146" s="249"/>
      <c r="F146" s="249"/>
      <c r="G146" s="249"/>
      <c r="H146" s="249"/>
      <c r="I146" s="249"/>
      <c r="J146" s="249"/>
      <c r="K146" s="249"/>
      <c r="L146" s="249"/>
      <c r="M146" s="249"/>
      <c r="N146" s="249"/>
      <c r="O146" s="249"/>
      <c r="P146" s="249"/>
      <c r="Q146" s="249"/>
      <c r="R146" s="249"/>
      <c r="S146" s="249"/>
      <c r="T146" s="249"/>
      <c r="U146" s="249"/>
      <c r="V146" s="249"/>
      <c r="W146" s="249"/>
      <c r="X146" s="249"/>
      <c r="Y146" s="249"/>
      <c r="Z146" s="249"/>
      <c r="AA146" s="249"/>
      <c r="AB146" s="249"/>
      <c r="AC146" s="249"/>
      <c r="AD146" s="249"/>
      <c r="AE146" s="249"/>
      <c r="AF146" s="249"/>
      <c r="AG146" s="249"/>
      <c r="AH146" s="249"/>
      <c r="AI146" s="249"/>
      <c r="AJ146" s="249"/>
      <c r="AK146" s="249"/>
      <c r="AL146" s="249"/>
      <c r="AM146" s="249"/>
      <c r="AN146" s="250"/>
    </row>
    <row r="147" spans="2:40">
      <c r="B147" s="248"/>
      <c r="C147" s="249"/>
      <c r="D147" s="249"/>
      <c r="E147" s="249"/>
      <c r="F147" s="249"/>
      <c r="G147" s="249"/>
      <c r="H147" s="249"/>
      <c r="I147" s="249"/>
      <c r="J147" s="249"/>
      <c r="K147" s="249"/>
      <c r="L147" s="249"/>
      <c r="M147" s="249"/>
      <c r="N147" s="249"/>
      <c r="O147" s="249"/>
      <c r="P147" s="249"/>
      <c r="Q147" s="249"/>
      <c r="R147" s="249"/>
      <c r="S147" s="249"/>
      <c r="T147" s="249"/>
      <c r="U147" s="249"/>
      <c r="V147" s="249"/>
      <c r="W147" s="249"/>
      <c r="X147" s="249"/>
      <c r="Y147" s="249"/>
      <c r="Z147" s="249"/>
      <c r="AA147" s="249"/>
      <c r="AB147" s="249"/>
      <c r="AC147" s="249"/>
      <c r="AD147" s="249"/>
      <c r="AE147" s="249"/>
      <c r="AF147" s="249"/>
      <c r="AG147" s="249"/>
      <c r="AH147" s="249"/>
      <c r="AI147" s="249"/>
      <c r="AJ147" s="249"/>
      <c r="AK147" s="249"/>
      <c r="AL147" s="249"/>
      <c r="AM147" s="249"/>
      <c r="AN147" s="250"/>
    </row>
    <row r="148" spans="2:40">
      <c r="B148" s="248"/>
      <c r="C148" s="249"/>
      <c r="D148" s="249"/>
      <c r="E148" s="249"/>
      <c r="F148" s="249"/>
      <c r="G148" s="249"/>
      <c r="H148" s="249"/>
      <c r="I148" s="249"/>
      <c r="J148" s="249"/>
      <c r="K148" s="249"/>
      <c r="L148" s="249"/>
      <c r="M148" s="249"/>
      <c r="N148" s="249"/>
      <c r="O148" s="249"/>
      <c r="P148" s="249"/>
      <c r="Q148" s="249"/>
      <c r="R148" s="249"/>
      <c r="S148" s="249"/>
      <c r="T148" s="249"/>
      <c r="U148" s="249"/>
      <c r="V148" s="249"/>
      <c r="W148" s="249"/>
      <c r="X148" s="249"/>
      <c r="Y148" s="249"/>
      <c r="Z148" s="249"/>
      <c r="AA148" s="249"/>
      <c r="AB148" s="249"/>
      <c r="AC148" s="249"/>
      <c r="AD148" s="249"/>
      <c r="AE148" s="249"/>
      <c r="AF148" s="249"/>
      <c r="AG148" s="249"/>
      <c r="AH148" s="249"/>
      <c r="AI148" s="249"/>
      <c r="AJ148" s="249"/>
      <c r="AK148" s="249"/>
      <c r="AL148" s="249"/>
      <c r="AM148" s="249"/>
      <c r="AN148" s="250"/>
    </row>
    <row r="149" spans="2:40">
      <c r="B149" s="248"/>
      <c r="C149" s="249"/>
      <c r="D149" s="249"/>
      <c r="E149" s="249"/>
      <c r="F149" s="249"/>
      <c r="G149" s="249"/>
      <c r="H149" s="249"/>
      <c r="I149" s="249"/>
      <c r="J149" s="249"/>
      <c r="K149" s="249"/>
      <c r="L149" s="249"/>
      <c r="M149" s="249"/>
      <c r="N149" s="249"/>
      <c r="O149" s="249"/>
      <c r="P149" s="249"/>
      <c r="Q149" s="249"/>
      <c r="R149" s="249"/>
      <c r="S149" s="249"/>
      <c r="T149" s="249"/>
      <c r="U149" s="249"/>
      <c r="V149" s="249"/>
      <c r="W149" s="249"/>
      <c r="X149" s="249"/>
      <c r="Y149" s="249"/>
      <c r="Z149" s="249"/>
      <c r="AA149" s="249"/>
      <c r="AB149" s="249"/>
      <c r="AC149" s="249"/>
      <c r="AD149" s="249"/>
      <c r="AE149" s="249"/>
      <c r="AF149" s="249"/>
      <c r="AG149" s="249"/>
      <c r="AH149" s="249"/>
      <c r="AI149" s="249"/>
      <c r="AJ149" s="249"/>
      <c r="AK149" s="249"/>
      <c r="AL149" s="249"/>
      <c r="AM149" s="249"/>
      <c r="AN149" s="250"/>
    </row>
    <row r="150" spans="2:40">
      <c r="B150" s="248"/>
      <c r="C150" s="249"/>
      <c r="D150" s="249"/>
      <c r="E150" s="249"/>
      <c r="F150" s="249"/>
      <c r="G150" s="249"/>
      <c r="H150" s="249"/>
      <c r="I150" s="249"/>
      <c r="J150" s="249"/>
      <c r="K150" s="249"/>
      <c r="L150" s="249"/>
      <c r="M150" s="249"/>
      <c r="N150" s="249"/>
      <c r="O150" s="249"/>
      <c r="P150" s="249"/>
      <c r="Q150" s="249"/>
      <c r="R150" s="249"/>
      <c r="S150" s="249"/>
      <c r="T150" s="249"/>
      <c r="U150" s="249"/>
      <c r="V150" s="249"/>
      <c r="W150" s="249"/>
      <c r="X150" s="249"/>
      <c r="Y150" s="249"/>
      <c r="Z150" s="249"/>
      <c r="AA150" s="249"/>
      <c r="AB150" s="249"/>
      <c r="AC150" s="249"/>
      <c r="AD150" s="249"/>
      <c r="AE150" s="249"/>
      <c r="AF150" s="249"/>
      <c r="AG150" s="249"/>
      <c r="AH150" s="249"/>
      <c r="AI150" s="249"/>
      <c r="AJ150" s="249"/>
      <c r="AK150" s="249"/>
      <c r="AL150" s="249"/>
      <c r="AM150" s="249"/>
      <c r="AN150" s="250"/>
    </row>
    <row r="151" spans="2:40">
      <c r="B151" s="248"/>
      <c r="C151" s="249"/>
      <c r="D151" s="249"/>
      <c r="E151" s="249"/>
      <c r="F151" s="249"/>
      <c r="G151" s="249"/>
      <c r="H151" s="249"/>
      <c r="I151" s="249"/>
      <c r="J151" s="249"/>
      <c r="K151" s="249"/>
      <c r="L151" s="249"/>
      <c r="M151" s="249"/>
      <c r="N151" s="249"/>
      <c r="O151" s="249"/>
      <c r="P151" s="249"/>
      <c r="Q151" s="249"/>
      <c r="R151" s="249"/>
      <c r="S151" s="249"/>
      <c r="T151" s="249"/>
      <c r="U151" s="249"/>
      <c r="V151" s="249"/>
      <c r="W151" s="249"/>
      <c r="X151" s="249"/>
      <c r="Y151" s="249"/>
      <c r="Z151" s="249"/>
      <c r="AA151" s="249"/>
      <c r="AB151" s="249"/>
      <c r="AC151" s="249"/>
      <c r="AD151" s="249"/>
      <c r="AE151" s="249"/>
      <c r="AF151" s="249"/>
      <c r="AG151" s="249"/>
      <c r="AH151" s="249"/>
      <c r="AI151" s="249"/>
      <c r="AJ151" s="249"/>
      <c r="AK151" s="249"/>
      <c r="AL151" s="249"/>
      <c r="AM151" s="249"/>
      <c r="AN151" s="250"/>
    </row>
    <row r="152" spans="2:40">
      <c r="B152" s="248"/>
      <c r="C152" s="249"/>
      <c r="D152" s="249"/>
      <c r="E152" s="249"/>
      <c r="F152" s="249"/>
      <c r="G152" s="249"/>
      <c r="H152" s="249"/>
      <c r="I152" s="249"/>
      <c r="J152" s="249"/>
      <c r="K152" s="249"/>
      <c r="L152" s="249"/>
      <c r="M152" s="249"/>
      <c r="N152" s="249"/>
      <c r="O152" s="249"/>
      <c r="P152" s="249"/>
      <c r="Q152" s="249"/>
      <c r="R152" s="249"/>
      <c r="S152" s="249"/>
      <c r="T152" s="249"/>
      <c r="U152" s="249"/>
      <c r="V152" s="249"/>
      <c r="W152" s="249"/>
      <c r="X152" s="249"/>
      <c r="Y152" s="249"/>
      <c r="Z152" s="249"/>
      <c r="AA152" s="249"/>
      <c r="AB152" s="249"/>
      <c r="AC152" s="249"/>
      <c r="AD152" s="249"/>
      <c r="AE152" s="249"/>
      <c r="AF152" s="249"/>
      <c r="AG152" s="249"/>
      <c r="AH152" s="249"/>
      <c r="AI152" s="249"/>
      <c r="AJ152" s="249"/>
      <c r="AK152" s="249"/>
      <c r="AL152" s="249"/>
      <c r="AM152" s="249"/>
      <c r="AN152" s="250"/>
    </row>
    <row r="153" spans="2:40">
      <c r="B153" s="248"/>
      <c r="C153" s="249"/>
      <c r="D153" s="249"/>
      <c r="E153" s="249"/>
      <c r="F153" s="249"/>
      <c r="G153" s="249"/>
      <c r="H153" s="249"/>
      <c r="I153" s="249"/>
      <c r="J153" s="249"/>
      <c r="K153" s="249"/>
      <c r="L153" s="249"/>
      <c r="M153" s="249"/>
      <c r="N153" s="249"/>
      <c r="O153" s="249"/>
      <c r="P153" s="249"/>
      <c r="Q153" s="249"/>
      <c r="R153" s="249"/>
      <c r="S153" s="249"/>
      <c r="T153" s="249"/>
      <c r="U153" s="249"/>
      <c r="V153" s="249"/>
      <c r="W153" s="249"/>
      <c r="X153" s="249"/>
      <c r="Y153" s="249"/>
      <c r="Z153" s="249"/>
      <c r="AA153" s="249"/>
      <c r="AB153" s="249"/>
      <c r="AC153" s="249"/>
      <c r="AD153" s="249"/>
      <c r="AE153" s="249"/>
      <c r="AF153" s="249"/>
      <c r="AG153" s="249"/>
      <c r="AH153" s="249"/>
      <c r="AI153" s="249"/>
      <c r="AJ153" s="249"/>
      <c r="AK153" s="249"/>
      <c r="AL153" s="249"/>
      <c r="AM153" s="249"/>
      <c r="AN153" s="250"/>
    </row>
    <row r="154" spans="2:40">
      <c r="B154" s="248"/>
      <c r="C154" s="249"/>
      <c r="D154" s="249"/>
      <c r="E154" s="249"/>
      <c r="F154" s="249"/>
      <c r="G154" s="249"/>
      <c r="H154" s="249"/>
      <c r="I154" s="249"/>
      <c r="J154" s="249"/>
      <c r="K154" s="249"/>
      <c r="L154" s="249"/>
      <c r="M154" s="249"/>
      <c r="N154" s="249"/>
      <c r="O154" s="249"/>
      <c r="P154" s="249"/>
      <c r="Q154" s="249"/>
      <c r="R154" s="249"/>
      <c r="S154" s="249"/>
      <c r="T154" s="249"/>
      <c r="U154" s="249"/>
      <c r="V154" s="249"/>
      <c r="W154" s="249"/>
      <c r="X154" s="249"/>
      <c r="Y154" s="249"/>
      <c r="Z154" s="249"/>
      <c r="AA154" s="249"/>
      <c r="AB154" s="249"/>
      <c r="AC154" s="249"/>
      <c r="AD154" s="249"/>
      <c r="AE154" s="249"/>
      <c r="AF154" s="249"/>
      <c r="AG154" s="249"/>
      <c r="AH154" s="249"/>
      <c r="AI154" s="249"/>
      <c r="AJ154" s="249"/>
      <c r="AK154" s="249"/>
      <c r="AL154" s="249"/>
      <c r="AM154" s="249"/>
      <c r="AN154" s="250"/>
    </row>
    <row r="155" spans="2:40">
      <c r="B155" s="248"/>
      <c r="C155" s="249"/>
      <c r="D155" s="249"/>
      <c r="E155" s="249"/>
      <c r="F155" s="249"/>
      <c r="G155" s="249"/>
      <c r="H155" s="249"/>
      <c r="I155" s="249"/>
      <c r="J155" s="249"/>
      <c r="K155" s="249"/>
      <c r="L155" s="249"/>
      <c r="M155" s="249"/>
      <c r="N155" s="249"/>
      <c r="O155" s="249"/>
      <c r="P155" s="249"/>
      <c r="Q155" s="249"/>
      <c r="R155" s="249"/>
      <c r="S155" s="249"/>
      <c r="T155" s="249"/>
      <c r="U155" s="249"/>
      <c r="V155" s="249"/>
      <c r="W155" s="249"/>
      <c r="X155" s="249"/>
      <c r="Y155" s="249"/>
      <c r="Z155" s="249"/>
      <c r="AA155" s="249"/>
      <c r="AB155" s="249"/>
      <c r="AC155" s="249"/>
      <c r="AD155" s="249"/>
      <c r="AE155" s="249"/>
      <c r="AF155" s="249"/>
      <c r="AG155" s="249"/>
      <c r="AH155" s="249"/>
      <c r="AI155" s="249"/>
      <c r="AJ155" s="249"/>
      <c r="AK155" s="249"/>
      <c r="AL155" s="249"/>
      <c r="AM155" s="249"/>
      <c r="AN155" s="250"/>
    </row>
    <row r="156" spans="2:40">
      <c r="B156" s="248"/>
      <c r="C156" s="249"/>
      <c r="D156" s="249"/>
      <c r="E156" s="249"/>
      <c r="F156" s="249"/>
      <c r="G156" s="249"/>
      <c r="H156" s="249"/>
      <c r="I156" s="249"/>
      <c r="J156" s="249"/>
      <c r="K156" s="249"/>
      <c r="L156" s="249"/>
      <c r="M156" s="249"/>
      <c r="N156" s="249"/>
      <c r="O156" s="249"/>
      <c r="P156" s="249"/>
      <c r="Q156" s="249"/>
      <c r="R156" s="249"/>
      <c r="S156" s="249"/>
      <c r="T156" s="249"/>
      <c r="U156" s="249"/>
      <c r="V156" s="249"/>
      <c r="W156" s="249"/>
      <c r="X156" s="249"/>
      <c r="Y156" s="249"/>
      <c r="Z156" s="249"/>
      <c r="AA156" s="249"/>
      <c r="AB156" s="249"/>
      <c r="AC156" s="249"/>
      <c r="AD156" s="249"/>
      <c r="AE156" s="249"/>
      <c r="AF156" s="249"/>
      <c r="AG156" s="249"/>
      <c r="AH156" s="249"/>
      <c r="AI156" s="249"/>
      <c r="AJ156" s="249"/>
      <c r="AK156" s="249"/>
      <c r="AL156" s="249"/>
      <c r="AM156" s="249"/>
      <c r="AN156" s="250"/>
    </row>
    <row r="157" spans="2:40">
      <c r="B157" s="248"/>
      <c r="C157" s="249"/>
      <c r="D157" s="249"/>
      <c r="E157" s="249"/>
      <c r="F157" s="249"/>
      <c r="G157" s="249"/>
      <c r="H157" s="249"/>
      <c r="I157" s="249"/>
      <c r="J157" s="249"/>
      <c r="K157" s="249"/>
      <c r="L157" s="249"/>
      <c r="M157" s="249"/>
      <c r="N157" s="249"/>
      <c r="O157" s="249"/>
      <c r="P157" s="249"/>
      <c r="Q157" s="249"/>
      <c r="R157" s="249"/>
      <c r="S157" s="249"/>
      <c r="T157" s="249"/>
      <c r="U157" s="249"/>
      <c r="V157" s="249"/>
      <c r="W157" s="249"/>
      <c r="X157" s="249"/>
      <c r="Y157" s="249"/>
      <c r="Z157" s="249"/>
      <c r="AA157" s="249"/>
      <c r="AB157" s="249"/>
      <c r="AC157" s="249"/>
      <c r="AD157" s="249"/>
      <c r="AE157" s="249"/>
      <c r="AF157" s="249"/>
      <c r="AG157" s="249"/>
      <c r="AH157" s="249"/>
      <c r="AI157" s="249"/>
      <c r="AJ157" s="249"/>
      <c r="AK157" s="249"/>
      <c r="AL157" s="249"/>
      <c r="AM157" s="249"/>
      <c r="AN157" s="250"/>
    </row>
    <row r="158" spans="2:40">
      <c r="B158" s="248"/>
      <c r="C158" s="249"/>
      <c r="D158" s="249"/>
      <c r="E158" s="249"/>
      <c r="F158" s="249"/>
      <c r="G158" s="249"/>
      <c r="H158" s="249"/>
      <c r="I158" s="249"/>
      <c r="J158" s="249"/>
      <c r="K158" s="249"/>
      <c r="L158" s="249"/>
      <c r="M158" s="249"/>
      <c r="N158" s="249"/>
      <c r="O158" s="249"/>
      <c r="P158" s="249"/>
      <c r="Q158" s="249"/>
      <c r="R158" s="249"/>
      <c r="S158" s="249"/>
      <c r="T158" s="249"/>
      <c r="U158" s="249"/>
      <c r="V158" s="249"/>
      <c r="W158" s="249"/>
      <c r="X158" s="249"/>
      <c r="Y158" s="249"/>
      <c r="Z158" s="249"/>
      <c r="AA158" s="249"/>
      <c r="AB158" s="249"/>
      <c r="AC158" s="249"/>
      <c r="AD158" s="249"/>
      <c r="AE158" s="249"/>
      <c r="AF158" s="249"/>
      <c r="AG158" s="249"/>
      <c r="AH158" s="249"/>
      <c r="AI158" s="249"/>
      <c r="AJ158" s="249"/>
      <c r="AK158" s="249"/>
      <c r="AL158" s="249"/>
      <c r="AM158" s="249"/>
      <c r="AN158" s="250"/>
    </row>
    <row r="159" spans="2:40">
      <c r="B159" s="248"/>
      <c r="C159" s="249"/>
      <c r="D159" s="249"/>
      <c r="E159" s="249"/>
      <c r="F159" s="249"/>
      <c r="G159" s="249"/>
      <c r="H159" s="249"/>
      <c r="I159" s="249"/>
      <c r="J159" s="249"/>
      <c r="K159" s="249"/>
      <c r="L159" s="249"/>
      <c r="M159" s="249"/>
      <c r="N159" s="249"/>
      <c r="O159" s="249"/>
      <c r="P159" s="249"/>
      <c r="Q159" s="249"/>
      <c r="R159" s="249"/>
      <c r="S159" s="249"/>
      <c r="T159" s="249"/>
      <c r="U159" s="249"/>
      <c r="V159" s="249"/>
      <c r="W159" s="249"/>
      <c r="X159" s="249"/>
      <c r="Y159" s="249"/>
      <c r="Z159" s="249"/>
      <c r="AA159" s="249"/>
      <c r="AB159" s="249"/>
      <c r="AC159" s="249"/>
      <c r="AD159" s="249"/>
      <c r="AE159" s="249"/>
      <c r="AF159" s="249"/>
      <c r="AG159" s="249"/>
      <c r="AH159" s="249"/>
      <c r="AI159" s="249"/>
      <c r="AJ159" s="249"/>
      <c r="AK159" s="249"/>
      <c r="AL159" s="249"/>
      <c r="AM159" s="249"/>
      <c r="AN159" s="250"/>
    </row>
    <row r="160" spans="2:40">
      <c r="B160" s="248"/>
      <c r="C160" s="249"/>
      <c r="D160" s="249"/>
      <c r="E160" s="249"/>
      <c r="F160" s="249"/>
      <c r="G160" s="249"/>
      <c r="H160" s="249"/>
      <c r="I160" s="249"/>
      <c r="J160" s="249"/>
      <c r="K160" s="249"/>
      <c r="L160" s="249"/>
      <c r="M160" s="249"/>
      <c r="N160" s="249"/>
      <c r="O160" s="249"/>
      <c r="P160" s="249"/>
      <c r="Q160" s="249"/>
      <c r="R160" s="249"/>
      <c r="S160" s="249"/>
      <c r="T160" s="249"/>
      <c r="U160" s="249"/>
      <c r="V160" s="249"/>
      <c r="W160" s="249"/>
      <c r="X160" s="249"/>
      <c r="Y160" s="249"/>
      <c r="Z160" s="249"/>
      <c r="AA160" s="249"/>
      <c r="AB160" s="249"/>
      <c r="AC160" s="249"/>
      <c r="AD160" s="249"/>
      <c r="AE160" s="249"/>
      <c r="AF160" s="249"/>
      <c r="AG160" s="249"/>
      <c r="AH160" s="249"/>
      <c r="AI160" s="249"/>
      <c r="AJ160" s="249"/>
      <c r="AK160" s="249"/>
      <c r="AL160" s="249"/>
      <c r="AM160" s="249"/>
      <c r="AN160" s="250"/>
    </row>
    <row r="161" spans="2:40">
      <c r="B161" s="248"/>
      <c r="C161" s="249"/>
      <c r="D161" s="249"/>
      <c r="E161" s="249"/>
      <c r="F161" s="249"/>
      <c r="G161" s="249"/>
      <c r="H161" s="249"/>
      <c r="I161" s="249"/>
      <c r="J161" s="249"/>
      <c r="K161" s="249"/>
      <c r="L161" s="249"/>
      <c r="M161" s="249"/>
      <c r="N161" s="249"/>
      <c r="O161" s="249"/>
      <c r="P161" s="249"/>
      <c r="Q161" s="249"/>
      <c r="R161" s="249"/>
      <c r="S161" s="249"/>
      <c r="T161" s="249"/>
      <c r="U161" s="249"/>
      <c r="V161" s="249"/>
      <c r="W161" s="249"/>
      <c r="X161" s="249"/>
      <c r="Y161" s="249"/>
      <c r="Z161" s="249"/>
      <c r="AA161" s="249"/>
      <c r="AB161" s="249"/>
      <c r="AC161" s="249"/>
      <c r="AD161" s="249"/>
      <c r="AE161" s="249"/>
      <c r="AF161" s="249"/>
      <c r="AG161" s="249"/>
      <c r="AH161" s="249"/>
      <c r="AI161" s="249"/>
      <c r="AJ161" s="249"/>
      <c r="AK161" s="249"/>
      <c r="AL161" s="249"/>
      <c r="AM161" s="249"/>
      <c r="AN161" s="250"/>
    </row>
    <row r="162" spans="2:40">
      <c r="B162" s="248"/>
      <c r="C162" s="249"/>
      <c r="D162" s="249"/>
      <c r="E162" s="249"/>
      <c r="F162" s="249"/>
      <c r="G162" s="249"/>
      <c r="H162" s="249"/>
      <c r="I162" s="249"/>
      <c r="J162" s="249"/>
      <c r="K162" s="249"/>
      <c r="L162" s="249"/>
      <c r="M162" s="249"/>
      <c r="N162" s="249"/>
      <c r="O162" s="249"/>
      <c r="P162" s="249"/>
      <c r="Q162" s="249"/>
      <c r="R162" s="249"/>
      <c r="S162" s="249"/>
      <c r="T162" s="249"/>
      <c r="U162" s="249"/>
      <c r="V162" s="249"/>
      <c r="W162" s="249"/>
      <c r="X162" s="249"/>
      <c r="Y162" s="249"/>
      <c r="Z162" s="249"/>
      <c r="AA162" s="249"/>
      <c r="AB162" s="249"/>
      <c r="AC162" s="249"/>
      <c r="AD162" s="249"/>
      <c r="AE162" s="249"/>
      <c r="AF162" s="249"/>
      <c r="AG162" s="249"/>
      <c r="AH162" s="249"/>
      <c r="AI162" s="249"/>
      <c r="AJ162" s="249"/>
      <c r="AK162" s="249"/>
      <c r="AL162" s="249"/>
      <c r="AM162" s="249"/>
      <c r="AN162" s="250"/>
    </row>
    <row r="163" spans="2:40">
      <c r="B163" s="248"/>
      <c r="C163" s="249"/>
      <c r="D163" s="249"/>
      <c r="E163" s="249"/>
      <c r="F163" s="249"/>
      <c r="G163" s="249"/>
      <c r="H163" s="249"/>
      <c r="I163" s="249"/>
      <c r="J163" s="249"/>
      <c r="K163" s="249"/>
      <c r="L163" s="249"/>
      <c r="M163" s="249"/>
      <c r="N163" s="249"/>
      <c r="O163" s="249"/>
      <c r="P163" s="249"/>
      <c r="Q163" s="249"/>
      <c r="R163" s="249"/>
      <c r="S163" s="249"/>
      <c r="T163" s="249"/>
      <c r="U163" s="249"/>
      <c r="V163" s="249"/>
      <c r="W163" s="249"/>
      <c r="X163" s="249"/>
      <c r="Y163" s="249"/>
      <c r="Z163" s="249"/>
      <c r="AA163" s="249"/>
      <c r="AB163" s="249"/>
      <c r="AC163" s="249"/>
      <c r="AD163" s="249"/>
      <c r="AE163" s="249"/>
      <c r="AF163" s="249"/>
      <c r="AG163" s="249"/>
      <c r="AH163" s="249"/>
      <c r="AI163" s="249"/>
      <c r="AJ163" s="249"/>
      <c r="AK163" s="249"/>
      <c r="AL163" s="249"/>
      <c r="AM163" s="249"/>
      <c r="AN163" s="250"/>
    </row>
    <row r="164" spans="2:40">
      <c r="B164" s="248"/>
      <c r="C164" s="249"/>
      <c r="D164" s="249"/>
      <c r="E164" s="249"/>
      <c r="F164" s="249"/>
      <c r="G164" s="249"/>
      <c r="H164" s="249"/>
      <c r="I164" s="249"/>
      <c r="J164" s="249"/>
      <c r="K164" s="249"/>
      <c r="L164" s="249"/>
      <c r="M164" s="249"/>
      <c r="N164" s="249"/>
      <c r="O164" s="249"/>
      <c r="P164" s="249"/>
      <c r="Q164" s="249"/>
      <c r="R164" s="249"/>
      <c r="S164" s="249"/>
      <c r="T164" s="249"/>
      <c r="U164" s="249"/>
      <c r="V164" s="249"/>
      <c r="W164" s="249"/>
      <c r="X164" s="249"/>
      <c r="Y164" s="249"/>
      <c r="Z164" s="249"/>
      <c r="AA164" s="249"/>
      <c r="AB164" s="249"/>
      <c r="AC164" s="249"/>
      <c r="AD164" s="249"/>
      <c r="AE164" s="249"/>
      <c r="AF164" s="249"/>
      <c r="AG164" s="249"/>
      <c r="AH164" s="249"/>
      <c r="AI164" s="249"/>
      <c r="AJ164" s="249"/>
      <c r="AK164" s="249"/>
      <c r="AL164" s="249"/>
      <c r="AM164" s="249"/>
      <c r="AN164" s="250"/>
    </row>
    <row r="165" spans="2:40">
      <c r="B165" s="248"/>
      <c r="C165" s="249"/>
      <c r="D165" s="249"/>
      <c r="E165" s="249"/>
      <c r="F165" s="249"/>
      <c r="G165" s="249"/>
      <c r="H165" s="249"/>
      <c r="I165" s="249"/>
      <c r="J165" s="249"/>
      <c r="K165" s="249"/>
      <c r="L165" s="249"/>
      <c r="M165" s="249"/>
      <c r="N165" s="249"/>
      <c r="O165" s="249"/>
      <c r="P165" s="249"/>
      <c r="Q165" s="249"/>
      <c r="R165" s="249"/>
      <c r="S165" s="249"/>
      <c r="T165" s="249"/>
      <c r="U165" s="249"/>
      <c r="V165" s="249"/>
      <c r="W165" s="249"/>
      <c r="X165" s="249"/>
      <c r="Y165" s="249"/>
      <c r="Z165" s="249"/>
      <c r="AA165" s="249"/>
      <c r="AB165" s="249"/>
      <c r="AC165" s="249"/>
      <c r="AD165" s="249"/>
      <c r="AE165" s="249"/>
      <c r="AF165" s="249"/>
      <c r="AG165" s="249"/>
      <c r="AH165" s="249"/>
      <c r="AI165" s="249"/>
      <c r="AJ165" s="249"/>
      <c r="AK165" s="249"/>
      <c r="AL165" s="249"/>
      <c r="AM165" s="249"/>
      <c r="AN165" s="250"/>
    </row>
    <row r="166" spans="2:40">
      <c r="B166" s="248"/>
      <c r="C166" s="249"/>
      <c r="D166" s="249"/>
      <c r="E166" s="249"/>
      <c r="F166" s="249"/>
      <c r="G166" s="249"/>
      <c r="H166" s="249"/>
      <c r="I166" s="249"/>
      <c r="J166" s="249"/>
      <c r="K166" s="249"/>
      <c r="L166" s="249"/>
      <c r="M166" s="249"/>
      <c r="N166" s="249"/>
      <c r="O166" s="249"/>
      <c r="P166" s="249"/>
      <c r="Q166" s="249"/>
      <c r="R166" s="249"/>
      <c r="S166" s="249"/>
      <c r="T166" s="249"/>
      <c r="U166" s="249"/>
      <c r="V166" s="249"/>
      <c r="W166" s="249"/>
      <c r="X166" s="249"/>
      <c r="Y166" s="249"/>
      <c r="Z166" s="249"/>
      <c r="AA166" s="249"/>
      <c r="AB166" s="249"/>
      <c r="AC166" s="249"/>
      <c r="AD166" s="249"/>
      <c r="AE166" s="249"/>
      <c r="AF166" s="249"/>
      <c r="AG166" s="249"/>
      <c r="AH166" s="249"/>
      <c r="AI166" s="249"/>
      <c r="AJ166" s="249"/>
      <c r="AK166" s="249"/>
      <c r="AL166" s="249"/>
      <c r="AM166" s="249"/>
      <c r="AN166" s="250"/>
    </row>
    <row r="167" spans="2:40">
      <c r="B167" s="248"/>
      <c r="C167" s="249"/>
      <c r="D167" s="249"/>
      <c r="E167" s="249"/>
      <c r="F167" s="249"/>
      <c r="G167" s="249"/>
      <c r="H167" s="249"/>
      <c r="I167" s="249"/>
      <c r="J167" s="249"/>
      <c r="K167" s="249"/>
      <c r="L167" s="249"/>
      <c r="M167" s="249"/>
      <c r="N167" s="249"/>
      <c r="O167" s="249"/>
      <c r="P167" s="249"/>
      <c r="Q167" s="249"/>
      <c r="R167" s="249"/>
      <c r="S167" s="249"/>
      <c r="T167" s="249"/>
      <c r="U167" s="249"/>
      <c r="V167" s="249"/>
      <c r="W167" s="249"/>
      <c r="X167" s="249"/>
      <c r="Y167" s="249"/>
      <c r="Z167" s="249"/>
      <c r="AA167" s="249"/>
      <c r="AB167" s="249"/>
      <c r="AC167" s="249"/>
      <c r="AD167" s="249"/>
      <c r="AE167" s="249"/>
      <c r="AF167" s="249"/>
      <c r="AG167" s="249"/>
      <c r="AH167" s="249"/>
      <c r="AI167" s="249"/>
      <c r="AJ167" s="249"/>
      <c r="AK167" s="249"/>
      <c r="AL167" s="249"/>
      <c r="AM167" s="249"/>
      <c r="AN167" s="250"/>
    </row>
    <row r="168" spans="2:40" ht="13.8" thickBot="1">
      <c r="B168" s="251"/>
      <c r="C168" s="252"/>
      <c r="D168" s="252"/>
      <c r="E168" s="252"/>
      <c r="F168" s="252"/>
      <c r="G168" s="252"/>
      <c r="H168" s="252"/>
      <c r="I168" s="252"/>
      <c r="J168" s="252"/>
      <c r="K168" s="252"/>
      <c r="L168" s="252"/>
      <c r="M168" s="252"/>
      <c r="N168" s="252"/>
      <c r="O168" s="252"/>
      <c r="P168" s="252"/>
      <c r="Q168" s="252"/>
      <c r="R168" s="252"/>
      <c r="S168" s="252"/>
      <c r="T168" s="252"/>
      <c r="U168" s="252"/>
      <c r="V168" s="252"/>
      <c r="W168" s="252"/>
      <c r="X168" s="252"/>
      <c r="Y168" s="252"/>
      <c r="Z168" s="252"/>
      <c r="AA168" s="252"/>
      <c r="AB168" s="252"/>
      <c r="AC168" s="252"/>
      <c r="AD168" s="252"/>
      <c r="AE168" s="252"/>
      <c r="AF168" s="252"/>
      <c r="AG168" s="252"/>
      <c r="AH168" s="252"/>
      <c r="AI168" s="252"/>
      <c r="AJ168" s="252"/>
      <c r="AK168" s="252"/>
      <c r="AL168" s="252"/>
      <c r="AM168" s="252"/>
      <c r="AN168" s="253"/>
    </row>
    <row r="169" spans="2:40"/>
  </sheetData>
  <sheetProtection algorithmName="SHA-512" hashValue="vrQk0wrbZ4tXUy5k4eTx7nVjd3w6MtCZNjYwQtF7os9atV2trKSGYYLeuXTnXww8uwhBnfnxxd04n+E7FhKY6w==" saltValue="FMfAbNiT0mccck9NHf2trg==" spinCount="100000" sheet="1" objects="1" scenarios="1" selectLockedCells="1"/>
  <protectedRanges>
    <protectedRange sqref="B139:AN168" name="Range4"/>
    <protectedRange sqref="W12:AM12" name="Range1"/>
    <protectedRange sqref="W6" name="Range2"/>
    <protectedRange sqref="J5" name="Range3"/>
  </protectedRanges>
  <mergeCells count="300">
    <mergeCell ref="E71:T71"/>
    <mergeCell ref="B77:D77"/>
    <mergeCell ref="B91:D91"/>
    <mergeCell ref="B92:D92"/>
    <mergeCell ref="B80:D80"/>
    <mergeCell ref="E77:T77"/>
    <mergeCell ref="B82:D82"/>
    <mergeCell ref="B78:D78"/>
    <mergeCell ref="B84:D84"/>
    <mergeCell ref="B85:D85"/>
    <mergeCell ref="E85:T85"/>
    <mergeCell ref="E82:T82"/>
    <mergeCell ref="B79:D79"/>
    <mergeCell ref="E86:T86"/>
    <mergeCell ref="B86:D86"/>
    <mergeCell ref="E73:T73"/>
    <mergeCell ref="B81:D81"/>
    <mergeCell ref="B83:D83"/>
    <mergeCell ref="E92:T92"/>
    <mergeCell ref="E79:T79"/>
    <mergeCell ref="B1:AN1"/>
    <mergeCell ref="V38:W38"/>
    <mergeCell ref="L41:O41"/>
    <mergeCell ref="W12:AM12"/>
    <mergeCell ref="B3:AN3"/>
    <mergeCell ref="N32:S32"/>
    <mergeCell ref="AC32:AE32"/>
    <mergeCell ref="AF32:AL32"/>
    <mergeCell ref="W5:AM5"/>
    <mergeCell ref="W6:AM10"/>
    <mergeCell ref="W14:AM14"/>
    <mergeCell ref="W11:AM11"/>
    <mergeCell ref="L35:O35"/>
    <mergeCell ref="B16:AM17"/>
    <mergeCell ref="X32:AB32"/>
    <mergeCell ref="Q35:W35"/>
    <mergeCell ref="AB36:AL37"/>
    <mergeCell ref="Q37:R37"/>
    <mergeCell ref="V37:W37"/>
    <mergeCell ref="L37:O37"/>
    <mergeCell ref="B36:W36"/>
    <mergeCell ref="J37:J39"/>
    <mergeCell ref="S38:U38"/>
    <mergeCell ref="L40:O40"/>
    <mergeCell ref="L39:O39"/>
    <mergeCell ref="Q40:R40"/>
    <mergeCell ref="Q41:R41"/>
    <mergeCell ref="V41:W41"/>
    <mergeCell ref="L38:O38"/>
    <mergeCell ref="V40:W40"/>
    <mergeCell ref="Q39:R39"/>
    <mergeCell ref="V39:W39"/>
    <mergeCell ref="S41:U41"/>
    <mergeCell ref="Q38:R38"/>
    <mergeCell ref="E67:T67"/>
    <mergeCell ref="O43:AM44"/>
    <mergeCell ref="B43:N44"/>
    <mergeCell ref="B65:D65"/>
    <mergeCell ref="AD66:AL66"/>
    <mergeCell ref="U66:X66"/>
    <mergeCell ref="E50:H50"/>
    <mergeCell ref="AD67:AL67"/>
    <mergeCell ref="E48:H48"/>
    <mergeCell ref="U65:X65"/>
    <mergeCell ref="E70:T70"/>
    <mergeCell ref="E49:H49"/>
    <mergeCell ref="U70:X70"/>
    <mergeCell ref="U69:X69"/>
    <mergeCell ref="E68:T68"/>
    <mergeCell ref="M48:N48"/>
    <mergeCell ref="M49:N49"/>
    <mergeCell ref="M50:N50"/>
    <mergeCell ref="U67:X67"/>
    <mergeCell ref="E51:H51"/>
    <mergeCell ref="E52:H52"/>
    <mergeCell ref="E53:H53"/>
    <mergeCell ref="E65:T65"/>
    <mergeCell ref="U68:X68"/>
    <mergeCell ref="B59:AN59"/>
    <mergeCell ref="K48:L48"/>
    <mergeCell ref="K49:L49"/>
    <mergeCell ref="K50:L50"/>
    <mergeCell ref="K51:L51"/>
    <mergeCell ref="K52:L52"/>
    <mergeCell ref="K53:L53"/>
    <mergeCell ref="B66:D66"/>
    <mergeCell ref="B67:D67"/>
    <mergeCell ref="E66:T66"/>
    <mergeCell ref="U77:X77"/>
    <mergeCell ref="B71:D71"/>
    <mergeCell ref="B72:D72"/>
    <mergeCell ref="U72:X72"/>
    <mergeCell ref="S40:U40"/>
    <mergeCell ref="E72:T72"/>
    <mergeCell ref="AD68:AL68"/>
    <mergeCell ref="AD69:AL69"/>
    <mergeCell ref="AB39:AM40"/>
    <mergeCell ref="AD71:AL71"/>
    <mergeCell ref="B70:D70"/>
    <mergeCell ref="B68:D68"/>
    <mergeCell ref="B69:D69"/>
    <mergeCell ref="B73:D73"/>
    <mergeCell ref="M51:N51"/>
    <mergeCell ref="M52:N52"/>
    <mergeCell ref="M53:N53"/>
    <mergeCell ref="O48:P48"/>
    <mergeCell ref="O49:P49"/>
    <mergeCell ref="O50:P50"/>
    <mergeCell ref="O51:P51"/>
    <mergeCell ref="O52:P52"/>
    <mergeCell ref="O53:P53"/>
    <mergeCell ref="U71:X71"/>
    <mergeCell ref="B93:D93"/>
    <mergeCell ref="E80:T80"/>
    <mergeCell ref="E83:T83"/>
    <mergeCell ref="B76:D76"/>
    <mergeCell ref="B74:D74"/>
    <mergeCell ref="B75:D75"/>
    <mergeCell ref="E78:T78"/>
    <mergeCell ref="E74:T74"/>
    <mergeCell ref="E93:T93"/>
    <mergeCell ref="E81:T81"/>
    <mergeCell ref="U80:X80"/>
    <mergeCell ref="U73:X73"/>
    <mergeCell ref="B5:E5"/>
    <mergeCell ref="J10:R10"/>
    <mergeCell ref="K32:M32"/>
    <mergeCell ref="T32:W32"/>
    <mergeCell ref="E32:J32"/>
    <mergeCell ref="J5:S6"/>
    <mergeCell ref="B8:I8"/>
    <mergeCell ref="B9:I9"/>
    <mergeCell ref="B11:I11"/>
    <mergeCell ref="B10:I10"/>
    <mergeCell ref="W13:AM13"/>
    <mergeCell ref="AD78:AL78"/>
    <mergeCell ref="E75:T75"/>
    <mergeCell ref="E76:T76"/>
    <mergeCell ref="E69:T69"/>
    <mergeCell ref="U76:X76"/>
    <mergeCell ref="U74:X74"/>
    <mergeCell ref="U79:X79"/>
    <mergeCell ref="U75:X75"/>
    <mergeCell ref="AD72:AL72"/>
    <mergeCell ref="AD74:AL74"/>
    <mergeCell ref="AD77:AL77"/>
    <mergeCell ref="AN95:AQ95"/>
    <mergeCell ref="AN96:AQ96"/>
    <mergeCell ref="AD73:AL73"/>
    <mergeCell ref="AD70:AL70"/>
    <mergeCell ref="AA94:AC94"/>
    <mergeCell ref="U92:X92"/>
    <mergeCell ref="U93:X93"/>
    <mergeCell ref="AN98:AQ98"/>
    <mergeCell ref="U97:X97"/>
    <mergeCell ref="AA98:AC98"/>
    <mergeCell ref="AD75:AL75"/>
    <mergeCell ref="AD76:AL76"/>
    <mergeCell ref="AA92:AC92"/>
    <mergeCell ref="AN91:AP91"/>
    <mergeCell ref="U86:X86"/>
    <mergeCell ref="AN92:AQ92"/>
    <mergeCell ref="AA91:AC91"/>
    <mergeCell ref="AD91:AM91"/>
    <mergeCell ref="U83:X83"/>
    <mergeCell ref="U85:X85"/>
    <mergeCell ref="AD81:AL81"/>
    <mergeCell ref="U78:X78"/>
    <mergeCell ref="U82:X82"/>
    <mergeCell ref="AD98:AM98"/>
    <mergeCell ref="AD95:AM95"/>
    <mergeCell ref="AD96:AM96"/>
    <mergeCell ref="E91:N91"/>
    <mergeCell ref="AD103:AM103"/>
    <mergeCell ref="U98:X98"/>
    <mergeCell ref="AA96:AC96"/>
    <mergeCell ref="AD99:AM99"/>
    <mergeCell ref="AD97:AM97"/>
    <mergeCell ref="AD92:AM92"/>
    <mergeCell ref="AA93:AC93"/>
    <mergeCell ref="U103:X103"/>
    <mergeCell ref="AD102:AM102"/>
    <mergeCell ref="U94:X94"/>
    <mergeCell ref="AA102:AC102"/>
    <mergeCell ref="U99:X99"/>
    <mergeCell ref="AA99:AC99"/>
    <mergeCell ref="AA101:AC101"/>
    <mergeCell ref="U91:X91"/>
    <mergeCell ref="E94:T94"/>
    <mergeCell ref="AA103:AC103"/>
    <mergeCell ref="AA97:AC97"/>
    <mergeCell ref="AA95:AC95"/>
    <mergeCell ref="B94:D94"/>
    <mergeCell ref="AD79:AL79"/>
    <mergeCell ref="AD80:AL80"/>
    <mergeCell ref="AN100:AQ100"/>
    <mergeCell ref="AN101:AQ101"/>
    <mergeCell ref="U81:X81"/>
    <mergeCell ref="B95:D95"/>
    <mergeCell ref="B96:D96"/>
    <mergeCell ref="B99:D99"/>
    <mergeCell ref="AD85:AL85"/>
    <mergeCell ref="AD86:AL86"/>
    <mergeCell ref="U95:X95"/>
    <mergeCell ref="AD84:AL84"/>
    <mergeCell ref="AN93:AQ93"/>
    <mergeCell ref="AN94:AQ94"/>
    <mergeCell ref="U84:X84"/>
    <mergeCell ref="E84:T84"/>
    <mergeCell ref="AD82:AL82"/>
    <mergeCell ref="AD83:AL83"/>
    <mergeCell ref="AA100:AC100"/>
    <mergeCell ref="AD101:AM101"/>
    <mergeCell ref="U96:X96"/>
    <mergeCell ref="AD94:AM94"/>
    <mergeCell ref="AD93:AM93"/>
    <mergeCell ref="AA104:AC104"/>
    <mergeCell ref="AA105:AC105"/>
    <mergeCell ref="E95:T95"/>
    <mergeCell ref="E96:T96"/>
    <mergeCell ref="E97:T97"/>
    <mergeCell ref="E98:T98"/>
    <mergeCell ref="E99:T99"/>
    <mergeCell ref="E100:T100"/>
    <mergeCell ref="E101:T101"/>
    <mergeCell ref="E104:T104"/>
    <mergeCell ref="E105:T105"/>
    <mergeCell ref="U100:X100"/>
    <mergeCell ref="AN97:AQ97"/>
    <mergeCell ref="AN99:AQ99"/>
    <mergeCell ref="AN105:AQ105"/>
    <mergeCell ref="AA107:AC107"/>
    <mergeCell ref="G118:K118"/>
    <mergeCell ref="B114:AM115"/>
    <mergeCell ref="B112:AN112"/>
    <mergeCell ref="B108:D108"/>
    <mergeCell ref="AA108:AC108"/>
    <mergeCell ref="U108:X108"/>
    <mergeCell ref="B107:D107"/>
    <mergeCell ref="B103:D103"/>
    <mergeCell ref="B100:D100"/>
    <mergeCell ref="B101:D101"/>
    <mergeCell ref="B98:D98"/>
    <mergeCell ref="B97:D97"/>
    <mergeCell ref="U101:X101"/>
    <mergeCell ref="AN102:AQ102"/>
    <mergeCell ref="AN103:AQ103"/>
    <mergeCell ref="B104:D104"/>
    <mergeCell ref="B105:D105"/>
    <mergeCell ref="B106:D106"/>
    <mergeCell ref="AA106:AC106"/>
    <mergeCell ref="AD100:AM100"/>
    <mergeCell ref="O123:P123"/>
    <mergeCell ref="B102:D102"/>
    <mergeCell ref="E108:N108"/>
    <mergeCell ref="AN104:AQ104"/>
    <mergeCell ref="AD106:AM106"/>
    <mergeCell ref="AN107:AQ107"/>
    <mergeCell ref="U106:X106"/>
    <mergeCell ref="AD107:AM107"/>
    <mergeCell ref="E102:T102"/>
    <mergeCell ref="E103:T103"/>
    <mergeCell ref="AD104:AM104"/>
    <mergeCell ref="AD105:AM105"/>
    <mergeCell ref="E106:T106"/>
    <mergeCell ref="E107:T107"/>
    <mergeCell ref="AN106:AQ106"/>
    <mergeCell ref="U107:X107"/>
    <mergeCell ref="M118:N118"/>
    <mergeCell ref="O118:P118"/>
    <mergeCell ref="Q118:R118"/>
    <mergeCell ref="U104:X104"/>
    <mergeCell ref="U102:X102"/>
    <mergeCell ref="AN108:AQ108"/>
    <mergeCell ref="B110:AN110"/>
    <mergeCell ref="U105:X105"/>
    <mergeCell ref="B139:AN168"/>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Q123:R123"/>
  </mergeCells>
  <phoneticPr fontId="41" type="noConversion"/>
  <conditionalFormatting sqref="B36">
    <cfRule type="containsText" dxfId="26" priority="1" operator="containsText" text="Bottom Quartile">
      <formula>NOT(ISERROR(SEARCH("Bottom Quartile",B36)))</formula>
    </cfRule>
    <cfRule type="containsText" dxfId="25" priority="86" operator="containsText" text="third quartile">
      <formula>NOT(ISERROR(SEARCH("third quartile",B36)))</formula>
    </cfRule>
    <cfRule type="containsText" dxfId="24" priority="87" operator="containsText" text="second quartile">
      <formula>NOT(ISERROR(SEARCH("second quartile",B36)))</formula>
    </cfRule>
    <cfRule type="containsText" dxfId="23" priority="88" operator="containsText" text="top quartile">
      <formula>NOT(ISERROR(SEARCH("top quartile",B36)))</formula>
    </cfRule>
  </conditionalFormatting>
  <conditionalFormatting sqref="B86:D86">
    <cfRule type="expression" dxfId="22" priority="2">
      <formula>IF($U$86="",TRUE,FALSE)</formula>
    </cfRule>
  </conditionalFormatting>
  <conditionalFormatting sqref="B92:D107 AA92:AC107">
    <cfRule type="expression" dxfId="21" priority="21">
      <formula>IF(E92=$J$5,TRUE,FALSE)</formula>
    </cfRule>
  </conditionalFormatting>
  <conditionalFormatting sqref="B92:D107">
    <cfRule type="expression" dxfId="20" priority="45">
      <formula>IF(E92="",TRUE,FALSE)</formula>
    </cfRule>
  </conditionalFormatting>
  <conditionalFormatting sqref="E66:T86">
    <cfRule type="cellIs" dxfId="19" priority="60" stopIfTrue="1" operator="equal">
      <formula>$J$5</formula>
    </cfRule>
  </conditionalFormatting>
  <conditionalFormatting sqref="E92:T107 AD92:AM107">
    <cfRule type="cellIs" dxfId="18" priority="22" operator="equal">
      <formula>$J$5</formula>
    </cfRule>
  </conditionalFormatting>
  <conditionalFormatting sqref="E92:T107">
    <cfRule type="expression" dxfId="17" priority="43">
      <formula>IF(ISNA(E107),TRUE,FALSE)</formula>
    </cfRule>
  </conditionalFormatting>
  <conditionalFormatting sqref="F104:G104">
    <cfRule type="expression" dxfId="16" priority="143">
      <formula>IF(ISNA(F124),TRUE,FALSE)</formula>
    </cfRule>
  </conditionalFormatting>
  <conditionalFormatting sqref="H92:K107 F102:G103">
    <cfRule type="expression" dxfId="15" priority="139">
      <formula>IF(ISNA(F108),TRUE,FALSE)</formula>
    </cfRule>
  </conditionalFormatting>
  <conditionalFormatting sqref="K32:M32">
    <cfRule type="expression" dxfId="14" priority="7">
      <formula>IF($D$22="%",TRUE,FALSE)</formula>
    </cfRule>
  </conditionalFormatting>
  <conditionalFormatting sqref="L35:O35 L37:O40 U66:X86 U92:X108 AN92:AQ108">
    <cfRule type="expression" dxfId="13" priority="4">
      <formula>IF($D$22="%",TRUE,FALSE)</formula>
    </cfRule>
  </conditionalFormatting>
  <conditionalFormatting sqref="T32">
    <cfRule type="expression" dxfId="12" priority="6">
      <formula>IF($D$22="%",TRUE,FALSE)</formula>
    </cfRule>
  </conditionalFormatting>
  <conditionalFormatting sqref="U66:X86">
    <cfRule type="expression" dxfId="11" priority="36">
      <formula>IF(E66=$J$5,TRUE,FALSE)</formula>
    </cfRule>
  </conditionalFormatting>
  <conditionalFormatting sqref="U92:X107">
    <cfRule type="expression" dxfId="10" priority="18">
      <formula>IF(E92=$J$5,TRUE,FALSE)</formula>
    </cfRule>
  </conditionalFormatting>
  <conditionalFormatting sqref="Y92:Y107">
    <cfRule type="expression" dxfId="9" priority="11">
      <formula>IF(E92=$J$5,TRUE,FALSE)</formula>
    </cfRule>
  </conditionalFormatting>
  <conditionalFormatting sqref="Y66:AC86">
    <cfRule type="expression" dxfId="8" priority="13">
      <formula>IF(E66=$J$5,TRUE,FALSE)</formula>
    </cfRule>
  </conditionalFormatting>
  <conditionalFormatting sqref="Z36 K37:K42 Z39">
    <cfRule type="containsText" dxfId="7" priority="99" operator="containsText" text="y">
      <formula>NOT(ISERROR(SEARCH("y",K36)))</formula>
    </cfRule>
    <cfRule type="containsText" dxfId="6" priority="100" operator="containsText" text="n">
      <formula>NOT(ISERROR(SEARCH("n",K36)))</formula>
    </cfRule>
    <cfRule type="containsText" dxfId="5" priority="101" operator="containsText" text="L">
      <formula>NOT(ISERROR(SEARCH("L",K36)))</formula>
    </cfRule>
    <cfRule type="containsText" dxfId="4" priority="102" operator="containsText" text="J">
      <formula>NOT(ISERROR(SEARCH("J",K36)))</formula>
    </cfRule>
  </conditionalFormatting>
  <conditionalFormatting sqref="AC32:AE32">
    <cfRule type="expression" dxfId="3" priority="5">
      <formula>IF($D$22="%",TRUE,FALSE)</formula>
    </cfRule>
  </conditionalFormatting>
  <conditionalFormatting sqref="AN92:AQ107">
    <cfRule type="expression" dxfId="2" priority="17">
      <formula>IF(AD92=$J$5,TRUE,FALSE)</formula>
    </cfRule>
  </conditionalFormatting>
  <conditionalFormatting sqref="AR92:AR107">
    <cfRule type="expression" dxfId="1" priority="9">
      <formula>IF(AD92=$J$5,TRUE,FALSE)</formula>
    </cfRule>
  </conditionalFormatting>
  <dataValidations count="5">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 showInputMessage="1" showErrorMessage="1" sqref="B139:AN168" xr:uid="{00000000-0002-0000-0000-000004000000}"/>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topLeftCell="A149" workbookViewId="0">
      <selection activeCell="B11" sqref="B11:B343"/>
    </sheetView>
  </sheetViews>
  <sheetFormatPr defaultColWidth="0" defaultRowHeight="13.2" zeroHeight="1"/>
  <cols>
    <col min="1" max="1" width="5.6640625" style="59" customWidth="1"/>
    <col min="2" max="2" width="15.44140625" style="59" customWidth="1"/>
    <col min="3" max="3" width="28.44140625" bestFit="1" customWidth="1"/>
    <col min="4" max="4" width="14.6640625" customWidth="1"/>
    <col min="5" max="5" width="11.33203125" customWidth="1"/>
    <col min="6" max="6" width="11.5546875" customWidth="1"/>
    <col min="7" max="7" width="4" customWidth="1"/>
    <col min="8" max="8" width="8.6640625" style="42" customWidth="1"/>
    <col min="9" max="9" width="9.88671875" style="42" customWidth="1"/>
    <col min="10" max="10" width="18.5546875" customWidth="1"/>
    <col min="11" max="11" width="8.33203125" style="36" customWidth="1"/>
    <col min="12" max="12" width="20.6640625" customWidth="1"/>
    <col min="13" max="13" width="20.6640625" style="92" customWidth="1"/>
    <col min="14" max="14" width="11.33203125" style="92" customWidth="1"/>
    <col min="15" max="18" width="12.33203125" style="92" customWidth="1"/>
    <col min="19" max="19" width="6.6640625" style="42" customWidth="1"/>
    <col min="20" max="20" width="10.44140625" style="176" customWidth="1"/>
    <col min="21" max="21" width="8" style="177" customWidth="1"/>
    <col min="22" max="22" width="7.44140625" style="177" customWidth="1"/>
    <col min="23" max="23" width="6" style="177" customWidth="1"/>
    <col min="24" max="24" width="19.44140625" style="5" customWidth="1"/>
    <col min="25" max="25" width="10.33203125" customWidth="1"/>
    <col min="26" max="26" width="8.88671875" customWidth="1"/>
    <col min="27" max="27" width="14.5546875" style="176" customWidth="1"/>
    <col min="28" max="29" width="7.5546875" style="177" customWidth="1"/>
    <col min="30" max="30" width="4.33203125" style="177" customWidth="1"/>
    <col min="31" max="31" width="8.44140625" style="5" customWidth="1"/>
    <col min="32" max="32" width="20.6640625" customWidth="1"/>
    <col min="33" max="33" width="9.6640625" customWidth="1"/>
    <col min="34" max="34" width="5" customWidth="1"/>
    <col min="35" max="35" width="15.6640625" style="5" bestFit="1" customWidth="1"/>
    <col min="36" max="36" width="9.33203125" customWidth="1"/>
    <col min="37" max="38" width="10.88671875" customWidth="1"/>
    <col min="39" max="39" width="21.5546875" customWidth="1"/>
    <col min="40" max="40" width="5.44140625" customWidth="1"/>
    <col min="41" max="41" width="9.109375" customWidth="1"/>
    <col min="42" max="42" width="21.5546875" style="5" customWidth="1"/>
    <col min="43" max="43" width="8.6640625" style="15" customWidth="1"/>
    <col min="44" max="45" width="7.109375" customWidth="1"/>
    <col min="46" max="46" width="15.33203125" customWidth="1"/>
    <col min="47" max="47" width="13.6640625" customWidth="1"/>
    <col min="48" max="48" width="11.88671875" customWidth="1"/>
    <col min="49" max="49" width="9.6640625" style="81" customWidth="1"/>
    <col min="50" max="50" width="24.88671875" customWidth="1"/>
    <col min="51" max="51" width="7.44140625" style="31" customWidth="1"/>
    <col min="52" max="52" width="9" customWidth="1"/>
    <col min="53" max="84" width="9.109375" customWidth="1"/>
    <col min="85" max="734" width="0" hidden="1" customWidth="1"/>
    <col min="735" max="735" width="0" style="5" hidden="1" customWidth="1"/>
    <col min="736" max="741" width="0" hidden="1" customWidth="1"/>
    <col min="742" max="16384" width="9.109375" hidden="1"/>
  </cols>
  <sheetData>
    <row r="1" spans="1:735" s="34" customFormat="1">
      <c r="A1" s="56"/>
      <c r="B1" s="56"/>
      <c r="C1" s="67" t="s">
        <v>376</v>
      </c>
      <c r="D1" s="68" t="s">
        <v>385</v>
      </c>
      <c r="H1" s="76"/>
      <c r="I1" s="76"/>
      <c r="K1" s="62"/>
      <c r="L1" s="34" t="s">
        <v>358</v>
      </c>
      <c r="M1" s="89" t="s">
        <v>381</v>
      </c>
      <c r="N1" s="89" t="s">
        <v>381</v>
      </c>
      <c r="O1" s="89"/>
      <c r="P1" s="89"/>
      <c r="Q1" s="89"/>
      <c r="R1" s="89"/>
      <c r="T1" s="335" t="s">
        <v>824</v>
      </c>
      <c r="U1" s="336"/>
      <c r="V1" s="336"/>
      <c r="W1" s="337"/>
      <c r="X1" s="62"/>
      <c r="AA1" s="335" t="s">
        <v>823</v>
      </c>
      <c r="AB1" s="336"/>
      <c r="AC1" s="336"/>
      <c r="AD1" s="337"/>
      <c r="AE1" s="64"/>
      <c r="AI1" s="62"/>
      <c r="AP1" s="62"/>
      <c r="AQ1" s="73"/>
      <c r="AW1" s="80"/>
      <c r="AY1" s="131"/>
    </row>
    <row r="2" spans="1:735" s="34" customFormat="1">
      <c r="A2" s="56"/>
      <c r="B2" s="56"/>
      <c r="H2" s="76"/>
      <c r="I2" s="76"/>
      <c r="K2" s="62"/>
      <c r="L2" s="34" t="s">
        <v>384</v>
      </c>
      <c r="M2" s="89" t="s">
        <v>412</v>
      </c>
      <c r="N2" s="89" t="s">
        <v>418</v>
      </c>
      <c r="O2" s="89"/>
      <c r="P2" s="90"/>
      <c r="Q2" s="90"/>
      <c r="R2" s="90"/>
      <c r="S2" s="63"/>
      <c r="T2" s="335"/>
      <c r="U2" s="336"/>
      <c r="V2" s="336"/>
      <c r="W2" s="337"/>
      <c r="X2" s="333"/>
      <c r="Y2" s="334"/>
      <c r="Z2" s="334"/>
      <c r="AA2" s="335"/>
      <c r="AB2" s="336"/>
      <c r="AC2" s="336"/>
      <c r="AD2" s="337"/>
      <c r="AE2" s="62"/>
      <c r="AF2" s="65"/>
      <c r="AG2" s="65"/>
      <c r="AI2" s="62"/>
      <c r="AP2" s="62"/>
      <c r="AQ2" s="73"/>
      <c r="AW2" s="80"/>
      <c r="ABG2" s="66" t="s">
        <v>403</v>
      </c>
    </row>
    <row r="3" spans="1:735" s="34" customFormat="1">
      <c r="A3" s="56"/>
      <c r="B3" s="56"/>
      <c r="C3" s="34" t="s">
        <v>406</v>
      </c>
      <c r="D3" s="34" t="str">
        <f>Profile!J5</f>
        <v>Cheshire East</v>
      </c>
      <c r="F3" s="76" t="str">
        <f>VLOOKUP(D3,classifications!C:G,4,FALSE)</f>
        <v>UA</v>
      </c>
      <c r="G3" s="34" t="str">
        <f>VLOOKUP(D3,classifications!C:E,3,FALSE)</f>
        <v>North West</v>
      </c>
      <c r="H3" s="83" t="str">
        <f>VLOOKUP(D3,classifications!C:H,6,FALSE)</f>
        <v>Urban with Significant Rural</v>
      </c>
      <c r="I3" s="34" t="str">
        <f>VLOOKUP(D3,classifications!C:J,8,FALSE)</f>
        <v>Unitary</v>
      </c>
      <c r="J3" s="34" t="str">
        <f>VLOOKUP(D3,classifications!C:I,7,FALSE)</f>
        <v>Urban with Significant Rural</v>
      </c>
      <c r="K3" s="62"/>
      <c r="L3" s="34" t="s">
        <v>385</v>
      </c>
      <c r="M3" s="89" t="s">
        <v>413</v>
      </c>
      <c r="N3" s="89" t="s">
        <v>394</v>
      </c>
      <c r="O3" s="89"/>
      <c r="P3" s="89"/>
      <c r="Q3" s="89"/>
      <c r="R3" s="89"/>
      <c r="T3" s="176"/>
      <c r="U3" s="177"/>
      <c r="V3" s="177"/>
      <c r="W3" s="177"/>
      <c r="X3" s="62"/>
      <c r="AA3" s="176"/>
      <c r="AB3" s="177"/>
      <c r="AC3" s="177"/>
      <c r="AD3" s="177"/>
      <c r="AE3" s="62"/>
      <c r="AI3" s="62"/>
      <c r="AP3" s="62"/>
      <c r="AQ3" s="73"/>
      <c r="AW3" s="80"/>
    </row>
    <row r="4" spans="1:735" s="34" customFormat="1">
      <c r="A4" s="56"/>
      <c r="B4" s="56"/>
      <c r="H4" s="76"/>
      <c r="I4" s="78"/>
      <c r="K4" s="62" t="s">
        <v>3</v>
      </c>
      <c r="L4" s="34" t="s">
        <v>387</v>
      </c>
      <c r="M4" s="89" t="s">
        <v>414</v>
      </c>
      <c r="N4" s="89" t="s">
        <v>301</v>
      </c>
      <c r="O4" s="89"/>
      <c r="P4" s="89"/>
      <c r="Q4" s="89"/>
      <c r="R4" s="89"/>
      <c r="T4" s="176"/>
      <c r="U4" s="177"/>
      <c r="V4" s="177"/>
      <c r="W4" s="177"/>
      <c r="X4" s="62"/>
      <c r="AA4" s="176"/>
      <c r="AB4" s="177"/>
      <c r="AC4" s="177"/>
      <c r="AD4" s="177"/>
      <c r="AE4" s="62"/>
      <c r="AI4" s="62"/>
      <c r="AP4" s="62"/>
      <c r="AQ4" s="73"/>
      <c r="AW4" s="80"/>
    </row>
    <row r="5" spans="1:735" s="34" customFormat="1">
      <c r="A5" s="56"/>
      <c r="B5" s="56"/>
      <c r="C5" s="34" t="s">
        <v>404</v>
      </c>
      <c r="D5" s="84" t="str">
        <f>Profile!W6</f>
        <v>Major Developments - % within 13 weeks or agreed time</v>
      </c>
      <c r="E5" s="84"/>
      <c r="H5" s="76"/>
      <c r="I5" s="76"/>
      <c r="K5" s="62" t="s">
        <v>3</v>
      </c>
      <c r="L5" s="34" t="s">
        <v>379</v>
      </c>
      <c r="M5" s="89" t="s">
        <v>415</v>
      </c>
      <c r="N5" s="89" t="s">
        <v>5</v>
      </c>
      <c r="O5" s="89"/>
      <c r="P5" s="89"/>
      <c r="T5" s="176"/>
      <c r="U5" s="177"/>
      <c r="V5" s="177"/>
      <c r="W5" s="177"/>
      <c r="X5" s="62"/>
      <c r="AA5" s="176"/>
      <c r="AB5" s="177"/>
      <c r="AC5" s="177"/>
      <c r="AD5" s="177"/>
      <c r="AE5" s="62"/>
      <c r="AI5" s="62"/>
      <c r="AP5" s="62"/>
      <c r="AQ5" s="73"/>
      <c r="AW5" s="80"/>
    </row>
    <row r="6" spans="1:735" s="34" customFormat="1">
      <c r="A6" s="56"/>
      <c r="B6" s="56"/>
      <c r="C6" s="34" t="s">
        <v>405</v>
      </c>
      <c r="D6" s="85" t="str">
        <f>Profile!W12</f>
        <v>Year Ending December 2022</v>
      </c>
      <c r="E6" s="85"/>
      <c r="H6" s="76"/>
      <c r="I6" s="77"/>
      <c r="K6" s="62" t="s">
        <v>3</v>
      </c>
      <c r="L6" s="34" t="s">
        <v>416</v>
      </c>
      <c r="M6" s="89" t="s">
        <v>417</v>
      </c>
      <c r="N6" s="89" t="s">
        <v>419</v>
      </c>
      <c r="O6" s="89"/>
      <c r="P6" s="108" t="s">
        <v>400</v>
      </c>
      <c r="Q6" s="108" t="s">
        <v>401</v>
      </c>
      <c r="T6" s="176"/>
      <c r="U6" s="177"/>
      <c r="V6" s="177"/>
      <c r="W6" s="177"/>
      <c r="X6" s="62"/>
      <c r="AA6" s="176"/>
      <c r="AB6" s="177"/>
      <c r="AC6" s="177"/>
      <c r="AD6" s="177"/>
      <c r="AE6" s="62"/>
      <c r="AI6" s="62"/>
      <c r="AP6" s="62"/>
      <c r="AQ6" s="73"/>
      <c r="AW6" s="80"/>
    </row>
    <row r="7" spans="1:735" s="34" customFormat="1">
      <c r="A7" s="56"/>
      <c r="B7" s="56"/>
      <c r="H7" s="76"/>
      <c r="I7" s="77"/>
      <c r="K7" s="62" t="s">
        <v>3</v>
      </c>
      <c r="M7" s="89"/>
      <c r="N7" s="89"/>
      <c r="P7" s="109">
        <f>IF(I8="A",MIN(N$11:N$349),MAX(N$11:N$349))</f>
        <v>100</v>
      </c>
      <c r="Q7" s="109">
        <f>IF(I8="A",MAX(N11:N349),MIN(N11:N349))</f>
        <v>40.909090909090914</v>
      </c>
      <c r="T7" s="176"/>
      <c r="U7" s="177"/>
      <c r="V7" s="177"/>
      <c r="W7" s="177"/>
      <c r="X7" s="62"/>
      <c r="AA7" s="176"/>
      <c r="AB7" s="177"/>
      <c r="AC7" s="177"/>
      <c r="AD7" s="177"/>
      <c r="AE7" s="62"/>
      <c r="AI7" s="62"/>
      <c r="AP7" s="62"/>
      <c r="AQ7" s="73"/>
      <c r="AW7" s="80"/>
    </row>
    <row r="8" spans="1:735" s="34" customFormat="1" ht="15.6">
      <c r="A8" s="56"/>
      <c r="B8" s="56"/>
      <c r="C8" s="85" t="s">
        <v>792</v>
      </c>
      <c r="D8" s="166" t="str">
        <f>VLOOKUP(D5,'Indicator info'!A:D,2,FALSE)</f>
        <v>%</v>
      </c>
      <c r="E8" s="166"/>
      <c r="F8" s="85" t="s">
        <v>791</v>
      </c>
      <c r="G8" s="167" t="str">
        <f>VLOOKUP(D5,'Indicator info'!A:D,3,FALSE)</f>
        <v>.</v>
      </c>
      <c r="H8" s="168" t="str">
        <f>D8&amp;G8</f>
        <v>%.</v>
      </c>
      <c r="I8" s="169" t="str">
        <f>VLOOKUP(D5,'Indicator info'!A:D,4,FALSE)</f>
        <v>D</v>
      </c>
      <c r="K8" s="62"/>
      <c r="M8" s="111"/>
      <c r="N8" s="111"/>
      <c r="O8" s="111"/>
      <c r="P8" s="78" t="str">
        <f>D3</f>
        <v>Cheshire East</v>
      </c>
      <c r="Q8" s="110">
        <f>VLOOKUP(D3,L11:N349,3,FALSE)</f>
        <v>94.444444444444443</v>
      </c>
      <c r="R8" s="111" t="str">
        <f>IF(I8="A",IF(Q8&gt;Q10,"Bottom",IF(Q8&gt;P10,"Third",IF(Q8&gt;O10,"Second","Top"))),IF(Q8&gt;=O10,"Top",IF(Q8&gt;=P10,"Second",IF(Q8&gt;=Q10,"Third","Bottom"))))</f>
        <v>Second</v>
      </c>
      <c r="T8" s="176"/>
      <c r="U8" s="177"/>
      <c r="V8" s="177"/>
      <c r="W8" s="177"/>
      <c r="X8" s="62"/>
      <c r="AA8" s="176"/>
      <c r="AB8" s="177"/>
      <c r="AC8" s="177"/>
      <c r="AD8" s="177"/>
      <c r="AE8" s="62"/>
      <c r="AI8" s="62"/>
      <c r="AP8" s="62"/>
      <c r="AQ8" s="73"/>
      <c r="AW8" s="80"/>
      <c r="AX8" s="152"/>
      <c r="AZ8" s="139"/>
      <c r="BB8" s="132"/>
      <c r="BC8" s="132"/>
      <c r="BD8" s="132"/>
      <c r="BE8" s="132"/>
      <c r="BF8" s="132"/>
      <c r="BG8" s="132"/>
      <c r="BH8" s="132"/>
      <c r="BI8" s="132"/>
      <c r="BJ8" s="132"/>
      <c r="BK8" s="132"/>
      <c r="BL8" s="132"/>
      <c r="BM8" s="132"/>
      <c r="BN8" s="132"/>
      <c r="BO8" s="132"/>
      <c r="BP8" s="132"/>
      <c r="BQ8" s="132"/>
      <c r="BR8" s="132"/>
      <c r="BS8" s="132"/>
      <c r="BT8" s="132"/>
      <c r="BU8" s="132"/>
      <c r="BV8" s="132"/>
      <c r="BW8" s="132"/>
      <c r="BX8" s="132"/>
      <c r="BY8" s="132"/>
      <c r="BZ8" s="132"/>
      <c r="CA8" s="132"/>
      <c r="CB8" s="132"/>
      <c r="CC8" s="132"/>
      <c r="CD8" s="132"/>
      <c r="CE8" s="132"/>
      <c r="CF8" s="132"/>
    </row>
    <row r="9" spans="1:735" s="1" customFormat="1" ht="46.5" customHeight="1">
      <c r="A9" s="57"/>
      <c r="B9" s="57"/>
      <c r="C9"/>
      <c r="D9"/>
      <c r="E9"/>
      <c r="F9"/>
      <c r="G9"/>
      <c r="H9" s="29" t="str">
        <f>"Results for "&amp;D1&amp;" Authorities only"</f>
        <v>Results for UA Authorities only</v>
      </c>
      <c r="I9" s="37"/>
      <c r="K9" s="38" t="str">
        <f>"Rank &amp; Quartiles for all "&amp;D1&amp;" Authorities"</f>
        <v>Rank &amp; Quartiles for all UA Authorities</v>
      </c>
      <c r="M9" s="88">
        <f>IF($H$8="%.",(AVERAGE(M11:M349))/100,(AVERAGE(M11:M349)))</f>
        <v>0.87080949679493658</v>
      </c>
      <c r="N9" s="88"/>
      <c r="O9" s="91" t="s">
        <v>340</v>
      </c>
      <c r="P9" s="91" t="s">
        <v>351</v>
      </c>
      <c r="Q9" s="91" t="s">
        <v>352</v>
      </c>
      <c r="R9" s="93" t="s">
        <v>399</v>
      </c>
      <c r="S9" s="37"/>
      <c r="T9" s="178" t="s">
        <v>819</v>
      </c>
      <c r="U9" s="179">
        <f>IF($H$8="%.",(AVERAGE(U11:U349))/100,(AVERAGE(U11:U349)))</f>
        <v>0.79701253361113888</v>
      </c>
      <c r="V9" s="180"/>
      <c r="W9" s="180"/>
      <c r="X9" s="86" t="str">
        <f>"Lower Level Ranking for Authorites in "&amp;H3&amp;" &amp; are a "&amp;F3</f>
        <v>Lower Level Ranking for Authorites in Urban with Significant Rural &amp; are a UA</v>
      </c>
      <c r="Y9" s="88">
        <f>IF($H$8="%.",(AVERAGE(Y11:Y349))/100,(AVERAGE(Y11:Y349)))</f>
        <v>0.82901648261340299</v>
      </c>
      <c r="Z9" s="87"/>
      <c r="AA9" s="187" t="s">
        <v>378</v>
      </c>
      <c r="AB9" s="179">
        <f>IF($H$8="%.",(AVERAGE(AB11:AB349))/100,(AVERAGE(AB11:AB349)))</f>
        <v>0.84897476123334803</v>
      </c>
      <c r="AC9" s="188"/>
      <c r="AD9" s="188"/>
      <c r="AE9" s="38" t="s">
        <v>408</v>
      </c>
      <c r="AG9" s="88">
        <f>IF($H$8="%.",(AVERAGE(AG11:AG349))/100,(AVERAGE(AG11:AG349)))</f>
        <v>0.63051472457000035</v>
      </c>
      <c r="AI9" s="86" t="str">
        <f>"County Ranking &amp; Top Authorites in "&amp;I3&amp;" &amp; are a "&amp;F3</f>
        <v>County Ranking &amp; Top Authorites in Unitary &amp; are a UA</v>
      </c>
      <c r="AJ9" s="88">
        <f>IF($H$8="%.",(AVERAGE(AJ11:AJ349))/100,(AVERAGE(AJ11:AJ349)))</f>
        <v>0.87080949679493658</v>
      </c>
      <c r="AK9" s="87"/>
      <c r="AL9" s="48"/>
      <c r="AM9"/>
      <c r="AN9"/>
      <c r="AP9" s="86" t="str">
        <f>"Regional Ranking in for "&amp;F3</f>
        <v>Regional Ranking in for UA</v>
      </c>
      <c r="AQ9" s="88">
        <f>IF($H$8="%.",(AVERAGE(AQ11:AQ349))/100,(AVERAGE(AQ11:AQ349)))</f>
        <v>0.91576686404272623</v>
      </c>
      <c r="AR9" s="87"/>
      <c r="AS9" s="87"/>
      <c r="AT9" s="87"/>
      <c r="AU9" s="87"/>
      <c r="AV9"/>
      <c r="AW9" s="80"/>
      <c r="AX9" s="137" t="str">
        <f>Profile!$W$6</f>
        <v>Major Developments - % within 13 weeks or agreed time</v>
      </c>
      <c r="AY9" s="34"/>
      <c r="AZ9" s="137"/>
      <c r="BA9" s="136"/>
      <c r="BB9" s="136"/>
      <c r="BC9" s="136"/>
      <c r="BD9" s="136"/>
      <c r="BE9" s="136"/>
      <c r="BF9" s="136"/>
      <c r="BG9" s="136"/>
      <c r="BH9" s="136"/>
      <c r="BI9" s="136"/>
      <c r="BJ9" s="136"/>
      <c r="BK9" s="136"/>
      <c r="BL9" s="136"/>
      <c r="BM9" s="136"/>
      <c r="BN9" s="136"/>
      <c r="BO9" s="136"/>
      <c r="BP9" s="136"/>
      <c r="BQ9" s="136"/>
      <c r="BR9" s="136"/>
      <c r="BS9" s="136"/>
      <c r="BT9" s="136"/>
      <c r="BU9" s="136"/>
      <c r="BV9" s="136"/>
      <c r="BW9" s="136"/>
      <c r="BX9" s="136"/>
      <c r="BY9" s="136"/>
      <c r="BZ9" s="136"/>
      <c r="CA9" s="136"/>
      <c r="CB9" s="136"/>
      <c r="CC9" s="136"/>
      <c r="CD9" s="136"/>
      <c r="CE9" s="136"/>
      <c r="CF9" s="136"/>
      <c r="ABG9" s="39"/>
    </row>
    <row r="10" spans="1:735" s="33" customFormat="1">
      <c r="A10" s="58" t="s">
        <v>409</v>
      </c>
      <c r="B10" s="58"/>
      <c r="C10" s="33" t="s">
        <v>397</v>
      </c>
      <c r="D10" s="33" t="s">
        <v>376</v>
      </c>
      <c r="E10" s="33" t="s">
        <v>371</v>
      </c>
      <c r="F10" s="33" t="s">
        <v>372</v>
      </c>
      <c r="H10" s="52" t="s">
        <v>372</v>
      </c>
      <c r="I10" s="52" t="s">
        <v>353</v>
      </c>
      <c r="K10" s="51" t="s">
        <v>353</v>
      </c>
      <c r="L10" s="33" t="s">
        <v>333</v>
      </c>
      <c r="M10" s="94" t="s">
        <v>372</v>
      </c>
      <c r="N10" s="94" t="s">
        <v>797</v>
      </c>
      <c r="O10" s="95">
        <f>IF(I8="A",QUARTILE(N:N,1),QUARTILE(N:N,3))</f>
        <v>95.830851697438945</v>
      </c>
      <c r="P10" s="95">
        <f>QUARTILE(N:N,2)</f>
        <v>89.696969696969688</v>
      </c>
      <c r="Q10" s="95">
        <f>IF(I8="A",QUARTILE(N:N,3),QUARTILE(N:N,1))</f>
        <v>82.598039215686271</v>
      </c>
      <c r="R10" s="94"/>
      <c r="S10" s="52"/>
      <c r="T10" s="181" t="s">
        <v>371</v>
      </c>
      <c r="U10" s="182" t="s">
        <v>372</v>
      </c>
      <c r="V10" s="182" t="s">
        <v>353</v>
      </c>
      <c r="W10" s="182"/>
      <c r="X10" s="53" t="s">
        <v>377</v>
      </c>
      <c r="Y10" s="33" t="s">
        <v>372</v>
      </c>
      <c r="Z10" s="33" t="s">
        <v>353</v>
      </c>
      <c r="AA10" s="181" t="s">
        <v>378</v>
      </c>
      <c r="AB10" s="182" t="s">
        <v>372</v>
      </c>
      <c r="AC10" s="182" t="s">
        <v>353</v>
      </c>
      <c r="AD10" s="182"/>
      <c r="AE10" s="53" t="s">
        <v>353</v>
      </c>
      <c r="AF10" s="33" t="s">
        <v>407</v>
      </c>
      <c r="AG10" s="74" t="s">
        <v>372</v>
      </c>
      <c r="AI10" s="53" t="s">
        <v>301</v>
      </c>
      <c r="AJ10" s="33" t="s">
        <v>372</v>
      </c>
      <c r="AK10" s="54" t="s">
        <v>353</v>
      </c>
      <c r="AL10" s="54" t="s">
        <v>373</v>
      </c>
      <c r="AM10" s="33" t="s">
        <v>407</v>
      </c>
      <c r="AN10" s="33" t="s">
        <v>372</v>
      </c>
      <c r="AO10" s="52"/>
      <c r="AP10" s="53" t="s">
        <v>339</v>
      </c>
      <c r="AQ10" s="74" t="s">
        <v>372</v>
      </c>
      <c r="AR10" s="33" t="s">
        <v>353</v>
      </c>
      <c r="AS10" s="54" t="s">
        <v>373</v>
      </c>
      <c r="AT10" s="33" t="s">
        <v>407</v>
      </c>
      <c r="AU10" s="33" t="s">
        <v>372</v>
      </c>
      <c r="AW10" s="133"/>
      <c r="AX10" s="171" t="str">
        <f>D6</f>
        <v>Year Ending December 2022</v>
      </c>
      <c r="AY10" s="134"/>
      <c r="AZ10" s="135"/>
      <c r="BA10" s="135"/>
      <c r="BB10" s="135"/>
      <c r="BC10" s="135"/>
      <c r="BD10" s="135"/>
      <c r="BE10" s="135"/>
      <c r="BF10" s="135"/>
      <c r="BG10" s="135"/>
      <c r="BH10" s="135"/>
      <c r="BI10" s="135"/>
      <c r="BJ10" s="135"/>
      <c r="BK10" s="135"/>
      <c r="BL10" s="135"/>
      <c r="BM10" s="135"/>
      <c r="BN10" s="135"/>
      <c r="BO10" s="135"/>
      <c r="BP10" s="135"/>
      <c r="BQ10" s="135"/>
      <c r="BR10" s="135"/>
      <c r="BS10" s="135"/>
      <c r="BT10" s="135"/>
      <c r="BU10" s="135"/>
      <c r="BV10" s="135"/>
      <c r="BW10" s="135"/>
      <c r="BX10" s="135"/>
      <c r="BY10" s="135"/>
      <c r="BZ10" s="135"/>
      <c r="CA10" s="135"/>
      <c r="CB10" s="135"/>
      <c r="CC10" s="135"/>
      <c r="CD10" s="135"/>
      <c r="CE10" s="135"/>
      <c r="CF10" s="135"/>
      <c r="ABG10" s="53"/>
    </row>
    <row r="11" spans="1:735">
      <c r="A11" s="59" t="str">
        <f>$D$1&amp;1</f>
        <v>UA1</v>
      </c>
      <c r="B11" s="60" t="str">
        <f>IF(ISERROR(VLOOKUP(A11,classifications!A:C,3,FALSE)),0,VLOOKUP(A11,classifications!A:C,3,FALSE))</f>
        <v>Cheshire East</v>
      </c>
      <c r="C11" t="s">
        <v>4</v>
      </c>
      <c r="D11" t="str">
        <f>VLOOKUP($C11,classifications!$C:$J,4,FALSE)</f>
        <v>SD</v>
      </c>
      <c r="E11">
        <f>VLOOKUP(C11,classifications!C:K,9,FALSE)</f>
        <v>0</v>
      </c>
      <c r="F11">
        <f t="shared" ref="F11:F16" si="0">HLOOKUP($D$6,AX$10:ZX$353,ROW()-9,FALSE)</f>
        <v>83.333333333333343</v>
      </c>
      <c r="G11" s="15"/>
      <c r="H11" s="42" t="str">
        <f t="shared" ref="H11:H16" si="1">IF(D11=$D$1,HLOOKUP($D$6,$AX$10:$ZZ$353,ROW()-9,FALSE),"")</f>
        <v/>
      </c>
      <c r="I11" s="79" t="str">
        <f>IF(H11="","",IF($I$8="A",(RANK(H11,H$11:H$349,1)+COUNTIF(H$11:H11,H11)-1),(RANK(H11,H$11:H$349)+COUNTIF(H$11:H11,H11)-1)))</f>
        <v/>
      </c>
      <c r="J11" s="41"/>
      <c r="K11" s="36">
        <v>1</v>
      </c>
      <c r="L11" t="str">
        <f t="shared" ref="L11:L16" si="2">IF(K11="","",INDEX(C$11:C$349,MATCH(K11,I$11:I$349,0)))</f>
        <v>Bath &amp; North East Somerset</v>
      </c>
      <c r="M11" s="117">
        <f t="shared" ref="M11:M16" si="3">IF(L11="","",IF(VLOOKUP(L11,C:D,2,FALSE)=$F$3,VLOOKUP(L11,C:H,6,FALSE),""))</f>
        <v>100</v>
      </c>
      <c r="N11" s="112">
        <f>IF(L11="","",IF($H$8="%%",M11*100,M11))</f>
        <v>100</v>
      </c>
      <c r="O11" s="96">
        <f>IF(I$8="A",IF(N11&gt;=$P$7,IF(N11&lt;=$O$10,N11,""),""),IF(N11&lt;=$P$7,IF(N11&gt;=$O$10,N11,""),""))</f>
        <v>100</v>
      </c>
      <c r="P11" s="96" t="str">
        <f>IF(I$8="A",IF(N11&gt;$O$10,IF(N11&lt;=$P$10,N11,""),""),IF(N11&lt;$O$10,IF(N11&gt;=$P$10,N11,""),""))</f>
        <v/>
      </c>
      <c r="Q11" s="96" t="str">
        <f>IF(I$8="A",IF(N11&gt;$P$10,IF(N11&lt;=$Q$10,N11,""),""),IF(N11&lt;$P$10,IF(N11&gt;=$Q$10,N11,""),""))</f>
        <v/>
      </c>
      <c r="R11" s="92" t="str">
        <f>IF(I$8="A",IF(N11&gt;$Q$10,N11,""),IF(N11&lt;$Q$10,N11,""))</f>
        <v/>
      </c>
      <c r="S11" s="42" t="str">
        <f>IF(L11=D$3,"u","")</f>
        <v/>
      </c>
      <c r="T11" s="176">
        <f>IF(L11="","",VLOOKUP(L11,classifications!C:K,9,FALSE))</f>
        <v>0</v>
      </c>
      <c r="U11" s="177" t="str">
        <f>IF(T11="Sparse",M11,"")</f>
        <v/>
      </c>
      <c r="V11" s="183" t="str">
        <f>IF(U11="","",IF($I$8="A",(RANK(U11,U$11:U$349)+COUNTIF(U$11:U11,U11)-1),(RANK(U11,U$11:U$349,1)+COUNTIF(U$11:U11,U11)-1)))</f>
        <v/>
      </c>
      <c r="W11" s="184"/>
      <c r="X11" s="5" t="str">
        <f>IF(L11="","",VLOOKUP($L11,classifications!$C:$J,6,FALSE))</f>
        <v>Urban with Significant Rural</v>
      </c>
      <c r="Y11">
        <f t="shared" ref="Y11:Y16" si="4">IF($D$1="UA",IF(X11="Predominantly Rural ",M11,IF(X11="Predominantly Rural ",M11,IF(X11="Urban with Significant Rural",M11,""))),IF($D$1="SD",IF(X11=$H$3,M11,"")))</f>
        <v>100</v>
      </c>
      <c r="Z11" s="40">
        <f>IF(Y11="","",IF(I$8="A",(RANK(Y11,Y$11:Y$349,1)+COUNTIF(Y$11:Y11,Y11)-1),(RANK(Y11,Y$11:Y$349)+COUNTIF(Y$11:Y11,Y11)-1)))</f>
        <v>1</v>
      </c>
      <c r="AA11" s="189" t="str">
        <f>IF(L11="","",VLOOKUP($L11,classifications!C:I,7,FALSE))</f>
        <v>Urban with Significant Rural</v>
      </c>
      <c r="AB11" s="183">
        <f>IF(AA11=$J$3,M11,"")</f>
        <v>100</v>
      </c>
      <c r="AC11" s="183">
        <f>IF(AB11="","",IF($I$8="A",(RANK(AB11,AB$11:AB$349)+COUNTIF(AB$11:AB11,AB11)-1),(RANK(AB11,AB$11:AB$349,1)+COUNTIF(AB$11:AB11,AB11)-1)))</f>
        <v>11</v>
      </c>
      <c r="AD11" s="183"/>
      <c r="AE11" s="49">
        <f>IF(I$8="A",(RANK(AG11,AG$11:AG$349,1)+COUNTIF(AG$11:AG11,AG11)-1),(RANK(AG11,AG$11:AG$349)+COUNTIF(AG$11:AG11,AG11)-1))</f>
        <v>2</v>
      </c>
      <c r="AF11" s="47" t="str">
        <f>'Filtered Data'!D3</f>
        <v>Cheshire East</v>
      </c>
      <c r="AG11" s="107">
        <f>VLOOKUP(Profile!$J$5,$C$11:$H$349,4,FALSE)</f>
        <v>94.444444444444443</v>
      </c>
      <c r="AH11" s="50">
        <f>AE11</f>
        <v>2</v>
      </c>
      <c r="AI11" s="5" t="str">
        <f>IF(L11="","",VLOOKUP($L11,classifications!$C:$J,8,FALSE))</f>
        <v>Unitary</v>
      </c>
      <c r="AJ11" s="43">
        <f t="shared" ref="AJ11:AJ16" si="5">IF(AI11=$I$3,M11,"")</f>
        <v>100</v>
      </c>
      <c r="AK11" s="40">
        <f>IF(AJ11="","",IF(I$8="A",(RANK(AJ11,AJ$11:AJ$349,1)+COUNTIF(AJ$11:AJ11,AJ11)-1),(RANK(AJ11,AJ$11:AJ$349)+COUNTIF(AJ$11:AJ11,AJ11)-1)))</f>
        <v>1</v>
      </c>
      <c r="AL11" s="40">
        <v>1</v>
      </c>
      <c r="AM11" t="str">
        <f t="shared" ref="AM11:AM16" si="6">IF(ISNA(IF(AL11="","",INDEX(L$11:L$349,MATCH(AL11,AK$11:AK$349,0)))),"",(IF(AL11="","",INDEX(L$11:L$349,MATCH(AL11,AK$11:AK$349,0)))))</f>
        <v>Bath &amp; North East Somerset</v>
      </c>
      <c r="AN11">
        <f t="shared" ref="AN11:AN16" si="7">(VLOOKUP(AM11,L:M,2,FALSE))</f>
        <v>100</v>
      </c>
      <c r="AP11" s="5" t="str">
        <f>IF(L11="","",VLOOKUP($L11,classifications!$C:$E,3,FALSE))</f>
        <v>South West</v>
      </c>
      <c r="AQ11" s="43" t="str">
        <f>IF(AP11=$G$3,$M11,"")</f>
        <v/>
      </c>
      <c r="AR11" s="40" t="str">
        <f>IF(AQ11="","",IF(I$8="A",(RANK(AQ11,AQ$11:AQ$349,1)+COUNTIF(AQ$11:AQ11,AQ11)-1),(RANK(AQ11,AQ$11:AQ$349)+COUNTIF(AQ$11:AQ11,AQ11)-1)))</f>
        <v/>
      </c>
      <c r="AS11" s="40">
        <v>1</v>
      </c>
      <c r="AT11" s="40" t="str">
        <f t="shared" ref="AT11:AT16" si="8">IF(AS11="","",INDEX(L$11:L$349,MATCH(AS11,AR$11:AR$349,0)))</f>
        <v>Blackburn with Darwen</v>
      </c>
      <c r="AU11" s="43">
        <f t="shared" ref="AU11:AU16" si="9">IF(AT11="","",VLOOKUP(AT11,L:M,2,FALSE))</f>
        <v>100</v>
      </c>
      <c r="AX11">
        <f>HLOOKUP($AX$9&amp;$AX$10,Data!$A$1:$ZZ$1988,(MATCH($C11,Data!$A$1:$A$1988,0)),FALSE)</f>
        <v>83.333333333333343</v>
      </c>
    </row>
    <row r="12" spans="1:735">
      <c r="A12" s="59" t="str">
        <f>$D$1&amp;2</f>
        <v>UA2</v>
      </c>
      <c r="B12" s="60" t="str">
        <f>IF(ISERROR(VLOOKUP(A12,classifications!A:C,3,FALSE)),0,VLOOKUP(A12,classifications!A:C,3,FALSE))</f>
        <v>Cornwall</v>
      </c>
      <c r="C12" t="s">
        <v>6</v>
      </c>
      <c r="D12" t="str">
        <f>VLOOKUP($C12,classifications!$C:$J,4,FALSE)</f>
        <v>SD</v>
      </c>
      <c r="E12" t="str">
        <f>VLOOKUP(C12,classifications!C:K,9,FALSE)</f>
        <v>Sparse</v>
      </c>
      <c r="F12">
        <f t="shared" si="0"/>
        <v>93.548387096774192</v>
      </c>
      <c r="G12" s="15"/>
      <c r="H12" s="42" t="str">
        <f t="shared" si="1"/>
        <v/>
      </c>
      <c r="I12" s="79" t="str">
        <f>IF(H12="","",IF($I$8="A",(RANK(H12,H$11:H$349,1)+COUNTIF(H$11:H12,H12)-1),(RANK(H12,H$11:H$349)+COUNTIF(H$11:H12,H12)-1)))</f>
        <v/>
      </c>
      <c r="J12" s="41"/>
      <c r="K12" s="36">
        <f>IF(K11="","",IF(K11+1&gt;(COUNT(H$11:H$349)),"",K11+1))</f>
        <v>2</v>
      </c>
      <c r="L12" t="str">
        <f t="shared" si="2"/>
        <v>Blackburn with Darwen</v>
      </c>
      <c r="M12" s="117">
        <f t="shared" si="3"/>
        <v>100</v>
      </c>
      <c r="N12" s="112">
        <f>IF(L12="","",IF($H$8="%%",M12*100,M12))</f>
        <v>100</v>
      </c>
      <c r="O12" s="96">
        <f t="shared" ref="O12:O16" si="10">IF(I$8="A",IF(N12&gt;=$P$7,IF(N12&lt;=$O$10,N12,""),""),IF(N12&lt;=$P$7,IF(N12&gt;=$O$10,N12,""),""))</f>
        <v>100</v>
      </c>
      <c r="P12" s="96" t="str">
        <f>IF(I$8="A",IF(N12&gt;$O$10,IF(N12&lt;=$P$10,N12,""),""),IF(N12&lt;$O$10,IF(N12&gt;=$P$10,N12,""),""))</f>
        <v/>
      </c>
      <c r="Q12" s="96" t="str">
        <f>IF(I$8="A",IF(N12&gt;$P$10,IF(N12&lt;=$Q$10,N12,""),""),IF(N12&lt;$P$10,IF(N12&gt;=$Q$10,N12,""),""))</f>
        <v/>
      </c>
      <c r="R12" s="92" t="str">
        <f>IF(I$8="A",IF(N12&gt;$Q$10,N12,""),IF(N12&lt;$Q$10,N12,""))</f>
        <v/>
      </c>
      <c r="S12" s="42" t="str">
        <f t="shared" ref="S12:S16" si="11">IF(L12=D$3,"u","")</f>
        <v/>
      </c>
      <c r="T12" s="176">
        <f>IF(L12="","",VLOOKUP(L12,classifications!C:K,9,FALSE))</f>
        <v>0</v>
      </c>
      <c r="U12" s="177" t="str">
        <f t="shared" ref="U12:U16" si="12">IF(T12="Sparse",M12,"")</f>
        <v/>
      </c>
      <c r="V12" s="183" t="str">
        <f>IF(U12="","",IF($I$8="A",(RANK(U12,U$11:U$349)+COUNTIF(U$11:U12,U12)-1),(RANK(U12,U$11:U$349,1)+COUNTIF(U$11:U12,U12)-1)))</f>
        <v/>
      </c>
      <c r="W12" s="184"/>
      <c r="X12" s="5" t="str">
        <f>IF(L12="","",VLOOKUP($L12,classifications!$C:$J,6,FALSE))</f>
        <v>Predominantly Urban</v>
      </c>
      <c r="Y12" t="str">
        <f t="shared" si="4"/>
        <v/>
      </c>
      <c r="Z12" s="40" t="str">
        <f>IF(Y12="","",IF(I$8="A",(RANK(Y12,Y$11:Y$349,1)+COUNTIF(Y$11:Y12,Y12)-1),(RANK(Y12,Y$11:Y$349)+COUNTIF(Y$11:Y12,Y12)-1)))</f>
        <v/>
      </c>
      <c r="AA12" s="189" t="str">
        <f>IF(L12="","",VLOOKUP($L12,classifications!C:I,7,FALSE))</f>
        <v>Predominantly Urban</v>
      </c>
      <c r="AB12" s="183" t="str">
        <f t="shared" ref="AB12:AB16" si="13">IF(AA12=$J$3,M12,"")</f>
        <v/>
      </c>
      <c r="AC12" s="183" t="str">
        <f>IF(AB12="","",IF($I$8="A",(RANK(AB12,AB$11:AB$349)+COUNTIF(AB$11:AB12,AB12)-1),(RANK(AB12,AB$11:AB$349,1)+COUNTIF(AB$11:AB12,AB12)-1)))</f>
        <v/>
      </c>
      <c r="AD12" s="183"/>
      <c r="AE12" s="49">
        <f>IF(I$8="A",(RANK(AG12,AG$11:AG$349,1)+COUNTIF(AG$11:AG12,AG12)-1),(RANK(AG12,AG$11:AG$349)+COUNTIF(AG$11:AG12,AG12)-1))</f>
        <v>3</v>
      </c>
      <c r="AF12" t="str">
        <f>VLOOKUP(Profile!$J$5,Families!$C:$R,2,FALSE)</f>
        <v>Cheshire West &amp; Chester</v>
      </c>
      <c r="AG12" s="15">
        <f>VLOOKUP(AF12,$C$11:$H$349,4,FALSE)</f>
        <v>91.379310344827587</v>
      </c>
      <c r="AH12" s="50">
        <f>AE12</f>
        <v>3</v>
      </c>
      <c r="AI12" s="5" t="str">
        <f>IF(L12="","",VLOOKUP($L12,classifications!$C:$J,8,FALSE))</f>
        <v>Unitary</v>
      </c>
      <c r="AJ12" s="43">
        <f t="shared" si="5"/>
        <v>100</v>
      </c>
      <c r="AK12" s="40">
        <f>IF(AJ12="","",IF(I$8="A",(RANK(AJ12,AJ$11:AJ$349,1)+COUNTIF(AJ$11:AJ12,AJ12)-1),(RANK(AJ12,AJ$11:AJ$349)+COUNTIF(AJ$11:AJ12,AJ12)-1)))</f>
        <v>2</v>
      </c>
      <c r="AL12" s="3">
        <f>IF(AL11="","",IF(AL11+1&gt;(COUNT(AJ$11:AJ$349)),"",AL11+1))</f>
        <v>2</v>
      </c>
      <c r="AM12" t="str">
        <f t="shared" si="6"/>
        <v>Blackburn with Darwen</v>
      </c>
      <c r="AN12">
        <f t="shared" si="7"/>
        <v>100</v>
      </c>
      <c r="AP12" s="5" t="str">
        <f>IF(L12="","",VLOOKUP($L12,classifications!$C:$E,3,FALSE))</f>
        <v>North West</v>
      </c>
      <c r="AQ12" s="43">
        <f t="shared" ref="AQ12:AQ16" si="14">IF(AP12=$G$3,$M12,"")</f>
        <v>100</v>
      </c>
      <c r="AR12" s="40">
        <f>IF(AQ12="","",IF(I$8="A",(RANK(AQ12,AQ$11:AQ$349,1)+COUNTIF(AQ$11:AQ12,AQ12)-1),(RANK(AQ12,AQ$11:AQ$349)+COUNTIF(AQ$11:AQ12,AQ12)-1)))</f>
        <v>1</v>
      </c>
      <c r="AS12" s="3">
        <f>IF(AS11="","",IF(AS11+1&gt;(COUNT(AQ$11:AQ$349)),"",AS11+1))</f>
        <v>2</v>
      </c>
      <c r="AT12" s="40" t="str">
        <f t="shared" si="8"/>
        <v>Blackpool</v>
      </c>
      <c r="AU12" s="43">
        <f t="shared" si="9"/>
        <v>100</v>
      </c>
      <c r="AX12">
        <f>HLOOKUP($AX$9&amp;$AX$10,Data!$A$1:$ZZ$1988,(MATCH($C12,Data!$A$1:$A$1988,0)),FALSE)</f>
        <v>93.548387096774192</v>
      </c>
    </row>
    <row r="13" spans="1:735">
      <c r="A13" s="59" t="str">
        <f>$D$1&amp;3</f>
        <v>UA3</v>
      </c>
      <c r="B13" s="60" t="str">
        <f>IF(ISERROR(VLOOKUP(A13,classifications!A:C,3,FALSE)),0,VLOOKUP(A13,classifications!A:C,3,FALSE))</f>
        <v>Durham</v>
      </c>
      <c r="C13" t="s">
        <v>7</v>
      </c>
      <c r="D13" t="str">
        <f>VLOOKUP($C13,classifications!$C:$J,4,FALSE)</f>
        <v>SD</v>
      </c>
      <c r="E13">
        <f>VLOOKUP(C13,classifications!C:K,9,FALSE)</f>
        <v>0</v>
      </c>
      <c r="F13">
        <f t="shared" si="0"/>
        <v>100</v>
      </c>
      <c r="G13" s="15"/>
      <c r="H13" s="42" t="str">
        <f t="shared" si="1"/>
        <v/>
      </c>
      <c r="I13" s="79" t="str">
        <f>IF(H13="","",IF($I$8="A",(RANK(H13,H$11:H$349,1)+COUNTIF(H$11:H13,H13)-1),(RANK(H13,H$11:H$349)+COUNTIF(H$11:H13,H13)-1)))</f>
        <v/>
      </c>
      <c r="J13" s="41"/>
      <c r="K13" s="36">
        <f>IF(K12="","",IF(K12+1&gt;(COUNT(H$11:H$349)),"",K12+1))</f>
        <v>3</v>
      </c>
      <c r="L13" t="str">
        <f t="shared" si="2"/>
        <v>Blackpool</v>
      </c>
      <c r="M13" s="117">
        <f t="shared" si="3"/>
        <v>100</v>
      </c>
      <c r="N13" s="112">
        <f>IF(L13="","",IF($H$8="%%",M13*100,M13))</f>
        <v>100</v>
      </c>
      <c r="O13" s="96">
        <f t="shared" si="10"/>
        <v>100</v>
      </c>
      <c r="P13" s="96" t="str">
        <f t="shared" ref="P13:P16" si="15">IF(I$8="A",IF(N13&gt;$O$10,IF(N13&lt;=$P$10,N13,""),""),IF(N13&lt;$O$10,IF(N13&gt;=$P$10,N13,""),""))</f>
        <v/>
      </c>
      <c r="Q13" s="96" t="str">
        <f t="shared" ref="Q13:Q16" si="16">IF(I$8="A",IF(N13&gt;$P$10,IF(N13&lt;=$Q$10,N13,""),""),IF(N13&lt;$P$10,IF(N13&gt;=$Q$10,N13,""),""))</f>
        <v/>
      </c>
      <c r="R13" s="92" t="str">
        <f t="shared" ref="R13:R16" si="17">IF(I$8="A",IF(N13&gt;$Q$10,N13,""),IF(N13&lt;$Q$10,N13,""))</f>
        <v/>
      </c>
      <c r="S13" s="42" t="str">
        <f t="shared" si="11"/>
        <v/>
      </c>
      <c r="T13" s="176">
        <f>IF(L13="","",VLOOKUP(L13,classifications!C:K,9,FALSE))</f>
        <v>0</v>
      </c>
      <c r="U13" s="177" t="str">
        <f t="shared" si="12"/>
        <v/>
      </c>
      <c r="V13" s="183" t="str">
        <f>IF(U13="","",IF($I$8="A",(RANK(U13,U$11:U$349)+COUNTIF(U$11:U13,U13)-1),(RANK(U13,U$11:U$349,1)+COUNTIF(U$11:U13,U13)-1)))</f>
        <v/>
      </c>
      <c r="W13" s="184"/>
      <c r="X13" s="5" t="str">
        <f>IF(L13="","",VLOOKUP($L13,classifications!$C:$J,6,FALSE))</f>
        <v>Predominantly Urban</v>
      </c>
      <c r="Y13" t="str">
        <f t="shared" si="4"/>
        <v/>
      </c>
      <c r="Z13" s="40" t="str">
        <f>IF(Y13="","",IF(I$8="A",(RANK(Y13,Y$11:Y$349,1)+COUNTIF(Y$11:Y13,Y13)-1),(RANK(Y13,Y$11:Y$349)+COUNTIF(Y$11:Y13,Y13)-1)))</f>
        <v/>
      </c>
      <c r="AA13" s="189" t="str">
        <f>IF(L13="","",VLOOKUP($L13,classifications!C:I,7,FALSE))</f>
        <v>Predominantly Urban</v>
      </c>
      <c r="AB13" s="183" t="str">
        <f>IF(AA13=$J$3,M13,"")</f>
        <v/>
      </c>
      <c r="AC13" s="183" t="str">
        <f>IF(AB13="","",IF($I$8="A",(RANK(AB13,AB$11:AB$349)+COUNTIF(AB$11:AB13,AB13)-1),(RANK(AB13,AB$11:AB$349,1)+COUNTIF(AB$11:AB13,AB13)-1)))</f>
        <v/>
      </c>
      <c r="AD13" s="183"/>
      <c r="AE13" s="49">
        <f>IF(I$8="A",(RANK(AG13,AG$11:AG$349,1)+COUNTIF(AG$11:AG13,AG13)-1),(RANK(AG13,AG$11:AG$349)+COUNTIF(AG$11:AG13,AG13)-1))</f>
        <v>4</v>
      </c>
      <c r="AF13" t="str">
        <f>VLOOKUP(Profile!$J$5,Families!$C:$R,3,FALSE)</f>
        <v>Shropshire</v>
      </c>
      <c r="AG13" s="15">
        <f>VLOOKUP(AF13,$C$11:$H$349,4,FALSE)</f>
        <v>72.448979591836732</v>
      </c>
      <c r="AH13" s="50">
        <f t="shared" ref="AH13:AH16" si="18">AE13</f>
        <v>4</v>
      </c>
      <c r="AI13" s="5" t="str">
        <f>IF(L13="","",VLOOKUP($L13,classifications!$C:$J,8,FALSE))</f>
        <v>Unitary</v>
      </c>
      <c r="AJ13" s="43">
        <f>IF(AI13=$I$3,M13,"")</f>
        <v>100</v>
      </c>
      <c r="AK13" s="40">
        <f>IF(AJ13="","",IF(I$8="A",(RANK(AJ13,AJ$11:AJ$349,1)+COUNTIF(AJ$11:AJ13,AJ13)-1),(RANK(AJ13,AJ$11:AJ$349)+COUNTIF(AJ$11:AJ13,AJ13)-1)))</f>
        <v>3</v>
      </c>
      <c r="AL13" s="3">
        <f>IF(AL12="","",IF(AL12+1&gt;(COUNT(AJ$11:AJ$349)),"",AL12+1))</f>
        <v>3</v>
      </c>
      <c r="AM13" t="str">
        <f t="shared" si="6"/>
        <v>Blackpool</v>
      </c>
      <c r="AN13">
        <f t="shared" si="7"/>
        <v>100</v>
      </c>
      <c r="AP13" s="5" t="str">
        <f>IF(L13="","",VLOOKUP($L13,classifications!$C:$E,3,FALSE))</f>
        <v>North West</v>
      </c>
      <c r="AQ13" s="43">
        <f t="shared" si="14"/>
        <v>100</v>
      </c>
      <c r="AR13" s="40">
        <f>IF(AQ13="","",IF(I$8="A",(RANK(AQ13,AQ$11:AQ$349,1)+COUNTIF(AQ$11:AQ13,AQ13)-1),(RANK(AQ13,AQ$11:AQ$349)+COUNTIF(AQ$11:AQ13,AQ13)-1)))</f>
        <v>2</v>
      </c>
      <c r="AS13" s="3">
        <f>IF(AS12="","",IF(AS12+1&gt;(COUNT(AQ$11:AQ$349)),"",AS12+1))</f>
        <v>3</v>
      </c>
      <c r="AT13" s="40" t="str">
        <f t="shared" si="8"/>
        <v>Cheshire East</v>
      </c>
      <c r="AU13" s="43">
        <f t="shared" si="9"/>
        <v>94.444444444444443</v>
      </c>
      <c r="AX13">
        <f>HLOOKUP($AX$9&amp;$AX$10,Data!$A$1:$ZZ$1988,(MATCH($C13,Data!$A$1:$A$1988,0)),FALSE)</f>
        <v>100</v>
      </c>
    </row>
    <row r="14" spans="1:735">
      <c r="A14" s="59" t="str">
        <f>$D$1&amp;4</f>
        <v>UA4</v>
      </c>
      <c r="B14" s="60" t="str">
        <f>IF(ISERROR(VLOOKUP(A14,classifications!A:C,3,FALSE)),0,VLOOKUP(A14,classifications!A:C,3,FALSE))</f>
        <v>East Riding of Yorkshire</v>
      </c>
      <c r="C14" t="s">
        <v>8</v>
      </c>
      <c r="D14" t="str">
        <f>VLOOKUP($C14,classifications!$C:$J,4,FALSE)</f>
        <v>SD</v>
      </c>
      <c r="E14">
        <f>VLOOKUP(C14,classifications!C:K,9,FALSE)</f>
        <v>0</v>
      </c>
      <c r="F14">
        <f t="shared" si="0"/>
        <v>70.175438596491219</v>
      </c>
      <c r="G14" s="15"/>
      <c r="H14" s="42" t="str">
        <f t="shared" si="1"/>
        <v/>
      </c>
      <c r="I14" s="79" t="str">
        <f>IF(H14="","",IF($I$8="A",(RANK(H14,H$11:H$349,1)+COUNTIF(H$11:H14,H14)-1),(RANK(H14,H$11:H$349)+COUNTIF(H$11:H14,H14)-1)))</f>
        <v/>
      </c>
      <c r="J14" s="41"/>
      <c r="K14" s="36">
        <f>IF(K13="","",IF(K13+1&gt;(COUNT(H$11:H$349)),"",K13+1))</f>
        <v>4</v>
      </c>
      <c r="L14" t="str">
        <f t="shared" si="2"/>
        <v>Hartlepool</v>
      </c>
      <c r="M14" s="117">
        <f t="shared" si="3"/>
        <v>100</v>
      </c>
      <c r="N14" s="112">
        <f t="shared" ref="N14:N16" si="19">IF(L14="","",IF($H$8="%%",M14*100,M14))</f>
        <v>100</v>
      </c>
      <c r="O14" s="96">
        <f t="shared" si="10"/>
        <v>100</v>
      </c>
      <c r="P14" s="96" t="str">
        <f t="shared" si="15"/>
        <v/>
      </c>
      <c r="Q14" s="96" t="str">
        <f t="shared" si="16"/>
        <v/>
      </c>
      <c r="R14" s="92" t="str">
        <f t="shared" si="17"/>
        <v/>
      </c>
      <c r="S14" s="42" t="str">
        <f t="shared" si="11"/>
        <v/>
      </c>
      <c r="T14" s="176">
        <f>IF(L14="","",VLOOKUP(L14,classifications!C:K,9,FALSE))</f>
        <v>0</v>
      </c>
      <c r="U14" s="177" t="str">
        <f t="shared" si="12"/>
        <v/>
      </c>
      <c r="V14" s="183" t="str">
        <f>IF(U14="","",IF($I$8="A",(RANK(U14,U$11:U$349)+COUNTIF(U$11:U14,U14)-1),(RANK(U14,U$11:U$349,1)+COUNTIF(U$11:U14,U14)-1)))</f>
        <v/>
      </c>
      <c r="W14" s="184"/>
      <c r="X14" s="5" t="str">
        <f>IF(L14="","",VLOOKUP($L14,classifications!$C:$J,6,FALSE))</f>
        <v>Predominantly Urban</v>
      </c>
      <c r="Y14" t="str">
        <f t="shared" si="4"/>
        <v/>
      </c>
      <c r="Z14" s="40" t="str">
        <f>IF(Y14="","",IF(I$8="A",(RANK(Y14,Y$11:Y$349,1)+COUNTIF(Y$11:Y14,Y14)-1),(RANK(Y14,Y$11:Y$349)+COUNTIF(Y$11:Y14,Y14)-1)))</f>
        <v/>
      </c>
      <c r="AA14" s="189" t="str">
        <f>IF(L14="","",VLOOKUP($L14,classifications!C:I,7,FALSE))</f>
        <v>Predominantly Urban</v>
      </c>
      <c r="AB14" s="183" t="str">
        <f t="shared" si="13"/>
        <v/>
      </c>
      <c r="AC14" s="183" t="str">
        <f>IF(AB14="","",IF($I$8="A",(RANK(AB14,AB$11:AB$349)+COUNTIF(AB$11:AB14,AB14)-1),(RANK(AB14,AB$11:AB$349,1)+COUNTIF(AB$11:AB14,AB14)-1)))</f>
        <v/>
      </c>
      <c r="AD14" s="183"/>
      <c r="AE14" s="49">
        <f>IF(I$8="A",(RANK(AG14,AG$11:AG$349,1)+COUNTIF(AG$11:AG14,AG14)-1),(RANK(AG14,AG$11:AG$349)+COUNTIF(AG$11:AG14,AG14)-1))</f>
        <v>5</v>
      </c>
      <c r="AF14" t="str">
        <f>VLOOKUP(Profile!$J$5,Families!$C:$R,4,FALSE)</f>
        <v>Wiltshire</v>
      </c>
      <c r="AG14" s="15">
        <f>VLOOKUP(AF14,$C$11:$H$349,4,FALSE)</f>
        <v>68.376068376068375</v>
      </c>
      <c r="AH14" s="50">
        <f t="shared" si="18"/>
        <v>5</v>
      </c>
      <c r="AI14" s="5" t="str">
        <f>IF(L14="","",VLOOKUP($L14,classifications!$C:$J,8,FALSE))</f>
        <v>Unitary</v>
      </c>
      <c r="AJ14" s="43">
        <f t="shared" si="5"/>
        <v>100</v>
      </c>
      <c r="AK14" s="40">
        <f>IF(AJ14="","",IF(I$8="A",(RANK(AJ14,AJ$11:AJ$349,1)+COUNTIF(AJ$11:AJ14,AJ14)-1),(RANK(AJ14,AJ$11:AJ$349)+COUNTIF(AJ$11:AJ14,AJ14)-1)))</f>
        <v>4</v>
      </c>
      <c r="AL14" s="3">
        <f>IF(AL13="","",IF(AL13+1&gt;(COUNT(AJ$11:AJ$349)),"",AL13+1))</f>
        <v>4</v>
      </c>
      <c r="AM14" t="str">
        <f t="shared" si="6"/>
        <v>Hartlepool</v>
      </c>
      <c r="AN14">
        <f t="shared" si="7"/>
        <v>100</v>
      </c>
      <c r="AP14" s="5" t="str">
        <f>IF(L14="","",VLOOKUP($L14,classifications!$C:$E,3,FALSE))</f>
        <v>NE</v>
      </c>
      <c r="AQ14" s="43" t="str">
        <f t="shared" si="14"/>
        <v/>
      </c>
      <c r="AR14" s="40" t="str">
        <f>IF(AQ14="","",IF(I$8="A",(RANK(AQ14,AQ$11:AQ$349,1)+COUNTIF(AQ$11:AQ14,AQ14)-1),(RANK(AQ14,AQ$11:AQ$349)+COUNTIF(AQ$11:AQ14,AQ14)-1)))</f>
        <v/>
      </c>
      <c r="AS14" s="3">
        <f>IF(AS13="","",IF(AS13+1&gt;(COUNT(AQ$11:AQ$349)),"",AS13+1))</f>
        <v>4</v>
      </c>
      <c r="AT14" s="40" t="str">
        <f t="shared" si="8"/>
        <v>Warrington</v>
      </c>
      <c r="AU14" s="43">
        <f t="shared" si="9"/>
        <v>93.939393939393938</v>
      </c>
      <c r="AX14">
        <f>HLOOKUP($AX$9&amp;$AX$10,Data!$A$1:$ZZ$1988,(MATCH($C14,Data!$A$1:$A$1988,0)),FALSE)</f>
        <v>70.175438596491219</v>
      </c>
    </row>
    <row r="15" spans="1:735">
      <c r="A15" s="59" t="str">
        <f>$D$1&amp;5</f>
        <v>UA5</v>
      </c>
      <c r="B15" s="60" t="str">
        <f>IF(ISERROR(VLOOKUP(A15,classifications!A:C,3,FALSE)),0,VLOOKUP(A15,classifications!A:C,3,FALSE))</f>
        <v>Herefordshire</v>
      </c>
      <c r="C15" t="s">
        <v>9</v>
      </c>
      <c r="D15" t="str">
        <f>VLOOKUP($C15,classifications!$C:$J,4,FALSE)</f>
        <v>SD</v>
      </c>
      <c r="E15">
        <f>VLOOKUP(C15,classifications!C:K,9,FALSE)</f>
        <v>0</v>
      </c>
      <c r="F15">
        <f t="shared" si="0"/>
        <v>88.235294117647058</v>
      </c>
      <c r="G15" s="15"/>
      <c r="H15" s="42" t="str">
        <f t="shared" si="1"/>
        <v/>
      </c>
      <c r="I15" s="79" t="str">
        <f>IF(H15="","",IF($I$8="A",(RANK(H15,H$11:H$349,1)+COUNTIF(H$11:H15,H15)-1),(RANK(H15,H$11:H$349)+COUNTIF(H$11:H15,H15)-1)))</f>
        <v/>
      </c>
      <c r="J15" s="41"/>
      <c r="K15" s="36">
        <f>IF(K14="","",IF(K14+1&gt;(COUNT(H$11:H$349)),"",K14+1))</f>
        <v>5</v>
      </c>
      <c r="L15" t="str">
        <f t="shared" si="2"/>
        <v>North East Lincolnshire</v>
      </c>
      <c r="M15" s="117">
        <f t="shared" si="3"/>
        <v>100</v>
      </c>
      <c r="N15" s="112">
        <f t="shared" si="19"/>
        <v>100</v>
      </c>
      <c r="O15" s="96">
        <f t="shared" si="10"/>
        <v>100</v>
      </c>
      <c r="P15" s="96" t="str">
        <f t="shared" si="15"/>
        <v/>
      </c>
      <c r="Q15" s="96" t="str">
        <f t="shared" si="16"/>
        <v/>
      </c>
      <c r="R15" s="92" t="str">
        <f t="shared" si="17"/>
        <v/>
      </c>
      <c r="S15" s="42" t="str">
        <f t="shared" si="11"/>
        <v/>
      </c>
      <c r="T15" s="176">
        <f>IF(L15="","",VLOOKUP(L15,classifications!C:K,9,FALSE))</f>
        <v>0</v>
      </c>
      <c r="U15" s="177" t="str">
        <f t="shared" si="12"/>
        <v/>
      </c>
      <c r="V15" s="183" t="str">
        <f>IF(U15="","",IF($I$8="A",(RANK(U15,U$11:U$349)+COUNTIF(U$11:U15,U15)-1),(RANK(U15,U$11:U$349,1)+COUNTIF(U$11:U15,U15)-1)))</f>
        <v/>
      </c>
      <c r="W15" s="184"/>
      <c r="X15" s="5" t="str">
        <f>IF(L15="","",VLOOKUP($L15,classifications!$C:$J,6,FALSE))</f>
        <v>Predominantly Urban</v>
      </c>
      <c r="Y15" t="str">
        <f t="shared" si="4"/>
        <v/>
      </c>
      <c r="Z15" s="40" t="str">
        <f>IF(Y15="","",IF(I$8="A",(RANK(Y15,Y$11:Y$349,1)+COUNTIF(Y$11:Y15,Y15)-1),(RANK(Y15,Y$11:Y$349)+COUNTIF(Y$11:Y15,Y15)-1)))</f>
        <v/>
      </c>
      <c r="AA15" s="189" t="str">
        <f>IF(L15="","",VLOOKUP($L15,classifications!C:I,7,FALSE))</f>
        <v>Predominantly Urban</v>
      </c>
      <c r="AB15" s="183" t="str">
        <f t="shared" si="13"/>
        <v/>
      </c>
      <c r="AC15" s="183" t="str">
        <f>IF(AB15="","",IF($I$8="A",(RANK(AB15,AB$11:AB$349)+COUNTIF(AB$11:AB15,AB15)-1),(RANK(AB15,AB$11:AB$349,1)+COUNTIF(AB$11:AB15,AB15)-1)))</f>
        <v/>
      </c>
      <c r="AD15" s="183"/>
      <c r="AE15" s="49">
        <f>IF(I$8="A",(RANK(AG15,AG$11:AG$349,1)+COUNTIF(AG$11:AG15,AG15)-1),(RANK(AG15,AG$11:AG$349)+COUNTIF(AG$11:AG15,AG15)-1))</f>
        <v>1</v>
      </c>
      <c r="AF15" t="str">
        <f>VLOOKUP(Profile!$J$5,Families!$C:$R,5,FALSE)</f>
        <v>Bath &amp; North East Somerset</v>
      </c>
      <c r="AG15" s="15">
        <f>VLOOKUP(AF15,$C$11:$H$349,4,FALSE)</f>
        <v>100</v>
      </c>
      <c r="AH15" s="50">
        <f t="shared" si="18"/>
        <v>1</v>
      </c>
      <c r="AI15" s="5" t="str">
        <f>IF(L15="","",VLOOKUP($L15,classifications!$C:$J,8,FALSE))</f>
        <v>Unitary</v>
      </c>
      <c r="AJ15" s="43">
        <f t="shared" si="5"/>
        <v>100</v>
      </c>
      <c r="AK15" s="40">
        <f>IF(AJ15="","",IF(I$8="A",(RANK(AJ15,AJ$11:AJ$349,1)+COUNTIF(AJ$11:AJ15,AJ15)-1),(RANK(AJ15,AJ$11:AJ$349)+COUNTIF(AJ$11:AJ15,AJ15)-1)))</f>
        <v>5</v>
      </c>
      <c r="AL15" s="3">
        <f>IF(AL14="","",IF(AL14+1&gt;(COUNT(AJ$11:AJ$349)),"",AL14+1))</f>
        <v>5</v>
      </c>
      <c r="AM15" t="str">
        <f t="shared" si="6"/>
        <v>North East Lincolnshire</v>
      </c>
      <c r="AN15">
        <f t="shared" si="7"/>
        <v>100</v>
      </c>
      <c r="AP15" s="5" t="str">
        <f>IF(L15="","",VLOOKUP($L15,classifications!$C:$E,3,FALSE))</f>
        <v>Yorkshire &amp; Humberside</v>
      </c>
      <c r="AQ15" s="43" t="str">
        <f t="shared" si="14"/>
        <v/>
      </c>
      <c r="AR15" s="40" t="str">
        <f>IF(AQ15="","",IF(I$8="A",(RANK(AQ15,AQ$11:AQ$349,1)+COUNTIF(AQ$11:AQ15,AQ15)-1),(RANK(AQ15,AQ$11:AQ$349)+COUNTIF(AQ$11:AQ15,AQ15)-1)))</f>
        <v/>
      </c>
      <c r="AS15" s="3">
        <f>IF(AS14="","",IF(AS14+1&gt;(COUNT(AQ$11:AQ$349)),"",AS14+1))</f>
        <v>5</v>
      </c>
      <c r="AT15" s="40" t="str">
        <f t="shared" si="8"/>
        <v>Cheshire West &amp; Chester</v>
      </c>
      <c r="AU15" s="43">
        <f t="shared" si="9"/>
        <v>91.379310344827587</v>
      </c>
      <c r="AX15">
        <f>HLOOKUP($AX$9&amp;$AX$10,Data!$A$1:$ZZ$1988,(MATCH($C15,Data!$A$1:$A$1988,0)),FALSE)</f>
        <v>88.235294117647058</v>
      </c>
    </row>
    <row r="16" spans="1:735">
      <c r="A16" s="59" t="str">
        <f>$D$1&amp;6</f>
        <v>UA6</v>
      </c>
      <c r="B16" s="60" t="str">
        <f>IF(ISERROR(VLOOKUP(A16,classifications!A:C,3,FALSE)),0,VLOOKUP(A16,classifications!A:C,3,FALSE))</f>
        <v>Isle Of Wight</v>
      </c>
      <c r="C16" t="s">
        <v>10</v>
      </c>
      <c r="D16" t="str">
        <f>VLOOKUP($C16,classifications!$C:$J,4,FALSE)</f>
        <v>SD</v>
      </c>
      <c r="E16">
        <f>VLOOKUP(C16,classifications!C:K,9,FALSE)</f>
        <v>0</v>
      </c>
      <c r="F16">
        <f t="shared" si="0"/>
        <v>61.702127659574465</v>
      </c>
      <c r="G16" s="15"/>
      <c r="H16" s="42" t="str">
        <f t="shared" si="1"/>
        <v/>
      </c>
      <c r="I16" s="79" t="str">
        <f>IF(H16="","",IF($I$8="A",(RANK(H16,H$11:H$349,1)+COUNTIF(H$11:H16,H16)-1),(RANK(H16,H$11:H$349)+COUNTIF(H$11:H16,H16)-1)))</f>
        <v/>
      </c>
      <c r="J16" s="41"/>
      <c r="K16" s="36">
        <f>IF(K15="","",IF(K15+1&gt;(COUNT(H$11:H$349)),"",K15+1))</f>
        <v>6</v>
      </c>
      <c r="L16" t="str">
        <f t="shared" si="2"/>
        <v>Plymouth</v>
      </c>
      <c r="M16" s="117">
        <f t="shared" si="3"/>
        <v>100</v>
      </c>
      <c r="N16" s="112">
        <f t="shared" si="19"/>
        <v>100</v>
      </c>
      <c r="O16" s="96">
        <f t="shared" si="10"/>
        <v>100</v>
      </c>
      <c r="P16" s="96" t="str">
        <f t="shared" si="15"/>
        <v/>
      </c>
      <c r="Q16" s="96" t="str">
        <f t="shared" si="16"/>
        <v/>
      </c>
      <c r="R16" s="92" t="str">
        <f t="shared" si="17"/>
        <v/>
      </c>
      <c r="S16" s="42" t="str">
        <f t="shared" si="11"/>
        <v/>
      </c>
      <c r="T16" s="176">
        <f>IF(L16="","",VLOOKUP(L16,classifications!C:K,9,FALSE))</f>
        <v>0</v>
      </c>
      <c r="U16" s="177" t="str">
        <f t="shared" si="12"/>
        <v/>
      </c>
      <c r="V16" s="183" t="str">
        <f>IF(U16="","",IF($I$8="A",(RANK(U16,U$11:U$349)+COUNTIF(U$11:U16,U16)-1),(RANK(U16,U$11:U$349,1)+COUNTIF(U$11:U16,U16)-1)))</f>
        <v/>
      </c>
      <c r="W16" s="184"/>
      <c r="X16" s="5" t="str">
        <f>IF(L16="","",VLOOKUP($L16,classifications!$C:$J,6,FALSE))</f>
        <v>Predominantly Urban</v>
      </c>
      <c r="Y16" t="str">
        <f t="shared" si="4"/>
        <v/>
      </c>
      <c r="Z16" s="40" t="str">
        <f>IF(Y16="","",IF(I$8="A",(RANK(Y16,Y$11:Y$349,1)+COUNTIF(Y$11:Y16,Y16)-1),(RANK(Y16,Y$11:Y$349)+COUNTIF(Y$11:Y16,Y16)-1)))</f>
        <v/>
      </c>
      <c r="AA16" s="189" t="str">
        <f>IF(L16="","",VLOOKUP($L16,classifications!C:I,7,FALSE))</f>
        <v>Predominantly Urban</v>
      </c>
      <c r="AB16" s="183" t="str">
        <f t="shared" si="13"/>
        <v/>
      </c>
      <c r="AC16" s="183" t="str">
        <f>IF(AB16="","",IF($I$8="A",(RANK(AB16,AB$11:AB$349)+COUNTIF(AB$11:AB16,AB16)-1),(RANK(AB16,AB$11:AB$349,1)+COUNTIF(AB$11:AB16,AB16)-1)))</f>
        <v/>
      </c>
      <c r="AD16" s="183"/>
      <c r="AE16" s="49">
        <f>IF(I$8="A",(RANK(AG16,AG$11:AG$349,1)+COUNTIF(AG$11:AG16,AG16)-1),(RANK(AG16,AG$11:AG$349)+COUNTIF(AG$11:AG16,AG16)-1))</f>
        <v>6</v>
      </c>
      <c r="AF16" t="str">
        <f>VLOOKUP(Profile!$J$5,Families!$C:$R,6,FALSE)</f>
        <v>Herefordshire</v>
      </c>
      <c r="AG16" s="15">
        <f>VLOOKUP(AF16,$C$11:$H$349,4,FALSE)</f>
        <v>62.711864406779661</v>
      </c>
      <c r="AH16" s="50">
        <f t="shared" si="18"/>
        <v>6</v>
      </c>
      <c r="AI16" s="5" t="str">
        <f>IF(L16="","",VLOOKUP($L16,classifications!$C:$J,8,FALSE))</f>
        <v>Unitary</v>
      </c>
      <c r="AJ16" s="43">
        <f t="shared" si="5"/>
        <v>100</v>
      </c>
      <c r="AK16" s="40">
        <f>IF(AJ16="","",IF(I$8="A",(RANK(AJ16,AJ$11:AJ$349,1)+COUNTIF(AJ$11:AJ16,AJ16)-1),(RANK(AJ16,AJ$11:AJ$349)+COUNTIF(AJ$11:AJ16,AJ16)-1)))</f>
        <v>6</v>
      </c>
      <c r="AL16" s="3">
        <f>IF(AL15="","",IF(AL15+1&gt;(COUNT(AJ$11:AJ$349)),"",AL15+1))</f>
        <v>6</v>
      </c>
      <c r="AM16" t="str">
        <f t="shared" si="6"/>
        <v>Plymouth</v>
      </c>
      <c r="AN16">
        <f t="shared" si="7"/>
        <v>100</v>
      </c>
      <c r="AP16" s="5" t="str">
        <f>IF(L16="","",VLOOKUP($L16,classifications!$C:$E,3,FALSE))</f>
        <v>South West</v>
      </c>
      <c r="AQ16" s="43" t="str">
        <f t="shared" si="14"/>
        <v/>
      </c>
      <c r="AR16" s="40" t="str">
        <f>IF(AQ16="","",IF(I$8="A",(RANK(AQ16,AQ$11:AQ$349,1)+COUNTIF(AQ$11:AQ16,AQ16)-1),(RANK(AQ16,AQ$11:AQ$349)+COUNTIF(AQ$11:AQ16,AQ16)-1)))</f>
        <v/>
      </c>
      <c r="AS16" s="3">
        <f>IF(AS15="","",IF(AS15+1&gt;(COUNT(AQ$11:AQ$349)),"",AS15+1))</f>
        <v>6</v>
      </c>
      <c r="AT16" s="40" t="str">
        <f t="shared" si="8"/>
        <v>Halton</v>
      </c>
      <c r="AU16" s="43">
        <f t="shared" si="9"/>
        <v>69.696969696969703</v>
      </c>
      <c r="AX16">
        <f>HLOOKUP($AX$9&amp;$AX$10,Data!$A$1:$ZZ$1988,(MATCH($C16,Data!$A$1:$A$1988,0)),FALSE)</f>
        <v>61.702127659574465</v>
      </c>
    </row>
    <row r="17" spans="1:50">
      <c r="A17" s="59" t="str">
        <f>$D$1&amp;7</f>
        <v>UA7</v>
      </c>
      <c r="B17" s="60" t="str">
        <f>IF(ISERROR(VLOOKUP(A17,classifications!A:C,3,FALSE)),0,VLOOKUP(A17,classifications!A:C,3,FALSE))</f>
        <v>North Lincolnshire</v>
      </c>
      <c r="C17" t="s">
        <v>12</v>
      </c>
      <c r="D17" t="str">
        <f>VLOOKUP($C17,classifications!$C:$J,4,FALSE)</f>
        <v>SD</v>
      </c>
      <c r="E17" t="str">
        <f>VLOOKUP(C17,classifications!C:K,9,FALSE)</f>
        <v>Sparse</v>
      </c>
      <c r="F17">
        <f t="shared" ref="F17:F80" si="20">HLOOKUP($D$6,AX$10:ZX$353,ROW()-9,FALSE)</f>
        <v>84.615384615384613</v>
      </c>
      <c r="G17" s="15"/>
      <c r="H17" s="42" t="str">
        <f t="shared" ref="H17:H80" si="21">IF(D17=$D$1,HLOOKUP($D$6,$AX$10:$ZZ$353,ROW()-9,FALSE),"")</f>
        <v/>
      </c>
      <c r="I17" s="79" t="str">
        <f>IF(H17="","",IF($I$8="A",(RANK(H17,H$11:H$349,1)+COUNTIF(H$11:H17,H17)-1),(RANK(H17,H$11:H$349)+COUNTIF(H$11:H17,H17)-1)))</f>
        <v/>
      </c>
      <c r="J17" s="41"/>
      <c r="K17" s="36">
        <f t="shared" ref="K17:K80" si="22">IF(K16="","",IF(K16+1&gt;(COUNT(H$11:H$349)),"",K16+1))</f>
        <v>7</v>
      </c>
      <c r="L17" t="str">
        <f t="shared" ref="L17:L80" si="23">IF(K17="","",INDEX(C$11:C$349,MATCH(K17,I$11:I$349,0)))</f>
        <v>Southampton</v>
      </c>
      <c r="M17" s="117">
        <f t="shared" ref="M17:M80" si="24">IF(L17="","",IF(VLOOKUP(L17,C:D,2,FALSE)=$F$3,VLOOKUP(L17,C:H,6,FALSE),""))</f>
        <v>100</v>
      </c>
      <c r="N17" s="112">
        <f t="shared" ref="N17:N80" si="25">IF(L17="","",IF($H$8="%%",M17*100,M17))</f>
        <v>100</v>
      </c>
      <c r="O17" s="96">
        <f t="shared" ref="O17:O80" si="26">IF(I$8="A",IF(N17&gt;=$P$7,IF(N17&lt;=$O$10,N17,""),""),IF(N17&lt;=$P$7,IF(N17&gt;=$O$10,N17,""),""))</f>
        <v>100</v>
      </c>
      <c r="P17" s="96" t="str">
        <f t="shared" ref="P17:P80" si="27">IF(I$8="A",IF(N17&gt;$O$10,IF(N17&lt;=$P$10,N17,""),""),IF(N17&lt;$O$10,IF(N17&gt;=$P$10,N17,""),""))</f>
        <v/>
      </c>
      <c r="Q17" s="96" t="str">
        <f t="shared" ref="Q17:Q80" si="28">IF(I$8="A",IF(N17&gt;$P$10,IF(N17&lt;=$Q$10,N17,""),""),IF(N17&lt;$P$10,IF(N17&gt;=$Q$10,N17,""),""))</f>
        <v/>
      </c>
      <c r="R17" s="92" t="str">
        <f t="shared" ref="R17:R80" si="29">IF(I$8="A",IF(N17&gt;$Q$10,N17,""),IF(N17&lt;$Q$10,N17,""))</f>
        <v/>
      </c>
      <c r="S17" s="42" t="str">
        <f t="shared" ref="S17:S80" si="30">IF(L17=D$3,"u","")</f>
        <v/>
      </c>
      <c r="T17" s="176">
        <f>IF(L17="","",VLOOKUP(L17,classifications!C:K,9,FALSE))</f>
        <v>0</v>
      </c>
      <c r="U17" s="177" t="str">
        <f t="shared" ref="U17:U80" si="31">IF(T17="Sparse",M17,"")</f>
        <v/>
      </c>
      <c r="V17" s="183" t="str">
        <f>IF(U17="","",IF($I$8="A",(RANK(U17,U$11:U$349)+COUNTIF(U$11:U17,U17)-1),(RANK(U17,U$11:U$349,1)+COUNTIF(U$11:U17,U17)-1)))</f>
        <v/>
      </c>
      <c r="W17" s="184"/>
      <c r="X17" s="5" t="str">
        <f>IF(L17="","",VLOOKUP($L17,classifications!$C:$J,6,FALSE))</f>
        <v>Predominantly Urban</v>
      </c>
      <c r="Y17" t="str">
        <f t="shared" ref="Y17:Y80" si="32">IF($D$1="UA",IF(X17="Predominantly Rural ",M17,IF(X17="Predominantly Rural ",M17,IF(X17="Urban with Significant Rural",M17,""))),IF($D$1="SD",IF(X17=$H$3,M17,"")))</f>
        <v/>
      </c>
      <c r="Z17" s="40" t="str">
        <f>IF(Y17="","",IF(I$8="A",(RANK(Y17,Y$11:Y$349,1)+COUNTIF(Y$11:Y17,Y17)-1),(RANK(Y17,Y$11:Y$349)+COUNTIF(Y$11:Y17,Y17)-1)))</f>
        <v/>
      </c>
      <c r="AA17" s="189" t="str">
        <f>IF(L17="","",VLOOKUP($L17,classifications!C:I,7,FALSE))</f>
        <v>Predominantly Urban</v>
      </c>
      <c r="AB17" s="183" t="str">
        <f t="shared" ref="AB17:AB80" si="33">IF(AA17=$J$3,M17,"")</f>
        <v/>
      </c>
      <c r="AC17" s="183" t="str">
        <f>IF(AB17="","",IF($I$8="A",(RANK(AB17,AB$11:AB$349)+COUNTIF(AB$11:AB17,AB17)-1),(RANK(AB17,AB$11:AB$349,1)+COUNTIF(AB$11:AB17,AB17)-1)))</f>
        <v/>
      </c>
      <c r="AD17" s="183"/>
      <c r="AE17" s="49">
        <f>IF(I$8="A",(RANK(AG17,AG$11:AG$349,1)+COUNTIF(AG$11:AG17,AG17)-1),(RANK(AG17,AG$11:AG$349)+COUNTIF(AG$11:AG17,AG17)-1))</f>
        <v>7</v>
      </c>
      <c r="AF17" t="str">
        <f>VLOOKUP(Profile!$J$5,Families!$C:$R,6,FALSE)</f>
        <v>Herefordshire</v>
      </c>
      <c r="AG17" s="15">
        <f t="shared" ref="AG17:AG80" si="34">VLOOKUP(AF17,$C$11:$H$349,4,FALSE)</f>
        <v>62.711864406779661</v>
      </c>
      <c r="AH17" s="50">
        <f t="shared" ref="AH17:AH80" si="35">AE17</f>
        <v>7</v>
      </c>
      <c r="AI17" s="5" t="str">
        <f>IF(L17="","",VLOOKUP($L17,classifications!$C:$J,8,FALSE))</f>
        <v>Unitary</v>
      </c>
      <c r="AJ17" s="43">
        <f t="shared" ref="AJ17:AJ80" si="36">IF(AI17=$I$3,M17,"")</f>
        <v>100</v>
      </c>
      <c r="AK17" s="40">
        <f>IF(AJ17="","",IF(I$8="A",(RANK(AJ17,AJ$11:AJ$349,1)+COUNTIF(AJ$11:AJ17,AJ17)-1),(RANK(AJ17,AJ$11:AJ$349)+COUNTIF(AJ$11:AJ17,AJ17)-1)))</f>
        <v>7</v>
      </c>
      <c r="AL17" s="3">
        <f t="shared" ref="AL17:AL80" si="37">IF(AL16="","",IF(AL16+1&gt;(COUNT(AJ$11:AJ$349)),"",AL16+1))</f>
        <v>7</v>
      </c>
      <c r="AM17" t="str">
        <f t="shared" ref="AM17:AM80" si="38">IF(ISNA(IF(AL17="","",INDEX(L$11:L$349,MATCH(AL17,AK$11:AK$349,0)))),"",(IF(AL17="","",INDEX(L$11:L$349,MATCH(AL17,AK$11:AK$349,0)))))</f>
        <v>Southampton</v>
      </c>
      <c r="AN17">
        <f t="shared" ref="AN17:AN80" si="39">(VLOOKUP(AM17,L:M,2,FALSE))</f>
        <v>100</v>
      </c>
      <c r="AP17" s="5" t="str">
        <f>IF(L17="","",VLOOKUP($L17,classifications!$C:$E,3,FALSE))</f>
        <v>South East</v>
      </c>
      <c r="AQ17" s="43" t="str">
        <f t="shared" ref="AQ17:AQ80" si="40">IF(AP17=$G$3,$M17,"")</f>
        <v/>
      </c>
      <c r="AR17" s="40" t="str">
        <f>IF(AQ17="","",IF(I$8="A",(RANK(AQ17,AQ$11:AQ$349,1)+COUNTIF(AQ$11:AQ17,AQ17)-1),(RANK(AQ17,AQ$11:AQ$349)+COUNTIF(AQ$11:AQ17,AQ17)-1)))</f>
        <v/>
      </c>
      <c r="AS17" s="3" t="str">
        <f t="shared" ref="AS17:AS80" si="41">IF(AS16="","",IF(AS16+1&gt;(COUNT(AQ$11:AQ$349)),"",AS16+1))</f>
        <v/>
      </c>
      <c r="AT17" s="40" t="str">
        <f t="shared" ref="AT17:AT80" si="42">IF(AS17="","",INDEX(L$11:L$349,MATCH(AS17,AR$11:AR$349,0)))</f>
        <v/>
      </c>
      <c r="AU17" s="43" t="str">
        <f t="shared" ref="AU17:AU80" si="43">IF(AT17="","",VLOOKUP(AT17,L:M,2,FALSE))</f>
        <v/>
      </c>
      <c r="AX17">
        <f>HLOOKUP($AX$9&amp;$AX$10,Data!$A$1:$ZZ$1988,(MATCH($C17,Data!$A$1:$A$1988,0)),FALSE)</f>
        <v>84.615384615384613</v>
      </c>
    </row>
    <row r="18" spans="1:50">
      <c r="A18" s="59" t="str">
        <f>$D$1&amp;8</f>
        <v>UA8</v>
      </c>
      <c r="B18" s="60" t="str">
        <f>IF(ISERROR(VLOOKUP(A18,classifications!A:C,3,FALSE)),0,VLOOKUP(A18,classifications!A:C,3,FALSE))</f>
        <v>North Somerset</v>
      </c>
      <c r="C18" t="s">
        <v>338</v>
      </c>
      <c r="D18" t="str">
        <f>VLOOKUP($C18,classifications!$C:$J,4,FALSE)</f>
        <v>L</v>
      </c>
      <c r="E18">
        <f>VLOOKUP(C18,classifications!C:K,9,FALSE)</f>
        <v>0</v>
      </c>
      <c r="F18">
        <f t="shared" si="20"/>
        <v>100</v>
      </c>
      <c r="G18" s="15"/>
      <c r="H18" s="42" t="str">
        <f t="shared" si="21"/>
        <v/>
      </c>
      <c r="I18" s="79" t="str">
        <f>IF(H18="","",IF($I$8="A",(RANK(H18,H$11:H$349,1)+COUNTIF(H$11:H18,H18)-1),(RANK(H18,H$11:H$349)+COUNTIF(H$11:H18,H18)-1)))</f>
        <v/>
      </c>
      <c r="J18" s="41"/>
      <c r="K18" s="36">
        <f t="shared" si="22"/>
        <v>8</v>
      </c>
      <c r="L18" t="str">
        <f t="shared" si="23"/>
        <v>Southend-on-Sea</v>
      </c>
      <c r="M18" s="117">
        <f t="shared" si="24"/>
        <v>100</v>
      </c>
      <c r="N18" s="112">
        <f t="shared" si="25"/>
        <v>100</v>
      </c>
      <c r="O18" s="96">
        <f t="shared" si="26"/>
        <v>100</v>
      </c>
      <c r="P18" s="96" t="str">
        <f t="shared" si="27"/>
        <v/>
      </c>
      <c r="Q18" s="96" t="str">
        <f t="shared" si="28"/>
        <v/>
      </c>
      <c r="R18" s="92" t="str">
        <f t="shared" si="29"/>
        <v/>
      </c>
      <c r="S18" s="42" t="str">
        <f t="shared" si="30"/>
        <v/>
      </c>
      <c r="T18" s="176">
        <f>IF(L18="","",VLOOKUP(L18,classifications!C:K,9,FALSE))</f>
        <v>0</v>
      </c>
      <c r="U18" s="177" t="str">
        <f t="shared" si="31"/>
        <v/>
      </c>
      <c r="V18" s="183" t="str">
        <f>IF(U18="","",IF($I$8="A",(RANK(U18,U$11:U$349)+COUNTIF(U$11:U18,U18)-1),(RANK(U18,U$11:U$349,1)+COUNTIF(U$11:U18,U18)-1)))</f>
        <v/>
      </c>
      <c r="W18" s="184"/>
      <c r="X18" s="5" t="str">
        <f>IF(L18="","",VLOOKUP($L18,classifications!$C:$J,6,FALSE))</f>
        <v>Predominantly Urban</v>
      </c>
      <c r="Y18" t="str">
        <f t="shared" si="32"/>
        <v/>
      </c>
      <c r="Z18" s="40" t="str">
        <f>IF(Y18="","",IF(I$8="A",(RANK(Y18,Y$11:Y$349,1)+COUNTIF(Y$11:Y18,Y18)-1),(RANK(Y18,Y$11:Y$349)+COUNTIF(Y$11:Y18,Y18)-1)))</f>
        <v/>
      </c>
      <c r="AA18" s="189" t="str">
        <f>IF(L18="","",VLOOKUP($L18,classifications!C:I,7,FALSE))</f>
        <v>Predominantly Urban</v>
      </c>
      <c r="AB18" s="183" t="str">
        <f t="shared" si="33"/>
        <v/>
      </c>
      <c r="AC18" s="183" t="str">
        <f>IF(AB18="","",IF($I$8="A",(RANK(AB18,AB$11:AB$349)+COUNTIF(AB$11:AB18,AB18)-1),(RANK(AB18,AB$11:AB$349,1)+COUNTIF(AB$11:AB18,AB18)-1)))</f>
        <v/>
      </c>
      <c r="AD18" s="183"/>
      <c r="AE18" s="49">
        <f>IF(I$8="A",(RANK(AG18,AG$11:AG$349,1)+COUNTIF(AG$11:AG18,AG18)-1),(RANK(AG18,AG$11:AG$349)+COUNTIF(AG$11:AG18,AG18)-1))</f>
        <v>8</v>
      </c>
      <c r="AF18" t="str">
        <f>VLOOKUP(Profile!$J$5,Families!$C:$R,6,FALSE)</f>
        <v>Herefordshire</v>
      </c>
      <c r="AG18" s="15">
        <f t="shared" si="34"/>
        <v>62.711864406779661</v>
      </c>
      <c r="AH18" s="50">
        <f t="shared" si="35"/>
        <v>8</v>
      </c>
      <c r="AI18" s="5" t="str">
        <f>IF(L18="","",VLOOKUP($L18,classifications!$C:$J,8,FALSE))</f>
        <v>Unitary</v>
      </c>
      <c r="AJ18" s="43">
        <f t="shared" si="36"/>
        <v>100</v>
      </c>
      <c r="AK18" s="40">
        <f>IF(AJ18="","",IF(I$8="A",(RANK(AJ18,AJ$11:AJ$349,1)+COUNTIF(AJ$11:AJ18,AJ18)-1),(RANK(AJ18,AJ$11:AJ$349)+COUNTIF(AJ$11:AJ18,AJ18)-1)))</f>
        <v>8</v>
      </c>
      <c r="AL18" s="3">
        <f t="shared" si="37"/>
        <v>8</v>
      </c>
      <c r="AM18" t="str">
        <f t="shared" si="38"/>
        <v>Southend-on-Sea</v>
      </c>
      <c r="AN18">
        <f t="shared" si="39"/>
        <v>100</v>
      </c>
      <c r="AP18" s="5" t="str">
        <f>IF(L18="","",VLOOKUP($L18,classifications!$C:$E,3,FALSE))</f>
        <v>East of England</v>
      </c>
      <c r="AQ18" s="43" t="str">
        <f t="shared" si="40"/>
        <v/>
      </c>
      <c r="AR18" s="40" t="str">
        <f>IF(AQ18="","",IF(I$8="A",(RANK(AQ18,AQ$11:AQ$349,1)+COUNTIF(AQ$11:AQ18,AQ18)-1),(RANK(AQ18,AQ$11:AQ$349)+COUNTIF(AQ$11:AQ18,AQ18)-1)))</f>
        <v/>
      </c>
      <c r="AS18" s="3" t="str">
        <f t="shared" si="41"/>
        <v/>
      </c>
      <c r="AT18" s="40" t="str">
        <f t="shared" si="42"/>
        <v/>
      </c>
      <c r="AU18" s="43" t="str">
        <f t="shared" si="43"/>
        <v/>
      </c>
      <c r="AX18">
        <f>HLOOKUP($AX$9&amp;$AX$10,Data!$A$1:$ZZ$1988,(MATCH($C18,Data!$A$1:$A$1988,0)),FALSE)</f>
        <v>100</v>
      </c>
    </row>
    <row r="19" spans="1:50">
      <c r="A19" s="59" t="str">
        <f>$D$1&amp;9</f>
        <v>UA9</v>
      </c>
      <c r="B19" s="60" t="str">
        <f>IF(ISERROR(VLOOKUP(A19,classifications!A:C,3,FALSE)),0,VLOOKUP(A19,classifications!A:C,3,FALSE))</f>
        <v>Northumberland</v>
      </c>
      <c r="C19" t="s">
        <v>196</v>
      </c>
      <c r="D19" t="str">
        <f>VLOOKUP($C19,classifications!$C:$J,4,FALSE)</f>
        <v>L</v>
      </c>
      <c r="E19">
        <f>VLOOKUP(C19,classifications!C:K,9,FALSE)</f>
        <v>0</v>
      </c>
      <c r="F19">
        <f t="shared" si="20"/>
        <v>76.19047619047619</v>
      </c>
      <c r="G19" s="15"/>
      <c r="H19" s="42" t="str">
        <f t="shared" si="21"/>
        <v/>
      </c>
      <c r="I19" s="79" t="str">
        <f>IF(H19="","",IF($I$8="A",(RANK(H19,H$11:H$349,1)+COUNTIF(H$11:H19,H19)-1),(RANK(H19,H$11:H$349)+COUNTIF(H$11:H19,H19)-1)))</f>
        <v/>
      </c>
      <c r="J19" s="41"/>
      <c r="K19" s="36">
        <f t="shared" si="22"/>
        <v>9</v>
      </c>
      <c r="L19" t="str">
        <f t="shared" si="23"/>
        <v>Stoke-on-Trent</v>
      </c>
      <c r="M19" s="117">
        <f t="shared" si="24"/>
        <v>100</v>
      </c>
      <c r="N19" s="112">
        <f t="shared" si="25"/>
        <v>100</v>
      </c>
      <c r="O19" s="96">
        <f t="shared" si="26"/>
        <v>100</v>
      </c>
      <c r="P19" s="96" t="str">
        <f t="shared" si="27"/>
        <v/>
      </c>
      <c r="Q19" s="96" t="str">
        <f t="shared" si="28"/>
        <v/>
      </c>
      <c r="R19" s="92" t="str">
        <f t="shared" si="29"/>
        <v/>
      </c>
      <c r="S19" s="42" t="str">
        <f t="shared" si="30"/>
        <v/>
      </c>
      <c r="T19" s="176">
        <f>IF(L19="","",VLOOKUP(L19,classifications!C:K,9,FALSE))</f>
        <v>0</v>
      </c>
      <c r="U19" s="177" t="str">
        <f t="shared" si="31"/>
        <v/>
      </c>
      <c r="V19" s="183" t="str">
        <f>IF(U19="","",IF($I$8="A",(RANK(U19,U$11:U$349)+COUNTIF(U$11:U19,U19)-1),(RANK(U19,U$11:U$349,1)+COUNTIF(U$11:U19,U19)-1)))</f>
        <v/>
      </c>
      <c r="W19" s="184"/>
      <c r="X19" s="5" t="str">
        <f>IF(L19="","",VLOOKUP($L19,classifications!$C:$J,6,FALSE))</f>
        <v>Predominantly Urban</v>
      </c>
      <c r="Y19" t="str">
        <f t="shared" si="32"/>
        <v/>
      </c>
      <c r="Z19" s="40" t="str">
        <f>IF(Y19="","",IF(I$8="A",(RANK(Y19,Y$11:Y$349,1)+COUNTIF(Y$11:Y19,Y19)-1),(RANK(Y19,Y$11:Y$349)+COUNTIF(Y$11:Y19,Y19)-1)))</f>
        <v/>
      </c>
      <c r="AA19" s="189" t="str">
        <f>IF(L19="","",VLOOKUP($L19,classifications!C:I,7,FALSE))</f>
        <v>Predominantly Urban</v>
      </c>
      <c r="AB19" s="183" t="str">
        <f t="shared" si="33"/>
        <v/>
      </c>
      <c r="AC19" s="183" t="str">
        <f>IF(AB19="","",IF($I$8="A",(RANK(AB19,AB$11:AB$349)+COUNTIF(AB$11:AB19,AB19)-1),(RANK(AB19,AB$11:AB$349,1)+COUNTIF(AB$11:AB19,AB19)-1)))</f>
        <v/>
      </c>
      <c r="AD19" s="183"/>
      <c r="AE19" s="49">
        <f>IF(I$8="A",(RANK(AG19,AG$11:AG$349,1)+COUNTIF(AG$11:AG19,AG19)-1),(RANK(AG19,AG$11:AG$349)+COUNTIF(AG$11:AG19,AG19)-1))</f>
        <v>9</v>
      </c>
      <c r="AF19" t="str">
        <f>VLOOKUP(Profile!$J$5,Families!$C:$R,6,FALSE)</f>
        <v>Herefordshire</v>
      </c>
      <c r="AG19" s="15">
        <f t="shared" si="34"/>
        <v>62.711864406779661</v>
      </c>
      <c r="AH19" s="50">
        <f t="shared" si="35"/>
        <v>9</v>
      </c>
      <c r="AI19" s="5" t="str">
        <f>IF(L19="","",VLOOKUP($L19,classifications!$C:$J,8,FALSE))</f>
        <v>Unitary</v>
      </c>
      <c r="AJ19" s="43">
        <f t="shared" si="36"/>
        <v>100</v>
      </c>
      <c r="AK19" s="40">
        <f>IF(AJ19="","",IF(I$8="A",(RANK(AJ19,AJ$11:AJ$349,1)+COUNTIF(AJ$11:AJ19,AJ19)-1),(RANK(AJ19,AJ$11:AJ$349)+COUNTIF(AJ$11:AJ19,AJ19)-1)))</f>
        <v>9</v>
      </c>
      <c r="AL19" s="3">
        <f t="shared" si="37"/>
        <v>9</v>
      </c>
      <c r="AM19" t="str">
        <f t="shared" si="38"/>
        <v>Stoke-on-Trent</v>
      </c>
      <c r="AN19">
        <f t="shared" si="39"/>
        <v>100</v>
      </c>
      <c r="AP19" s="5" t="str">
        <f>IF(L19="","",VLOOKUP($L19,classifications!$C:$E,3,FALSE))</f>
        <v>West Midlands</v>
      </c>
      <c r="AQ19" s="43" t="str">
        <f t="shared" si="40"/>
        <v/>
      </c>
      <c r="AR19" s="40" t="str">
        <f>IF(AQ19="","",IF(I$8="A",(RANK(AQ19,AQ$11:AQ$349,1)+COUNTIF(AQ$11:AQ19,AQ19)-1),(RANK(AQ19,AQ$11:AQ$349)+COUNTIF(AQ$11:AQ19,AQ19)-1)))</f>
        <v/>
      </c>
      <c r="AS19" s="3" t="str">
        <f t="shared" si="41"/>
        <v/>
      </c>
      <c r="AT19" s="40" t="str">
        <f t="shared" si="42"/>
        <v/>
      </c>
      <c r="AU19" s="43" t="str">
        <f t="shared" si="43"/>
        <v/>
      </c>
      <c r="AX19">
        <f>HLOOKUP($AX$9&amp;$AX$10,Data!$A$1:$ZZ$1988,(MATCH($C19,Data!$A$1:$A$1988,0)),FALSE)</f>
        <v>76.19047619047619</v>
      </c>
    </row>
    <row r="20" spans="1:50">
      <c r="A20" s="59" t="str">
        <f>$D$1&amp;10</f>
        <v>UA10</v>
      </c>
      <c r="B20" s="60" t="str">
        <f>IF(ISERROR(VLOOKUP(A20,classifications!A:C,3,FALSE)),0,VLOOKUP(A20,classifications!A:C,3,FALSE))</f>
        <v>Rutland</v>
      </c>
      <c r="C20" t="s">
        <v>222</v>
      </c>
      <c r="D20" t="str">
        <f>VLOOKUP($C20,classifications!$C:$J,4,FALSE)</f>
        <v>MD</v>
      </c>
      <c r="E20">
        <f>VLOOKUP(C20,classifications!C:K,9,FALSE)</f>
        <v>0</v>
      </c>
      <c r="F20">
        <f t="shared" si="20"/>
        <v>96.666666666666671</v>
      </c>
      <c r="G20" s="15"/>
      <c r="H20" s="42" t="str">
        <f t="shared" si="21"/>
        <v/>
      </c>
      <c r="I20" s="79" t="str">
        <f>IF(H20="","",IF($I$8="A",(RANK(H20,H$11:H$349,1)+COUNTIF(H$11:H20,H20)-1),(RANK(H20,H$11:H$349)+COUNTIF(H$11:H20,H20)-1)))</f>
        <v/>
      </c>
      <c r="J20" s="41"/>
      <c r="K20" s="36">
        <f t="shared" si="22"/>
        <v>10</v>
      </c>
      <c r="L20" t="str">
        <f t="shared" si="23"/>
        <v>Swindon</v>
      </c>
      <c r="M20" s="117">
        <f t="shared" si="24"/>
        <v>100</v>
      </c>
      <c r="N20" s="112">
        <f t="shared" si="25"/>
        <v>100</v>
      </c>
      <c r="O20" s="96">
        <f t="shared" si="26"/>
        <v>100</v>
      </c>
      <c r="P20" s="96" t="str">
        <f t="shared" si="27"/>
        <v/>
      </c>
      <c r="Q20" s="96" t="str">
        <f t="shared" si="28"/>
        <v/>
      </c>
      <c r="R20" s="92" t="str">
        <f t="shared" si="29"/>
        <v/>
      </c>
      <c r="S20" s="42" t="str">
        <f t="shared" si="30"/>
        <v/>
      </c>
      <c r="T20" s="176">
        <f>IF(L20="","",VLOOKUP(L20,classifications!C:K,9,FALSE))</f>
        <v>0</v>
      </c>
      <c r="U20" s="177" t="str">
        <f t="shared" si="31"/>
        <v/>
      </c>
      <c r="V20" s="183" t="str">
        <f>IF(U20="","",IF($I$8="A",(RANK(U20,U$11:U$349)+COUNTIF(U$11:U20,U20)-1),(RANK(U20,U$11:U$349,1)+COUNTIF(U$11:U20,U20)-1)))</f>
        <v/>
      </c>
      <c r="W20" s="184"/>
      <c r="X20" s="5" t="str">
        <f>IF(L20="","",VLOOKUP($L20,classifications!$C:$J,6,FALSE))</f>
        <v>Predominantly Urban</v>
      </c>
      <c r="Y20" t="str">
        <f t="shared" si="32"/>
        <v/>
      </c>
      <c r="Z20" s="40" t="str">
        <f>IF(Y20="","",IF(I$8="A",(RANK(Y20,Y$11:Y$349,1)+COUNTIF(Y$11:Y20,Y20)-1),(RANK(Y20,Y$11:Y$349)+COUNTIF(Y$11:Y20,Y20)-1)))</f>
        <v/>
      </c>
      <c r="AA20" s="189" t="str">
        <f>IF(L20="","",VLOOKUP($L20,classifications!C:I,7,FALSE))</f>
        <v>Predominantly Urban</v>
      </c>
      <c r="AB20" s="183" t="str">
        <f t="shared" si="33"/>
        <v/>
      </c>
      <c r="AC20" s="183" t="str">
        <f>IF(AB20="","",IF($I$8="A",(RANK(AB20,AB$11:AB$349)+COUNTIF(AB$11:AB20,AB20)-1),(RANK(AB20,AB$11:AB$349,1)+COUNTIF(AB$11:AB20,AB20)-1)))</f>
        <v/>
      </c>
      <c r="AD20" s="183"/>
      <c r="AE20" s="49">
        <f>IF(I$8="A",(RANK(AG20,AG$11:AG$349,1)+COUNTIF(AG$11:AG20,AG20)-1),(RANK(AG20,AG$11:AG$349)+COUNTIF(AG$11:AG20,AG20)-1))</f>
        <v>10</v>
      </c>
      <c r="AF20" t="str">
        <f>VLOOKUP(Profile!$J$5,Families!$C:$R,6,FALSE)</f>
        <v>Herefordshire</v>
      </c>
      <c r="AG20" s="15">
        <f t="shared" si="34"/>
        <v>62.711864406779661</v>
      </c>
      <c r="AH20" s="50">
        <f t="shared" si="35"/>
        <v>10</v>
      </c>
      <c r="AI20" s="5" t="str">
        <f>IF(L20="","",VLOOKUP($L20,classifications!$C:$J,8,FALSE))</f>
        <v>Unitary</v>
      </c>
      <c r="AJ20" s="43">
        <f t="shared" si="36"/>
        <v>100</v>
      </c>
      <c r="AK20" s="40">
        <f>IF(AJ20="","",IF(I$8="A",(RANK(AJ20,AJ$11:AJ$349,1)+COUNTIF(AJ$11:AJ20,AJ20)-1),(RANK(AJ20,AJ$11:AJ$349)+COUNTIF(AJ$11:AJ20,AJ20)-1)))</f>
        <v>10</v>
      </c>
      <c r="AL20" s="3">
        <f t="shared" si="37"/>
        <v>10</v>
      </c>
      <c r="AM20" t="str">
        <f t="shared" si="38"/>
        <v>Swindon</v>
      </c>
      <c r="AN20">
        <f t="shared" si="39"/>
        <v>100</v>
      </c>
      <c r="AP20" s="5" t="str">
        <f>IF(L20="","",VLOOKUP($L20,classifications!$C:$E,3,FALSE))</f>
        <v>South West</v>
      </c>
      <c r="AQ20" s="43" t="str">
        <f t="shared" si="40"/>
        <v/>
      </c>
      <c r="AR20" s="40" t="str">
        <f>IF(AQ20="","",IF(I$8="A",(RANK(AQ20,AQ$11:AQ$349,1)+COUNTIF(AQ$11:AQ20,AQ20)-1),(RANK(AQ20,AQ$11:AQ$349)+COUNTIF(AQ$11:AQ20,AQ20)-1)))</f>
        <v/>
      </c>
      <c r="AS20" s="3" t="str">
        <f t="shared" si="41"/>
        <v/>
      </c>
      <c r="AT20" s="40" t="str">
        <f t="shared" si="42"/>
        <v/>
      </c>
      <c r="AU20" s="43" t="str">
        <f t="shared" si="43"/>
        <v/>
      </c>
      <c r="AX20">
        <f>HLOOKUP($AX$9&amp;$AX$10,Data!$A$1:$ZZ$1988,(MATCH($C20,Data!$A$1:$A$1988,0)),FALSE)</f>
        <v>96.666666666666671</v>
      </c>
    </row>
    <row r="21" spans="1:50">
      <c r="A21" s="59" t="str">
        <f>$D$1&amp;11</f>
        <v>UA11</v>
      </c>
      <c r="B21" s="60" t="str">
        <f>IF(ISERROR(VLOOKUP(A21,classifications!A:C,3,FALSE)),0,VLOOKUP(A21,classifications!A:C,3,FALSE))</f>
        <v>Shropshire</v>
      </c>
      <c r="C21" t="s">
        <v>13</v>
      </c>
      <c r="D21" t="str">
        <f>VLOOKUP($C21,classifications!$C:$J,4,FALSE)</f>
        <v>SD</v>
      </c>
      <c r="E21">
        <f>VLOOKUP(C21,classifications!C:K,9,FALSE)</f>
        <v>0</v>
      </c>
      <c r="F21">
        <f t="shared" si="20"/>
        <v>100</v>
      </c>
      <c r="G21" s="15"/>
      <c r="H21" s="42" t="str">
        <f t="shared" si="21"/>
        <v/>
      </c>
      <c r="I21" s="79" t="str">
        <f>IF(H21="","",IF($I$8="A",(RANK(H21,H$11:H$349,1)+COUNTIF(H$11:H21,H21)-1),(RANK(H21,H$11:H$349)+COUNTIF(H$11:H21,H21)-1)))</f>
        <v/>
      </c>
      <c r="J21" s="41"/>
      <c r="K21" s="36">
        <f t="shared" si="22"/>
        <v>11</v>
      </c>
      <c r="L21" t="str">
        <f t="shared" si="23"/>
        <v>Telford &amp; Wrekin</v>
      </c>
      <c r="M21" s="117">
        <f t="shared" si="24"/>
        <v>100</v>
      </c>
      <c r="N21" s="112">
        <f t="shared" si="25"/>
        <v>100</v>
      </c>
      <c r="O21" s="96">
        <f t="shared" si="26"/>
        <v>100</v>
      </c>
      <c r="P21" s="96" t="str">
        <f t="shared" si="27"/>
        <v/>
      </c>
      <c r="Q21" s="96" t="str">
        <f t="shared" si="28"/>
        <v/>
      </c>
      <c r="R21" s="92" t="str">
        <f t="shared" si="29"/>
        <v/>
      </c>
      <c r="S21" s="42" t="str">
        <f t="shared" si="30"/>
        <v/>
      </c>
      <c r="T21" s="176">
        <f>IF(L21="","",VLOOKUP(L21,classifications!C:K,9,FALSE))</f>
        <v>0</v>
      </c>
      <c r="U21" s="177" t="str">
        <f t="shared" si="31"/>
        <v/>
      </c>
      <c r="V21" s="183" t="str">
        <f>IF(U21="","",IF($I$8="A",(RANK(U21,U$11:U$349)+COUNTIF(U$11:U21,U21)-1),(RANK(U21,U$11:U$349,1)+COUNTIF(U$11:U21,U21)-1)))</f>
        <v/>
      </c>
      <c r="W21" s="184"/>
      <c r="X21" s="5" t="str">
        <f>IF(L21="","",VLOOKUP($L21,classifications!$C:$J,6,FALSE))</f>
        <v>Predominantly Urban</v>
      </c>
      <c r="Y21" t="str">
        <f t="shared" si="32"/>
        <v/>
      </c>
      <c r="Z21" s="40" t="str">
        <f>IF(Y21="","",IF(I$8="A",(RANK(Y21,Y$11:Y$349,1)+COUNTIF(Y$11:Y21,Y21)-1),(RANK(Y21,Y$11:Y$349)+COUNTIF(Y$11:Y21,Y21)-1)))</f>
        <v/>
      </c>
      <c r="AA21" s="189" t="str">
        <f>IF(L21="","",VLOOKUP($L21,classifications!C:I,7,FALSE))</f>
        <v>Predominantly Urban</v>
      </c>
      <c r="AB21" s="183" t="str">
        <f t="shared" si="33"/>
        <v/>
      </c>
      <c r="AC21" s="183" t="str">
        <f>IF(AB21="","",IF($I$8="A",(RANK(AB21,AB$11:AB$349)+COUNTIF(AB$11:AB21,AB21)-1),(RANK(AB21,AB$11:AB$349,1)+COUNTIF(AB$11:AB21,AB21)-1)))</f>
        <v/>
      </c>
      <c r="AD21" s="183"/>
      <c r="AE21" s="49">
        <f>IF(I$8="A",(RANK(AG21,AG$11:AG$349,1)+COUNTIF(AG$11:AG21,AG21)-1),(RANK(AG21,AG$11:AG$349)+COUNTIF(AG$11:AG21,AG21)-1))</f>
        <v>11</v>
      </c>
      <c r="AF21" t="str">
        <f>VLOOKUP(Profile!$J$5,Families!$C:$R,6,FALSE)</f>
        <v>Herefordshire</v>
      </c>
      <c r="AG21" s="15">
        <f t="shared" si="34"/>
        <v>62.711864406779661</v>
      </c>
      <c r="AH21" s="50">
        <f t="shared" si="35"/>
        <v>11</v>
      </c>
      <c r="AI21" s="5" t="str">
        <f>IF(L21="","",VLOOKUP($L21,classifications!$C:$J,8,FALSE))</f>
        <v>Unitary</v>
      </c>
      <c r="AJ21" s="43">
        <f t="shared" si="36"/>
        <v>100</v>
      </c>
      <c r="AK21" s="40">
        <f>IF(AJ21="","",IF(I$8="A",(RANK(AJ21,AJ$11:AJ$349,1)+COUNTIF(AJ$11:AJ21,AJ21)-1),(RANK(AJ21,AJ$11:AJ$349)+COUNTIF(AJ$11:AJ21,AJ21)-1)))</f>
        <v>11</v>
      </c>
      <c r="AL21" s="3">
        <f t="shared" si="37"/>
        <v>11</v>
      </c>
      <c r="AM21" t="str">
        <f t="shared" si="38"/>
        <v>Telford &amp; Wrekin</v>
      </c>
      <c r="AN21">
        <f t="shared" si="39"/>
        <v>100</v>
      </c>
      <c r="AP21" s="5" t="str">
        <f>IF(L21="","",VLOOKUP($L21,classifications!$C:$E,3,FALSE))</f>
        <v>West Midlands</v>
      </c>
      <c r="AQ21" s="43" t="str">
        <f t="shared" si="40"/>
        <v/>
      </c>
      <c r="AR21" s="40" t="str">
        <f>IF(AQ21="","",IF(I$8="A",(RANK(AQ21,AQ$11:AQ$349,1)+COUNTIF(AQ$11:AQ21,AQ21)-1),(RANK(AQ21,AQ$11:AQ$349)+COUNTIF(AQ$11:AQ21,AQ21)-1)))</f>
        <v/>
      </c>
      <c r="AS21" s="3" t="str">
        <f t="shared" si="41"/>
        <v/>
      </c>
      <c r="AT21" s="40" t="str">
        <f t="shared" si="42"/>
        <v/>
      </c>
      <c r="AU21" s="43" t="str">
        <f t="shared" si="43"/>
        <v/>
      </c>
      <c r="AX21">
        <f>HLOOKUP($AX$9&amp;$AX$10,Data!$A$1:$ZZ$1988,(MATCH($C21,Data!$A$1:$A$1988,0)),FALSE)</f>
        <v>100</v>
      </c>
    </row>
    <row r="22" spans="1:50">
      <c r="A22" s="59" t="str">
        <f>$D$1&amp;12</f>
        <v>UA12</v>
      </c>
      <c r="B22" s="60" t="str">
        <f>IF(ISERROR(VLOOKUP(A22,classifications!A:C,3,FALSE)),0,VLOOKUP(A22,classifications!A:C,3,FALSE))</f>
        <v>West Northamptonshire</v>
      </c>
      <c r="C22" t="s">
        <v>14</v>
      </c>
      <c r="D22" t="str">
        <f>VLOOKUP($C22,classifications!$C:$J,4,FALSE)</f>
        <v>SD</v>
      </c>
      <c r="E22">
        <f>VLOOKUP(C22,classifications!C:K,9,FALSE)</f>
        <v>0</v>
      </c>
      <c r="F22">
        <f t="shared" si="20"/>
        <v>78.94736842105263</v>
      </c>
      <c r="G22" s="15"/>
      <c r="H22" s="42" t="str">
        <f t="shared" si="21"/>
        <v/>
      </c>
      <c r="I22" s="79" t="str">
        <f>IF(H22="","",IF($I$8="A",(RANK(H22,H$11:H$349,1)+COUNTIF(H$11:H22,H22)-1),(RANK(H22,H$11:H$349)+COUNTIF(H$11:H22,H22)-1)))</f>
        <v/>
      </c>
      <c r="J22" s="41"/>
      <c r="K22" s="36">
        <f t="shared" si="22"/>
        <v>12</v>
      </c>
      <c r="L22" t="str">
        <f t="shared" si="23"/>
        <v>Wokingham</v>
      </c>
      <c r="M22" s="117">
        <f t="shared" si="24"/>
        <v>97.777777777777771</v>
      </c>
      <c r="N22" s="112">
        <f t="shared" si="25"/>
        <v>97.777777777777771</v>
      </c>
      <c r="O22" s="96">
        <f t="shared" si="26"/>
        <v>97.777777777777771</v>
      </c>
      <c r="P22" s="96" t="str">
        <f t="shared" si="27"/>
        <v/>
      </c>
      <c r="Q22" s="96" t="str">
        <f t="shared" si="28"/>
        <v/>
      </c>
      <c r="R22" s="92" t="str">
        <f t="shared" si="29"/>
        <v/>
      </c>
      <c r="S22" s="42" t="str">
        <f t="shared" si="30"/>
        <v/>
      </c>
      <c r="T22" s="176">
        <f>IF(L22="","",VLOOKUP(L22,classifications!C:K,9,FALSE))</f>
        <v>0</v>
      </c>
      <c r="U22" s="177" t="str">
        <f t="shared" si="31"/>
        <v/>
      </c>
      <c r="V22" s="183" t="str">
        <f>IF(U22="","",IF($I$8="A",(RANK(U22,U$11:U$349)+COUNTIF(U$11:U22,U22)-1),(RANK(U22,U$11:U$349,1)+COUNTIF(U$11:U22,U22)-1)))</f>
        <v/>
      </c>
      <c r="W22" s="184"/>
      <c r="X22" s="5" t="str">
        <f>IF(L22="","",VLOOKUP($L22,classifications!$C:$J,6,FALSE))</f>
        <v>Predominantly Urban</v>
      </c>
      <c r="Y22" t="str">
        <f t="shared" si="32"/>
        <v/>
      </c>
      <c r="Z22" s="40" t="str">
        <f>IF(Y22="","",IF(I$8="A",(RANK(Y22,Y$11:Y$349,1)+COUNTIF(Y$11:Y22,Y22)-1),(RANK(Y22,Y$11:Y$349)+COUNTIF(Y$11:Y22,Y22)-1)))</f>
        <v/>
      </c>
      <c r="AA22" s="189" t="str">
        <f>IF(L22="","",VLOOKUP($L22,classifications!C:I,7,FALSE))</f>
        <v>Predominantly Urban</v>
      </c>
      <c r="AB22" s="183" t="str">
        <f t="shared" si="33"/>
        <v/>
      </c>
      <c r="AC22" s="183" t="str">
        <f>IF(AB22="","",IF($I$8="A",(RANK(AB22,AB$11:AB$349)+COUNTIF(AB$11:AB22,AB22)-1),(RANK(AB22,AB$11:AB$349,1)+COUNTIF(AB$11:AB22,AB22)-1)))</f>
        <v/>
      </c>
      <c r="AD22" s="183"/>
      <c r="AE22" s="49">
        <f>IF(I$8="A",(RANK(AG22,AG$11:AG$349,1)+COUNTIF(AG$11:AG22,AG22)-1),(RANK(AG22,AG$11:AG$349)+COUNTIF(AG$11:AG22,AG22)-1))</f>
        <v>12</v>
      </c>
      <c r="AF22" t="str">
        <f>VLOOKUP(Profile!$J$5,Families!$C:$R,6,FALSE)</f>
        <v>Herefordshire</v>
      </c>
      <c r="AG22" s="15">
        <f t="shared" si="34"/>
        <v>62.711864406779661</v>
      </c>
      <c r="AH22" s="50">
        <f t="shared" si="35"/>
        <v>12</v>
      </c>
      <c r="AI22" s="5" t="str">
        <f>IF(L22="","",VLOOKUP($L22,classifications!$C:$J,8,FALSE))</f>
        <v>Unitary</v>
      </c>
      <c r="AJ22" s="43">
        <f t="shared" si="36"/>
        <v>97.777777777777771</v>
      </c>
      <c r="AK22" s="40">
        <f>IF(AJ22="","",IF(I$8="A",(RANK(AJ22,AJ$11:AJ$349,1)+COUNTIF(AJ$11:AJ22,AJ22)-1),(RANK(AJ22,AJ$11:AJ$349)+COUNTIF(AJ$11:AJ22,AJ22)-1)))</f>
        <v>12</v>
      </c>
      <c r="AL22" s="3">
        <f t="shared" si="37"/>
        <v>12</v>
      </c>
      <c r="AM22" t="str">
        <f t="shared" si="38"/>
        <v>Wokingham</v>
      </c>
      <c r="AN22">
        <f t="shared" si="39"/>
        <v>97.777777777777771</v>
      </c>
      <c r="AP22" s="5" t="str">
        <f>IF(L22="","",VLOOKUP($L22,classifications!$C:$E,3,FALSE))</f>
        <v>South East</v>
      </c>
      <c r="AQ22" s="43" t="str">
        <f t="shared" si="40"/>
        <v/>
      </c>
      <c r="AR22" s="40" t="str">
        <f>IF(AQ22="","",IF(I$8="A",(RANK(AQ22,AQ$11:AQ$349,1)+COUNTIF(AQ$11:AQ22,AQ22)-1),(RANK(AQ22,AQ$11:AQ$349)+COUNTIF(AQ$11:AQ22,AQ22)-1)))</f>
        <v/>
      </c>
      <c r="AS22" s="3" t="str">
        <f t="shared" si="41"/>
        <v/>
      </c>
      <c r="AT22" s="40" t="str">
        <f t="shared" si="42"/>
        <v/>
      </c>
      <c r="AU22" s="43" t="str">
        <f t="shared" si="43"/>
        <v/>
      </c>
      <c r="AX22">
        <f>HLOOKUP($AX$9&amp;$AX$10,Data!$A$1:$ZZ$1988,(MATCH($C22,Data!$A$1:$A$1988,0)),FALSE)</f>
        <v>78.94736842105263</v>
      </c>
    </row>
    <row r="23" spans="1:50">
      <c r="A23" s="59" t="str">
        <f>$D$1&amp;13</f>
        <v>UA13</v>
      </c>
      <c r="B23" s="60">
        <f>IF(ISERROR(VLOOKUP(A23,classifications!A:C,3,FALSE)),0,VLOOKUP(A23,classifications!A:C,3,FALSE))</f>
        <v>0</v>
      </c>
      <c r="C23" t="s">
        <v>342</v>
      </c>
      <c r="D23" t="str">
        <f>VLOOKUP($C23,classifications!$C:$J,4,FALSE)</f>
        <v>SD</v>
      </c>
      <c r="E23">
        <f>VLOOKUP(C23,classifications!C:K,9,FALSE)</f>
        <v>0</v>
      </c>
      <c r="F23">
        <f t="shared" si="20"/>
        <v>68.75</v>
      </c>
      <c r="G23" s="15"/>
      <c r="H23" s="42" t="str">
        <f t="shared" si="21"/>
        <v/>
      </c>
      <c r="I23" s="79" t="str">
        <f>IF(H23="","",IF($I$8="A",(RANK(H23,H$11:H$349,1)+COUNTIF(H$11:H23,H23)-1),(RANK(H23,H$11:H$349)+COUNTIF(H$11:H23,H23)-1)))</f>
        <v/>
      </c>
      <c r="J23" s="41"/>
      <c r="K23" s="36">
        <f t="shared" si="22"/>
        <v>13</v>
      </c>
      <c r="L23" t="str">
        <f t="shared" si="23"/>
        <v>Thurrock</v>
      </c>
      <c r="M23" s="117">
        <f t="shared" si="24"/>
        <v>96.666666666666671</v>
      </c>
      <c r="N23" s="112">
        <f t="shared" si="25"/>
        <v>96.666666666666671</v>
      </c>
      <c r="O23" s="96">
        <f t="shared" si="26"/>
        <v>96.666666666666671</v>
      </c>
      <c r="P23" s="96" t="str">
        <f t="shared" si="27"/>
        <v/>
      </c>
      <c r="Q23" s="96" t="str">
        <f t="shared" si="28"/>
        <v/>
      </c>
      <c r="R23" s="92" t="str">
        <f t="shared" si="29"/>
        <v/>
      </c>
      <c r="S23" s="42" t="str">
        <f t="shared" si="30"/>
        <v/>
      </c>
      <c r="T23" s="176">
        <f>IF(L23="","",VLOOKUP(L23,classifications!C:K,9,FALSE))</f>
        <v>0</v>
      </c>
      <c r="U23" s="177" t="str">
        <f t="shared" si="31"/>
        <v/>
      </c>
      <c r="V23" s="183" t="str">
        <f>IF(U23="","",IF($I$8="A",(RANK(U23,U$11:U$349)+COUNTIF(U$11:U23,U23)-1),(RANK(U23,U$11:U$349,1)+COUNTIF(U$11:U23,U23)-1)))</f>
        <v/>
      </c>
      <c r="W23" s="184"/>
      <c r="X23" s="5" t="str">
        <f>IF(L23="","",VLOOKUP($L23,classifications!$C:$J,6,FALSE))</f>
        <v>Predominantly Urban</v>
      </c>
      <c r="Y23" t="str">
        <f t="shared" si="32"/>
        <v/>
      </c>
      <c r="Z23" s="40" t="str">
        <f>IF(Y23="","",IF(I$8="A",(RANK(Y23,Y$11:Y$349,1)+COUNTIF(Y$11:Y23,Y23)-1),(RANK(Y23,Y$11:Y$349)+COUNTIF(Y$11:Y23,Y23)-1)))</f>
        <v/>
      </c>
      <c r="AA23" s="189" t="str">
        <f>IF(L23="","",VLOOKUP($L23,classifications!C:I,7,FALSE))</f>
        <v>Predominantly Urban</v>
      </c>
      <c r="AB23" s="183" t="str">
        <f t="shared" si="33"/>
        <v/>
      </c>
      <c r="AC23" s="183" t="str">
        <f>IF(AB23="","",IF($I$8="A",(RANK(AB23,AB$11:AB$349)+COUNTIF(AB$11:AB23,AB23)-1),(RANK(AB23,AB$11:AB$349,1)+COUNTIF(AB$11:AB23,AB23)-1)))</f>
        <v/>
      </c>
      <c r="AD23" s="183"/>
      <c r="AE23" s="49">
        <f>IF(I$8="A",(RANK(AG23,AG$11:AG$349,1)+COUNTIF(AG$11:AG23,AG23)-1),(RANK(AG23,AG$11:AG$349)+COUNTIF(AG$11:AG23,AG23)-1))</f>
        <v>13</v>
      </c>
      <c r="AF23" t="str">
        <f>VLOOKUP(Profile!$J$5,Families!$C:$R,6,FALSE)</f>
        <v>Herefordshire</v>
      </c>
      <c r="AG23" s="15">
        <f t="shared" si="34"/>
        <v>62.711864406779661</v>
      </c>
      <c r="AH23" s="50">
        <f t="shared" si="35"/>
        <v>13</v>
      </c>
      <c r="AI23" s="5" t="str">
        <f>IF(L23="","",VLOOKUP($L23,classifications!$C:$J,8,FALSE))</f>
        <v>Unitary</v>
      </c>
      <c r="AJ23" s="43">
        <f t="shared" si="36"/>
        <v>96.666666666666671</v>
      </c>
      <c r="AK23" s="40">
        <f>IF(AJ23="","",IF(I$8="A",(RANK(AJ23,AJ$11:AJ$349,1)+COUNTIF(AJ$11:AJ23,AJ23)-1),(RANK(AJ23,AJ$11:AJ$349)+COUNTIF(AJ$11:AJ23,AJ23)-1)))</f>
        <v>13</v>
      </c>
      <c r="AL23" s="3">
        <f t="shared" si="37"/>
        <v>13</v>
      </c>
      <c r="AM23" t="str">
        <f t="shared" si="38"/>
        <v>Thurrock</v>
      </c>
      <c r="AN23">
        <f t="shared" si="39"/>
        <v>96.666666666666671</v>
      </c>
      <c r="AP23" s="5" t="str">
        <f>IF(L23="","",VLOOKUP($L23,classifications!$C:$E,3,FALSE))</f>
        <v>East of England</v>
      </c>
      <c r="AQ23" s="43" t="str">
        <f t="shared" si="40"/>
        <v/>
      </c>
      <c r="AR23" s="40" t="str">
        <f>IF(AQ23="","",IF(I$8="A",(RANK(AQ23,AQ$11:AQ$349,1)+COUNTIF(AQ$11:AQ23,AQ23)-1),(RANK(AQ23,AQ$11:AQ$349)+COUNTIF(AQ$11:AQ23,AQ23)-1)))</f>
        <v/>
      </c>
      <c r="AS23" s="3" t="str">
        <f t="shared" si="41"/>
        <v/>
      </c>
      <c r="AT23" s="40" t="str">
        <f t="shared" si="42"/>
        <v/>
      </c>
      <c r="AU23" s="43" t="str">
        <f t="shared" si="43"/>
        <v/>
      </c>
      <c r="AX23">
        <f>HLOOKUP($AX$9&amp;$AX$10,Data!$A$1:$ZZ$1988,(MATCH($C23,Data!$A$1:$A$1988,0)),FALSE)</f>
        <v>68.75</v>
      </c>
    </row>
    <row r="24" spans="1:50">
      <c r="A24" s="59" t="str">
        <f>$D$1&amp;14</f>
        <v>UA14</v>
      </c>
      <c r="B24" s="60">
        <f>IF(ISERROR(VLOOKUP(A24,classifications!A:C,3,FALSE)),0,VLOOKUP(A24,classifications!A:C,3,FALSE))</f>
        <v>0</v>
      </c>
      <c r="C24" t="s">
        <v>15</v>
      </c>
      <c r="D24" t="str">
        <f>VLOOKUP($C24,classifications!$C:$J,4,FALSE)</f>
        <v>SD</v>
      </c>
      <c r="E24">
        <f>VLOOKUP(C24,classifications!C:K,9,FALSE)</f>
        <v>0</v>
      </c>
      <c r="F24">
        <f t="shared" si="20"/>
        <v>100</v>
      </c>
      <c r="G24" s="15"/>
      <c r="H24" s="42" t="str">
        <f t="shared" si="21"/>
        <v/>
      </c>
      <c r="I24" s="79" t="str">
        <f>IF(H24="","",IF($I$8="A",(RANK(H24,H$11:H$349,1)+COUNTIF(H$11:H24,H24)-1),(RANK(H24,H$11:H$349)+COUNTIF(H$11:H24,H24)-1)))</f>
        <v/>
      </c>
      <c r="J24" s="41"/>
      <c r="K24" s="36">
        <f t="shared" si="22"/>
        <v>14</v>
      </c>
      <c r="L24" t="str">
        <f t="shared" si="23"/>
        <v>East Riding of Yorkshire</v>
      </c>
      <c r="M24" s="117">
        <f t="shared" si="24"/>
        <v>96.05263157894737</v>
      </c>
      <c r="N24" s="112">
        <f t="shared" si="25"/>
        <v>96.05263157894737</v>
      </c>
      <c r="O24" s="96">
        <f t="shared" si="26"/>
        <v>96.05263157894737</v>
      </c>
      <c r="P24" s="96" t="str">
        <f t="shared" si="27"/>
        <v/>
      </c>
      <c r="Q24" s="96" t="str">
        <f t="shared" si="28"/>
        <v/>
      </c>
      <c r="R24" s="92" t="str">
        <f t="shared" si="29"/>
        <v/>
      </c>
      <c r="S24" s="42" t="str">
        <f t="shared" si="30"/>
        <v/>
      </c>
      <c r="T24" s="176" t="str">
        <f>IF(L24="","",VLOOKUP(L24,classifications!C:K,9,FALSE))</f>
        <v>Sparse</v>
      </c>
      <c r="U24" s="177">
        <f t="shared" si="31"/>
        <v>96.05263157894737</v>
      </c>
      <c r="V24" s="183">
        <f>IF(U24="","",IF($I$8="A",(RANK(U24,U$11:U$349)+COUNTIF(U$11:U24,U24)-1),(RANK(U24,U$11:U$349,1)+COUNTIF(U$11:U24,U24)-1)))</f>
        <v>12</v>
      </c>
      <c r="W24" s="184"/>
      <c r="X24" s="5" t="str">
        <f>IF(L24="","",VLOOKUP($L24,classifications!$C:$J,6,FALSE))</f>
        <v xml:space="preserve">Predominantly Rural </v>
      </c>
      <c r="Y24">
        <f t="shared" si="32"/>
        <v>96.05263157894737</v>
      </c>
      <c r="Z24" s="40">
        <f>IF(Y24="","",IF(I$8="A",(RANK(Y24,Y$11:Y$349,1)+COUNTIF(Y$11:Y24,Y24)-1),(RANK(Y24,Y$11:Y$349)+COUNTIF(Y$11:Y24,Y24)-1)))</f>
        <v>2</v>
      </c>
      <c r="AA24" s="189" t="str">
        <f>IF(L24="","",VLOOKUP($L24,classifications!C:I,7,FALSE))</f>
        <v>Predominantly Rural</v>
      </c>
      <c r="AB24" s="183" t="str">
        <f t="shared" si="33"/>
        <v/>
      </c>
      <c r="AC24" s="183" t="str">
        <f>IF(AB24="","",IF($I$8="A",(RANK(AB24,AB$11:AB$349)+COUNTIF(AB$11:AB24,AB24)-1),(RANK(AB24,AB$11:AB$349,1)+COUNTIF(AB$11:AB24,AB24)-1)))</f>
        <v/>
      </c>
      <c r="AD24" s="183"/>
      <c r="AE24" s="49">
        <f>IF(I$8="A",(RANK(AG24,AG$11:AG$349,1)+COUNTIF(AG$11:AG24,AG24)-1),(RANK(AG24,AG$11:AG$349)+COUNTIF(AG$11:AG24,AG24)-1))</f>
        <v>14</v>
      </c>
      <c r="AF24" t="str">
        <f>VLOOKUP(Profile!$J$5,Families!$C:$R,6,FALSE)</f>
        <v>Herefordshire</v>
      </c>
      <c r="AG24" s="15">
        <f t="shared" si="34"/>
        <v>62.711864406779661</v>
      </c>
      <c r="AH24" s="50">
        <f t="shared" si="35"/>
        <v>14</v>
      </c>
      <c r="AI24" s="5" t="str">
        <f>IF(L24="","",VLOOKUP($L24,classifications!$C:$J,8,FALSE))</f>
        <v>Unitary</v>
      </c>
      <c r="AJ24" s="43">
        <f t="shared" si="36"/>
        <v>96.05263157894737</v>
      </c>
      <c r="AK24" s="40">
        <f>IF(AJ24="","",IF(I$8="A",(RANK(AJ24,AJ$11:AJ$349,1)+COUNTIF(AJ$11:AJ24,AJ24)-1),(RANK(AJ24,AJ$11:AJ$349)+COUNTIF(AJ$11:AJ24,AJ24)-1)))</f>
        <v>14</v>
      </c>
      <c r="AL24" s="3">
        <f t="shared" si="37"/>
        <v>14</v>
      </c>
      <c r="AM24" t="str">
        <f t="shared" si="38"/>
        <v>East Riding of Yorkshire</v>
      </c>
      <c r="AN24">
        <f t="shared" si="39"/>
        <v>96.05263157894737</v>
      </c>
      <c r="AP24" s="5" t="str">
        <f>IF(L24="","",VLOOKUP($L24,classifications!$C:$E,3,FALSE))</f>
        <v>Yorkshire &amp; Humberside</v>
      </c>
      <c r="AQ24" s="43" t="str">
        <f t="shared" si="40"/>
        <v/>
      </c>
      <c r="AR24" s="40" t="str">
        <f>IF(AQ24="","",IF(I$8="A",(RANK(AQ24,AQ$11:AQ$349,1)+COUNTIF(AQ$11:AQ24,AQ24)-1),(RANK(AQ24,AQ$11:AQ$349)+COUNTIF(AQ$11:AQ24,AQ24)-1)))</f>
        <v/>
      </c>
      <c r="AS24" s="3" t="str">
        <f t="shared" si="41"/>
        <v/>
      </c>
      <c r="AT24" s="40" t="str">
        <f t="shared" si="42"/>
        <v/>
      </c>
      <c r="AU24" s="43" t="str">
        <f t="shared" si="43"/>
        <v/>
      </c>
      <c r="AX24">
        <f>HLOOKUP($AX$9&amp;$AX$10,Data!$A$1:$ZZ$1988,(MATCH($C24,Data!$A$1:$A$1988,0)),FALSE)</f>
        <v>100</v>
      </c>
    </row>
    <row r="25" spans="1:50">
      <c r="A25" s="59" t="str">
        <f>$D$1&amp;15</f>
        <v>UA15</v>
      </c>
      <c r="B25" s="60">
        <f>IF(ISERROR(VLOOKUP(A25,classifications!A:C,3,FALSE)),0,VLOOKUP(A25,classifications!A:C,3,FALSE))</f>
        <v>0</v>
      </c>
      <c r="C25" t="s">
        <v>258</v>
      </c>
      <c r="D25" t="str">
        <f>VLOOKUP($C25,classifications!$C:$J,4,FALSE)</f>
        <v>UA</v>
      </c>
      <c r="E25">
        <f>VLOOKUP(C25,classifications!C:K,9,FALSE)</f>
        <v>0</v>
      </c>
      <c r="F25">
        <f t="shared" si="20"/>
        <v>100</v>
      </c>
      <c r="G25" s="15"/>
      <c r="H25" s="42">
        <f t="shared" si="21"/>
        <v>100</v>
      </c>
      <c r="I25" s="79">
        <f>IF(H25="","",IF($I$8="A",(RANK(H25,H$11:H$349,1)+COUNTIF(H$11:H25,H25)-1),(RANK(H25,H$11:H$349)+COUNTIF(H$11:H25,H25)-1)))</f>
        <v>1</v>
      </c>
      <c r="J25" s="41"/>
      <c r="K25" s="36">
        <f t="shared" si="22"/>
        <v>15</v>
      </c>
      <c r="L25" t="str">
        <f t="shared" si="23"/>
        <v>Milton Keynes</v>
      </c>
      <c r="M25" s="117">
        <f t="shared" si="24"/>
        <v>95.890410958904098</v>
      </c>
      <c r="N25" s="112">
        <f t="shared" si="25"/>
        <v>95.890410958904098</v>
      </c>
      <c r="O25" s="96">
        <f t="shared" si="26"/>
        <v>95.890410958904098</v>
      </c>
      <c r="P25" s="96" t="str">
        <f t="shared" si="27"/>
        <v/>
      </c>
      <c r="Q25" s="96" t="str">
        <f t="shared" si="28"/>
        <v/>
      </c>
      <c r="R25" s="92" t="str">
        <f t="shared" si="29"/>
        <v/>
      </c>
      <c r="S25" s="42" t="str">
        <f t="shared" si="30"/>
        <v/>
      </c>
      <c r="T25" s="176">
        <f>IF(L25="","",VLOOKUP(L25,classifications!C:K,9,FALSE))</f>
        <v>0</v>
      </c>
      <c r="U25" s="177" t="str">
        <f t="shared" si="31"/>
        <v/>
      </c>
      <c r="V25" s="183" t="str">
        <f>IF(U25="","",IF($I$8="A",(RANK(U25,U$11:U$349)+COUNTIF(U$11:U25,U25)-1),(RANK(U25,U$11:U$349,1)+COUNTIF(U$11:U25,U25)-1)))</f>
        <v/>
      </c>
      <c r="W25" s="184"/>
      <c r="X25" s="5" t="str">
        <f>IF(L25="","",VLOOKUP($L25,classifications!$C:$J,6,FALSE))</f>
        <v>Predominantly Urban</v>
      </c>
      <c r="Y25" t="str">
        <f t="shared" si="32"/>
        <v/>
      </c>
      <c r="Z25" s="40" t="str">
        <f>IF(Y25="","",IF(I$8="A",(RANK(Y25,Y$11:Y$349,1)+COUNTIF(Y$11:Y25,Y25)-1),(RANK(Y25,Y$11:Y$349)+COUNTIF(Y$11:Y25,Y25)-1)))</f>
        <v/>
      </c>
      <c r="AA25" s="189" t="str">
        <f>IF(L25="","",VLOOKUP($L25,classifications!C:I,7,FALSE))</f>
        <v>Predominantly Urban</v>
      </c>
      <c r="AB25" s="183" t="str">
        <f t="shared" si="33"/>
        <v/>
      </c>
      <c r="AC25" s="183" t="str">
        <f>IF(AB25="","",IF($I$8="A",(RANK(AB25,AB$11:AB$349)+COUNTIF(AB$11:AB25,AB25)-1),(RANK(AB25,AB$11:AB$349,1)+COUNTIF(AB$11:AB25,AB25)-1)))</f>
        <v/>
      </c>
      <c r="AD25" s="183"/>
      <c r="AE25" s="49">
        <f>IF(I$8="A",(RANK(AG25,AG$11:AG$349,1)+COUNTIF(AG$11:AG25,AG25)-1),(RANK(AG25,AG$11:AG$349)+COUNTIF(AG$11:AG25,AG25)-1))</f>
        <v>15</v>
      </c>
      <c r="AF25" t="str">
        <f>VLOOKUP(Profile!$J$5,Families!$C:$R,6,FALSE)</f>
        <v>Herefordshire</v>
      </c>
      <c r="AG25" s="15">
        <f t="shared" si="34"/>
        <v>62.711864406779661</v>
      </c>
      <c r="AH25" s="50">
        <f t="shared" si="35"/>
        <v>15</v>
      </c>
      <c r="AI25" s="5" t="str">
        <f>IF(L25="","",VLOOKUP($L25,classifications!$C:$J,8,FALSE))</f>
        <v>Unitary</v>
      </c>
      <c r="AJ25" s="43">
        <f t="shared" si="36"/>
        <v>95.890410958904098</v>
      </c>
      <c r="AK25" s="40">
        <f>IF(AJ25="","",IF(I$8="A",(RANK(AJ25,AJ$11:AJ$349,1)+COUNTIF(AJ$11:AJ25,AJ25)-1),(RANK(AJ25,AJ$11:AJ$349)+COUNTIF(AJ$11:AJ25,AJ25)-1)))</f>
        <v>15</v>
      </c>
      <c r="AL25" s="3">
        <f t="shared" si="37"/>
        <v>15</v>
      </c>
      <c r="AM25" t="str">
        <f t="shared" si="38"/>
        <v>Milton Keynes</v>
      </c>
      <c r="AN25">
        <f t="shared" si="39"/>
        <v>95.890410958904098</v>
      </c>
      <c r="AP25" s="5" t="str">
        <f>IF(L25="","",VLOOKUP($L25,classifications!$C:$E,3,FALSE))</f>
        <v>South East</v>
      </c>
      <c r="AQ25" s="43" t="str">
        <f t="shared" si="40"/>
        <v/>
      </c>
      <c r="AR25" s="40" t="str">
        <f>IF(AQ25="","",IF(I$8="A",(RANK(AQ25,AQ$11:AQ$349,1)+COUNTIF(AQ$11:AQ25,AQ25)-1),(RANK(AQ25,AQ$11:AQ$349)+COUNTIF(AQ$11:AQ25,AQ25)-1)))</f>
        <v/>
      </c>
      <c r="AS25" s="3" t="str">
        <f t="shared" si="41"/>
        <v/>
      </c>
      <c r="AT25" s="40" t="str">
        <f t="shared" si="42"/>
        <v/>
      </c>
      <c r="AU25" s="43" t="str">
        <f t="shared" si="43"/>
        <v/>
      </c>
      <c r="AX25">
        <f>HLOOKUP($AX$9&amp;$AX$10,Data!$A$1:$ZZ$1988,(MATCH($C25,Data!$A$1:$A$1988,0)),FALSE)</f>
        <v>100</v>
      </c>
    </row>
    <row r="26" spans="1:50">
      <c r="A26" s="59" t="str">
        <f>$D$1&amp;16</f>
        <v>UA16</v>
      </c>
      <c r="B26" s="60">
        <f>IF(ISERROR(VLOOKUP(A26,classifications!A:C,3,FALSE)),0,VLOOKUP(A26,classifications!A:C,3,FALSE))</f>
        <v>0</v>
      </c>
      <c r="C26" t="s">
        <v>259</v>
      </c>
      <c r="D26" t="str">
        <f>VLOOKUP($C26,classifications!$C:$J,4,FALSE)</f>
        <v>UA</v>
      </c>
      <c r="E26">
        <f>VLOOKUP(C26,classifications!C:K,9,FALSE)</f>
        <v>0</v>
      </c>
      <c r="F26">
        <f t="shared" si="20"/>
        <v>83.333333333333343</v>
      </c>
      <c r="G26" s="15"/>
      <c r="H26" s="42">
        <f t="shared" si="21"/>
        <v>83.333333333333343</v>
      </c>
      <c r="I26" s="79">
        <f>IF(H26="","",IF($I$8="A",(RANK(H26,H$11:H$349,1)+COUNTIF(H$11:H26,H26)-1),(RANK(H26,H$11:H$349)+COUNTIF(H$11:H26,H26)-1)))</f>
        <v>42</v>
      </c>
      <c r="J26" s="41"/>
      <c r="K26" s="36">
        <f t="shared" si="22"/>
        <v>16</v>
      </c>
      <c r="L26" t="str">
        <f t="shared" si="23"/>
        <v>Torbay</v>
      </c>
      <c r="M26" s="117">
        <f t="shared" si="24"/>
        <v>95.652173913043484</v>
      </c>
      <c r="N26" s="112">
        <f t="shared" si="25"/>
        <v>95.652173913043484</v>
      </c>
      <c r="O26" s="96" t="str">
        <f t="shared" si="26"/>
        <v/>
      </c>
      <c r="P26" s="96">
        <f t="shared" si="27"/>
        <v>95.652173913043484</v>
      </c>
      <c r="Q26" s="96" t="str">
        <f t="shared" si="28"/>
        <v/>
      </c>
      <c r="R26" s="92" t="str">
        <f t="shared" si="29"/>
        <v/>
      </c>
      <c r="S26" s="42" t="str">
        <f t="shared" si="30"/>
        <v/>
      </c>
      <c r="T26" s="176">
        <f>IF(L26="","",VLOOKUP(L26,classifications!C:K,9,FALSE))</f>
        <v>0</v>
      </c>
      <c r="U26" s="177" t="str">
        <f t="shared" si="31"/>
        <v/>
      </c>
      <c r="V26" s="183" t="str">
        <f>IF(U26="","",IF($I$8="A",(RANK(U26,U$11:U$349)+COUNTIF(U$11:U26,U26)-1),(RANK(U26,U$11:U$349,1)+COUNTIF(U$11:U26,U26)-1)))</f>
        <v/>
      </c>
      <c r="W26" s="184"/>
      <c r="X26" s="5" t="str">
        <f>IF(L26="","",VLOOKUP($L26,classifications!$C:$J,6,FALSE))</f>
        <v>Predominantly Urban</v>
      </c>
      <c r="Y26" t="str">
        <f t="shared" si="32"/>
        <v/>
      </c>
      <c r="Z26" s="40" t="str">
        <f>IF(Y26="","",IF(I$8="A",(RANK(Y26,Y$11:Y$349,1)+COUNTIF(Y$11:Y26,Y26)-1),(RANK(Y26,Y$11:Y$349)+COUNTIF(Y$11:Y26,Y26)-1)))</f>
        <v/>
      </c>
      <c r="AA26" s="189" t="str">
        <f>IF(L26="","",VLOOKUP($L26,classifications!C:I,7,FALSE))</f>
        <v>Predominantly Urban</v>
      </c>
      <c r="AB26" s="183" t="str">
        <f t="shared" si="33"/>
        <v/>
      </c>
      <c r="AC26" s="183" t="str">
        <f>IF(AB26="","",IF($I$8="A",(RANK(AB26,AB$11:AB$349)+COUNTIF(AB$11:AB26,AB26)-1),(RANK(AB26,AB$11:AB$349,1)+COUNTIF(AB$11:AB26,AB26)-1)))</f>
        <v/>
      </c>
      <c r="AD26" s="183"/>
      <c r="AE26" s="49">
        <f>IF(I$8="A",(RANK(AG26,AG$11:AG$349,1)+COUNTIF(AG$11:AG26,AG26)-1),(RANK(AG26,AG$11:AG$349)+COUNTIF(AG$11:AG26,AG26)-1))</f>
        <v>16</v>
      </c>
      <c r="AF26" t="str">
        <f>VLOOKUP(Profile!$J$5,Families!$C:$R,6,FALSE)</f>
        <v>Herefordshire</v>
      </c>
      <c r="AG26" s="15">
        <f t="shared" si="34"/>
        <v>62.711864406779661</v>
      </c>
      <c r="AH26" s="50">
        <f t="shared" si="35"/>
        <v>16</v>
      </c>
      <c r="AI26" s="5" t="str">
        <f>IF(L26="","",VLOOKUP($L26,classifications!$C:$J,8,FALSE))</f>
        <v>Unitary</v>
      </c>
      <c r="AJ26" s="43">
        <f t="shared" si="36"/>
        <v>95.652173913043484</v>
      </c>
      <c r="AK26" s="40">
        <f>IF(AJ26="","",IF(I$8="A",(RANK(AJ26,AJ$11:AJ$349,1)+COUNTIF(AJ$11:AJ26,AJ26)-1),(RANK(AJ26,AJ$11:AJ$349)+COUNTIF(AJ$11:AJ26,AJ26)-1)))</f>
        <v>16</v>
      </c>
      <c r="AL26" s="3">
        <f t="shared" si="37"/>
        <v>16</v>
      </c>
      <c r="AM26" t="str">
        <f t="shared" si="38"/>
        <v>Torbay</v>
      </c>
      <c r="AN26">
        <f t="shared" si="39"/>
        <v>95.652173913043484</v>
      </c>
      <c r="AP26" s="5" t="str">
        <f>IF(L26="","",VLOOKUP($L26,classifications!$C:$E,3,FALSE))</f>
        <v>South West</v>
      </c>
      <c r="AQ26" s="43" t="str">
        <f t="shared" si="40"/>
        <v/>
      </c>
      <c r="AR26" s="40" t="str">
        <f>IF(AQ26="","",IF(I$8="A",(RANK(AQ26,AQ$11:AQ$349,1)+COUNTIF(AQ$11:AQ26,AQ26)-1),(RANK(AQ26,AQ$11:AQ$349)+COUNTIF(AQ$11:AQ26,AQ26)-1)))</f>
        <v/>
      </c>
      <c r="AS26" s="3" t="str">
        <f t="shared" si="41"/>
        <v/>
      </c>
      <c r="AT26" s="40" t="str">
        <f t="shared" si="42"/>
        <v/>
      </c>
      <c r="AU26" s="43" t="str">
        <f t="shared" si="43"/>
        <v/>
      </c>
      <c r="AX26">
        <f>HLOOKUP($AX$9&amp;$AX$10,Data!$A$1:$ZZ$1988,(MATCH($C26,Data!$A$1:$A$1988,0)),FALSE)</f>
        <v>83.333333333333343</v>
      </c>
    </row>
    <row r="27" spans="1:50">
      <c r="A27" s="59" t="str">
        <f>$D$1&amp;17</f>
        <v>UA17</v>
      </c>
      <c r="B27" s="60">
        <f>IF(ISERROR(VLOOKUP(A27,classifications!A:C,3,FALSE)),0,VLOOKUP(A27,classifications!A:C,3,FALSE))</f>
        <v>0</v>
      </c>
      <c r="C27" t="s">
        <v>197</v>
      </c>
      <c r="D27" t="str">
        <f>VLOOKUP($C27,classifications!$C:$J,4,FALSE)</f>
        <v>L</v>
      </c>
      <c r="E27">
        <f>VLOOKUP(C27,classifications!C:K,9,FALSE)</f>
        <v>0</v>
      </c>
      <c r="F27">
        <f t="shared" si="20"/>
        <v>100</v>
      </c>
      <c r="G27" s="15"/>
      <c r="H27" s="42" t="str">
        <f t="shared" si="21"/>
        <v/>
      </c>
      <c r="I27" s="79" t="str">
        <f>IF(H27="","",IF($I$8="A",(RANK(H27,H$11:H$349,1)+COUNTIF(H$11:H27,H27)-1),(RANK(H27,H$11:H$349)+COUNTIF(H$11:H27,H27)-1)))</f>
        <v/>
      </c>
      <c r="J27" s="41"/>
      <c r="K27" s="36">
        <f t="shared" si="22"/>
        <v>17</v>
      </c>
      <c r="L27" t="str">
        <f t="shared" si="23"/>
        <v>York</v>
      </c>
      <c r="M27" s="117">
        <f t="shared" si="24"/>
        <v>95.121951219512198</v>
      </c>
      <c r="N27" s="112">
        <f t="shared" si="25"/>
        <v>95.121951219512198</v>
      </c>
      <c r="O27" s="96" t="str">
        <f t="shared" si="26"/>
        <v/>
      </c>
      <c r="P27" s="96">
        <f t="shared" si="27"/>
        <v>95.121951219512198</v>
      </c>
      <c r="Q27" s="96" t="str">
        <f t="shared" si="28"/>
        <v/>
      </c>
      <c r="R27" s="92" t="str">
        <f t="shared" si="29"/>
        <v/>
      </c>
      <c r="S27" s="42" t="str">
        <f t="shared" si="30"/>
        <v/>
      </c>
      <c r="T27" s="176">
        <f>IF(L27="","",VLOOKUP(L27,classifications!C:K,9,FALSE))</f>
        <v>0</v>
      </c>
      <c r="U27" s="177" t="str">
        <f t="shared" si="31"/>
        <v/>
      </c>
      <c r="V27" s="183" t="str">
        <f>IF(U27="","",IF($I$8="A",(RANK(U27,U$11:U$349)+COUNTIF(U$11:U27,U27)-1),(RANK(U27,U$11:U$349,1)+COUNTIF(U$11:U27,U27)-1)))</f>
        <v/>
      </c>
      <c r="W27" s="184"/>
      <c r="X27" s="5" t="str">
        <f>IF(L27="","",VLOOKUP($L27,classifications!$C:$J,6,FALSE))</f>
        <v>Predominantly Urban</v>
      </c>
      <c r="Y27" t="str">
        <f t="shared" si="32"/>
        <v/>
      </c>
      <c r="Z27" s="40" t="str">
        <f>IF(Y27="","",IF(I$8="A",(RANK(Y27,Y$11:Y$349,1)+COUNTIF(Y$11:Y27,Y27)-1),(RANK(Y27,Y$11:Y$349)+COUNTIF(Y$11:Y27,Y27)-1)))</f>
        <v/>
      </c>
      <c r="AA27" s="189" t="str">
        <f>IF(L27="","",VLOOKUP($L27,classifications!C:I,7,FALSE))</f>
        <v>Predominantly Urban</v>
      </c>
      <c r="AB27" s="183" t="str">
        <f t="shared" si="33"/>
        <v/>
      </c>
      <c r="AC27" s="183" t="str">
        <f>IF(AB27="","",IF($I$8="A",(RANK(AB27,AB$11:AB$349)+COUNTIF(AB$11:AB27,AB27)-1),(RANK(AB27,AB$11:AB$349,1)+COUNTIF(AB$11:AB27,AB27)-1)))</f>
        <v/>
      </c>
      <c r="AD27" s="183"/>
      <c r="AE27" s="49">
        <f>IF(I$8="A",(RANK(AG27,AG$11:AG$349,1)+COUNTIF(AG$11:AG27,AG27)-1),(RANK(AG27,AG$11:AG$349)+COUNTIF(AG$11:AG27,AG27)-1))</f>
        <v>17</v>
      </c>
      <c r="AF27" t="str">
        <f>VLOOKUP(Profile!$J$5,Families!$C:$R,6,FALSE)</f>
        <v>Herefordshire</v>
      </c>
      <c r="AG27" s="15">
        <f t="shared" si="34"/>
        <v>62.711864406779661</v>
      </c>
      <c r="AH27" s="50">
        <f t="shared" si="35"/>
        <v>17</v>
      </c>
      <c r="AI27" s="5" t="str">
        <f>IF(L27="","",VLOOKUP($L27,classifications!$C:$J,8,FALSE))</f>
        <v>Unitary</v>
      </c>
      <c r="AJ27" s="43">
        <f t="shared" si="36"/>
        <v>95.121951219512198</v>
      </c>
      <c r="AK27" s="40">
        <f>IF(AJ27="","",IF(I$8="A",(RANK(AJ27,AJ$11:AJ$349,1)+COUNTIF(AJ$11:AJ27,AJ27)-1),(RANK(AJ27,AJ$11:AJ$349)+COUNTIF(AJ$11:AJ27,AJ27)-1)))</f>
        <v>17</v>
      </c>
      <c r="AL27" s="3">
        <f t="shared" si="37"/>
        <v>17</v>
      </c>
      <c r="AM27" t="str">
        <f t="shared" si="38"/>
        <v>York</v>
      </c>
      <c r="AN27">
        <f t="shared" si="39"/>
        <v>95.121951219512198</v>
      </c>
      <c r="AP27" s="5" t="str">
        <f>IF(L27="","",VLOOKUP($L27,classifications!$C:$E,3,FALSE))</f>
        <v>Yorkshire &amp; Humberside</v>
      </c>
      <c r="AQ27" s="43" t="str">
        <f t="shared" si="40"/>
        <v/>
      </c>
      <c r="AR27" s="40" t="str">
        <f>IF(AQ27="","",IF(I$8="A",(RANK(AQ27,AQ$11:AQ$349,1)+COUNTIF(AQ$11:AQ27,AQ27)-1),(RANK(AQ27,AQ$11:AQ$349)+COUNTIF(AQ$11:AQ27,AQ27)-1)))</f>
        <v/>
      </c>
      <c r="AS27" s="3" t="str">
        <f t="shared" si="41"/>
        <v/>
      </c>
      <c r="AT27" s="40" t="str">
        <f t="shared" si="42"/>
        <v/>
      </c>
      <c r="AU27" s="43" t="str">
        <f t="shared" si="43"/>
        <v/>
      </c>
      <c r="AX27">
        <f>HLOOKUP($AX$9&amp;$AX$10,Data!$A$1:$ZZ$1988,(MATCH($C27,Data!$A$1:$A$1988,0)),FALSE)</f>
        <v>100</v>
      </c>
    </row>
    <row r="28" spans="1:50">
      <c r="A28" s="59" t="str">
        <f>$D$1&amp;18</f>
        <v>UA18</v>
      </c>
      <c r="B28" s="60">
        <f>IF(ISERROR(VLOOKUP(A28,classifications!A:C,3,FALSE)),0,VLOOKUP(A28,classifications!A:C,3,FALSE))</f>
        <v>0</v>
      </c>
      <c r="C28" t="s">
        <v>223</v>
      </c>
      <c r="D28" t="str">
        <f>VLOOKUP($C28,classifications!$C:$J,4,FALSE)</f>
        <v>MD</v>
      </c>
      <c r="E28">
        <f>VLOOKUP(C28,classifications!C:K,9,FALSE)</f>
        <v>0</v>
      </c>
      <c r="F28">
        <f t="shared" si="20"/>
        <v>94.73684210526315</v>
      </c>
      <c r="G28" s="15"/>
      <c r="H28" s="42" t="str">
        <f t="shared" si="21"/>
        <v/>
      </c>
      <c r="I28" s="79" t="str">
        <f>IF(H28="","",IF($I$8="A",(RANK(H28,H$11:H$349,1)+COUNTIF(H$11:H28,H28)-1),(RANK(H28,H$11:H$349)+COUNTIF(H$11:H28,H28)-1)))</f>
        <v/>
      </c>
      <c r="J28" s="41"/>
      <c r="K28" s="36">
        <f t="shared" si="22"/>
        <v>18</v>
      </c>
      <c r="L28" t="str">
        <f t="shared" si="23"/>
        <v>Cheshire East</v>
      </c>
      <c r="M28" s="117">
        <f t="shared" si="24"/>
        <v>94.444444444444443</v>
      </c>
      <c r="N28" s="112">
        <f t="shared" si="25"/>
        <v>94.444444444444443</v>
      </c>
      <c r="O28" s="96" t="str">
        <f t="shared" si="26"/>
        <v/>
      </c>
      <c r="P28" s="96">
        <f t="shared" si="27"/>
        <v>94.444444444444443</v>
      </c>
      <c r="Q28" s="96" t="str">
        <f t="shared" si="28"/>
        <v/>
      </c>
      <c r="R28" s="92" t="str">
        <f t="shared" si="29"/>
        <v/>
      </c>
      <c r="S28" s="42" t="str">
        <f t="shared" si="30"/>
        <v>u</v>
      </c>
      <c r="T28" s="176" t="str">
        <f>IF(L28="","",VLOOKUP(L28,classifications!C:K,9,FALSE))</f>
        <v>Sparse</v>
      </c>
      <c r="U28" s="177">
        <f t="shared" si="31"/>
        <v>94.444444444444443</v>
      </c>
      <c r="V28" s="183">
        <f>IF(U28="","",IF($I$8="A",(RANK(U28,U$11:U$349)+COUNTIF(U$11:U28,U28)-1),(RANK(U28,U$11:U$349,1)+COUNTIF(U$11:U28,U28)-1)))</f>
        <v>11</v>
      </c>
      <c r="W28" s="184"/>
      <c r="X28" s="5" t="str">
        <f>IF(L28="","",VLOOKUP($L28,classifications!$C:$J,6,FALSE))</f>
        <v>Urban with Significant Rural</v>
      </c>
      <c r="Y28">
        <f t="shared" si="32"/>
        <v>94.444444444444443</v>
      </c>
      <c r="Z28" s="40">
        <f>IF(Y28="","",IF(I$8="A",(RANK(Y28,Y$11:Y$349,1)+COUNTIF(Y$11:Y28,Y28)-1),(RANK(Y28,Y$11:Y$349)+COUNTIF(Y$11:Y28,Y28)-1)))</f>
        <v>3</v>
      </c>
      <c r="AA28" s="189" t="str">
        <f>IF(L28="","",VLOOKUP($L28,classifications!C:I,7,FALSE))</f>
        <v>Urban with Significant Rural</v>
      </c>
      <c r="AB28" s="183">
        <f t="shared" si="33"/>
        <v>94.444444444444443</v>
      </c>
      <c r="AC28" s="183">
        <f>IF(AB28="","",IF($I$8="A",(RANK(AB28,AB$11:AB$349)+COUNTIF(AB$11:AB28,AB28)-1),(RANK(AB28,AB$11:AB$349,1)+COUNTIF(AB$11:AB28,AB28)-1)))</f>
        <v>10</v>
      </c>
      <c r="AD28" s="183"/>
      <c r="AE28" s="49">
        <f>IF(I$8="A",(RANK(AG28,AG$11:AG$349,1)+COUNTIF(AG$11:AG28,AG28)-1),(RANK(AG28,AG$11:AG$349)+COUNTIF(AG$11:AG28,AG28)-1))</f>
        <v>18</v>
      </c>
      <c r="AF28" t="str">
        <f>VLOOKUP(Profile!$J$5,Families!$C:$R,6,FALSE)</f>
        <v>Herefordshire</v>
      </c>
      <c r="AG28" s="15">
        <f t="shared" si="34"/>
        <v>62.711864406779661</v>
      </c>
      <c r="AH28" s="50">
        <f t="shared" si="35"/>
        <v>18</v>
      </c>
      <c r="AI28" s="5" t="str">
        <f>IF(L28="","",VLOOKUP($L28,classifications!$C:$J,8,FALSE))</f>
        <v>Unitary</v>
      </c>
      <c r="AJ28" s="43">
        <f t="shared" si="36"/>
        <v>94.444444444444443</v>
      </c>
      <c r="AK28" s="40">
        <f>IF(AJ28="","",IF(I$8="A",(RANK(AJ28,AJ$11:AJ$349,1)+COUNTIF(AJ$11:AJ28,AJ28)-1),(RANK(AJ28,AJ$11:AJ$349)+COUNTIF(AJ$11:AJ28,AJ28)-1)))</f>
        <v>18</v>
      </c>
      <c r="AL28" s="3">
        <f t="shared" si="37"/>
        <v>18</v>
      </c>
      <c r="AM28" t="str">
        <f t="shared" si="38"/>
        <v>Cheshire East</v>
      </c>
      <c r="AN28">
        <f t="shared" si="39"/>
        <v>94.444444444444443</v>
      </c>
      <c r="AP28" s="5" t="str">
        <f>IF(L28="","",VLOOKUP($L28,classifications!$C:$E,3,FALSE))</f>
        <v>North West</v>
      </c>
      <c r="AQ28" s="43">
        <f t="shared" si="40"/>
        <v>94.444444444444443</v>
      </c>
      <c r="AR28" s="40">
        <f>IF(AQ28="","",IF(I$8="A",(RANK(AQ28,AQ$11:AQ$349,1)+COUNTIF(AQ$11:AQ28,AQ28)-1),(RANK(AQ28,AQ$11:AQ$349)+COUNTIF(AQ$11:AQ28,AQ28)-1)))</f>
        <v>3</v>
      </c>
      <c r="AS28" s="3" t="str">
        <f t="shared" si="41"/>
        <v/>
      </c>
      <c r="AT28" s="40" t="str">
        <f t="shared" si="42"/>
        <v/>
      </c>
      <c r="AU28" s="43" t="str">
        <f t="shared" si="43"/>
        <v/>
      </c>
      <c r="AX28">
        <f>HLOOKUP($AX$9&amp;$AX$10,Data!$A$1:$ZZ$1988,(MATCH($C28,Data!$A$1:$A$1988,0)),FALSE)</f>
        <v>94.73684210526315</v>
      </c>
    </row>
    <row r="29" spans="1:50">
      <c r="A29" s="59" t="str">
        <f>$D$1&amp;19</f>
        <v>UA19</v>
      </c>
      <c r="B29" s="60">
        <f>IF(ISERROR(VLOOKUP(A29,classifications!A:C,3,FALSE)),0,VLOOKUP(A29,classifications!A:C,3,FALSE))</f>
        <v>0</v>
      </c>
      <c r="C29" t="s">
        <v>16</v>
      </c>
      <c r="D29" t="str">
        <f>VLOOKUP($C29,classifications!$C:$J,4,FALSE)</f>
        <v>SD</v>
      </c>
      <c r="E29">
        <f>VLOOKUP(C29,classifications!C:K,9,FALSE)</f>
        <v>0</v>
      </c>
      <c r="F29">
        <f t="shared" si="20"/>
        <v>86.666666666666671</v>
      </c>
      <c r="G29" s="15"/>
      <c r="H29" s="42" t="str">
        <f t="shared" si="21"/>
        <v/>
      </c>
      <c r="I29" s="79" t="str">
        <f>IF(H29="","",IF($I$8="A",(RANK(H29,H$11:H$349,1)+COUNTIF(H$11:H29,H29)-1),(RANK(H29,H$11:H$349)+COUNTIF(H$11:H29,H29)-1)))</f>
        <v/>
      </c>
      <c r="J29" s="41"/>
      <c r="K29" s="36">
        <f t="shared" si="22"/>
        <v>19</v>
      </c>
      <c r="L29" t="str">
        <f t="shared" si="23"/>
        <v>Nottingham</v>
      </c>
      <c r="M29" s="117">
        <f t="shared" si="24"/>
        <v>94.444444444444443</v>
      </c>
      <c r="N29" s="112">
        <f t="shared" si="25"/>
        <v>94.444444444444443</v>
      </c>
      <c r="O29" s="96" t="str">
        <f t="shared" si="26"/>
        <v/>
      </c>
      <c r="P29" s="96">
        <f t="shared" si="27"/>
        <v>94.444444444444443</v>
      </c>
      <c r="Q29" s="96" t="str">
        <f t="shared" si="28"/>
        <v/>
      </c>
      <c r="R29" s="92" t="str">
        <f t="shared" si="29"/>
        <v/>
      </c>
      <c r="S29" s="42" t="str">
        <f t="shared" si="30"/>
        <v/>
      </c>
      <c r="T29" s="176">
        <f>IF(L29="","",VLOOKUP(L29,classifications!C:K,9,FALSE))</f>
        <v>0</v>
      </c>
      <c r="U29" s="177" t="str">
        <f t="shared" si="31"/>
        <v/>
      </c>
      <c r="V29" s="183" t="str">
        <f>IF(U29="","",IF($I$8="A",(RANK(U29,U$11:U$349)+COUNTIF(U$11:U29,U29)-1),(RANK(U29,U$11:U$349,1)+COUNTIF(U$11:U29,U29)-1)))</f>
        <v/>
      </c>
      <c r="W29" s="184"/>
      <c r="X29" s="5" t="str">
        <f>IF(L29="","",VLOOKUP($L29,classifications!$C:$J,6,FALSE))</f>
        <v>Predominantly Urban</v>
      </c>
      <c r="Y29" t="str">
        <f t="shared" si="32"/>
        <v/>
      </c>
      <c r="Z29" s="40" t="str">
        <f>IF(Y29="","",IF(I$8="A",(RANK(Y29,Y$11:Y$349,1)+COUNTIF(Y$11:Y29,Y29)-1),(RANK(Y29,Y$11:Y$349)+COUNTIF(Y$11:Y29,Y29)-1)))</f>
        <v/>
      </c>
      <c r="AA29" s="189" t="str">
        <f>IF(L29="","",VLOOKUP($L29,classifications!C:I,7,FALSE))</f>
        <v>Predominantly Urban</v>
      </c>
      <c r="AB29" s="183" t="str">
        <f t="shared" si="33"/>
        <v/>
      </c>
      <c r="AC29" s="183" t="str">
        <f>IF(AB29="","",IF($I$8="A",(RANK(AB29,AB$11:AB$349)+COUNTIF(AB$11:AB29,AB29)-1),(RANK(AB29,AB$11:AB$349,1)+COUNTIF(AB$11:AB29,AB29)-1)))</f>
        <v/>
      </c>
      <c r="AD29" s="183"/>
      <c r="AE29" s="49">
        <f>IF(I$8="A",(RANK(AG29,AG$11:AG$349,1)+COUNTIF(AG$11:AG29,AG29)-1),(RANK(AG29,AG$11:AG$349)+COUNTIF(AG$11:AG29,AG29)-1))</f>
        <v>19</v>
      </c>
      <c r="AF29" t="str">
        <f>VLOOKUP(Profile!$J$5,Families!$C:$R,6,FALSE)</f>
        <v>Herefordshire</v>
      </c>
      <c r="AG29" s="15">
        <f t="shared" si="34"/>
        <v>62.711864406779661</v>
      </c>
      <c r="AH29" s="50">
        <f t="shared" si="35"/>
        <v>19</v>
      </c>
      <c r="AI29" s="5" t="str">
        <f>IF(L29="","",VLOOKUP($L29,classifications!$C:$J,8,FALSE))</f>
        <v>Unitary</v>
      </c>
      <c r="AJ29" s="43">
        <f t="shared" si="36"/>
        <v>94.444444444444443</v>
      </c>
      <c r="AK29" s="40">
        <f>IF(AJ29="","",IF(I$8="A",(RANK(AJ29,AJ$11:AJ$349,1)+COUNTIF(AJ$11:AJ29,AJ29)-1),(RANK(AJ29,AJ$11:AJ$349)+COUNTIF(AJ$11:AJ29,AJ29)-1)))</f>
        <v>19</v>
      </c>
      <c r="AL29" s="3">
        <f t="shared" si="37"/>
        <v>19</v>
      </c>
      <c r="AM29" t="str">
        <f t="shared" si="38"/>
        <v>Nottingham</v>
      </c>
      <c r="AN29">
        <f t="shared" si="39"/>
        <v>94.444444444444443</v>
      </c>
      <c r="AP29" s="5" t="str">
        <f>IF(L29="","",VLOOKUP($L29,classifications!$C:$E,3,FALSE))</f>
        <v>East Midlands</v>
      </c>
      <c r="AQ29" s="43" t="str">
        <f t="shared" si="40"/>
        <v/>
      </c>
      <c r="AR29" s="40" t="str">
        <f>IF(AQ29="","",IF(I$8="A",(RANK(AQ29,AQ$11:AQ$349,1)+COUNTIF(AQ$11:AQ29,AQ29)-1),(RANK(AQ29,AQ$11:AQ$349)+COUNTIF(AQ$11:AQ29,AQ29)-1)))</f>
        <v/>
      </c>
      <c r="AS29" s="3" t="str">
        <f t="shared" si="41"/>
        <v/>
      </c>
      <c r="AT29" s="40" t="str">
        <f t="shared" si="42"/>
        <v/>
      </c>
      <c r="AU29" s="43" t="str">
        <f t="shared" si="43"/>
        <v/>
      </c>
      <c r="AX29">
        <f>HLOOKUP($AX$9&amp;$AX$10,Data!$A$1:$ZZ$1988,(MATCH($C29,Data!$A$1:$A$1988,0)),FALSE)</f>
        <v>86.666666666666671</v>
      </c>
    </row>
    <row r="30" spans="1:50">
      <c r="A30" s="59" t="str">
        <f>$D$1&amp;20</f>
        <v>UA20</v>
      </c>
      <c r="B30" s="60">
        <f>IF(ISERROR(VLOOKUP(A30,classifications!A:C,3,FALSE)),0,VLOOKUP(A30,classifications!A:C,3,FALSE))</f>
        <v>0</v>
      </c>
      <c r="C30" t="s">
        <v>260</v>
      </c>
      <c r="D30" t="str">
        <f>VLOOKUP($C30,classifications!$C:$J,4,FALSE)</f>
        <v>UA</v>
      </c>
      <c r="E30">
        <f>VLOOKUP(C30,classifications!C:K,9,FALSE)</f>
        <v>0</v>
      </c>
      <c r="F30">
        <f t="shared" si="20"/>
        <v>100</v>
      </c>
      <c r="G30" s="15"/>
      <c r="H30" s="42">
        <f t="shared" si="21"/>
        <v>100</v>
      </c>
      <c r="I30" s="79">
        <f>IF(H30="","",IF($I$8="A",(RANK(H30,H$11:H$349,1)+COUNTIF(H$11:H30,H30)-1),(RANK(H30,H$11:H$349)+COUNTIF(H$11:H30,H30)-1)))</f>
        <v>2</v>
      </c>
      <c r="J30" s="41"/>
      <c r="K30" s="36">
        <f t="shared" si="22"/>
        <v>20</v>
      </c>
      <c r="L30" t="str">
        <f t="shared" si="23"/>
        <v>Bristol</v>
      </c>
      <c r="M30" s="117">
        <f t="shared" si="24"/>
        <v>94.285714285714278</v>
      </c>
      <c r="N30" s="112">
        <f t="shared" si="25"/>
        <v>94.285714285714278</v>
      </c>
      <c r="O30" s="96" t="str">
        <f t="shared" si="26"/>
        <v/>
      </c>
      <c r="P30" s="96">
        <f t="shared" si="27"/>
        <v>94.285714285714278</v>
      </c>
      <c r="Q30" s="96" t="str">
        <f t="shared" si="28"/>
        <v/>
      </c>
      <c r="R30" s="92" t="str">
        <f t="shared" si="29"/>
        <v/>
      </c>
      <c r="S30" s="42" t="str">
        <f t="shared" si="30"/>
        <v/>
      </c>
      <c r="T30" s="176">
        <f>IF(L30="","",VLOOKUP(L30,classifications!C:K,9,FALSE))</f>
        <v>0</v>
      </c>
      <c r="U30" s="177" t="str">
        <f t="shared" si="31"/>
        <v/>
      </c>
      <c r="V30" s="183" t="str">
        <f>IF(U30="","",IF($I$8="A",(RANK(U30,U$11:U$349)+COUNTIF(U$11:U30,U30)-1),(RANK(U30,U$11:U$349,1)+COUNTIF(U$11:U30,U30)-1)))</f>
        <v/>
      </c>
      <c r="W30" s="184"/>
      <c r="X30" s="5" t="str">
        <f>IF(L30="","",VLOOKUP($L30,classifications!$C:$J,6,FALSE))</f>
        <v>Predominantly Urban</v>
      </c>
      <c r="Y30" t="str">
        <f t="shared" si="32"/>
        <v/>
      </c>
      <c r="Z30" s="40" t="str">
        <f>IF(Y30="","",IF(I$8="A",(RANK(Y30,Y$11:Y$349,1)+COUNTIF(Y$11:Y30,Y30)-1),(RANK(Y30,Y$11:Y$349)+COUNTIF(Y$11:Y30,Y30)-1)))</f>
        <v/>
      </c>
      <c r="AA30" s="189" t="str">
        <f>IF(L30="","",VLOOKUP($L30,classifications!C:I,7,FALSE))</f>
        <v>Predominantly Urban</v>
      </c>
      <c r="AB30" s="183" t="str">
        <f t="shared" si="33"/>
        <v/>
      </c>
      <c r="AC30" s="183" t="str">
        <f>IF(AB30="","",IF($I$8="A",(RANK(AB30,AB$11:AB$349)+COUNTIF(AB$11:AB30,AB30)-1),(RANK(AB30,AB$11:AB$349,1)+COUNTIF(AB$11:AB30,AB30)-1)))</f>
        <v/>
      </c>
      <c r="AD30" s="183"/>
      <c r="AE30" s="49">
        <f>IF(I$8="A",(RANK(AG30,AG$11:AG$349,1)+COUNTIF(AG$11:AG30,AG30)-1),(RANK(AG30,AG$11:AG$349)+COUNTIF(AG$11:AG30,AG30)-1))</f>
        <v>20</v>
      </c>
      <c r="AF30" t="str">
        <f>VLOOKUP(Profile!$J$5,Families!$C:$R,6,FALSE)</f>
        <v>Herefordshire</v>
      </c>
      <c r="AG30" s="15">
        <f t="shared" si="34"/>
        <v>62.711864406779661</v>
      </c>
      <c r="AH30" s="50">
        <f t="shared" si="35"/>
        <v>20</v>
      </c>
      <c r="AI30" s="5" t="str">
        <f>IF(L30="","",VLOOKUP($L30,classifications!$C:$J,8,FALSE))</f>
        <v>Unitary</v>
      </c>
      <c r="AJ30" s="43">
        <f t="shared" si="36"/>
        <v>94.285714285714278</v>
      </c>
      <c r="AK30" s="40">
        <f>IF(AJ30="","",IF(I$8="A",(RANK(AJ30,AJ$11:AJ$349,1)+COUNTIF(AJ$11:AJ30,AJ30)-1),(RANK(AJ30,AJ$11:AJ$349)+COUNTIF(AJ$11:AJ30,AJ30)-1)))</f>
        <v>20</v>
      </c>
      <c r="AL30" s="3">
        <f t="shared" si="37"/>
        <v>20</v>
      </c>
      <c r="AM30" t="str">
        <f t="shared" si="38"/>
        <v>Bristol</v>
      </c>
      <c r="AN30">
        <f t="shared" si="39"/>
        <v>94.285714285714278</v>
      </c>
      <c r="AP30" s="5" t="str">
        <f>IF(L30="","",VLOOKUP($L30,classifications!$C:$E,3,FALSE))</f>
        <v>South West</v>
      </c>
      <c r="AQ30" s="43" t="str">
        <f t="shared" si="40"/>
        <v/>
      </c>
      <c r="AR30" s="40" t="str">
        <f>IF(AQ30="","",IF(I$8="A",(RANK(AQ30,AQ$11:AQ$349,1)+COUNTIF(AQ$11:AQ30,AQ30)-1),(RANK(AQ30,AQ$11:AQ$349)+COUNTIF(AQ$11:AQ30,AQ30)-1)))</f>
        <v/>
      </c>
      <c r="AS30" s="3" t="str">
        <f t="shared" si="41"/>
        <v/>
      </c>
      <c r="AT30" s="40" t="str">
        <f t="shared" si="42"/>
        <v/>
      </c>
      <c r="AU30" s="43" t="str">
        <f t="shared" si="43"/>
        <v/>
      </c>
      <c r="AX30">
        <f>HLOOKUP($AX$9&amp;$AX$10,Data!$A$1:$ZZ$1988,(MATCH($C30,Data!$A$1:$A$1988,0)),FALSE)</f>
        <v>100</v>
      </c>
    </row>
    <row r="31" spans="1:50">
      <c r="A31" s="59" t="str">
        <f>$D$1&amp;21</f>
        <v>UA21</v>
      </c>
      <c r="B31" s="60">
        <f>IF(ISERROR(VLOOKUP(A31,classifications!A:C,3,FALSE)),0,VLOOKUP(A31,classifications!A:C,3,FALSE))</f>
        <v>0</v>
      </c>
      <c r="C31" t="s">
        <v>261</v>
      </c>
      <c r="D31" t="str">
        <f>VLOOKUP($C31,classifications!$C:$J,4,FALSE)</f>
        <v>UA</v>
      </c>
      <c r="E31">
        <f>VLOOKUP(C31,classifications!C:K,9,FALSE)</f>
        <v>0</v>
      </c>
      <c r="F31">
        <f t="shared" si="20"/>
        <v>100</v>
      </c>
      <c r="G31" s="15"/>
      <c r="H31" s="42">
        <f t="shared" si="21"/>
        <v>100</v>
      </c>
      <c r="I31" s="79">
        <f>IF(H31="","",IF($I$8="A",(RANK(H31,H$11:H$349,1)+COUNTIF(H$11:H31,H31)-1),(RANK(H31,H$11:H$349)+COUNTIF(H$11:H31,H31)-1)))</f>
        <v>3</v>
      </c>
      <c r="J31" s="41"/>
      <c r="K31" s="36">
        <f t="shared" si="22"/>
        <v>21</v>
      </c>
      <c r="L31" t="str">
        <f t="shared" si="23"/>
        <v>Medway</v>
      </c>
      <c r="M31" s="117">
        <f t="shared" si="24"/>
        <v>94.117647058823522</v>
      </c>
      <c r="N31" s="112">
        <f t="shared" si="25"/>
        <v>94.117647058823522</v>
      </c>
      <c r="O31" s="96" t="str">
        <f t="shared" si="26"/>
        <v/>
      </c>
      <c r="P31" s="96">
        <f t="shared" si="27"/>
        <v>94.117647058823522</v>
      </c>
      <c r="Q31" s="96" t="str">
        <f t="shared" si="28"/>
        <v/>
      </c>
      <c r="R31" s="92" t="str">
        <f t="shared" si="29"/>
        <v/>
      </c>
      <c r="S31" s="42" t="str">
        <f t="shared" si="30"/>
        <v/>
      </c>
      <c r="T31" s="176">
        <f>IF(L31="","",VLOOKUP(L31,classifications!C:K,9,FALSE))</f>
        <v>0</v>
      </c>
      <c r="U31" s="177" t="str">
        <f t="shared" si="31"/>
        <v/>
      </c>
      <c r="V31" s="183" t="str">
        <f>IF(U31="","",IF($I$8="A",(RANK(U31,U$11:U$349)+COUNTIF(U$11:U31,U31)-1),(RANK(U31,U$11:U$349,1)+COUNTIF(U$11:U31,U31)-1)))</f>
        <v/>
      </c>
      <c r="W31" s="184"/>
      <c r="X31" s="5" t="str">
        <f>IF(L31="","",VLOOKUP($L31,classifications!$C:$J,6,FALSE))</f>
        <v>Predominantly Urban</v>
      </c>
      <c r="Y31" t="str">
        <f t="shared" si="32"/>
        <v/>
      </c>
      <c r="Z31" s="40" t="str">
        <f>IF(Y31="","",IF(I$8="A",(RANK(Y31,Y$11:Y$349,1)+COUNTIF(Y$11:Y31,Y31)-1),(RANK(Y31,Y$11:Y$349)+COUNTIF(Y$11:Y31,Y31)-1)))</f>
        <v/>
      </c>
      <c r="AA31" s="189" t="str">
        <f>IF(L31="","",VLOOKUP($L31,classifications!C:I,7,FALSE))</f>
        <v>Predominantly Urban</v>
      </c>
      <c r="AB31" s="183" t="str">
        <f t="shared" si="33"/>
        <v/>
      </c>
      <c r="AC31" s="183" t="str">
        <f>IF(AB31="","",IF($I$8="A",(RANK(AB31,AB$11:AB$349)+COUNTIF(AB$11:AB31,AB31)-1),(RANK(AB31,AB$11:AB$349,1)+COUNTIF(AB$11:AB31,AB31)-1)))</f>
        <v/>
      </c>
      <c r="AD31" s="183"/>
      <c r="AE31" s="49">
        <f>IF(I$8="A",(RANK(AG31,AG$11:AG$349,1)+COUNTIF(AG$11:AG31,AG31)-1),(RANK(AG31,AG$11:AG$349)+COUNTIF(AG$11:AG31,AG31)-1))</f>
        <v>21</v>
      </c>
      <c r="AF31" t="str">
        <f>VLOOKUP(Profile!$J$5,Families!$C:$R,6,FALSE)</f>
        <v>Herefordshire</v>
      </c>
      <c r="AG31" s="15">
        <f t="shared" si="34"/>
        <v>62.711864406779661</v>
      </c>
      <c r="AH31" s="50">
        <f t="shared" si="35"/>
        <v>21</v>
      </c>
      <c r="AI31" s="5" t="str">
        <f>IF(L31="","",VLOOKUP($L31,classifications!$C:$J,8,FALSE))</f>
        <v>Unitary</v>
      </c>
      <c r="AJ31" s="43">
        <f t="shared" si="36"/>
        <v>94.117647058823522</v>
      </c>
      <c r="AK31" s="40">
        <f>IF(AJ31="","",IF(I$8="A",(RANK(AJ31,AJ$11:AJ$349,1)+COUNTIF(AJ$11:AJ31,AJ31)-1),(RANK(AJ31,AJ$11:AJ$349)+COUNTIF(AJ$11:AJ31,AJ31)-1)))</f>
        <v>21</v>
      </c>
      <c r="AL31" s="3">
        <f t="shared" si="37"/>
        <v>21</v>
      </c>
      <c r="AM31" t="str">
        <f t="shared" si="38"/>
        <v>Medway</v>
      </c>
      <c r="AN31">
        <f t="shared" si="39"/>
        <v>94.117647058823522</v>
      </c>
      <c r="AP31" s="5" t="str">
        <f>IF(L31="","",VLOOKUP($L31,classifications!$C:$E,3,FALSE))</f>
        <v>South East</v>
      </c>
      <c r="AQ31" s="43" t="str">
        <f t="shared" si="40"/>
        <v/>
      </c>
      <c r="AR31" s="40" t="str">
        <f>IF(AQ31="","",IF(I$8="A",(RANK(AQ31,AQ$11:AQ$349,1)+COUNTIF(AQ$11:AQ31,AQ31)-1),(RANK(AQ31,AQ$11:AQ$349)+COUNTIF(AQ$11:AQ31,AQ31)-1)))</f>
        <v/>
      </c>
      <c r="AS31" s="3" t="str">
        <f t="shared" si="41"/>
        <v/>
      </c>
      <c r="AT31" s="40" t="str">
        <f t="shared" si="42"/>
        <v/>
      </c>
      <c r="AU31" s="43" t="str">
        <f t="shared" si="43"/>
        <v/>
      </c>
      <c r="AX31">
        <f>HLOOKUP($AX$9&amp;$AX$10,Data!$A$1:$ZZ$1988,(MATCH($C31,Data!$A$1:$A$1988,0)),FALSE)</f>
        <v>100</v>
      </c>
    </row>
    <row r="32" spans="1:50">
      <c r="A32" s="59" t="str">
        <f>$D$1&amp;22</f>
        <v>UA22</v>
      </c>
      <c r="B32" s="60">
        <f>IF(ISERROR(VLOOKUP(A32,classifications!A:C,3,FALSE)),0,VLOOKUP(A32,classifications!A:C,3,FALSE))</f>
        <v>0</v>
      </c>
      <c r="C32" t="s">
        <v>17</v>
      </c>
      <c r="D32" t="str">
        <f>VLOOKUP($C32,classifications!$C:$J,4,FALSE)</f>
        <v>SD</v>
      </c>
      <c r="E32">
        <f>VLOOKUP(C32,classifications!C:K,9,FALSE)</f>
        <v>0</v>
      </c>
      <c r="F32">
        <f t="shared" si="20"/>
        <v>100</v>
      </c>
      <c r="G32" s="15"/>
      <c r="H32" s="42" t="str">
        <f t="shared" si="21"/>
        <v/>
      </c>
      <c r="I32" s="79" t="str">
        <f>IF(H32="","",IF($I$8="A",(RANK(H32,H$11:H$349,1)+COUNTIF(H$11:H32,H32)-1),(RANK(H32,H$11:H$349)+COUNTIF(H$11:H32,H32)-1)))</f>
        <v/>
      </c>
      <c r="J32" s="41"/>
      <c r="K32" s="36">
        <f t="shared" si="22"/>
        <v>22</v>
      </c>
      <c r="L32" t="str">
        <f t="shared" si="23"/>
        <v>Redcar &amp; Cleveland</v>
      </c>
      <c r="M32" s="117">
        <f t="shared" si="24"/>
        <v>93.939393939393938</v>
      </c>
      <c r="N32" s="112">
        <f t="shared" si="25"/>
        <v>93.939393939393938</v>
      </c>
      <c r="O32" s="96" t="str">
        <f t="shared" si="26"/>
        <v/>
      </c>
      <c r="P32" s="96">
        <f t="shared" si="27"/>
        <v>93.939393939393938</v>
      </c>
      <c r="Q32" s="96" t="str">
        <f t="shared" si="28"/>
        <v/>
      </c>
      <c r="R32" s="92" t="str">
        <f t="shared" si="29"/>
        <v/>
      </c>
      <c r="S32" s="42" t="str">
        <f t="shared" si="30"/>
        <v/>
      </c>
      <c r="T32" s="176">
        <f>IF(L32="","",VLOOKUP(L32,classifications!C:K,9,FALSE))</f>
        <v>0</v>
      </c>
      <c r="U32" s="177" t="str">
        <f t="shared" si="31"/>
        <v/>
      </c>
      <c r="V32" s="183" t="str">
        <f>IF(U32="","",IF($I$8="A",(RANK(U32,U$11:U$349)+COUNTIF(U$11:U32,U32)-1),(RANK(U32,U$11:U$349,1)+COUNTIF(U$11:U32,U32)-1)))</f>
        <v/>
      </c>
      <c r="W32" s="184"/>
      <c r="X32" s="5" t="str">
        <f>IF(L32="","",VLOOKUP($L32,classifications!$C:$J,6,FALSE))</f>
        <v>Urban with Significant Rural</v>
      </c>
      <c r="Y32">
        <f t="shared" si="32"/>
        <v>93.939393939393938</v>
      </c>
      <c r="Z32" s="40">
        <f>IF(Y32="","",IF(I$8="A",(RANK(Y32,Y$11:Y$349,1)+COUNTIF(Y$11:Y32,Y32)-1),(RANK(Y32,Y$11:Y$349)+COUNTIF(Y$11:Y32,Y32)-1)))</f>
        <v>4</v>
      </c>
      <c r="AA32" s="189" t="str">
        <f>IF(L32="","",VLOOKUP($L32,classifications!C:I,7,FALSE))</f>
        <v>Urban with Significant Rural</v>
      </c>
      <c r="AB32" s="183">
        <f t="shared" si="33"/>
        <v>93.939393939393938</v>
      </c>
      <c r="AC32" s="183">
        <f>IF(AB32="","",IF($I$8="A",(RANK(AB32,AB$11:AB$349)+COUNTIF(AB$11:AB32,AB32)-1),(RANK(AB32,AB$11:AB$349,1)+COUNTIF(AB$11:AB32,AB32)-1)))</f>
        <v>9</v>
      </c>
      <c r="AD32" s="183"/>
      <c r="AE32" s="49">
        <f>IF(I$8="A",(RANK(AG32,AG$11:AG$349,1)+COUNTIF(AG$11:AG32,AG32)-1),(RANK(AG32,AG$11:AG$349)+COUNTIF(AG$11:AG32,AG32)-1))</f>
        <v>22</v>
      </c>
      <c r="AF32" t="str">
        <f>VLOOKUP(Profile!$J$5,Families!$C:$R,6,FALSE)</f>
        <v>Herefordshire</v>
      </c>
      <c r="AG32" s="15">
        <f t="shared" si="34"/>
        <v>62.711864406779661</v>
      </c>
      <c r="AH32" s="50">
        <f t="shared" si="35"/>
        <v>22</v>
      </c>
      <c r="AI32" s="5" t="str">
        <f>IF(L32="","",VLOOKUP($L32,classifications!$C:$J,8,FALSE))</f>
        <v>Unitary</v>
      </c>
      <c r="AJ32" s="43">
        <f t="shared" si="36"/>
        <v>93.939393939393938</v>
      </c>
      <c r="AK32" s="40">
        <f>IF(AJ32="","",IF(I$8="A",(RANK(AJ32,AJ$11:AJ$349,1)+COUNTIF(AJ$11:AJ32,AJ32)-1),(RANK(AJ32,AJ$11:AJ$349)+COUNTIF(AJ$11:AJ32,AJ32)-1)))</f>
        <v>22</v>
      </c>
      <c r="AL32" s="3">
        <f t="shared" si="37"/>
        <v>22</v>
      </c>
      <c r="AM32" t="str">
        <f t="shared" si="38"/>
        <v>Redcar &amp; Cleveland</v>
      </c>
      <c r="AN32">
        <f t="shared" si="39"/>
        <v>93.939393939393938</v>
      </c>
      <c r="AP32" s="5" t="str">
        <f>IF(L32="","",VLOOKUP($L32,classifications!$C:$E,3,FALSE))</f>
        <v>NE</v>
      </c>
      <c r="AQ32" s="43" t="str">
        <f t="shared" si="40"/>
        <v/>
      </c>
      <c r="AR32" s="40" t="str">
        <f>IF(AQ32="","",IF(I$8="A",(RANK(AQ32,AQ$11:AQ$349,1)+COUNTIF(AQ$11:AQ32,AQ32)-1),(RANK(AQ32,AQ$11:AQ$349)+COUNTIF(AQ$11:AQ32,AQ32)-1)))</f>
        <v/>
      </c>
      <c r="AS32" s="3" t="str">
        <f t="shared" si="41"/>
        <v/>
      </c>
      <c r="AT32" s="40" t="str">
        <f t="shared" si="42"/>
        <v/>
      </c>
      <c r="AU32" s="43" t="str">
        <f t="shared" si="43"/>
        <v/>
      </c>
      <c r="AX32">
        <f>HLOOKUP($AX$9&amp;$AX$10,Data!$A$1:$ZZ$1988,(MATCH($C32,Data!$A$1:$A$1988,0)),FALSE)</f>
        <v>100</v>
      </c>
    </row>
    <row r="33" spans="1:50">
      <c r="A33" s="59" t="str">
        <f>$D$1&amp;23</f>
        <v>UA23</v>
      </c>
      <c r="B33" s="60">
        <f>IF(ISERROR(VLOOKUP(A33,classifications!A:C,3,FALSE)),0,VLOOKUP(A33,classifications!A:C,3,FALSE))</f>
        <v>0</v>
      </c>
      <c r="C33" t="s">
        <v>224</v>
      </c>
      <c r="D33" t="str">
        <f>VLOOKUP($C33,classifications!$C:$J,4,FALSE)</f>
        <v>MD</v>
      </c>
      <c r="E33">
        <f>VLOOKUP(C33,classifications!C:K,9,FALSE)</f>
        <v>0</v>
      </c>
      <c r="F33">
        <f t="shared" si="20"/>
        <v>83.928571428571431</v>
      </c>
      <c r="G33" s="15"/>
      <c r="H33" s="42" t="str">
        <f t="shared" si="21"/>
        <v/>
      </c>
      <c r="I33" s="79" t="str">
        <f>IF(H33="","",IF($I$8="A",(RANK(H33,H$11:H$349,1)+COUNTIF(H$11:H33,H33)-1),(RANK(H33,H$11:H$349)+COUNTIF(H$11:H33,H33)-1)))</f>
        <v/>
      </c>
      <c r="J33" s="41"/>
      <c r="K33" s="36">
        <f t="shared" si="22"/>
        <v>23</v>
      </c>
      <c r="L33" t="str">
        <f t="shared" si="23"/>
        <v>Warrington</v>
      </c>
      <c r="M33" s="117">
        <f t="shared" si="24"/>
        <v>93.939393939393938</v>
      </c>
      <c r="N33" s="112">
        <f t="shared" si="25"/>
        <v>93.939393939393938</v>
      </c>
      <c r="O33" s="96" t="str">
        <f t="shared" si="26"/>
        <v/>
      </c>
      <c r="P33" s="96">
        <f t="shared" si="27"/>
        <v>93.939393939393938</v>
      </c>
      <c r="Q33" s="96" t="str">
        <f t="shared" si="28"/>
        <v/>
      </c>
      <c r="R33" s="92" t="str">
        <f t="shared" si="29"/>
        <v/>
      </c>
      <c r="S33" s="42" t="str">
        <f t="shared" si="30"/>
        <v/>
      </c>
      <c r="T33" s="176">
        <f>IF(L33="","",VLOOKUP(L33,classifications!C:K,9,FALSE))</f>
        <v>0</v>
      </c>
      <c r="U33" s="177" t="str">
        <f t="shared" si="31"/>
        <v/>
      </c>
      <c r="V33" s="183" t="str">
        <f>IF(U33="","",IF($I$8="A",(RANK(U33,U$11:U$349)+COUNTIF(U$11:U33,U33)-1),(RANK(U33,U$11:U$349,1)+COUNTIF(U$11:U33,U33)-1)))</f>
        <v/>
      </c>
      <c r="W33" s="184"/>
      <c r="X33" s="5" t="str">
        <f>IF(L33="","",VLOOKUP($L33,classifications!$C:$J,6,FALSE))</f>
        <v>Predominantly Urban</v>
      </c>
      <c r="Y33" t="str">
        <f t="shared" si="32"/>
        <v/>
      </c>
      <c r="Z33" s="40" t="str">
        <f>IF(Y33="","",IF(I$8="A",(RANK(Y33,Y$11:Y$349,1)+COUNTIF(Y$11:Y33,Y33)-1),(RANK(Y33,Y$11:Y$349)+COUNTIF(Y$11:Y33,Y33)-1)))</f>
        <v/>
      </c>
      <c r="AA33" s="189" t="str">
        <f>IF(L33="","",VLOOKUP($L33,classifications!C:I,7,FALSE))</f>
        <v>Predominantly Urban</v>
      </c>
      <c r="AB33" s="183" t="str">
        <f t="shared" si="33"/>
        <v/>
      </c>
      <c r="AC33" s="183" t="str">
        <f>IF(AB33="","",IF($I$8="A",(RANK(AB33,AB$11:AB$349)+COUNTIF(AB$11:AB33,AB33)-1),(RANK(AB33,AB$11:AB$349,1)+COUNTIF(AB$11:AB33,AB33)-1)))</f>
        <v/>
      </c>
      <c r="AD33" s="183"/>
      <c r="AE33" s="49">
        <f>IF(I$8="A",(RANK(AG33,AG$11:AG$349,1)+COUNTIF(AG$11:AG33,AG33)-1),(RANK(AG33,AG$11:AG$349)+COUNTIF(AG$11:AG33,AG33)-1))</f>
        <v>23</v>
      </c>
      <c r="AF33" t="str">
        <f>VLOOKUP(Profile!$J$5,Families!$C:$R,6,FALSE)</f>
        <v>Herefordshire</v>
      </c>
      <c r="AG33" s="15">
        <f t="shared" si="34"/>
        <v>62.711864406779661</v>
      </c>
      <c r="AH33" s="50">
        <f t="shared" si="35"/>
        <v>23</v>
      </c>
      <c r="AI33" s="5" t="str">
        <f>IF(L33="","",VLOOKUP($L33,classifications!$C:$J,8,FALSE))</f>
        <v>Unitary</v>
      </c>
      <c r="AJ33" s="43">
        <f t="shared" si="36"/>
        <v>93.939393939393938</v>
      </c>
      <c r="AK33" s="40">
        <f>IF(AJ33="","",IF(I$8="A",(RANK(AJ33,AJ$11:AJ$349,1)+COUNTIF(AJ$11:AJ33,AJ33)-1),(RANK(AJ33,AJ$11:AJ$349)+COUNTIF(AJ$11:AJ33,AJ33)-1)))</f>
        <v>23</v>
      </c>
      <c r="AL33" s="3">
        <f t="shared" si="37"/>
        <v>23</v>
      </c>
      <c r="AM33" t="str">
        <f t="shared" si="38"/>
        <v>Warrington</v>
      </c>
      <c r="AN33">
        <f t="shared" si="39"/>
        <v>93.939393939393938</v>
      </c>
      <c r="AP33" s="5" t="str">
        <f>IF(L33="","",VLOOKUP($L33,classifications!$C:$E,3,FALSE))</f>
        <v>North West</v>
      </c>
      <c r="AQ33" s="43">
        <f t="shared" si="40"/>
        <v>93.939393939393938</v>
      </c>
      <c r="AR33" s="40">
        <f>IF(AQ33="","",IF(I$8="A",(RANK(AQ33,AQ$11:AQ$349,1)+COUNTIF(AQ$11:AQ33,AQ33)-1),(RANK(AQ33,AQ$11:AQ$349)+COUNTIF(AQ$11:AQ33,AQ33)-1)))</f>
        <v>4</v>
      </c>
      <c r="AS33" s="3" t="str">
        <f t="shared" si="41"/>
        <v/>
      </c>
      <c r="AT33" s="40" t="str">
        <f t="shared" si="42"/>
        <v/>
      </c>
      <c r="AU33" s="43" t="str">
        <f t="shared" si="43"/>
        <v/>
      </c>
      <c r="AX33">
        <f>HLOOKUP($AX$9&amp;$AX$10,Data!$A$1:$ZZ$1988,(MATCH($C33,Data!$A$1:$A$1988,0)),FALSE)</f>
        <v>83.928571428571431</v>
      </c>
    </row>
    <row r="34" spans="1:50">
      <c r="A34" s="59" t="str">
        <f>$D$1&amp;24</f>
        <v>UA24</v>
      </c>
      <c r="B34" s="60">
        <f>IF(ISERROR(VLOOKUP(A34,classifications!A:C,3,FALSE)),0,VLOOKUP(A34,classifications!A:C,3,FALSE))</f>
        <v>0</v>
      </c>
      <c r="C34" t="s">
        <v>18</v>
      </c>
      <c r="D34" t="str">
        <f>VLOOKUP($C34,classifications!$C:$J,4,FALSE)</f>
        <v>SD</v>
      </c>
      <c r="E34" t="str">
        <f>VLOOKUP(C34,classifications!C:K,9,FALSE)</f>
        <v>Sparse</v>
      </c>
      <c r="F34">
        <f t="shared" si="20"/>
        <v>85.714285714285708</v>
      </c>
      <c r="G34" s="15"/>
      <c r="H34" s="42" t="str">
        <f t="shared" si="21"/>
        <v/>
      </c>
      <c r="I34" s="79" t="str">
        <f>IF(H34="","",IF($I$8="A",(RANK(H34,H$11:H$349,1)+COUNTIF(H$11:H34,H34)-1),(RANK(H34,H$11:H$349)+COUNTIF(H$11:H34,H34)-1)))</f>
        <v/>
      </c>
      <c r="J34" s="41"/>
      <c r="K34" s="36">
        <f t="shared" si="22"/>
        <v>24</v>
      </c>
      <c r="L34" t="str">
        <f t="shared" si="23"/>
        <v>North Northamptonshire</v>
      </c>
      <c r="M34" s="117">
        <f t="shared" si="24"/>
        <v>93.684210526315795</v>
      </c>
      <c r="N34" s="112">
        <f t="shared" si="25"/>
        <v>93.684210526315795</v>
      </c>
      <c r="O34" s="96" t="str">
        <f t="shared" si="26"/>
        <v/>
      </c>
      <c r="P34" s="96">
        <f t="shared" si="27"/>
        <v>93.684210526315795</v>
      </c>
      <c r="Q34" s="96" t="str">
        <f t="shared" si="28"/>
        <v/>
      </c>
      <c r="R34" s="92" t="str">
        <f t="shared" si="29"/>
        <v/>
      </c>
      <c r="S34" s="42" t="str">
        <f t="shared" si="30"/>
        <v/>
      </c>
      <c r="T34" s="176">
        <f>IF(L34="","",VLOOKUP(L34,classifications!C:K,9,FALSE))</f>
        <v>0</v>
      </c>
      <c r="U34" s="177" t="str">
        <f t="shared" si="31"/>
        <v/>
      </c>
      <c r="V34" s="183" t="str">
        <f>IF(U34="","",IF($I$8="A",(RANK(U34,U$11:U$349)+COUNTIF(U$11:U34,U34)-1),(RANK(U34,U$11:U$349,1)+COUNTIF(U$11:U34,U34)-1)))</f>
        <v/>
      </c>
      <c r="W34" s="184"/>
      <c r="X34" s="5" t="str">
        <f>IF(L34="","",VLOOKUP($L34,classifications!$C:$J,6,FALSE))</f>
        <v>Urban with Significant Rural</v>
      </c>
      <c r="Y34">
        <f t="shared" si="32"/>
        <v>93.684210526315795</v>
      </c>
      <c r="Z34" s="40">
        <f>IF(Y34="","",IF(I$8="A",(RANK(Y34,Y$11:Y$349,1)+COUNTIF(Y$11:Y34,Y34)-1),(RANK(Y34,Y$11:Y$349)+COUNTIF(Y$11:Y34,Y34)-1)))</f>
        <v>5</v>
      </c>
      <c r="AA34" s="189" t="str">
        <f>IF(L34="","",VLOOKUP($L34,classifications!C:I,7,FALSE))</f>
        <v>Urban with Significant Rural</v>
      </c>
      <c r="AB34" s="183">
        <f t="shared" si="33"/>
        <v>93.684210526315795</v>
      </c>
      <c r="AC34" s="183">
        <f>IF(AB34="","",IF($I$8="A",(RANK(AB34,AB$11:AB$349)+COUNTIF(AB$11:AB34,AB34)-1),(RANK(AB34,AB$11:AB$349,1)+COUNTIF(AB$11:AB34,AB34)-1)))</f>
        <v>8</v>
      </c>
      <c r="AD34" s="183"/>
      <c r="AE34" s="49">
        <f>IF(I$8="A",(RANK(AG34,AG$11:AG$349,1)+COUNTIF(AG$11:AG34,AG34)-1),(RANK(AG34,AG$11:AG$349)+COUNTIF(AG$11:AG34,AG34)-1))</f>
        <v>24</v>
      </c>
      <c r="AF34" t="str">
        <f>VLOOKUP(Profile!$J$5,Families!$C:$R,6,FALSE)</f>
        <v>Herefordshire</v>
      </c>
      <c r="AG34" s="15">
        <f t="shared" si="34"/>
        <v>62.711864406779661</v>
      </c>
      <c r="AH34" s="50">
        <f t="shared" si="35"/>
        <v>24</v>
      </c>
      <c r="AI34" s="5" t="str">
        <f>IF(L34="","",VLOOKUP($L34,classifications!$C:$J,8,FALSE))</f>
        <v>Unitary</v>
      </c>
      <c r="AJ34" s="43">
        <f t="shared" si="36"/>
        <v>93.684210526315795</v>
      </c>
      <c r="AK34" s="40">
        <f>IF(AJ34="","",IF(I$8="A",(RANK(AJ34,AJ$11:AJ$349,1)+COUNTIF(AJ$11:AJ34,AJ34)-1),(RANK(AJ34,AJ$11:AJ$349)+COUNTIF(AJ$11:AJ34,AJ34)-1)))</f>
        <v>24</v>
      </c>
      <c r="AL34" s="3">
        <f t="shared" si="37"/>
        <v>24</v>
      </c>
      <c r="AM34" t="str">
        <f t="shared" si="38"/>
        <v>North Northamptonshire</v>
      </c>
      <c r="AN34">
        <f t="shared" si="39"/>
        <v>93.684210526315795</v>
      </c>
      <c r="AP34" s="5" t="str">
        <f>IF(L34="","",VLOOKUP($L34,classifications!$C:$E,3,FALSE))</f>
        <v>East Midlands</v>
      </c>
      <c r="AQ34" s="43" t="str">
        <f t="shared" si="40"/>
        <v/>
      </c>
      <c r="AR34" s="40" t="str">
        <f>IF(AQ34="","",IF(I$8="A",(RANK(AQ34,AQ$11:AQ$349,1)+COUNTIF(AQ$11:AQ34,AQ34)-1),(RANK(AQ34,AQ$11:AQ$349)+COUNTIF(AQ$11:AQ34,AQ34)-1)))</f>
        <v/>
      </c>
      <c r="AS34" s="3" t="str">
        <f t="shared" si="41"/>
        <v/>
      </c>
      <c r="AT34" s="40" t="str">
        <f t="shared" si="42"/>
        <v/>
      </c>
      <c r="AU34" s="43" t="str">
        <f t="shared" si="43"/>
        <v/>
      </c>
      <c r="AX34">
        <f>HLOOKUP($AX$9&amp;$AX$10,Data!$A$1:$ZZ$1988,(MATCH($C34,Data!$A$1:$A$1988,0)),FALSE)</f>
        <v>85.714285714285708</v>
      </c>
    </row>
    <row r="35" spans="1:50">
      <c r="A35" s="59" t="str">
        <f>$D$1&amp;25</f>
        <v>UA25</v>
      </c>
      <c r="B35" s="60">
        <f>IF(ISERROR(VLOOKUP(A35,classifications!A:C,3,FALSE)),0,VLOOKUP(A35,classifications!A:C,3,FALSE))</f>
        <v>0</v>
      </c>
      <c r="C35" t="s">
        <v>897</v>
      </c>
      <c r="D35" t="str">
        <f>VLOOKUP($C35,classifications!$C:$J,4,FALSE)</f>
        <v>UA</v>
      </c>
      <c r="E35">
        <f>VLOOKUP(C35,classifications!C:K,9,FALSE)</f>
        <v>0</v>
      </c>
      <c r="F35">
        <f t="shared" si="20"/>
        <v>87.037037037037038</v>
      </c>
      <c r="G35" s="15"/>
      <c r="H35" s="42">
        <f t="shared" si="21"/>
        <v>87.037037037037038</v>
      </c>
      <c r="I35" s="79">
        <f>IF(H35="","",IF($I$8="A",(RANK(H35,H$11:H$349,1)+COUNTIF(H$11:H35,H35)-1),(RANK(H35,H$11:H$349)+COUNTIF(H$11:H35,H35)-1)))</f>
        <v>36</v>
      </c>
      <c r="J35" s="41"/>
      <c r="K35" s="36">
        <f t="shared" si="22"/>
        <v>25</v>
      </c>
      <c r="L35" t="str">
        <f t="shared" si="23"/>
        <v>Derby</v>
      </c>
      <c r="M35" s="117">
        <f t="shared" si="24"/>
        <v>92.682926829268297</v>
      </c>
      <c r="N35" s="112">
        <f t="shared" si="25"/>
        <v>92.682926829268297</v>
      </c>
      <c r="O35" s="96" t="str">
        <f t="shared" si="26"/>
        <v/>
      </c>
      <c r="P35" s="96">
        <f t="shared" si="27"/>
        <v>92.682926829268297</v>
      </c>
      <c r="Q35" s="96" t="str">
        <f t="shared" si="28"/>
        <v/>
      </c>
      <c r="R35" s="92" t="str">
        <f t="shared" si="29"/>
        <v/>
      </c>
      <c r="S35" s="42" t="str">
        <f t="shared" si="30"/>
        <v/>
      </c>
      <c r="T35" s="176">
        <f>IF(L35="","",VLOOKUP(L35,classifications!C:K,9,FALSE))</f>
        <v>0</v>
      </c>
      <c r="U35" s="177" t="str">
        <f t="shared" si="31"/>
        <v/>
      </c>
      <c r="V35" s="183" t="str">
        <f>IF(U35="","",IF($I$8="A",(RANK(U35,U$11:U$349)+COUNTIF(U$11:U35,U35)-1),(RANK(U35,U$11:U$349,1)+COUNTIF(U$11:U35,U35)-1)))</f>
        <v/>
      </c>
      <c r="W35" s="184"/>
      <c r="X35" s="5" t="str">
        <f>IF(L35="","",VLOOKUP($L35,classifications!$C:$J,6,FALSE))</f>
        <v>Predominantly Urban</v>
      </c>
      <c r="Y35" t="str">
        <f t="shared" si="32"/>
        <v/>
      </c>
      <c r="Z35" s="40" t="str">
        <f>IF(Y35="","",IF(I$8="A",(RANK(Y35,Y$11:Y$349,1)+COUNTIF(Y$11:Y35,Y35)-1),(RANK(Y35,Y$11:Y$349)+COUNTIF(Y$11:Y35,Y35)-1)))</f>
        <v/>
      </c>
      <c r="AA35" s="189" t="str">
        <f>IF(L35="","",VLOOKUP($L35,classifications!C:I,7,FALSE))</f>
        <v>Predominantly Urban</v>
      </c>
      <c r="AB35" s="183" t="str">
        <f t="shared" si="33"/>
        <v/>
      </c>
      <c r="AC35" s="183" t="str">
        <f>IF(AB35="","",IF($I$8="A",(RANK(AB35,AB$11:AB$349)+COUNTIF(AB$11:AB35,AB35)-1),(RANK(AB35,AB$11:AB$349,1)+COUNTIF(AB$11:AB35,AB35)-1)))</f>
        <v/>
      </c>
      <c r="AD35" s="183"/>
      <c r="AE35" s="49">
        <f>IF(I$8="A",(RANK(AG35,AG$11:AG$349,1)+COUNTIF(AG$11:AG35,AG35)-1),(RANK(AG35,AG$11:AG$349)+COUNTIF(AG$11:AG35,AG35)-1))</f>
        <v>25</v>
      </c>
      <c r="AF35" t="str">
        <f>VLOOKUP(Profile!$J$5,Families!$C:$R,6,FALSE)</f>
        <v>Herefordshire</v>
      </c>
      <c r="AG35" s="15">
        <f t="shared" si="34"/>
        <v>62.711864406779661</v>
      </c>
      <c r="AH35" s="50">
        <f t="shared" si="35"/>
        <v>25</v>
      </c>
      <c r="AI35" s="5" t="str">
        <f>IF(L35="","",VLOOKUP($L35,classifications!$C:$J,8,FALSE))</f>
        <v>Unitary</v>
      </c>
      <c r="AJ35" s="43">
        <f t="shared" si="36"/>
        <v>92.682926829268297</v>
      </c>
      <c r="AK35" s="40">
        <f>IF(AJ35="","",IF(I$8="A",(RANK(AJ35,AJ$11:AJ$349,1)+COUNTIF(AJ$11:AJ35,AJ35)-1),(RANK(AJ35,AJ$11:AJ$349)+COUNTIF(AJ$11:AJ35,AJ35)-1)))</f>
        <v>25</v>
      </c>
      <c r="AL35" s="3">
        <f t="shared" si="37"/>
        <v>25</v>
      </c>
      <c r="AM35" t="str">
        <f t="shared" si="38"/>
        <v>Derby</v>
      </c>
      <c r="AN35">
        <f t="shared" si="39"/>
        <v>92.682926829268297</v>
      </c>
      <c r="AP35" s="5" t="str">
        <f>IF(L35="","",VLOOKUP($L35,classifications!$C:$E,3,FALSE))</f>
        <v>East Midlands</v>
      </c>
      <c r="AQ35" s="43" t="str">
        <f t="shared" si="40"/>
        <v/>
      </c>
      <c r="AR35" s="40" t="str">
        <f>IF(AQ35="","",IF(I$8="A",(RANK(AQ35,AQ$11:AQ$349,1)+COUNTIF(AQ$11:AQ35,AQ35)-1),(RANK(AQ35,AQ$11:AQ$349)+COUNTIF(AQ$11:AQ35,AQ35)-1)))</f>
        <v/>
      </c>
      <c r="AS35" s="3" t="str">
        <f t="shared" si="41"/>
        <v/>
      </c>
      <c r="AT35" s="40" t="str">
        <f t="shared" si="42"/>
        <v/>
      </c>
      <c r="AU35" s="43" t="str">
        <f t="shared" si="43"/>
        <v/>
      </c>
      <c r="AX35">
        <f>HLOOKUP($AX$9&amp;$AX$10,Data!$A$1:$ZZ$1988,(MATCH($C35,Data!$A$1:$A$1988,0)),FALSE)</f>
        <v>87.037037037037038</v>
      </c>
    </row>
    <row r="36" spans="1:50">
      <c r="A36" s="59" t="str">
        <f>$D$1&amp;26</f>
        <v>UA26</v>
      </c>
      <c r="B36" s="60">
        <f>IF(ISERROR(VLOOKUP(A36,classifications!A:C,3,FALSE)),0,VLOOKUP(A36,classifications!A:C,3,FALSE))</f>
        <v>0</v>
      </c>
      <c r="C36" t="s">
        <v>263</v>
      </c>
      <c r="D36" t="str">
        <f>VLOOKUP($C36,classifications!$C:$J,4,FALSE)</f>
        <v>UA</v>
      </c>
      <c r="E36">
        <f>VLOOKUP(C36,classifications!C:K,9,FALSE)</f>
        <v>0</v>
      </c>
      <c r="F36">
        <f t="shared" si="20"/>
        <v>89.285714285714292</v>
      </c>
      <c r="G36" s="15"/>
      <c r="H36" s="42">
        <f t="shared" si="21"/>
        <v>89.285714285714292</v>
      </c>
      <c r="I36" s="79">
        <f>IF(H36="","",IF($I$8="A",(RANK(H36,H$11:H$349,1)+COUNTIF(H$11:H36,H36)-1),(RANK(H36,H$11:H$349)+COUNTIF(H$11:H36,H36)-1)))</f>
        <v>31</v>
      </c>
      <c r="J36" s="41"/>
      <c r="K36" s="36">
        <f t="shared" si="22"/>
        <v>26</v>
      </c>
      <c r="L36" t="str">
        <f t="shared" si="23"/>
        <v>Slough</v>
      </c>
      <c r="M36" s="117">
        <f t="shared" si="24"/>
        <v>92</v>
      </c>
      <c r="N36" s="112">
        <f t="shared" si="25"/>
        <v>92</v>
      </c>
      <c r="O36" s="96" t="str">
        <f t="shared" si="26"/>
        <v/>
      </c>
      <c r="P36" s="96">
        <f t="shared" si="27"/>
        <v>92</v>
      </c>
      <c r="Q36" s="96" t="str">
        <f t="shared" si="28"/>
        <v/>
      </c>
      <c r="R36" s="92" t="str">
        <f t="shared" si="29"/>
        <v/>
      </c>
      <c r="S36" s="42" t="str">
        <f t="shared" si="30"/>
        <v/>
      </c>
      <c r="T36" s="176">
        <f>IF(L36="","",VLOOKUP(L36,classifications!C:K,9,FALSE))</f>
        <v>0</v>
      </c>
      <c r="U36" s="177" t="str">
        <f t="shared" si="31"/>
        <v/>
      </c>
      <c r="V36" s="183" t="str">
        <f>IF(U36="","",IF($I$8="A",(RANK(U36,U$11:U$349)+COUNTIF(U$11:U36,U36)-1),(RANK(U36,U$11:U$349,1)+COUNTIF(U$11:U36,U36)-1)))</f>
        <v/>
      </c>
      <c r="W36" s="184"/>
      <c r="X36" s="5" t="str">
        <f>IF(L36="","",VLOOKUP($L36,classifications!$C:$J,6,FALSE))</f>
        <v>Predominantly Urban</v>
      </c>
      <c r="Y36" t="str">
        <f t="shared" si="32"/>
        <v/>
      </c>
      <c r="Z36" s="40" t="str">
        <f>IF(Y36="","",IF(I$8="A",(RANK(Y36,Y$11:Y$349,1)+COUNTIF(Y$11:Y36,Y36)-1),(RANK(Y36,Y$11:Y$349)+COUNTIF(Y$11:Y36,Y36)-1)))</f>
        <v/>
      </c>
      <c r="AA36" s="189" t="str">
        <f>IF(L36="","",VLOOKUP($L36,classifications!C:I,7,FALSE))</f>
        <v>Predominantly Urban</v>
      </c>
      <c r="AB36" s="183" t="str">
        <f t="shared" si="33"/>
        <v/>
      </c>
      <c r="AC36" s="183" t="str">
        <f>IF(AB36="","",IF($I$8="A",(RANK(AB36,AB$11:AB$349)+COUNTIF(AB$11:AB36,AB36)-1),(RANK(AB36,AB$11:AB$349,1)+COUNTIF(AB$11:AB36,AB36)-1)))</f>
        <v/>
      </c>
      <c r="AD36" s="183"/>
      <c r="AE36" s="49">
        <f>IF(I$8="A",(RANK(AG36,AG$11:AG$349,1)+COUNTIF(AG$11:AG36,AG36)-1),(RANK(AG36,AG$11:AG$349)+COUNTIF(AG$11:AG36,AG36)-1))</f>
        <v>26</v>
      </c>
      <c r="AF36" t="str">
        <f>VLOOKUP(Profile!$J$5,Families!$C:$R,6,FALSE)</f>
        <v>Herefordshire</v>
      </c>
      <c r="AG36" s="15">
        <f t="shared" si="34"/>
        <v>62.711864406779661</v>
      </c>
      <c r="AH36" s="50">
        <f t="shared" si="35"/>
        <v>26</v>
      </c>
      <c r="AI36" s="5" t="str">
        <f>IF(L36="","",VLOOKUP($L36,classifications!$C:$J,8,FALSE))</f>
        <v>Unitary</v>
      </c>
      <c r="AJ36" s="43">
        <f t="shared" si="36"/>
        <v>92</v>
      </c>
      <c r="AK36" s="40">
        <f>IF(AJ36="","",IF(I$8="A",(RANK(AJ36,AJ$11:AJ$349,1)+COUNTIF(AJ$11:AJ36,AJ36)-1),(RANK(AJ36,AJ$11:AJ$349)+COUNTIF(AJ$11:AJ36,AJ36)-1)))</f>
        <v>26</v>
      </c>
      <c r="AL36" s="3">
        <f t="shared" si="37"/>
        <v>26</v>
      </c>
      <c r="AM36" t="str">
        <f t="shared" si="38"/>
        <v>Slough</v>
      </c>
      <c r="AN36">
        <f t="shared" si="39"/>
        <v>92</v>
      </c>
      <c r="AP36" s="5" t="str">
        <f>IF(L36="","",VLOOKUP($L36,classifications!$C:$E,3,FALSE))</f>
        <v>South East</v>
      </c>
      <c r="AQ36" s="43" t="str">
        <f t="shared" si="40"/>
        <v/>
      </c>
      <c r="AR36" s="40" t="str">
        <f>IF(AQ36="","",IF(I$8="A",(RANK(AQ36,AQ$11:AQ$349,1)+COUNTIF(AQ$11:AQ36,AQ36)-1),(RANK(AQ36,AQ$11:AQ$349)+COUNTIF(AQ$11:AQ36,AQ36)-1)))</f>
        <v/>
      </c>
      <c r="AS36" s="3" t="str">
        <f t="shared" si="41"/>
        <v/>
      </c>
      <c r="AT36" s="40" t="str">
        <f t="shared" si="42"/>
        <v/>
      </c>
      <c r="AU36" s="43" t="str">
        <f t="shared" si="43"/>
        <v/>
      </c>
      <c r="AX36">
        <f>HLOOKUP($AX$9&amp;$AX$10,Data!$A$1:$ZZ$1988,(MATCH($C36,Data!$A$1:$A$1988,0)),FALSE)</f>
        <v>89.285714285714292</v>
      </c>
    </row>
    <row r="37" spans="1:50">
      <c r="A37" s="59" t="str">
        <f>$D$1&amp;27</f>
        <v>UA27</v>
      </c>
      <c r="B37" s="60">
        <f>IF(ISERROR(VLOOKUP(A37,classifications!A:C,3,FALSE)),0,VLOOKUP(A37,classifications!A:C,3,FALSE))</f>
        <v>0</v>
      </c>
      <c r="C37" t="s">
        <v>225</v>
      </c>
      <c r="D37" t="str">
        <f>VLOOKUP($C37,classifications!$C:$J,4,FALSE)</f>
        <v>MD</v>
      </c>
      <c r="E37">
        <f>VLOOKUP(C37,classifications!C:K,9,FALSE)</f>
        <v>0</v>
      </c>
      <c r="F37">
        <f t="shared" si="20"/>
        <v>63.793103448275865</v>
      </c>
      <c r="G37" s="15"/>
      <c r="H37" s="42" t="str">
        <f t="shared" si="21"/>
        <v/>
      </c>
      <c r="I37" s="79" t="str">
        <f>IF(H37="","",IF($I$8="A",(RANK(H37,H$11:H$349,1)+COUNTIF(H$11:H37,H37)-1),(RANK(H37,H$11:H$349)+COUNTIF(H$11:H37,H37)-1)))</f>
        <v/>
      </c>
      <c r="J37" s="41"/>
      <c r="K37" s="36">
        <f t="shared" si="22"/>
        <v>27</v>
      </c>
      <c r="L37" t="str">
        <f t="shared" si="23"/>
        <v>Cheshire West &amp; Chester</v>
      </c>
      <c r="M37" s="117">
        <f t="shared" si="24"/>
        <v>91.379310344827587</v>
      </c>
      <c r="N37" s="112">
        <f t="shared" si="25"/>
        <v>91.379310344827587</v>
      </c>
      <c r="O37" s="96" t="str">
        <f t="shared" si="26"/>
        <v/>
      </c>
      <c r="P37" s="96">
        <f t="shared" si="27"/>
        <v>91.379310344827587</v>
      </c>
      <c r="Q37" s="96" t="str">
        <f t="shared" si="28"/>
        <v/>
      </c>
      <c r="R37" s="92" t="str">
        <f t="shared" si="29"/>
        <v/>
      </c>
      <c r="S37" s="42" t="str">
        <f t="shared" si="30"/>
        <v/>
      </c>
      <c r="T37" s="176">
        <f>IF(L37="","",VLOOKUP(L37,classifications!C:K,9,FALSE))</f>
        <v>0</v>
      </c>
      <c r="U37" s="177" t="str">
        <f t="shared" si="31"/>
        <v/>
      </c>
      <c r="V37" s="183" t="str">
        <f>IF(U37="","",IF($I$8="A",(RANK(U37,U$11:U$349)+COUNTIF(U$11:U37,U37)-1),(RANK(U37,U$11:U$349,1)+COUNTIF(U$11:U37,U37)-1)))</f>
        <v/>
      </c>
      <c r="W37" s="184"/>
      <c r="X37" s="5" t="str">
        <f>IF(L37="","",VLOOKUP($L37,classifications!$C:$J,6,FALSE))</f>
        <v>Urban with Significant Rural</v>
      </c>
      <c r="Y37">
        <f t="shared" si="32"/>
        <v>91.379310344827587</v>
      </c>
      <c r="Z37" s="40">
        <f>IF(Y37="","",IF(I$8="A",(RANK(Y37,Y$11:Y$349,1)+COUNTIF(Y$11:Y37,Y37)-1),(RANK(Y37,Y$11:Y$349)+COUNTIF(Y$11:Y37,Y37)-1)))</f>
        <v>6</v>
      </c>
      <c r="AA37" s="189" t="str">
        <f>IF(L37="","",VLOOKUP($L37,classifications!C:I,7,FALSE))</f>
        <v>Urban with Significant Rural</v>
      </c>
      <c r="AB37" s="183">
        <f t="shared" si="33"/>
        <v>91.379310344827587</v>
      </c>
      <c r="AC37" s="183">
        <f>IF(AB37="","",IF($I$8="A",(RANK(AB37,AB$11:AB$349)+COUNTIF(AB$11:AB37,AB37)-1),(RANK(AB37,AB$11:AB$349,1)+COUNTIF(AB$11:AB37,AB37)-1)))</f>
        <v>7</v>
      </c>
      <c r="AD37" s="183"/>
      <c r="AE37" s="49">
        <f>IF(I$8="A",(RANK(AG37,AG$11:AG$349,1)+COUNTIF(AG$11:AG37,AG37)-1),(RANK(AG37,AG$11:AG$349)+COUNTIF(AG$11:AG37,AG37)-1))</f>
        <v>27</v>
      </c>
      <c r="AF37" t="str">
        <f>VLOOKUP(Profile!$J$5,Families!$C:$R,6,FALSE)</f>
        <v>Herefordshire</v>
      </c>
      <c r="AG37" s="15">
        <f t="shared" si="34"/>
        <v>62.711864406779661</v>
      </c>
      <c r="AH37" s="50">
        <f t="shared" si="35"/>
        <v>27</v>
      </c>
      <c r="AI37" s="5" t="str">
        <f>IF(L37="","",VLOOKUP($L37,classifications!$C:$J,8,FALSE))</f>
        <v>Unitary</v>
      </c>
      <c r="AJ37" s="43">
        <f t="shared" si="36"/>
        <v>91.379310344827587</v>
      </c>
      <c r="AK37" s="40">
        <f>IF(AJ37="","",IF(I$8="A",(RANK(AJ37,AJ$11:AJ$349,1)+COUNTIF(AJ$11:AJ37,AJ37)-1),(RANK(AJ37,AJ$11:AJ$349)+COUNTIF(AJ$11:AJ37,AJ37)-1)))</f>
        <v>27</v>
      </c>
      <c r="AL37" s="3">
        <f t="shared" si="37"/>
        <v>27</v>
      </c>
      <c r="AM37" t="str">
        <f t="shared" si="38"/>
        <v>Cheshire West &amp; Chester</v>
      </c>
      <c r="AN37">
        <f t="shared" si="39"/>
        <v>91.379310344827587</v>
      </c>
      <c r="AP37" s="5" t="str">
        <f>IF(L37="","",VLOOKUP($L37,classifications!$C:$E,3,FALSE))</f>
        <v>North West</v>
      </c>
      <c r="AQ37" s="43">
        <f t="shared" si="40"/>
        <v>91.379310344827587</v>
      </c>
      <c r="AR37" s="40">
        <f>IF(AQ37="","",IF(I$8="A",(RANK(AQ37,AQ$11:AQ$349,1)+COUNTIF(AQ$11:AQ37,AQ37)-1),(RANK(AQ37,AQ$11:AQ$349)+COUNTIF(AQ$11:AQ37,AQ37)-1)))</f>
        <v>5</v>
      </c>
      <c r="AS37" s="3" t="str">
        <f t="shared" si="41"/>
        <v/>
      </c>
      <c r="AT37" s="40" t="str">
        <f t="shared" si="42"/>
        <v/>
      </c>
      <c r="AU37" s="43" t="str">
        <f t="shared" si="43"/>
        <v/>
      </c>
      <c r="AX37">
        <f>HLOOKUP($AX$9&amp;$AX$10,Data!$A$1:$ZZ$1988,(MATCH($C37,Data!$A$1:$A$1988,0)),FALSE)</f>
        <v>63.793103448275865</v>
      </c>
    </row>
    <row r="38" spans="1:50">
      <c r="A38" s="59" t="str">
        <f>$D$1&amp;28</f>
        <v>UA28</v>
      </c>
      <c r="B38" s="60">
        <f>IF(ISERROR(VLOOKUP(A38,classifications!A:C,3,FALSE)),0,VLOOKUP(A38,classifications!A:C,3,FALSE))</f>
        <v>0</v>
      </c>
      <c r="C38" t="s">
        <v>19</v>
      </c>
      <c r="D38" t="str">
        <f>VLOOKUP($C38,classifications!$C:$J,4,FALSE)</f>
        <v>SD</v>
      </c>
      <c r="E38" t="str">
        <f>VLOOKUP(C38,classifications!C:K,9,FALSE)</f>
        <v>Sparse</v>
      </c>
      <c r="F38">
        <f t="shared" si="20"/>
        <v>95.588235294117652</v>
      </c>
      <c r="G38" s="15"/>
      <c r="H38" s="42" t="str">
        <f t="shared" si="21"/>
        <v/>
      </c>
      <c r="I38" s="79" t="str">
        <f>IF(H38="","",IF($I$8="A",(RANK(H38,H$11:H$349,1)+COUNTIF(H$11:H38,H38)-1),(RANK(H38,H$11:H$349)+COUNTIF(H$11:H38,H38)-1)))</f>
        <v/>
      </c>
      <c r="J38" s="41"/>
      <c r="K38" s="36">
        <f t="shared" si="22"/>
        <v>28</v>
      </c>
      <c r="L38" t="str">
        <f t="shared" si="23"/>
        <v>Leicester</v>
      </c>
      <c r="M38" s="117">
        <f t="shared" si="24"/>
        <v>90.476190476190482</v>
      </c>
      <c r="N38" s="112">
        <f t="shared" si="25"/>
        <v>90.476190476190482</v>
      </c>
      <c r="O38" s="96" t="str">
        <f t="shared" si="26"/>
        <v/>
      </c>
      <c r="P38" s="96">
        <f t="shared" si="27"/>
        <v>90.476190476190482</v>
      </c>
      <c r="Q38" s="96" t="str">
        <f t="shared" si="28"/>
        <v/>
      </c>
      <c r="R38" s="92" t="str">
        <f t="shared" si="29"/>
        <v/>
      </c>
      <c r="S38" s="42" t="str">
        <f t="shared" si="30"/>
        <v/>
      </c>
      <c r="T38" s="176">
        <f>IF(L38="","",VLOOKUP(L38,classifications!C:K,9,FALSE))</f>
        <v>0</v>
      </c>
      <c r="U38" s="177" t="str">
        <f t="shared" si="31"/>
        <v/>
      </c>
      <c r="V38" s="183" t="str">
        <f>IF(U38="","",IF($I$8="A",(RANK(U38,U$11:U$349)+COUNTIF(U$11:U38,U38)-1),(RANK(U38,U$11:U$349,1)+COUNTIF(U$11:U38,U38)-1)))</f>
        <v/>
      </c>
      <c r="W38" s="184"/>
      <c r="X38" s="5" t="str">
        <f>IF(L38="","",VLOOKUP($L38,classifications!$C:$J,6,FALSE))</f>
        <v>Predominantly Urban</v>
      </c>
      <c r="Y38" t="str">
        <f t="shared" si="32"/>
        <v/>
      </c>
      <c r="Z38" s="40" t="str">
        <f>IF(Y38="","",IF(I$8="A",(RANK(Y38,Y$11:Y$349,1)+COUNTIF(Y$11:Y38,Y38)-1),(RANK(Y38,Y$11:Y$349)+COUNTIF(Y$11:Y38,Y38)-1)))</f>
        <v/>
      </c>
      <c r="AA38" s="189" t="str">
        <f>IF(L38="","",VLOOKUP($L38,classifications!C:I,7,FALSE))</f>
        <v>Predominantly Urban</v>
      </c>
      <c r="AB38" s="183" t="str">
        <f t="shared" si="33"/>
        <v/>
      </c>
      <c r="AC38" s="183" t="str">
        <f>IF(AB38="","",IF($I$8="A",(RANK(AB38,AB$11:AB$349)+COUNTIF(AB$11:AB38,AB38)-1),(RANK(AB38,AB$11:AB$349,1)+COUNTIF(AB$11:AB38,AB38)-1)))</f>
        <v/>
      </c>
      <c r="AD38" s="183"/>
      <c r="AE38" s="49">
        <f>IF(I$8="A",(RANK(AG38,AG$11:AG$349,1)+COUNTIF(AG$11:AG38,AG38)-1),(RANK(AG38,AG$11:AG$349)+COUNTIF(AG$11:AG38,AG38)-1))</f>
        <v>28</v>
      </c>
      <c r="AF38" t="str">
        <f>VLOOKUP(Profile!$J$5,Families!$C:$R,6,FALSE)</f>
        <v>Herefordshire</v>
      </c>
      <c r="AG38" s="15">
        <f t="shared" si="34"/>
        <v>62.711864406779661</v>
      </c>
      <c r="AH38" s="50">
        <f t="shared" si="35"/>
        <v>28</v>
      </c>
      <c r="AI38" s="5" t="str">
        <f>IF(L38="","",VLOOKUP($L38,classifications!$C:$J,8,FALSE))</f>
        <v>Unitary</v>
      </c>
      <c r="AJ38" s="43">
        <f t="shared" si="36"/>
        <v>90.476190476190482</v>
      </c>
      <c r="AK38" s="40">
        <f>IF(AJ38="","",IF(I$8="A",(RANK(AJ38,AJ$11:AJ$349,1)+COUNTIF(AJ$11:AJ38,AJ38)-1),(RANK(AJ38,AJ$11:AJ$349)+COUNTIF(AJ$11:AJ38,AJ38)-1)))</f>
        <v>28</v>
      </c>
      <c r="AL38" s="3">
        <f t="shared" si="37"/>
        <v>28</v>
      </c>
      <c r="AM38" t="str">
        <f t="shared" si="38"/>
        <v>Leicester</v>
      </c>
      <c r="AN38">
        <f t="shared" si="39"/>
        <v>90.476190476190482</v>
      </c>
      <c r="AP38" s="5" t="str">
        <f>IF(L38="","",VLOOKUP($L38,classifications!$C:$E,3,FALSE))</f>
        <v>East Midlands</v>
      </c>
      <c r="AQ38" s="43" t="str">
        <f t="shared" si="40"/>
        <v/>
      </c>
      <c r="AR38" s="40" t="str">
        <f>IF(AQ38="","",IF(I$8="A",(RANK(AQ38,AQ$11:AQ$349,1)+COUNTIF(AQ$11:AQ38,AQ38)-1),(RANK(AQ38,AQ$11:AQ$349)+COUNTIF(AQ$11:AQ38,AQ38)-1)))</f>
        <v/>
      </c>
      <c r="AS38" s="3" t="str">
        <f t="shared" si="41"/>
        <v/>
      </c>
      <c r="AT38" s="40" t="str">
        <f t="shared" si="42"/>
        <v/>
      </c>
      <c r="AU38" s="43" t="str">
        <f t="shared" si="43"/>
        <v/>
      </c>
      <c r="AX38">
        <f>HLOOKUP($AX$9&amp;$AX$10,Data!$A$1:$ZZ$1988,(MATCH($C38,Data!$A$1:$A$1988,0)),FALSE)</f>
        <v>95.588235294117652</v>
      </c>
    </row>
    <row r="39" spans="1:50">
      <c r="A39" s="59" t="str">
        <f>$D$1&amp;29</f>
        <v>UA29</v>
      </c>
      <c r="B39" s="60">
        <f>IF(ISERROR(VLOOKUP(A39,classifications!A:C,3,FALSE)),0,VLOOKUP(A39,classifications!A:C,3,FALSE))</f>
        <v>0</v>
      </c>
      <c r="C39" t="s">
        <v>20</v>
      </c>
      <c r="D39" t="str">
        <f>VLOOKUP($C39,classifications!$C:$J,4,FALSE)</f>
        <v>SD</v>
      </c>
      <c r="E39">
        <f>VLOOKUP(C39,classifications!C:K,9,FALSE)</f>
        <v>0</v>
      </c>
      <c r="F39">
        <f t="shared" si="20"/>
        <v>89.552238805970148</v>
      </c>
      <c r="G39" s="15"/>
      <c r="H39" s="42" t="str">
        <f t="shared" si="21"/>
        <v/>
      </c>
      <c r="I39" s="79" t="str">
        <f>IF(H39="","",IF($I$8="A",(RANK(H39,H$11:H$349,1)+COUNTIF(H$11:H39,H39)-1),(RANK(H39,H$11:H$349)+COUNTIF(H$11:H39,H39)-1)))</f>
        <v/>
      </c>
      <c r="J39" s="41"/>
      <c r="K39" s="36">
        <f t="shared" si="22"/>
        <v>29</v>
      </c>
      <c r="L39" t="str">
        <f t="shared" si="23"/>
        <v>Peterborough</v>
      </c>
      <c r="M39" s="117">
        <f t="shared" si="24"/>
        <v>90</v>
      </c>
      <c r="N39" s="112">
        <f t="shared" si="25"/>
        <v>90</v>
      </c>
      <c r="O39" s="96" t="str">
        <f t="shared" si="26"/>
        <v/>
      </c>
      <c r="P39" s="96">
        <f t="shared" si="27"/>
        <v>90</v>
      </c>
      <c r="Q39" s="96" t="str">
        <f t="shared" si="28"/>
        <v/>
      </c>
      <c r="R39" s="92" t="str">
        <f t="shared" si="29"/>
        <v/>
      </c>
      <c r="S39" s="42" t="str">
        <f t="shared" si="30"/>
        <v/>
      </c>
      <c r="T39" s="176">
        <f>IF(L39="","",VLOOKUP(L39,classifications!C:K,9,FALSE))</f>
        <v>0</v>
      </c>
      <c r="U39" s="177" t="str">
        <f t="shared" si="31"/>
        <v/>
      </c>
      <c r="V39" s="183" t="str">
        <f>IF(U39="","",IF($I$8="A",(RANK(U39,U$11:U$349)+COUNTIF(U$11:U39,U39)-1),(RANK(U39,U$11:U$349,1)+COUNTIF(U$11:U39,U39)-1)))</f>
        <v/>
      </c>
      <c r="W39" s="184"/>
      <c r="X39" s="5" t="str">
        <f>IF(L39="","",VLOOKUP($L39,classifications!$C:$J,6,FALSE))</f>
        <v>Predominantly Urban</v>
      </c>
      <c r="Y39" t="str">
        <f t="shared" si="32"/>
        <v/>
      </c>
      <c r="Z39" s="40" t="str">
        <f>IF(Y39="","",IF(I$8="A",(RANK(Y39,Y$11:Y$349,1)+COUNTIF(Y$11:Y39,Y39)-1),(RANK(Y39,Y$11:Y$349)+COUNTIF(Y$11:Y39,Y39)-1)))</f>
        <v/>
      </c>
      <c r="AA39" s="189" t="str">
        <f>IF(L39="","",VLOOKUP($L39,classifications!C:I,7,FALSE))</f>
        <v>Predominantly Urban</v>
      </c>
      <c r="AB39" s="183" t="str">
        <f t="shared" si="33"/>
        <v/>
      </c>
      <c r="AC39" s="183" t="str">
        <f>IF(AB39="","",IF($I$8="A",(RANK(AB39,AB$11:AB$349)+COUNTIF(AB$11:AB39,AB39)-1),(RANK(AB39,AB$11:AB$349,1)+COUNTIF(AB$11:AB39,AB39)-1)))</f>
        <v/>
      </c>
      <c r="AD39" s="183"/>
      <c r="AE39" s="49">
        <f>IF(I$8="A",(RANK(AG39,AG$11:AG$349,1)+COUNTIF(AG$11:AG39,AG39)-1),(RANK(AG39,AG$11:AG$349)+COUNTIF(AG$11:AG39,AG39)-1))</f>
        <v>29</v>
      </c>
      <c r="AF39" t="str">
        <f>VLOOKUP(Profile!$J$5,Families!$C:$R,6,FALSE)</f>
        <v>Herefordshire</v>
      </c>
      <c r="AG39" s="15">
        <f t="shared" si="34"/>
        <v>62.711864406779661</v>
      </c>
      <c r="AH39" s="50">
        <f t="shared" si="35"/>
        <v>29</v>
      </c>
      <c r="AI39" s="5" t="str">
        <f>IF(L39="","",VLOOKUP($L39,classifications!$C:$J,8,FALSE))</f>
        <v>Unitary</v>
      </c>
      <c r="AJ39" s="43">
        <f t="shared" si="36"/>
        <v>90</v>
      </c>
      <c r="AK39" s="40">
        <f>IF(AJ39="","",IF(I$8="A",(RANK(AJ39,AJ$11:AJ$349,1)+COUNTIF(AJ$11:AJ39,AJ39)-1),(RANK(AJ39,AJ$11:AJ$349)+COUNTIF(AJ$11:AJ39,AJ39)-1)))</f>
        <v>29</v>
      </c>
      <c r="AL39" s="3">
        <f t="shared" si="37"/>
        <v>29</v>
      </c>
      <c r="AM39" t="str">
        <f t="shared" si="38"/>
        <v>Peterborough</v>
      </c>
      <c r="AN39">
        <f t="shared" si="39"/>
        <v>90</v>
      </c>
      <c r="AP39" s="5" t="str">
        <f>IF(L39="","",VLOOKUP($L39,classifications!$C:$E,3,FALSE))</f>
        <v>East of England</v>
      </c>
      <c r="AQ39" s="43" t="str">
        <f t="shared" si="40"/>
        <v/>
      </c>
      <c r="AR39" s="40" t="str">
        <f>IF(AQ39="","",IF(I$8="A",(RANK(AQ39,AQ$11:AQ$349,1)+COUNTIF(AQ$11:AQ39,AQ39)-1),(RANK(AQ39,AQ$11:AQ$349)+COUNTIF(AQ$11:AQ39,AQ39)-1)))</f>
        <v/>
      </c>
      <c r="AS39" s="3" t="str">
        <f t="shared" si="41"/>
        <v/>
      </c>
      <c r="AT39" s="40" t="str">
        <f t="shared" si="42"/>
        <v/>
      </c>
      <c r="AU39" s="43" t="str">
        <f t="shared" si="43"/>
        <v/>
      </c>
      <c r="AX39">
        <f>HLOOKUP($AX$9&amp;$AX$10,Data!$A$1:$ZZ$1988,(MATCH($C39,Data!$A$1:$A$1988,0)),FALSE)</f>
        <v>89.552238805970148</v>
      </c>
    </row>
    <row r="40" spans="1:50">
      <c r="A40" s="59" t="str">
        <f>$D$1&amp;30</f>
        <v>UA30</v>
      </c>
      <c r="B40" s="60">
        <f>IF(ISERROR(VLOOKUP(A40,classifications!A:C,3,FALSE)),0,VLOOKUP(A40,classifications!A:C,3,FALSE))</f>
        <v>0</v>
      </c>
      <c r="C40" t="s">
        <v>198</v>
      </c>
      <c r="D40" t="str">
        <f>VLOOKUP($C40,classifications!$C:$J,4,FALSE)</f>
        <v>L</v>
      </c>
      <c r="E40">
        <f>VLOOKUP(C40,classifications!C:K,9,FALSE)</f>
        <v>0</v>
      </c>
      <c r="F40">
        <f t="shared" si="20"/>
        <v>97.142857142857139</v>
      </c>
      <c r="G40" s="15"/>
      <c r="H40" s="42" t="str">
        <f t="shared" si="21"/>
        <v/>
      </c>
      <c r="I40" s="79" t="str">
        <f>IF(H40="","",IF($I$8="A",(RANK(H40,H$11:H$349,1)+COUNTIF(H$11:H40,H40)-1),(RANK(H40,H$11:H$349)+COUNTIF(H$11:H40,H40)-1)))</f>
        <v/>
      </c>
      <c r="J40" s="41"/>
      <c r="K40" s="36">
        <f t="shared" si="22"/>
        <v>30</v>
      </c>
      <c r="L40" t="str">
        <f t="shared" si="23"/>
        <v>South Gloucestershire</v>
      </c>
      <c r="M40" s="117">
        <f t="shared" si="24"/>
        <v>89.393939393939391</v>
      </c>
      <c r="N40" s="112">
        <f t="shared" si="25"/>
        <v>89.393939393939391</v>
      </c>
      <c r="O40" s="96" t="str">
        <f t="shared" si="26"/>
        <v/>
      </c>
      <c r="P40" s="96" t="str">
        <f t="shared" si="27"/>
        <v/>
      </c>
      <c r="Q40" s="96">
        <f t="shared" si="28"/>
        <v>89.393939393939391</v>
      </c>
      <c r="R40" s="92" t="str">
        <f t="shared" si="29"/>
        <v/>
      </c>
      <c r="S40" s="42" t="str">
        <f t="shared" si="30"/>
        <v/>
      </c>
      <c r="T40" s="176">
        <f>IF(L40="","",VLOOKUP(L40,classifications!C:K,9,FALSE))</f>
        <v>0</v>
      </c>
      <c r="U40" s="177" t="str">
        <f t="shared" si="31"/>
        <v/>
      </c>
      <c r="V40" s="183" t="str">
        <f>IF(U40="","",IF($I$8="A",(RANK(U40,U$11:U$349)+COUNTIF(U$11:U40,U40)-1),(RANK(U40,U$11:U$349,1)+COUNTIF(U$11:U40,U40)-1)))</f>
        <v/>
      </c>
      <c r="W40" s="184"/>
      <c r="X40" s="5" t="str">
        <f>IF(L40="","",VLOOKUP($L40,classifications!$C:$J,6,FALSE))</f>
        <v>Predominantly Urban</v>
      </c>
      <c r="Y40" t="str">
        <f t="shared" si="32"/>
        <v/>
      </c>
      <c r="Z40" s="40" t="str">
        <f>IF(Y40="","",IF(I$8="A",(RANK(Y40,Y$11:Y$349,1)+COUNTIF(Y$11:Y40,Y40)-1),(RANK(Y40,Y$11:Y$349)+COUNTIF(Y$11:Y40,Y40)-1)))</f>
        <v/>
      </c>
      <c r="AA40" s="189" t="str">
        <f>IF(L40="","",VLOOKUP($L40,classifications!C:I,7,FALSE))</f>
        <v>Predominantly Urban</v>
      </c>
      <c r="AB40" s="183" t="str">
        <f t="shared" si="33"/>
        <v/>
      </c>
      <c r="AC40" s="183" t="str">
        <f>IF(AB40="","",IF($I$8="A",(RANK(AB40,AB$11:AB$349)+COUNTIF(AB$11:AB40,AB40)-1),(RANK(AB40,AB$11:AB$349,1)+COUNTIF(AB$11:AB40,AB40)-1)))</f>
        <v/>
      </c>
      <c r="AD40" s="183"/>
      <c r="AE40" s="49">
        <f>IF(I$8="A",(RANK(AG40,AG$11:AG$349,1)+COUNTIF(AG$11:AG40,AG40)-1),(RANK(AG40,AG$11:AG$349)+COUNTIF(AG$11:AG40,AG40)-1))</f>
        <v>30</v>
      </c>
      <c r="AF40" t="str">
        <f>VLOOKUP(Profile!$J$5,Families!$C:$R,6,FALSE)</f>
        <v>Herefordshire</v>
      </c>
      <c r="AG40" s="15">
        <f t="shared" si="34"/>
        <v>62.711864406779661</v>
      </c>
      <c r="AH40" s="50">
        <f t="shared" si="35"/>
        <v>30</v>
      </c>
      <c r="AI40" s="5" t="str">
        <f>IF(L40="","",VLOOKUP($L40,classifications!$C:$J,8,FALSE))</f>
        <v>Unitary</v>
      </c>
      <c r="AJ40" s="43">
        <f t="shared" si="36"/>
        <v>89.393939393939391</v>
      </c>
      <c r="AK40" s="40">
        <f>IF(AJ40="","",IF(I$8="A",(RANK(AJ40,AJ$11:AJ$349,1)+COUNTIF(AJ$11:AJ40,AJ40)-1),(RANK(AJ40,AJ$11:AJ$349)+COUNTIF(AJ$11:AJ40,AJ40)-1)))</f>
        <v>30</v>
      </c>
      <c r="AL40" s="3">
        <f t="shared" si="37"/>
        <v>30</v>
      </c>
      <c r="AM40" t="str">
        <f t="shared" si="38"/>
        <v>South Gloucestershire</v>
      </c>
      <c r="AN40">
        <f t="shared" si="39"/>
        <v>89.393939393939391</v>
      </c>
      <c r="AP40" s="5" t="str">
        <f>IF(L40="","",VLOOKUP($L40,classifications!$C:$E,3,FALSE))</f>
        <v>South West</v>
      </c>
      <c r="AQ40" s="43" t="str">
        <f t="shared" si="40"/>
        <v/>
      </c>
      <c r="AR40" s="40" t="str">
        <f>IF(AQ40="","",IF(I$8="A",(RANK(AQ40,AQ$11:AQ$349,1)+COUNTIF(AQ$11:AQ40,AQ40)-1),(RANK(AQ40,AQ$11:AQ$349)+COUNTIF(AQ$11:AQ40,AQ40)-1)))</f>
        <v/>
      </c>
      <c r="AS40" s="3" t="str">
        <f t="shared" si="41"/>
        <v/>
      </c>
      <c r="AT40" s="40" t="str">
        <f t="shared" si="42"/>
        <v/>
      </c>
      <c r="AU40" s="43" t="str">
        <f t="shared" si="43"/>
        <v/>
      </c>
      <c r="AX40">
        <f>HLOOKUP($AX$9&amp;$AX$10,Data!$A$1:$ZZ$1988,(MATCH($C40,Data!$A$1:$A$1988,0)),FALSE)</f>
        <v>97.142857142857139</v>
      </c>
    </row>
    <row r="41" spans="1:50">
      <c r="A41" s="59" t="str">
        <f>$D$1&amp;31</f>
        <v>UA31</v>
      </c>
      <c r="B41" s="60">
        <f>IF(ISERROR(VLOOKUP(A41,classifications!A:C,3,FALSE)),0,VLOOKUP(A41,classifications!A:C,3,FALSE))</f>
        <v>0</v>
      </c>
      <c r="C41" t="s">
        <v>21</v>
      </c>
      <c r="D41" t="str">
        <f>VLOOKUP($C41,classifications!$C:$J,4,FALSE)</f>
        <v>SD</v>
      </c>
      <c r="E41">
        <f>VLOOKUP(C41,classifications!C:K,9,FALSE)</f>
        <v>0</v>
      </c>
      <c r="F41">
        <f t="shared" si="20"/>
        <v>100</v>
      </c>
      <c r="G41" s="15"/>
      <c r="H41" s="42" t="str">
        <f t="shared" si="21"/>
        <v/>
      </c>
      <c r="I41" s="79" t="str">
        <f>IF(H41="","",IF($I$8="A",(RANK(H41,H$11:H$349,1)+COUNTIF(H$11:H41,H41)-1),(RANK(H41,H$11:H$349)+COUNTIF(H$11:H41,H41)-1)))</f>
        <v/>
      </c>
      <c r="J41" s="41"/>
      <c r="K41" s="36">
        <f t="shared" si="22"/>
        <v>31</v>
      </c>
      <c r="L41" t="str">
        <f t="shared" si="23"/>
        <v>Bracknell Forest</v>
      </c>
      <c r="M41" s="117">
        <f t="shared" si="24"/>
        <v>89.285714285714292</v>
      </c>
      <c r="N41" s="112">
        <f t="shared" si="25"/>
        <v>89.285714285714292</v>
      </c>
      <c r="O41" s="96" t="str">
        <f t="shared" si="26"/>
        <v/>
      </c>
      <c r="P41" s="96" t="str">
        <f t="shared" si="27"/>
        <v/>
      </c>
      <c r="Q41" s="96">
        <f t="shared" si="28"/>
        <v>89.285714285714292</v>
      </c>
      <c r="R41" s="92" t="str">
        <f t="shared" si="29"/>
        <v/>
      </c>
      <c r="S41" s="42" t="str">
        <f t="shared" si="30"/>
        <v/>
      </c>
      <c r="T41" s="176">
        <f>IF(L41="","",VLOOKUP(L41,classifications!C:K,9,FALSE))</f>
        <v>0</v>
      </c>
      <c r="U41" s="177" t="str">
        <f t="shared" si="31"/>
        <v/>
      </c>
      <c r="V41" s="183" t="str">
        <f>IF(U41="","",IF($I$8="A",(RANK(U41,U$11:U$349)+COUNTIF(U$11:U41,U41)-1),(RANK(U41,U$11:U$349,1)+COUNTIF(U$11:U41,U41)-1)))</f>
        <v/>
      </c>
      <c r="W41" s="184"/>
      <c r="X41" s="5" t="str">
        <f>IF(L41="","",VLOOKUP($L41,classifications!$C:$J,6,FALSE))</f>
        <v>Predominantly Urban</v>
      </c>
      <c r="Y41" t="str">
        <f t="shared" si="32"/>
        <v/>
      </c>
      <c r="Z41" s="40" t="str">
        <f>IF(Y41="","",IF(I$8="A",(RANK(Y41,Y$11:Y$349,1)+COUNTIF(Y$11:Y41,Y41)-1),(RANK(Y41,Y$11:Y$349)+COUNTIF(Y$11:Y41,Y41)-1)))</f>
        <v/>
      </c>
      <c r="AA41" s="189" t="str">
        <f>IF(L41="","",VLOOKUP($L41,classifications!C:I,7,FALSE))</f>
        <v>Predominantly Urban</v>
      </c>
      <c r="AB41" s="183" t="str">
        <f t="shared" si="33"/>
        <v/>
      </c>
      <c r="AC41" s="183" t="str">
        <f>IF(AB41="","",IF($I$8="A",(RANK(AB41,AB$11:AB$349)+COUNTIF(AB$11:AB41,AB41)-1),(RANK(AB41,AB$11:AB$349,1)+COUNTIF(AB$11:AB41,AB41)-1)))</f>
        <v/>
      </c>
      <c r="AD41" s="183"/>
      <c r="AE41" s="49">
        <f>IF(I$8="A",(RANK(AG41,AG$11:AG$349,1)+COUNTIF(AG$11:AG41,AG41)-1),(RANK(AG41,AG$11:AG$349)+COUNTIF(AG$11:AG41,AG41)-1))</f>
        <v>31</v>
      </c>
      <c r="AF41" t="str">
        <f>VLOOKUP(Profile!$J$5,Families!$C:$R,6,FALSE)</f>
        <v>Herefordshire</v>
      </c>
      <c r="AG41" s="15">
        <f t="shared" si="34"/>
        <v>62.711864406779661</v>
      </c>
      <c r="AH41" s="50">
        <f t="shared" si="35"/>
        <v>31</v>
      </c>
      <c r="AI41" s="5" t="str">
        <f>IF(L41="","",VLOOKUP($L41,classifications!$C:$J,8,FALSE))</f>
        <v>Unitary</v>
      </c>
      <c r="AJ41" s="43">
        <f t="shared" si="36"/>
        <v>89.285714285714292</v>
      </c>
      <c r="AK41" s="40">
        <f>IF(AJ41="","",IF(I$8="A",(RANK(AJ41,AJ$11:AJ$349,1)+COUNTIF(AJ$11:AJ41,AJ41)-1),(RANK(AJ41,AJ$11:AJ$349)+COUNTIF(AJ$11:AJ41,AJ41)-1)))</f>
        <v>31</v>
      </c>
      <c r="AL41" s="3">
        <f t="shared" si="37"/>
        <v>31</v>
      </c>
      <c r="AM41" t="str">
        <f t="shared" si="38"/>
        <v>Bracknell Forest</v>
      </c>
      <c r="AN41">
        <f t="shared" si="39"/>
        <v>89.285714285714292</v>
      </c>
      <c r="AP41" s="5" t="str">
        <f>IF(L41="","",VLOOKUP($L41,classifications!$C:$E,3,FALSE))</f>
        <v>South East</v>
      </c>
      <c r="AQ41" s="43" t="str">
        <f t="shared" si="40"/>
        <v/>
      </c>
      <c r="AR41" s="40" t="str">
        <f>IF(AQ41="","",IF(I$8="A",(RANK(AQ41,AQ$11:AQ$349,1)+COUNTIF(AQ$11:AQ41,AQ41)-1),(RANK(AQ41,AQ$11:AQ$349)+COUNTIF(AQ$11:AQ41,AQ41)-1)))</f>
        <v/>
      </c>
      <c r="AS41" s="3" t="str">
        <f t="shared" si="41"/>
        <v/>
      </c>
      <c r="AT41" s="40" t="str">
        <f t="shared" si="42"/>
        <v/>
      </c>
      <c r="AU41" s="43" t="str">
        <f t="shared" si="43"/>
        <v/>
      </c>
      <c r="AX41">
        <f>HLOOKUP($AX$9&amp;$AX$10,Data!$A$1:$ZZ$1988,(MATCH($C41,Data!$A$1:$A$1988,0)),FALSE)</f>
        <v>100</v>
      </c>
    </row>
    <row r="42" spans="1:50">
      <c r="A42" s="59" t="str">
        <f>$D$1&amp;32</f>
        <v>UA32</v>
      </c>
      <c r="B42" s="60">
        <f>IF(ISERROR(VLOOKUP(A42,classifications!A:C,3,FALSE)),0,VLOOKUP(A42,classifications!A:C,3,FALSE))</f>
        <v>0</v>
      </c>
      <c r="C42" t="s">
        <v>812</v>
      </c>
      <c r="D42" t="str">
        <f>VLOOKUP($C42,classifications!$C:$J,4,FALSE)</f>
        <v>UA</v>
      </c>
      <c r="E42">
        <f>VLOOKUP(C42,classifications!C:K,9,FALSE)</f>
        <v>0</v>
      </c>
      <c r="F42">
        <f t="shared" si="20"/>
        <v>87.096774193548384</v>
      </c>
      <c r="G42" s="15"/>
      <c r="H42" s="42">
        <f t="shared" si="21"/>
        <v>87.096774193548384</v>
      </c>
      <c r="I42" s="79">
        <f>IF(H42="","",IF($I$8="A",(RANK(H42,H$11:H$349,1)+COUNTIF(H$11:H42,H42)-1),(RANK(H42,H$11:H$349)+COUNTIF(H$11:H42,H42)-1)))</f>
        <v>35</v>
      </c>
      <c r="J42" s="41"/>
      <c r="K42" s="36">
        <f t="shared" si="22"/>
        <v>32</v>
      </c>
      <c r="L42" t="str">
        <f t="shared" si="23"/>
        <v>Rutland</v>
      </c>
      <c r="M42" s="117">
        <f t="shared" si="24"/>
        <v>89.285714285714292</v>
      </c>
      <c r="N42" s="112">
        <f t="shared" si="25"/>
        <v>89.285714285714292</v>
      </c>
      <c r="O42" s="96" t="str">
        <f t="shared" si="26"/>
        <v/>
      </c>
      <c r="P42" s="96" t="str">
        <f t="shared" si="27"/>
        <v/>
      </c>
      <c r="Q42" s="96">
        <f t="shared" si="28"/>
        <v>89.285714285714292</v>
      </c>
      <c r="R42" s="92" t="str">
        <f t="shared" si="29"/>
        <v/>
      </c>
      <c r="S42" s="42" t="str">
        <f t="shared" si="30"/>
        <v/>
      </c>
      <c r="T42" s="176" t="str">
        <f>IF(L42="","",VLOOKUP(L42,classifications!C:K,9,FALSE))</f>
        <v>Sparse</v>
      </c>
      <c r="U42" s="177">
        <f t="shared" si="31"/>
        <v>89.285714285714292</v>
      </c>
      <c r="V42" s="183">
        <f>IF(U42="","",IF($I$8="A",(RANK(U42,U$11:U$349)+COUNTIF(U$11:U42,U42)-1),(RANK(U42,U$11:U$349,1)+COUNTIF(U$11:U42,U42)-1)))</f>
        <v>10</v>
      </c>
      <c r="W42" s="184"/>
      <c r="X42" s="5" t="str">
        <f>IF(L42="","",VLOOKUP($L42,classifications!$C:$J,6,FALSE))</f>
        <v xml:space="preserve">Predominantly Rural </v>
      </c>
      <c r="Y42">
        <f t="shared" si="32"/>
        <v>89.285714285714292</v>
      </c>
      <c r="Z42" s="40">
        <f>IF(Y42="","",IF(I$8="A",(RANK(Y42,Y$11:Y$349,1)+COUNTIF(Y$11:Y42,Y42)-1),(RANK(Y42,Y$11:Y$349)+COUNTIF(Y$11:Y42,Y42)-1)))</f>
        <v>7</v>
      </c>
      <c r="AA42" s="189" t="str">
        <f>IF(L42="","",VLOOKUP($L42,classifications!C:I,7,FALSE))</f>
        <v>Predominantly Rural</v>
      </c>
      <c r="AB42" s="183" t="str">
        <f t="shared" si="33"/>
        <v/>
      </c>
      <c r="AC42" s="183" t="str">
        <f>IF(AB42="","",IF($I$8="A",(RANK(AB42,AB$11:AB$349)+COUNTIF(AB$11:AB42,AB42)-1),(RANK(AB42,AB$11:AB$349,1)+COUNTIF(AB$11:AB42,AB42)-1)))</f>
        <v/>
      </c>
      <c r="AD42" s="183"/>
      <c r="AE42" s="49">
        <f>IF(I$8="A",(RANK(AG42,AG$11:AG$349,1)+COUNTIF(AG$11:AG42,AG42)-1),(RANK(AG42,AG$11:AG$349)+COUNTIF(AG$11:AG42,AG42)-1))</f>
        <v>32</v>
      </c>
      <c r="AF42" t="str">
        <f>VLOOKUP(Profile!$J$5,Families!$C:$R,6,FALSE)</f>
        <v>Herefordshire</v>
      </c>
      <c r="AG42" s="15">
        <f t="shared" si="34"/>
        <v>62.711864406779661</v>
      </c>
      <c r="AH42" s="50">
        <f t="shared" si="35"/>
        <v>32</v>
      </c>
      <c r="AI42" s="5" t="str">
        <f>IF(L42="","",VLOOKUP($L42,classifications!$C:$J,8,FALSE))</f>
        <v>Unitary</v>
      </c>
      <c r="AJ42" s="43">
        <f t="shared" si="36"/>
        <v>89.285714285714292</v>
      </c>
      <c r="AK42" s="40">
        <f>IF(AJ42="","",IF(I$8="A",(RANK(AJ42,AJ$11:AJ$349,1)+COUNTIF(AJ$11:AJ42,AJ42)-1),(RANK(AJ42,AJ$11:AJ$349)+COUNTIF(AJ$11:AJ42,AJ42)-1)))</f>
        <v>32</v>
      </c>
      <c r="AL42" s="3">
        <f t="shared" si="37"/>
        <v>32</v>
      </c>
      <c r="AM42" t="str">
        <f t="shared" si="38"/>
        <v>Rutland</v>
      </c>
      <c r="AN42">
        <f t="shared" si="39"/>
        <v>89.285714285714292</v>
      </c>
      <c r="AP42" s="5" t="str">
        <f>IF(L42="","",VLOOKUP($L42,classifications!$C:$E,3,FALSE))</f>
        <v>East Midlands</v>
      </c>
      <c r="AQ42" s="43" t="str">
        <f t="shared" si="40"/>
        <v/>
      </c>
      <c r="AR42" s="40" t="str">
        <f>IF(AQ42="","",IF(I$8="A",(RANK(AQ42,AQ$11:AQ$349,1)+COUNTIF(AQ$11:AQ42,AQ42)-1),(RANK(AQ42,AQ$11:AQ$349)+COUNTIF(AQ$11:AQ42,AQ42)-1)))</f>
        <v/>
      </c>
      <c r="AS42" s="3" t="str">
        <f t="shared" si="41"/>
        <v/>
      </c>
      <c r="AT42" s="40" t="str">
        <f t="shared" si="42"/>
        <v/>
      </c>
      <c r="AU42" s="43" t="str">
        <f t="shared" si="43"/>
        <v/>
      </c>
      <c r="AX42">
        <f>HLOOKUP($AX$9&amp;$AX$10,Data!$A$1:$ZZ$1988,(MATCH($C42,Data!$A$1:$A$1988,0)),FALSE)</f>
        <v>87.096774193548384</v>
      </c>
    </row>
    <row r="43" spans="1:50">
      <c r="A43" s="59" t="str">
        <f>$D$1&amp;33</f>
        <v>UA33</v>
      </c>
      <c r="B43" s="60">
        <f>IF(ISERROR(VLOOKUP(A43,classifications!A:C,3,FALSE)),0,VLOOKUP(A43,classifications!A:C,3,FALSE))</f>
        <v>0</v>
      </c>
      <c r="C43" t="s">
        <v>816</v>
      </c>
      <c r="D43" t="str">
        <f>VLOOKUP($C43,classifications!$C:$J,4,FALSE)</f>
        <v>UA</v>
      </c>
      <c r="E43">
        <f>VLOOKUP(C43,classifications!C:K,9,FALSE)</f>
        <v>0</v>
      </c>
      <c r="F43">
        <f t="shared" si="20"/>
        <v>94.285714285714278</v>
      </c>
      <c r="G43" s="15"/>
      <c r="H43" s="42">
        <f t="shared" si="21"/>
        <v>94.285714285714278</v>
      </c>
      <c r="I43" s="79">
        <f>IF(H43="","",IF($I$8="A",(RANK(H43,H$11:H$349,1)+COUNTIF(H$11:H43,H43)-1),(RANK(H43,H$11:H$349)+COUNTIF(H$11:H43,H43)-1)))</f>
        <v>20</v>
      </c>
      <c r="J43" s="41"/>
      <c r="K43" s="36">
        <f t="shared" si="22"/>
        <v>33</v>
      </c>
      <c r="L43" t="str">
        <f t="shared" si="23"/>
        <v>Central Bedfordshire</v>
      </c>
      <c r="M43" s="117">
        <f t="shared" si="24"/>
        <v>88.118811881188122</v>
      </c>
      <c r="N43" s="112">
        <f t="shared" si="25"/>
        <v>88.118811881188122</v>
      </c>
      <c r="O43" s="96" t="str">
        <f t="shared" si="26"/>
        <v/>
      </c>
      <c r="P43" s="96" t="str">
        <f t="shared" si="27"/>
        <v/>
      </c>
      <c r="Q43" s="96">
        <f t="shared" si="28"/>
        <v>88.118811881188122</v>
      </c>
      <c r="R43" s="92" t="str">
        <f t="shared" si="29"/>
        <v/>
      </c>
      <c r="S43" s="42" t="str">
        <f t="shared" si="30"/>
        <v/>
      </c>
      <c r="T43" s="176">
        <f>IF(L43="","",VLOOKUP(L43,classifications!C:K,9,FALSE))</f>
        <v>0</v>
      </c>
      <c r="U43" s="177" t="str">
        <f t="shared" si="31"/>
        <v/>
      </c>
      <c r="V43" s="183" t="str">
        <f>IF(U43="","",IF($I$8="A",(RANK(U43,U$11:U$349)+COUNTIF(U$11:U43,U43)-1),(RANK(U43,U$11:U$349,1)+COUNTIF(U$11:U43,U43)-1)))</f>
        <v/>
      </c>
      <c r="W43" s="184"/>
      <c r="X43" s="5" t="str">
        <f>IF(L43="","",VLOOKUP($L43,classifications!$C:$J,6,FALSE))</f>
        <v xml:space="preserve">Predominantly Rural </v>
      </c>
      <c r="Y43">
        <f t="shared" si="32"/>
        <v>88.118811881188122</v>
      </c>
      <c r="Z43" s="40">
        <f>IF(Y43="","",IF(I$8="A",(RANK(Y43,Y$11:Y$349,1)+COUNTIF(Y$11:Y43,Y43)-1),(RANK(Y43,Y$11:Y$349)+COUNTIF(Y$11:Y43,Y43)-1)))</f>
        <v>8</v>
      </c>
      <c r="AA43" s="189" t="str">
        <f>IF(L43="","",VLOOKUP($L43,classifications!C:I,7,FALSE))</f>
        <v>Predominantly Rural</v>
      </c>
      <c r="AB43" s="183" t="str">
        <f t="shared" si="33"/>
        <v/>
      </c>
      <c r="AC43" s="183" t="str">
        <f>IF(AB43="","",IF($I$8="A",(RANK(AB43,AB$11:AB$349)+COUNTIF(AB$11:AB43,AB43)-1),(RANK(AB43,AB$11:AB$349,1)+COUNTIF(AB$11:AB43,AB43)-1)))</f>
        <v/>
      </c>
      <c r="AD43" s="183"/>
      <c r="AE43" s="49">
        <f>IF(I$8="A",(RANK(AG43,AG$11:AG$349,1)+COUNTIF(AG$11:AG43,AG43)-1),(RANK(AG43,AG$11:AG$349)+COUNTIF(AG$11:AG43,AG43)-1))</f>
        <v>33</v>
      </c>
      <c r="AF43" t="str">
        <f>VLOOKUP(Profile!$J$5,Families!$C:$R,6,FALSE)</f>
        <v>Herefordshire</v>
      </c>
      <c r="AG43" s="15">
        <f t="shared" si="34"/>
        <v>62.711864406779661</v>
      </c>
      <c r="AH43" s="50">
        <f t="shared" si="35"/>
        <v>33</v>
      </c>
      <c r="AI43" s="5" t="str">
        <f>IF(L43="","",VLOOKUP($L43,classifications!$C:$J,8,FALSE))</f>
        <v>Unitary</v>
      </c>
      <c r="AJ43" s="43">
        <f t="shared" si="36"/>
        <v>88.118811881188122</v>
      </c>
      <c r="AK43" s="40">
        <f>IF(AJ43="","",IF(I$8="A",(RANK(AJ43,AJ$11:AJ$349,1)+COUNTIF(AJ$11:AJ43,AJ43)-1),(RANK(AJ43,AJ$11:AJ$349)+COUNTIF(AJ$11:AJ43,AJ43)-1)))</f>
        <v>33</v>
      </c>
      <c r="AL43" s="3">
        <f t="shared" si="37"/>
        <v>33</v>
      </c>
      <c r="AM43" t="str">
        <f t="shared" si="38"/>
        <v>Central Bedfordshire</v>
      </c>
      <c r="AN43">
        <f t="shared" si="39"/>
        <v>88.118811881188122</v>
      </c>
      <c r="AP43" s="5" t="str">
        <f>IF(L43="","",VLOOKUP($L43,classifications!$C:$E,3,FALSE))</f>
        <v>East of England</v>
      </c>
      <c r="AQ43" s="43" t="str">
        <f t="shared" si="40"/>
        <v/>
      </c>
      <c r="AR43" s="40" t="str">
        <f>IF(AQ43="","",IF(I$8="A",(RANK(AQ43,AQ$11:AQ$349,1)+COUNTIF(AQ$11:AQ43,AQ43)-1),(RANK(AQ43,AQ$11:AQ$349)+COUNTIF(AQ$11:AQ43,AQ43)-1)))</f>
        <v/>
      </c>
      <c r="AS43" s="3" t="str">
        <f t="shared" si="41"/>
        <v/>
      </c>
      <c r="AT43" s="40" t="str">
        <f t="shared" si="42"/>
        <v/>
      </c>
      <c r="AU43" s="43" t="str">
        <f t="shared" si="43"/>
        <v/>
      </c>
      <c r="AX43">
        <f>HLOOKUP($AX$9&amp;$AX$10,Data!$A$1:$ZZ$1988,(MATCH($C43,Data!$A$1:$A$1988,0)),FALSE)</f>
        <v>94.285714285714278</v>
      </c>
    </row>
    <row r="44" spans="1:50">
      <c r="A44" s="59" t="str">
        <f>$D$1&amp;34</f>
        <v>UA34</v>
      </c>
      <c r="B44" s="60">
        <f>IF(ISERROR(VLOOKUP(A44,classifications!A:C,3,FALSE)),0,VLOOKUP(A44,classifications!A:C,3,FALSE))</f>
        <v>0</v>
      </c>
      <c r="C44" t="s">
        <v>22</v>
      </c>
      <c r="D44" t="str">
        <f>VLOOKUP($C44,classifications!$C:$J,4,FALSE)</f>
        <v>SD</v>
      </c>
      <c r="E44">
        <f>VLOOKUP(C44,classifications!C:K,9,FALSE)</f>
        <v>0</v>
      </c>
      <c r="F44">
        <f t="shared" si="20"/>
        <v>89.285714285714292</v>
      </c>
      <c r="G44" s="15"/>
      <c r="H44" s="42" t="str">
        <f t="shared" si="21"/>
        <v/>
      </c>
      <c r="I44" s="79" t="str">
        <f>IF(H44="","",IF($I$8="A",(RANK(H44,H$11:H$349,1)+COUNTIF(H$11:H44,H44)-1),(RANK(H44,H$11:H$349)+COUNTIF(H$11:H44,H44)-1)))</f>
        <v/>
      </c>
      <c r="J44" s="41"/>
      <c r="K44" s="36">
        <f t="shared" si="22"/>
        <v>34</v>
      </c>
      <c r="L44" t="str">
        <f t="shared" si="23"/>
        <v>Durham</v>
      </c>
      <c r="M44" s="117">
        <f t="shared" si="24"/>
        <v>87.5</v>
      </c>
      <c r="N44" s="112">
        <f t="shared" si="25"/>
        <v>87.5</v>
      </c>
      <c r="O44" s="96" t="str">
        <f t="shared" si="26"/>
        <v/>
      </c>
      <c r="P44" s="96" t="str">
        <f t="shared" si="27"/>
        <v/>
      </c>
      <c r="Q44" s="96">
        <f t="shared" si="28"/>
        <v>87.5</v>
      </c>
      <c r="R44" s="92" t="str">
        <f t="shared" si="29"/>
        <v/>
      </c>
      <c r="S44" s="42" t="str">
        <f t="shared" si="30"/>
        <v/>
      </c>
      <c r="T44" s="176" t="str">
        <f>IF(L44="","",VLOOKUP(L44,classifications!C:K,9,FALSE))</f>
        <v>Sparse</v>
      </c>
      <c r="U44" s="177">
        <f t="shared" si="31"/>
        <v>87.5</v>
      </c>
      <c r="V44" s="183">
        <f>IF(U44="","",IF($I$8="A",(RANK(U44,U$11:U$349)+COUNTIF(U$11:U44,U44)-1),(RANK(U44,U$11:U$349,1)+COUNTIF(U$11:U44,U44)-1)))</f>
        <v>9</v>
      </c>
      <c r="W44" s="184"/>
      <c r="X44" s="5" t="str">
        <f>IF(L44="","",VLOOKUP($L44,classifications!$C:$J,6,FALSE))</f>
        <v xml:space="preserve">Predominantly Rural </v>
      </c>
      <c r="Y44">
        <f t="shared" si="32"/>
        <v>87.5</v>
      </c>
      <c r="Z44" s="40">
        <f>IF(Y44="","",IF(I$8="A",(RANK(Y44,Y$11:Y$349,1)+COUNTIF(Y$11:Y44,Y44)-1),(RANK(Y44,Y$11:Y$349)+COUNTIF(Y$11:Y44,Y44)-1)))</f>
        <v>9</v>
      </c>
      <c r="AA44" s="189" t="str">
        <f>IF(L44="","",VLOOKUP($L44,classifications!C:I,7,FALSE))</f>
        <v>Predominantly Rural</v>
      </c>
      <c r="AB44" s="183" t="str">
        <f t="shared" si="33"/>
        <v/>
      </c>
      <c r="AC44" s="183" t="str">
        <f>IF(AB44="","",IF($I$8="A",(RANK(AB44,AB$11:AB$349)+COUNTIF(AB$11:AB44,AB44)-1),(RANK(AB44,AB$11:AB$349,1)+COUNTIF(AB$11:AB44,AB44)-1)))</f>
        <v/>
      </c>
      <c r="AD44" s="183"/>
      <c r="AE44" s="49">
        <f>IF(I$8="A",(RANK(AG44,AG$11:AG$349,1)+COUNTIF(AG$11:AG44,AG44)-1),(RANK(AG44,AG$11:AG$349)+COUNTIF(AG$11:AG44,AG44)-1))</f>
        <v>34</v>
      </c>
      <c r="AF44" t="str">
        <f>VLOOKUP(Profile!$J$5,Families!$C:$R,6,FALSE)</f>
        <v>Herefordshire</v>
      </c>
      <c r="AG44" s="15">
        <f t="shared" si="34"/>
        <v>62.711864406779661</v>
      </c>
      <c r="AH44" s="50">
        <f t="shared" si="35"/>
        <v>34</v>
      </c>
      <c r="AI44" s="5" t="str">
        <f>IF(L44="","",VLOOKUP($L44,classifications!$C:$J,8,FALSE))</f>
        <v>Unitary</v>
      </c>
      <c r="AJ44" s="43">
        <f t="shared" si="36"/>
        <v>87.5</v>
      </c>
      <c r="AK44" s="40">
        <f>IF(AJ44="","",IF(I$8="A",(RANK(AJ44,AJ$11:AJ$349,1)+COUNTIF(AJ$11:AJ44,AJ44)-1),(RANK(AJ44,AJ$11:AJ$349)+COUNTIF(AJ$11:AJ44,AJ44)-1)))</f>
        <v>34</v>
      </c>
      <c r="AL44" s="3">
        <f t="shared" si="37"/>
        <v>34</v>
      </c>
      <c r="AM44" t="str">
        <f t="shared" si="38"/>
        <v>Durham</v>
      </c>
      <c r="AN44">
        <f t="shared" si="39"/>
        <v>87.5</v>
      </c>
      <c r="AP44" s="5" t="str">
        <f>IF(L44="","",VLOOKUP($L44,classifications!$C:$E,3,FALSE))</f>
        <v>NE</v>
      </c>
      <c r="AQ44" s="43" t="str">
        <f t="shared" si="40"/>
        <v/>
      </c>
      <c r="AR44" s="40" t="str">
        <f>IF(AQ44="","",IF(I$8="A",(RANK(AQ44,AQ$11:AQ$349,1)+COUNTIF(AQ$11:AQ44,AQ44)-1),(RANK(AQ44,AQ$11:AQ$349)+COUNTIF(AQ$11:AQ44,AQ44)-1)))</f>
        <v/>
      </c>
      <c r="AS44" s="3" t="str">
        <f t="shared" si="41"/>
        <v/>
      </c>
      <c r="AT44" s="40" t="str">
        <f t="shared" si="42"/>
        <v/>
      </c>
      <c r="AU44" s="43" t="str">
        <f t="shared" si="43"/>
        <v/>
      </c>
      <c r="AX44">
        <f>HLOOKUP($AX$9&amp;$AX$10,Data!$A$1:$ZZ$1988,(MATCH($C44,Data!$A$1:$A$1988,0)),FALSE)</f>
        <v>89.285714285714292</v>
      </c>
    </row>
    <row r="45" spans="1:50">
      <c r="A45" s="59" t="str">
        <f>$D$1&amp;35</f>
        <v>UA35</v>
      </c>
      <c r="B45" s="60">
        <f>IF(ISERROR(VLOOKUP(A45,classifications!A:C,3,FALSE)),0,VLOOKUP(A45,classifications!A:C,3,FALSE))</f>
        <v>0</v>
      </c>
      <c r="C45" t="s">
        <v>199</v>
      </c>
      <c r="D45" t="str">
        <f>VLOOKUP($C45,classifications!$C:$J,4,FALSE)</f>
        <v>L</v>
      </c>
      <c r="E45">
        <f>VLOOKUP(C45,classifications!C:K,9,FALSE)</f>
        <v>0</v>
      </c>
      <c r="F45">
        <f t="shared" si="20"/>
        <v>86.956521739130437</v>
      </c>
      <c r="G45" s="15"/>
      <c r="H45" s="42" t="str">
        <f t="shared" si="21"/>
        <v/>
      </c>
      <c r="I45" s="79" t="str">
        <f>IF(H45="","",IF($I$8="A",(RANK(H45,H$11:H$349,1)+COUNTIF(H$11:H45,H45)-1),(RANK(H45,H$11:H$349)+COUNTIF(H$11:H45,H45)-1)))</f>
        <v/>
      </c>
      <c r="J45" s="41"/>
      <c r="K45" s="36">
        <f t="shared" si="22"/>
        <v>35</v>
      </c>
      <c r="L45" t="str">
        <f t="shared" si="23"/>
        <v>Brighton &amp; Hove</v>
      </c>
      <c r="M45" s="117">
        <f t="shared" si="24"/>
        <v>87.096774193548384</v>
      </c>
      <c r="N45" s="112">
        <f t="shared" si="25"/>
        <v>87.096774193548384</v>
      </c>
      <c r="O45" s="96" t="str">
        <f t="shared" si="26"/>
        <v/>
      </c>
      <c r="P45" s="96" t="str">
        <f t="shared" si="27"/>
        <v/>
      </c>
      <c r="Q45" s="96">
        <f t="shared" si="28"/>
        <v>87.096774193548384</v>
      </c>
      <c r="R45" s="92" t="str">
        <f t="shared" si="29"/>
        <v/>
      </c>
      <c r="S45" s="42" t="str">
        <f t="shared" si="30"/>
        <v/>
      </c>
      <c r="T45" s="176">
        <f>IF(L45="","",VLOOKUP(L45,classifications!C:K,9,FALSE))</f>
        <v>0</v>
      </c>
      <c r="U45" s="177" t="str">
        <f t="shared" si="31"/>
        <v/>
      </c>
      <c r="V45" s="183" t="str">
        <f>IF(U45="","",IF($I$8="A",(RANK(U45,U$11:U$349)+COUNTIF(U$11:U45,U45)-1),(RANK(U45,U$11:U$349,1)+COUNTIF(U$11:U45,U45)-1)))</f>
        <v/>
      </c>
      <c r="W45" s="184"/>
      <c r="X45" s="5" t="str">
        <f>IF(L45="","",VLOOKUP($L45,classifications!$C:$J,6,FALSE))</f>
        <v>Predominantly Urban</v>
      </c>
      <c r="Y45" t="str">
        <f t="shared" si="32"/>
        <v/>
      </c>
      <c r="Z45" s="40" t="str">
        <f>IF(Y45="","",IF(I$8="A",(RANK(Y45,Y$11:Y$349,1)+COUNTIF(Y$11:Y45,Y45)-1),(RANK(Y45,Y$11:Y$349)+COUNTIF(Y$11:Y45,Y45)-1)))</f>
        <v/>
      </c>
      <c r="AA45" s="189" t="str">
        <f>IF(L45="","",VLOOKUP($L45,classifications!C:I,7,FALSE))</f>
        <v>Predominantly Urban</v>
      </c>
      <c r="AB45" s="183" t="str">
        <f t="shared" si="33"/>
        <v/>
      </c>
      <c r="AC45" s="183" t="str">
        <f>IF(AB45="","",IF($I$8="A",(RANK(AB45,AB$11:AB$349)+COUNTIF(AB$11:AB45,AB45)-1),(RANK(AB45,AB$11:AB$349,1)+COUNTIF(AB$11:AB45,AB45)-1)))</f>
        <v/>
      </c>
      <c r="AD45" s="183"/>
      <c r="AE45" s="49">
        <f>IF(I$8="A",(RANK(AG45,AG$11:AG$349,1)+COUNTIF(AG$11:AG45,AG45)-1),(RANK(AG45,AG$11:AG$349)+COUNTIF(AG$11:AG45,AG45)-1))</f>
        <v>35</v>
      </c>
      <c r="AF45" t="str">
        <f>VLOOKUP(Profile!$J$5,Families!$C:$R,6,FALSE)</f>
        <v>Herefordshire</v>
      </c>
      <c r="AG45" s="15">
        <f t="shared" si="34"/>
        <v>62.711864406779661</v>
      </c>
      <c r="AH45" s="50">
        <f t="shared" si="35"/>
        <v>35</v>
      </c>
      <c r="AI45" s="5" t="str">
        <f>IF(L45="","",VLOOKUP($L45,classifications!$C:$J,8,FALSE))</f>
        <v>Unitary</v>
      </c>
      <c r="AJ45" s="43">
        <f t="shared" si="36"/>
        <v>87.096774193548384</v>
      </c>
      <c r="AK45" s="40">
        <f>IF(AJ45="","",IF(I$8="A",(RANK(AJ45,AJ$11:AJ$349,1)+COUNTIF(AJ$11:AJ45,AJ45)-1),(RANK(AJ45,AJ$11:AJ$349)+COUNTIF(AJ$11:AJ45,AJ45)-1)))</f>
        <v>35</v>
      </c>
      <c r="AL45" s="3">
        <f t="shared" si="37"/>
        <v>35</v>
      </c>
      <c r="AM45" t="str">
        <f t="shared" si="38"/>
        <v>Brighton &amp; Hove</v>
      </c>
      <c r="AN45">
        <f t="shared" si="39"/>
        <v>87.096774193548384</v>
      </c>
      <c r="AP45" s="5" t="str">
        <f>IF(L45="","",VLOOKUP($L45,classifications!$C:$E,3,FALSE))</f>
        <v>South East</v>
      </c>
      <c r="AQ45" s="43" t="str">
        <f t="shared" si="40"/>
        <v/>
      </c>
      <c r="AR45" s="40" t="str">
        <f>IF(AQ45="","",IF(I$8="A",(RANK(AQ45,AQ$11:AQ$349,1)+COUNTIF(AQ$11:AQ45,AQ45)-1),(RANK(AQ45,AQ$11:AQ$349)+COUNTIF(AQ$11:AQ45,AQ45)-1)))</f>
        <v/>
      </c>
      <c r="AS45" s="3" t="str">
        <f t="shared" si="41"/>
        <v/>
      </c>
      <c r="AT45" s="40" t="str">
        <f t="shared" si="42"/>
        <v/>
      </c>
      <c r="AU45" s="43" t="str">
        <f t="shared" si="43"/>
        <v/>
      </c>
      <c r="AX45">
        <f>HLOOKUP($AX$9&amp;$AX$10,Data!$A$1:$ZZ$1988,(MATCH($C45,Data!$A$1:$A$1988,0)),FALSE)</f>
        <v>86.956521739130437</v>
      </c>
    </row>
    <row r="46" spans="1:50">
      <c r="A46" s="59" t="str">
        <f>$D$1&amp;36</f>
        <v>UA36</v>
      </c>
      <c r="B46" s="60">
        <f>IF(ISERROR(VLOOKUP(A46,classifications!A:C,3,FALSE)),0,VLOOKUP(A46,classifications!A:C,3,FALSE))</f>
        <v>0</v>
      </c>
      <c r="C46" t="s">
        <v>23</v>
      </c>
      <c r="D46" t="str">
        <f>VLOOKUP($C46,classifications!$C:$J,4,FALSE)</f>
        <v>SD</v>
      </c>
      <c r="E46">
        <f>VLOOKUP(C46,classifications!C:K,9,FALSE)</f>
        <v>0</v>
      </c>
      <c r="F46">
        <f t="shared" si="20"/>
        <v>85.714285714285708</v>
      </c>
      <c r="G46" s="15"/>
      <c r="H46" s="42" t="str">
        <f t="shared" si="21"/>
        <v/>
      </c>
      <c r="I46" s="79" t="str">
        <f>IF(H46="","",IF($I$8="A",(RANK(H46,H$11:H$349,1)+COUNTIF(H$11:H46,H46)-1),(RANK(H46,H$11:H$349)+COUNTIF(H$11:H46,H46)-1)))</f>
        <v/>
      </c>
      <c r="J46" s="41"/>
      <c r="K46" s="36">
        <f t="shared" si="22"/>
        <v>36</v>
      </c>
      <c r="L46" t="str">
        <f t="shared" si="23"/>
        <v>Bournemouth, Christchurch &amp; Poole</v>
      </c>
      <c r="M46" s="117">
        <f t="shared" si="24"/>
        <v>87.037037037037038</v>
      </c>
      <c r="N46" s="112">
        <f t="shared" si="25"/>
        <v>87.037037037037038</v>
      </c>
      <c r="O46" s="96" t="str">
        <f t="shared" si="26"/>
        <v/>
      </c>
      <c r="P46" s="96" t="str">
        <f t="shared" si="27"/>
        <v/>
      </c>
      <c r="Q46" s="96">
        <f t="shared" si="28"/>
        <v>87.037037037037038</v>
      </c>
      <c r="R46" s="92" t="str">
        <f t="shared" si="29"/>
        <v/>
      </c>
      <c r="S46" s="42" t="str">
        <f t="shared" si="30"/>
        <v/>
      </c>
      <c r="T46" s="176">
        <f>IF(L46="","",VLOOKUP(L46,classifications!C:K,9,FALSE))</f>
        <v>0</v>
      </c>
      <c r="U46" s="177" t="str">
        <f t="shared" si="31"/>
        <v/>
      </c>
      <c r="V46" s="183" t="str">
        <f>IF(U46="","",IF($I$8="A",(RANK(U46,U$11:U$349)+COUNTIF(U$11:U46,U46)-1),(RANK(U46,U$11:U$349,1)+COUNTIF(U$11:U46,U46)-1)))</f>
        <v/>
      </c>
      <c r="W46" s="184"/>
      <c r="X46" s="5" t="str">
        <f>IF(L46="","",VLOOKUP($L46,classifications!$C:$J,6,FALSE))</f>
        <v>Predominantly Urban</v>
      </c>
      <c r="Y46" t="str">
        <f t="shared" si="32"/>
        <v/>
      </c>
      <c r="Z46" s="40" t="str">
        <f>IF(Y46="","",IF(I$8="A",(RANK(Y46,Y$11:Y$349,1)+COUNTIF(Y$11:Y46,Y46)-1),(RANK(Y46,Y$11:Y$349)+COUNTIF(Y$11:Y46,Y46)-1)))</f>
        <v/>
      </c>
      <c r="AA46" s="189" t="str">
        <f>IF(L46="","",VLOOKUP($L46,classifications!C:I,7,FALSE))</f>
        <v>Predominantly Urban</v>
      </c>
      <c r="AB46" s="183" t="str">
        <f t="shared" si="33"/>
        <v/>
      </c>
      <c r="AC46" s="183" t="str">
        <f>IF(AB46="","",IF($I$8="A",(RANK(AB46,AB$11:AB$349)+COUNTIF(AB$11:AB46,AB46)-1),(RANK(AB46,AB$11:AB$349,1)+COUNTIF(AB$11:AB46,AB46)-1)))</f>
        <v/>
      </c>
      <c r="AD46" s="183"/>
      <c r="AE46" s="49">
        <f>IF(I$8="A",(RANK(AG46,AG$11:AG$349,1)+COUNTIF(AG$11:AG46,AG46)-1),(RANK(AG46,AG$11:AG$349)+COUNTIF(AG$11:AG46,AG46)-1))</f>
        <v>36</v>
      </c>
      <c r="AF46" t="str">
        <f>VLOOKUP(Profile!$J$5,Families!$C:$R,6,FALSE)</f>
        <v>Herefordshire</v>
      </c>
      <c r="AG46" s="15">
        <f t="shared" si="34"/>
        <v>62.711864406779661</v>
      </c>
      <c r="AH46" s="50">
        <f t="shared" si="35"/>
        <v>36</v>
      </c>
      <c r="AI46" s="5" t="str">
        <f>IF(L46="","",VLOOKUP($L46,classifications!$C:$J,8,FALSE))</f>
        <v>Unitary</v>
      </c>
      <c r="AJ46" s="43">
        <f t="shared" si="36"/>
        <v>87.037037037037038</v>
      </c>
      <c r="AK46" s="40">
        <f>IF(AJ46="","",IF(I$8="A",(RANK(AJ46,AJ$11:AJ$349,1)+COUNTIF(AJ$11:AJ46,AJ46)-1),(RANK(AJ46,AJ$11:AJ$349)+COUNTIF(AJ$11:AJ46,AJ46)-1)))</f>
        <v>36</v>
      </c>
      <c r="AL46" s="3">
        <f t="shared" si="37"/>
        <v>36</v>
      </c>
      <c r="AM46" t="str">
        <f t="shared" si="38"/>
        <v>Bournemouth, Christchurch &amp; Poole</v>
      </c>
      <c r="AN46">
        <f t="shared" si="39"/>
        <v>87.037037037037038</v>
      </c>
      <c r="AP46" s="5" t="str">
        <f>IF(L46="","",VLOOKUP($L46,classifications!$C:$E,3,FALSE))</f>
        <v>South West</v>
      </c>
      <c r="AQ46" s="43" t="str">
        <f t="shared" si="40"/>
        <v/>
      </c>
      <c r="AR46" s="40" t="str">
        <f>IF(AQ46="","",IF(I$8="A",(RANK(AQ46,AQ$11:AQ$349,1)+COUNTIF(AQ$11:AQ46,AQ46)-1),(RANK(AQ46,AQ$11:AQ$349)+COUNTIF(AQ$11:AQ46,AQ46)-1)))</f>
        <v/>
      </c>
      <c r="AS46" s="3" t="str">
        <f t="shared" si="41"/>
        <v/>
      </c>
      <c r="AT46" s="40" t="str">
        <f t="shared" si="42"/>
        <v/>
      </c>
      <c r="AU46" s="43" t="str">
        <f t="shared" si="43"/>
        <v/>
      </c>
      <c r="AX46">
        <f>HLOOKUP($AX$9&amp;$AX$10,Data!$A$1:$ZZ$1988,(MATCH($C46,Data!$A$1:$A$1988,0)),FALSE)</f>
        <v>85.714285714285708</v>
      </c>
    </row>
    <row r="47" spans="1:50">
      <c r="A47" s="59" t="str">
        <f>$D$1&amp;37</f>
        <v>UA37</v>
      </c>
      <c r="B47" s="60">
        <f>IF(ISERROR(VLOOKUP(A47,classifications!A:C,3,FALSE)),0,VLOOKUP(A47,classifications!A:C,3,FALSE))</f>
        <v>0</v>
      </c>
      <c r="C47" t="s">
        <v>24</v>
      </c>
      <c r="D47" t="str">
        <f>VLOOKUP($C47,classifications!$C:$J,4,FALSE)</f>
        <v>SD</v>
      </c>
      <c r="E47">
        <f>VLOOKUP(C47,classifications!C:K,9,FALSE)</f>
        <v>0</v>
      </c>
      <c r="F47">
        <f t="shared" si="20"/>
        <v>85.714285714285708</v>
      </c>
      <c r="G47" s="15"/>
      <c r="H47" s="42" t="str">
        <f t="shared" si="21"/>
        <v/>
      </c>
      <c r="I47" s="79" t="str">
        <f>IF(H47="","",IF($I$8="A",(RANK(H47,H$11:H$349,1)+COUNTIF(H$11:H47,H47)-1),(RANK(H47,H$11:H$349)+COUNTIF(H$11:H47,H47)-1)))</f>
        <v/>
      </c>
      <c r="J47" s="41"/>
      <c r="K47" s="36">
        <f t="shared" si="22"/>
        <v>37</v>
      </c>
      <c r="L47" t="str">
        <f t="shared" si="23"/>
        <v>Kingston upon Hull</v>
      </c>
      <c r="M47" s="117">
        <f t="shared" si="24"/>
        <v>86.666666666666671</v>
      </c>
      <c r="N47" s="112">
        <f t="shared" si="25"/>
        <v>86.666666666666671</v>
      </c>
      <c r="O47" s="96" t="str">
        <f t="shared" si="26"/>
        <v/>
      </c>
      <c r="P47" s="96" t="str">
        <f t="shared" si="27"/>
        <v/>
      </c>
      <c r="Q47" s="96">
        <f t="shared" si="28"/>
        <v>86.666666666666671</v>
      </c>
      <c r="R47" s="92" t="str">
        <f t="shared" si="29"/>
        <v/>
      </c>
      <c r="S47" s="42" t="str">
        <f t="shared" si="30"/>
        <v/>
      </c>
      <c r="T47" s="176">
        <f>IF(L47="","",VLOOKUP(L47,classifications!C:K,9,FALSE))</f>
        <v>0</v>
      </c>
      <c r="U47" s="177" t="str">
        <f t="shared" si="31"/>
        <v/>
      </c>
      <c r="V47" s="183" t="str">
        <f>IF(U47="","",IF($I$8="A",(RANK(U47,U$11:U$349)+COUNTIF(U$11:U47,U47)-1),(RANK(U47,U$11:U$349,1)+COUNTIF(U$11:U47,U47)-1)))</f>
        <v/>
      </c>
      <c r="W47" s="184"/>
      <c r="X47" s="5" t="str">
        <f>IF(L47="","",VLOOKUP($L47,classifications!$C:$J,6,FALSE))</f>
        <v>Predominantly Urban</v>
      </c>
      <c r="Y47" t="str">
        <f t="shared" si="32"/>
        <v/>
      </c>
      <c r="Z47" s="40" t="str">
        <f>IF(Y47="","",IF(I$8="A",(RANK(Y47,Y$11:Y$349,1)+COUNTIF(Y$11:Y47,Y47)-1),(RANK(Y47,Y$11:Y$349)+COUNTIF(Y$11:Y47,Y47)-1)))</f>
        <v/>
      </c>
      <c r="AA47" s="189" t="str">
        <f>IF(L47="","",VLOOKUP($L47,classifications!C:I,7,FALSE))</f>
        <v>Predominantly Urban</v>
      </c>
      <c r="AB47" s="183" t="str">
        <f t="shared" si="33"/>
        <v/>
      </c>
      <c r="AC47" s="183" t="str">
        <f>IF(AB47="","",IF($I$8="A",(RANK(AB47,AB$11:AB$349)+COUNTIF(AB$11:AB47,AB47)-1),(RANK(AB47,AB$11:AB$349,1)+COUNTIF(AB$11:AB47,AB47)-1)))</f>
        <v/>
      </c>
      <c r="AD47" s="183"/>
      <c r="AE47" s="49">
        <f>IF(I$8="A",(RANK(AG47,AG$11:AG$349,1)+COUNTIF(AG$11:AG47,AG47)-1),(RANK(AG47,AG$11:AG$349)+COUNTIF(AG$11:AG47,AG47)-1))</f>
        <v>37</v>
      </c>
      <c r="AF47" t="str">
        <f>VLOOKUP(Profile!$J$5,Families!$C:$R,6,FALSE)</f>
        <v>Herefordshire</v>
      </c>
      <c r="AG47" s="15">
        <f t="shared" si="34"/>
        <v>62.711864406779661</v>
      </c>
      <c r="AH47" s="50">
        <f t="shared" si="35"/>
        <v>37</v>
      </c>
      <c r="AI47" s="5" t="str">
        <f>IF(L47="","",VLOOKUP($L47,classifications!$C:$J,8,FALSE))</f>
        <v>Unitary</v>
      </c>
      <c r="AJ47" s="43">
        <f t="shared" si="36"/>
        <v>86.666666666666671</v>
      </c>
      <c r="AK47" s="40">
        <f>IF(AJ47="","",IF(I$8="A",(RANK(AJ47,AJ$11:AJ$349,1)+COUNTIF(AJ$11:AJ47,AJ47)-1),(RANK(AJ47,AJ$11:AJ$349)+COUNTIF(AJ$11:AJ47,AJ47)-1)))</f>
        <v>37</v>
      </c>
      <c r="AL47" s="3">
        <f t="shared" si="37"/>
        <v>37</v>
      </c>
      <c r="AM47" t="str">
        <f t="shared" si="38"/>
        <v>Kingston upon Hull</v>
      </c>
      <c r="AN47">
        <f t="shared" si="39"/>
        <v>86.666666666666671</v>
      </c>
      <c r="AP47" s="5" t="str">
        <f>IF(L47="","",VLOOKUP($L47,classifications!$C:$E,3,FALSE))</f>
        <v>Yorkshire &amp; Humberside</v>
      </c>
      <c r="AQ47" s="43" t="str">
        <f t="shared" si="40"/>
        <v/>
      </c>
      <c r="AR47" s="40" t="str">
        <f>IF(AQ47="","",IF(I$8="A",(RANK(AQ47,AQ$11:AQ$349,1)+COUNTIF(AQ$11:AQ47,AQ47)-1),(RANK(AQ47,AQ$11:AQ$349)+COUNTIF(AQ$11:AQ47,AQ47)-1)))</f>
        <v/>
      </c>
      <c r="AS47" s="3" t="str">
        <f t="shared" si="41"/>
        <v/>
      </c>
      <c r="AT47" s="40" t="str">
        <f t="shared" si="42"/>
        <v/>
      </c>
      <c r="AU47" s="43" t="str">
        <f t="shared" si="43"/>
        <v/>
      </c>
      <c r="AX47">
        <f>HLOOKUP($AX$9&amp;$AX$10,Data!$A$1:$ZZ$1988,(MATCH($C47,Data!$A$1:$A$1988,0)),FALSE)</f>
        <v>85.714285714285708</v>
      </c>
    </row>
    <row r="48" spans="1:50">
      <c r="A48" s="59" t="str">
        <f>$D$1&amp;38</f>
        <v>UA38</v>
      </c>
      <c r="B48" s="60">
        <f>IF(ISERROR(VLOOKUP(A48,classifications!A:C,3,FALSE)),0,VLOOKUP(A48,classifications!A:C,3,FALSE))</f>
        <v>0</v>
      </c>
      <c r="C48" t="s">
        <v>25</v>
      </c>
      <c r="D48" t="str">
        <f>VLOOKUP($C48,classifications!$C:$J,4,FALSE)</f>
        <v>SD</v>
      </c>
      <c r="E48">
        <f>VLOOKUP(C48,classifications!C:K,9,FALSE)</f>
        <v>0</v>
      </c>
      <c r="F48">
        <f t="shared" si="20"/>
        <v>82.608695652173907</v>
      </c>
      <c r="G48" s="15"/>
      <c r="H48" s="42" t="str">
        <f t="shared" si="21"/>
        <v/>
      </c>
      <c r="I48" s="79" t="str">
        <f>IF(H48="","",IF($I$8="A",(RANK(H48,H$11:H$349,1)+COUNTIF(H$11:H48,H48)-1),(RANK(H48,H$11:H$349)+COUNTIF(H$11:H48,H48)-1)))</f>
        <v/>
      </c>
      <c r="J48" s="41"/>
      <c r="K48" s="36">
        <f t="shared" si="22"/>
        <v>38</v>
      </c>
      <c r="L48" t="str">
        <f t="shared" si="23"/>
        <v>Luton</v>
      </c>
      <c r="M48" s="117">
        <f t="shared" si="24"/>
        <v>86.666666666666671</v>
      </c>
      <c r="N48" s="112">
        <f t="shared" si="25"/>
        <v>86.666666666666671</v>
      </c>
      <c r="O48" s="96" t="str">
        <f t="shared" si="26"/>
        <v/>
      </c>
      <c r="P48" s="96" t="str">
        <f t="shared" si="27"/>
        <v/>
      </c>
      <c r="Q48" s="96">
        <f t="shared" si="28"/>
        <v>86.666666666666671</v>
      </c>
      <c r="R48" s="92" t="str">
        <f t="shared" si="29"/>
        <v/>
      </c>
      <c r="S48" s="42" t="str">
        <f t="shared" si="30"/>
        <v/>
      </c>
      <c r="T48" s="176">
        <f>IF(L48="","",VLOOKUP(L48,classifications!C:K,9,FALSE))</f>
        <v>0</v>
      </c>
      <c r="U48" s="177" t="str">
        <f t="shared" si="31"/>
        <v/>
      </c>
      <c r="V48" s="183" t="str">
        <f>IF(U48="","",IF($I$8="A",(RANK(U48,U$11:U$349)+COUNTIF(U$11:U48,U48)-1),(RANK(U48,U$11:U$349,1)+COUNTIF(U$11:U48,U48)-1)))</f>
        <v/>
      </c>
      <c r="W48" s="184"/>
      <c r="X48" s="5" t="str">
        <f>IF(L48="","",VLOOKUP($L48,classifications!$C:$J,6,FALSE))</f>
        <v>Predominantly Urban</v>
      </c>
      <c r="Y48" t="str">
        <f t="shared" si="32"/>
        <v/>
      </c>
      <c r="Z48" s="40" t="str">
        <f>IF(Y48="","",IF(I$8="A",(RANK(Y48,Y$11:Y$349,1)+COUNTIF(Y$11:Y48,Y48)-1),(RANK(Y48,Y$11:Y$349)+COUNTIF(Y$11:Y48,Y48)-1)))</f>
        <v/>
      </c>
      <c r="AA48" s="189" t="str">
        <f>IF(L48="","",VLOOKUP($L48,classifications!C:I,7,FALSE))</f>
        <v>Predominantly Urban</v>
      </c>
      <c r="AB48" s="183" t="str">
        <f t="shared" si="33"/>
        <v/>
      </c>
      <c r="AC48" s="183" t="str">
        <f>IF(AB48="","",IF($I$8="A",(RANK(AB48,AB$11:AB$349)+COUNTIF(AB$11:AB48,AB48)-1),(RANK(AB48,AB$11:AB$349,1)+COUNTIF(AB$11:AB48,AB48)-1)))</f>
        <v/>
      </c>
      <c r="AD48" s="183"/>
      <c r="AE48" s="49">
        <f>IF(I$8="A",(RANK(AG48,AG$11:AG$349,1)+COUNTIF(AG$11:AG48,AG48)-1),(RANK(AG48,AG$11:AG$349)+COUNTIF(AG$11:AG48,AG48)-1))</f>
        <v>38</v>
      </c>
      <c r="AF48" t="str">
        <f>VLOOKUP(Profile!$J$5,Families!$C:$R,6,FALSE)</f>
        <v>Herefordshire</v>
      </c>
      <c r="AG48" s="15">
        <f t="shared" si="34"/>
        <v>62.711864406779661</v>
      </c>
      <c r="AH48" s="50">
        <f t="shared" si="35"/>
        <v>38</v>
      </c>
      <c r="AI48" s="5" t="str">
        <f>IF(L48="","",VLOOKUP($L48,classifications!$C:$J,8,FALSE))</f>
        <v>Unitary</v>
      </c>
      <c r="AJ48" s="43">
        <f t="shared" si="36"/>
        <v>86.666666666666671</v>
      </c>
      <c r="AK48" s="40">
        <f>IF(AJ48="","",IF(I$8="A",(RANK(AJ48,AJ$11:AJ$349,1)+COUNTIF(AJ$11:AJ48,AJ48)-1),(RANK(AJ48,AJ$11:AJ$349)+COUNTIF(AJ$11:AJ48,AJ48)-1)))</f>
        <v>38</v>
      </c>
      <c r="AL48" s="3">
        <f t="shared" si="37"/>
        <v>38</v>
      </c>
      <c r="AM48" t="str">
        <f t="shared" si="38"/>
        <v>Luton</v>
      </c>
      <c r="AN48">
        <f t="shared" si="39"/>
        <v>86.666666666666671</v>
      </c>
      <c r="AP48" s="5" t="str">
        <f>IF(L48="","",VLOOKUP($L48,classifications!$C:$E,3,FALSE))</f>
        <v>East of England</v>
      </c>
      <c r="AQ48" s="43" t="str">
        <f t="shared" si="40"/>
        <v/>
      </c>
      <c r="AR48" s="40" t="str">
        <f>IF(AQ48="","",IF(I$8="A",(RANK(AQ48,AQ$11:AQ$349,1)+COUNTIF(AQ$11:AQ48,AQ48)-1),(RANK(AQ48,AQ$11:AQ$349)+COUNTIF(AQ$11:AQ48,AQ48)-1)))</f>
        <v/>
      </c>
      <c r="AS48" s="3" t="str">
        <f t="shared" si="41"/>
        <v/>
      </c>
      <c r="AT48" s="40" t="str">
        <f t="shared" si="42"/>
        <v/>
      </c>
      <c r="AU48" s="43" t="str">
        <f t="shared" si="43"/>
        <v/>
      </c>
      <c r="AX48">
        <f>HLOOKUP($AX$9&amp;$AX$10,Data!$A$1:$ZZ$1988,(MATCH($C48,Data!$A$1:$A$1988,0)),FALSE)</f>
        <v>82.608695652173907</v>
      </c>
    </row>
    <row r="49" spans="1:50">
      <c r="A49" s="59" t="str">
        <f>$D$1&amp;39</f>
        <v>UA39</v>
      </c>
      <c r="B49" s="60">
        <f>IF(ISERROR(VLOOKUP(A49,classifications!A:C,3,FALSE)),0,VLOOKUP(A49,classifications!A:C,3,FALSE))</f>
        <v>0</v>
      </c>
      <c r="C49" t="s">
        <v>300</v>
      </c>
      <c r="D49" t="str">
        <f>VLOOKUP($C49,classifications!$C:$J,4,FALSE)</f>
        <v>UA</v>
      </c>
      <c r="E49">
        <f>VLOOKUP(C49,classifications!C:K,9,FALSE)</f>
        <v>0</v>
      </c>
      <c r="F49">
        <f t="shared" si="20"/>
        <v>85.276073619631902</v>
      </c>
      <c r="G49" s="15"/>
      <c r="H49" s="42">
        <f t="shared" si="21"/>
        <v>85.276073619631902</v>
      </c>
      <c r="I49" s="79">
        <f>IF(H49="","",IF($I$8="A",(RANK(H49,H$11:H$349,1)+COUNTIF(H$11:H49,H49)-1),(RANK(H49,H$11:H$349)+COUNTIF(H$11:H49,H49)-1)))</f>
        <v>41</v>
      </c>
      <c r="J49" s="41"/>
      <c r="K49" s="36">
        <f t="shared" si="22"/>
        <v>39</v>
      </c>
      <c r="L49" t="str">
        <f t="shared" si="23"/>
        <v>Stockton-on-Tees</v>
      </c>
      <c r="M49" s="117">
        <f t="shared" si="24"/>
        <v>86.666666666666671</v>
      </c>
      <c r="N49" s="112">
        <f t="shared" si="25"/>
        <v>86.666666666666671</v>
      </c>
      <c r="O49" s="96" t="str">
        <f t="shared" si="26"/>
        <v/>
      </c>
      <c r="P49" s="96" t="str">
        <f t="shared" si="27"/>
        <v/>
      </c>
      <c r="Q49" s="96">
        <f t="shared" si="28"/>
        <v>86.666666666666671</v>
      </c>
      <c r="R49" s="92" t="str">
        <f t="shared" si="29"/>
        <v/>
      </c>
      <c r="S49" s="42" t="str">
        <f t="shared" si="30"/>
        <v/>
      </c>
      <c r="T49" s="176">
        <f>IF(L49="","",VLOOKUP(L49,classifications!C:K,9,FALSE))</f>
        <v>0</v>
      </c>
      <c r="U49" s="177" t="str">
        <f t="shared" si="31"/>
        <v/>
      </c>
      <c r="V49" s="183" t="str">
        <f>IF(U49="","",IF($I$8="A",(RANK(U49,U$11:U$349)+COUNTIF(U$11:U49,U49)-1),(RANK(U49,U$11:U$349,1)+COUNTIF(U$11:U49,U49)-1)))</f>
        <v/>
      </c>
      <c r="W49" s="184"/>
      <c r="X49" s="5" t="str">
        <f>IF(L49="","",VLOOKUP($L49,classifications!$C:$J,6,FALSE))</f>
        <v>Predominantly Urban</v>
      </c>
      <c r="Y49" t="str">
        <f t="shared" si="32"/>
        <v/>
      </c>
      <c r="Z49" s="40" t="str">
        <f>IF(Y49="","",IF(I$8="A",(RANK(Y49,Y$11:Y$349,1)+COUNTIF(Y$11:Y49,Y49)-1),(RANK(Y49,Y$11:Y$349)+COUNTIF(Y$11:Y49,Y49)-1)))</f>
        <v/>
      </c>
      <c r="AA49" s="189" t="str">
        <f>IF(L49="","",VLOOKUP($L49,classifications!C:I,7,FALSE))</f>
        <v>Predominantly Urban</v>
      </c>
      <c r="AB49" s="183" t="str">
        <f t="shared" si="33"/>
        <v/>
      </c>
      <c r="AC49" s="183" t="str">
        <f>IF(AB49="","",IF($I$8="A",(RANK(AB49,AB$11:AB$349)+COUNTIF(AB$11:AB49,AB49)-1),(RANK(AB49,AB$11:AB$349,1)+COUNTIF(AB$11:AB49,AB49)-1)))</f>
        <v/>
      </c>
      <c r="AD49" s="183"/>
      <c r="AE49" s="49">
        <f>IF(I$8="A",(RANK(AG49,AG$11:AG$349,1)+COUNTIF(AG$11:AG49,AG49)-1),(RANK(AG49,AG$11:AG$349)+COUNTIF(AG$11:AG49,AG49)-1))</f>
        <v>39</v>
      </c>
      <c r="AF49" t="str">
        <f>VLOOKUP(Profile!$J$5,Families!$C:$R,6,FALSE)</f>
        <v>Herefordshire</v>
      </c>
      <c r="AG49" s="15">
        <f t="shared" si="34"/>
        <v>62.711864406779661</v>
      </c>
      <c r="AH49" s="50">
        <f t="shared" si="35"/>
        <v>39</v>
      </c>
      <c r="AI49" s="5" t="str">
        <f>IF(L49="","",VLOOKUP($L49,classifications!$C:$J,8,FALSE))</f>
        <v>Unitary</v>
      </c>
      <c r="AJ49" s="43">
        <f t="shared" si="36"/>
        <v>86.666666666666671</v>
      </c>
      <c r="AK49" s="40">
        <f>IF(AJ49="","",IF(I$8="A",(RANK(AJ49,AJ$11:AJ$349,1)+COUNTIF(AJ$11:AJ49,AJ49)-1),(RANK(AJ49,AJ$11:AJ$349)+COUNTIF(AJ$11:AJ49,AJ49)-1)))</f>
        <v>39</v>
      </c>
      <c r="AL49" s="3">
        <f t="shared" si="37"/>
        <v>39</v>
      </c>
      <c r="AM49" t="str">
        <f t="shared" si="38"/>
        <v>Stockton-on-Tees</v>
      </c>
      <c r="AN49">
        <f t="shared" si="39"/>
        <v>86.666666666666671</v>
      </c>
      <c r="AP49" s="5" t="str">
        <f>IF(L49="","",VLOOKUP($L49,classifications!$C:$E,3,FALSE))</f>
        <v>NE</v>
      </c>
      <c r="AQ49" s="43" t="str">
        <f t="shared" si="40"/>
        <v/>
      </c>
      <c r="AR49" s="40" t="str">
        <f>IF(AQ49="","",IF(I$8="A",(RANK(AQ49,AQ$11:AQ$349,1)+COUNTIF(AQ$11:AQ49,AQ49)-1),(RANK(AQ49,AQ$11:AQ$349)+COUNTIF(AQ$11:AQ49,AQ49)-1)))</f>
        <v/>
      </c>
      <c r="AS49" s="3" t="str">
        <f t="shared" si="41"/>
        <v/>
      </c>
      <c r="AT49" s="40" t="str">
        <f t="shared" si="42"/>
        <v/>
      </c>
      <c r="AU49" s="43" t="str">
        <f t="shared" si="43"/>
        <v/>
      </c>
      <c r="AX49">
        <f>HLOOKUP($AX$9&amp;$AX$10,Data!$A$1:$ZZ$1988,(MATCH($C49,Data!$A$1:$A$1988,0)),FALSE)</f>
        <v>85.276073619631902</v>
      </c>
    </row>
    <row r="50" spans="1:50">
      <c r="A50" s="59" t="str">
        <f>$D$1&amp;40</f>
        <v>UA40</v>
      </c>
      <c r="B50" s="60">
        <f>IF(ISERROR(VLOOKUP(A50,classifications!A:C,3,FALSE)),0,VLOOKUP(A50,classifications!A:C,3,FALSE))</f>
        <v>0</v>
      </c>
      <c r="C50" t="s">
        <v>26</v>
      </c>
      <c r="D50" t="str">
        <f>VLOOKUP($C50,classifications!$C:$J,4,FALSE)</f>
        <v>SD</v>
      </c>
      <c r="E50">
        <f>VLOOKUP(C50,classifications!C:K,9,FALSE)</f>
        <v>0</v>
      </c>
      <c r="F50">
        <f t="shared" si="20"/>
        <v>91.304347826086953</v>
      </c>
      <c r="G50" s="15"/>
      <c r="H50" s="42" t="str">
        <f t="shared" si="21"/>
        <v/>
      </c>
      <c r="I50" s="79" t="str">
        <f>IF(H50="","",IF($I$8="A",(RANK(H50,H$11:H$349,1)+COUNTIF(H$11:H50,H50)-1),(RANK(H50,H$11:H$349)+COUNTIF(H$11:H50,H50)-1)))</f>
        <v/>
      </c>
      <c r="J50" s="41"/>
      <c r="K50" s="36">
        <f t="shared" si="22"/>
        <v>40</v>
      </c>
      <c r="L50" t="str">
        <f t="shared" si="23"/>
        <v>Darlington</v>
      </c>
      <c r="M50" s="117">
        <f t="shared" si="24"/>
        <v>86.36363636363636</v>
      </c>
      <c r="N50" s="112">
        <f t="shared" si="25"/>
        <v>86.36363636363636</v>
      </c>
      <c r="O50" s="96" t="str">
        <f t="shared" si="26"/>
        <v/>
      </c>
      <c r="P50" s="96" t="str">
        <f t="shared" si="27"/>
        <v/>
      </c>
      <c r="Q50" s="96">
        <f t="shared" si="28"/>
        <v>86.36363636363636</v>
      </c>
      <c r="R50" s="92" t="str">
        <f t="shared" si="29"/>
        <v/>
      </c>
      <c r="S50" s="42" t="str">
        <f t="shared" si="30"/>
        <v/>
      </c>
      <c r="T50" s="176">
        <f>IF(L50="","",VLOOKUP(L50,classifications!C:K,9,FALSE))</f>
        <v>0</v>
      </c>
      <c r="U50" s="177" t="str">
        <f t="shared" si="31"/>
        <v/>
      </c>
      <c r="V50" s="183" t="str">
        <f>IF(U50="","",IF($I$8="A",(RANK(U50,U$11:U$349)+COUNTIF(U$11:U50,U50)-1),(RANK(U50,U$11:U$349,1)+COUNTIF(U$11:U50,U50)-1)))</f>
        <v/>
      </c>
      <c r="W50" s="184"/>
      <c r="X50" s="5" t="str">
        <f>IF(L50="","",VLOOKUP($L50,classifications!$C:$J,6,FALSE))</f>
        <v>Predominantly Urban</v>
      </c>
      <c r="Y50" t="str">
        <f t="shared" si="32"/>
        <v/>
      </c>
      <c r="Z50" s="40" t="str">
        <f>IF(Y50="","",IF(I$8="A",(RANK(Y50,Y$11:Y$349,1)+COUNTIF(Y$11:Y50,Y50)-1),(RANK(Y50,Y$11:Y$349)+COUNTIF(Y$11:Y50,Y50)-1)))</f>
        <v/>
      </c>
      <c r="AA50" s="189" t="str">
        <f>IF(L50="","",VLOOKUP($L50,classifications!C:I,7,FALSE))</f>
        <v>Predominantly Urban</v>
      </c>
      <c r="AB50" s="183" t="str">
        <f t="shared" si="33"/>
        <v/>
      </c>
      <c r="AC50" s="183" t="str">
        <f>IF(AB50="","",IF($I$8="A",(RANK(AB50,AB$11:AB$349)+COUNTIF(AB$11:AB50,AB50)-1),(RANK(AB50,AB$11:AB$349,1)+COUNTIF(AB$11:AB50,AB50)-1)))</f>
        <v/>
      </c>
      <c r="AD50" s="183"/>
      <c r="AE50" s="49">
        <f>IF(I$8="A",(RANK(AG50,AG$11:AG$349,1)+COUNTIF(AG$11:AG50,AG50)-1),(RANK(AG50,AG$11:AG$349)+COUNTIF(AG$11:AG50,AG50)-1))</f>
        <v>40</v>
      </c>
      <c r="AF50" t="str">
        <f>VLOOKUP(Profile!$J$5,Families!$C:$R,6,FALSE)</f>
        <v>Herefordshire</v>
      </c>
      <c r="AG50" s="15">
        <f t="shared" si="34"/>
        <v>62.711864406779661</v>
      </c>
      <c r="AH50" s="50">
        <f t="shared" si="35"/>
        <v>40</v>
      </c>
      <c r="AI50" s="5" t="str">
        <f>IF(L50="","",VLOOKUP($L50,classifications!$C:$J,8,FALSE))</f>
        <v>Unitary</v>
      </c>
      <c r="AJ50" s="43">
        <f t="shared" si="36"/>
        <v>86.36363636363636</v>
      </c>
      <c r="AK50" s="40">
        <f>IF(AJ50="","",IF(I$8="A",(RANK(AJ50,AJ$11:AJ$349,1)+COUNTIF(AJ$11:AJ50,AJ50)-1),(RANK(AJ50,AJ$11:AJ$349)+COUNTIF(AJ$11:AJ50,AJ50)-1)))</f>
        <v>40</v>
      </c>
      <c r="AL50" s="3">
        <f t="shared" si="37"/>
        <v>40</v>
      </c>
      <c r="AM50" t="str">
        <f t="shared" si="38"/>
        <v>Darlington</v>
      </c>
      <c r="AN50">
        <f t="shared" si="39"/>
        <v>86.36363636363636</v>
      </c>
      <c r="AP50" s="5" t="str">
        <f>IF(L50="","",VLOOKUP($L50,classifications!$C:$E,3,FALSE))</f>
        <v>NE</v>
      </c>
      <c r="AQ50" s="43" t="str">
        <f t="shared" si="40"/>
        <v/>
      </c>
      <c r="AR50" s="40" t="str">
        <f>IF(AQ50="","",IF(I$8="A",(RANK(AQ50,AQ$11:AQ$349,1)+COUNTIF(AQ$11:AQ50,AQ50)-1),(RANK(AQ50,AQ$11:AQ$349)+COUNTIF(AQ$11:AQ50,AQ50)-1)))</f>
        <v/>
      </c>
      <c r="AS50" s="3" t="str">
        <f t="shared" si="41"/>
        <v/>
      </c>
      <c r="AT50" s="40" t="str">
        <f t="shared" si="42"/>
        <v/>
      </c>
      <c r="AU50" s="43" t="str">
        <f t="shared" si="43"/>
        <v/>
      </c>
      <c r="AX50">
        <f>HLOOKUP($AX$9&amp;$AX$10,Data!$A$1:$ZZ$1988,(MATCH($C50,Data!$A$1:$A$1988,0)),FALSE)</f>
        <v>91.304347826086953</v>
      </c>
    </row>
    <row r="51" spans="1:50">
      <c r="A51" s="59" t="str">
        <f>$D$1&amp;41</f>
        <v>UA41</v>
      </c>
      <c r="B51" s="60">
        <f>IF(ISERROR(VLOOKUP(A51,classifications!A:C,3,FALSE)),0,VLOOKUP(A51,classifications!A:C,3,FALSE))</f>
        <v>0</v>
      </c>
      <c r="C51" t="s">
        <v>226</v>
      </c>
      <c r="D51" t="str">
        <f>VLOOKUP($C51,classifications!$C:$J,4,FALSE)</f>
        <v>MD</v>
      </c>
      <c r="E51">
        <f>VLOOKUP(C51,classifications!C:K,9,FALSE)</f>
        <v>0</v>
      </c>
      <c r="F51">
        <f t="shared" si="20"/>
        <v>91.666666666666657</v>
      </c>
      <c r="G51" s="15"/>
      <c r="H51" s="42" t="str">
        <f t="shared" si="21"/>
        <v/>
      </c>
      <c r="I51" s="79" t="str">
        <f>IF(H51="","",IF($I$8="A",(RANK(H51,H$11:H$349,1)+COUNTIF(H$11:H51,H51)-1),(RANK(H51,H$11:H$349)+COUNTIF(H$11:H51,H51)-1)))</f>
        <v/>
      </c>
      <c r="J51" s="41"/>
      <c r="K51" s="36">
        <f t="shared" si="22"/>
        <v>41</v>
      </c>
      <c r="L51" t="str">
        <f t="shared" si="23"/>
        <v>Buckinghamshire</v>
      </c>
      <c r="M51" s="117">
        <f t="shared" si="24"/>
        <v>85.276073619631902</v>
      </c>
      <c r="N51" s="112">
        <f t="shared" si="25"/>
        <v>85.276073619631902</v>
      </c>
      <c r="O51" s="96" t="str">
        <f t="shared" si="26"/>
        <v/>
      </c>
      <c r="P51" s="96" t="str">
        <f t="shared" si="27"/>
        <v/>
      </c>
      <c r="Q51" s="96">
        <f t="shared" si="28"/>
        <v>85.276073619631902</v>
      </c>
      <c r="R51" s="92" t="str">
        <f t="shared" si="29"/>
        <v/>
      </c>
      <c r="S51" s="42" t="str">
        <f t="shared" si="30"/>
        <v/>
      </c>
      <c r="T51" s="176">
        <f>IF(L51="","",VLOOKUP(L51,classifications!C:K,9,FALSE))</f>
        <v>0</v>
      </c>
      <c r="U51" s="177" t="str">
        <f t="shared" si="31"/>
        <v/>
      </c>
      <c r="V51" s="183" t="str">
        <f>IF(U51="","",IF($I$8="A",(RANK(U51,U$11:U$349)+COUNTIF(U$11:U51,U51)-1),(RANK(U51,U$11:U$349,1)+COUNTIF(U$11:U51,U51)-1)))</f>
        <v/>
      </c>
      <c r="W51" s="184"/>
      <c r="X51" s="5" t="str">
        <f>IF(L51="","",VLOOKUP($L51,classifications!$C:$J,6,FALSE))</f>
        <v>Urban with Significant Rural</v>
      </c>
      <c r="Y51">
        <f t="shared" si="32"/>
        <v>85.276073619631902</v>
      </c>
      <c r="Z51" s="40">
        <f>IF(Y51="","",IF(I$8="A",(RANK(Y51,Y$11:Y$349,1)+COUNTIF(Y$11:Y51,Y51)-1),(RANK(Y51,Y$11:Y$349)+COUNTIF(Y$11:Y51,Y51)-1)))</f>
        <v>10</v>
      </c>
      <c r="AA51" s="189" t="str">
        <f>IF(L51="","",VLOOKUP($L51,classifications!C:I,7,FALSE))</f>
        <v>Urban with Significant Rural</v>
      </c>
      <c r="AB51" s="183">
        <f t="shared" si="33"/>
        <v>85.276073619631902</v>
      </c>
      <c r="AC51" s="183">
        <f>IF(AB51="","",IF($I$8="A",(RANK(AB51,AB$11:AB$349)+COUNTIF(AB$11:AB51,AB51)-1),(RANK(AB51,AB$11:AB$349,1)+COUNTIF(AB$11:AB51,AB51)-1)))</f>
        <v>6</v>
      </c>
      <c r="AD51" s="183"/>
      <c r="AE51" s="49">
        <f>IF(I$8="A",(RANK(AG51,AG$11:AG$349,1)+COUNTIF(AG$11:AG51,AG51)-1),(RANK(AG51,AG$11:AG$349)+COUNTIF(AG$11:AG51,AG51)-1))</f>
        <v>41</v>
      </c>
      <c r="AF51" t="str">
        <f>VLOOKUP(Profile!$J$5,Families!$C:$R,6,FALSE)</f>
        <v>Herefordshire</v>
      </c>
      <c r="AG51" s="15">
        <f t="shared" si="34"/>
        <v>62.711864406779661</v>
      </c>
      <c r="AH51" s="50">
        <f t="shared" si="35"/>
        <v>41</v>
      </c>
      <c r="AI51" s="5" t="str">
        <f>IF(L51="","",VLOOKUP($L51,classifications!$C:$J,8,FALSE))</f>
        <v>Unitary</v>
      </c>
      <c r="AJ51" s="43">
        <f t="shared" si="36"/>
        <v>85.276073619631902</v>
      </c>
      <c r="AK51" s="40">
        <f>IF(AJ51="","",IF(I$8="A",(RANK(AJ51,AJ$11:AJ$349,1)+COUNTIF(AJ$11:AJ51,AJ51)-1),(RANK(AJ51,AJ$11:AJ$349)+COUNTIF(AJ$11:AJ51,AJ51)-1)))</f>
        <v>41</v>
      </c>
      <c r="AL51" s="3">
        <f t="shared" si="37"/>
        <v>41</v>
      </c>
      <c r="AM51" t="str">
        <f t="shared" si="38"/>
        <v>Buckinghamshire</v>
      </c>
      <c r="AN51">
        <f t="shared" si="39"/>
        <v>85.276073619631902</v>
      </c>
      <c r="AP51" s="5" t="str">
        <f>IF(L51="","",VLOOKUP($L51,classifications!$C:$E,3,FALSE))</f>
        <v>South East</v>
      </c>
      <c r="AQ51" s="43" t="str">
        <f t="shared" si="40"/>
        <v/>
      </c>
      <c r="AR51" s="40" t="str">
        <f>IF(AQ51="","",IF(I$8="A",(RANK(AQ51,AQ$11:AQ$349,1)+COUNTIF(AQ$11:AQ51,AQ51)-1),(RANK(AQ51,AQ$11:AQ$349)+COUNTIF(AQ$11:AQ51,AQ51)-1)))</f>
        <v/>
      </c>
      <c r="AS51" s="3" t="str">
        <f t="shared" si="41"/>
        <v/>
      </c>
      <c r="AT51" s="40" t="str">
        <f t="shared" si="42"/>
        <v/>
      </c>
      <c r="AU51" s="43" t="str">
        <f t="shared" si="43"/>
        <v/>
      </c>
      <c r="AX51">
        <f>HLOOKUP($AX$9&amp;$AX$10,Data!$A$1:$ZZ$1988,(MATCH($C51,Data!$A$1:$A$1988,0)),FALSE)</f>
        <v>91.666666666666657</v>
      </c>
    </row>
    <row r="52" spans="1:50">
      <c r="A52" s="59" t="str">
        <f>$D$1&amp;42</f>
        <v>UA42</v>
      </c>
      <c r="B52" s="60">
        <f>IF(ISERROR(VLOOKUP(A52,classifications!A:C,3,FALSE)),0,VLOOKUP(A52,classifications!A:C,3,FALSE))</f>
        <v>0</v>
      </c>
      <c r="C52" t="s">
        <v>227</v>
      </c>
      <c r="D52" t="str">
        <f>VLOOKUP($C52,classifications!$C:$J,4,FALSE)</f>
        <v>MD</v>
      </c>
      <c r="E52">
        <f>VLOOKUP(C52,classifications!C:K,9,FALSE)</f>
        <v>0</v>
      </c>
      <c r="F52">
        <f t="shared" si="20"/>
        <v>66.666666666666657</v>
      </c>
      <c r="G52" s="15"/>
      <c r="H52" s="42" t="str">
        <f t="shared" si="21"/>
        <v/>
      </c>
      <c r="I52" s="79" t="str">
        <f>IF(H52="","",IF($I$8="A",(RANK(H52,H$11:H$349,1)+COUNTIF(H$11:H52,H52)-1),(RANK(H52,H$11:H$349)+COUNTIF(H$11:H52,H52)-1)))</f>
        <v/>
      </c>
      <c r="J52" s="41"/>
      <c r="K52" s="36">
        <f t="shared" si="22"/>
        <v>42</v>
      </c>
      <c r="L52" t="str">
        <f t="shared" si="23"/>
        <v>Bedford</v>
      </c>
      <c r="M52" s="117">
        <f t="shared" si="24"/>
        <v>83.333333333333343</v>
      </c>
      <c r="N52" s="112">
        <f t="shared" si="25"/>
        <v>83.333333333333343</v>
      </c>
      <c r="O52" s="96" t="str">
        <f t="shared" si="26"/>
        <v/>
      </c>
      <c r="P52" s="96" t="str">
        <f t="shared" si="27"/>
        <v/>
      </c>
      <c r="Q52" s="96">
        <f t="shared" si="28"/>
        <v>83.333333333333343</v>
      </c>
      <c r="R52" s="92" t="str">
        <f t="shared" si="29"/>
        <v/>
      </c>
      <c r="S52" s="42" t="str">
        <f t="shared" si="30"/>
        <v/>
      </c>
      <c r="T52" s="176">
        <f>IF(L52="","",VLOOKUP(L52,classifications!C:K,9,FALSE))</f>
        <v>0</v>
      </c>
      <c r="U52" s="177" t="str">
        <f t="shared" si="31"/>
        <v/>
      </c>
      <c r="V52" s="183" t="str">
        <f>IF(U52="","",IF($I$8="A",(RANK(U52,U$11:U$349)+COUNTIF(U$11:U52,U52)-1),(RANK(U52,U$11:U$349,1)+COUNTIF(U$11:U52,U52)-1)))</f>
        <v/>
      </c>
      <c r="W52" s="184"/>
      <c r="X52" s="5" t="str">
        <f>IF(L52="","",VLOOKUP($L52,classifications!$C:$J,6,FALSE))</f>
        <v>Urban with Significant Rural</v>
      </c>
      <c r="Y52">
        <f t="shared" si="32"/>
        <v>83.333333333333343</v>
      </c>
      <c r="Z52" s="40">
        <f>IF(Y52="","",IF(I$8="A",(RANK(Y52,Y$11:Y$349,1)+COUNTIF(Y$11:Y52,Y52)-1),(RANK(Y52,Y$11:Y$349)+COUNTIF(Y$11:Y52,Y52)-1)))</f>
        <v>11</v>
      </c>
      <c r="AA52" s="189" t="str">
        <f>IF(L52="","",VLOOKUP($L52,classifications!C:I,7,FALSE))</f>
        <v>Urban with Significant Rural</v>
      </c>
      <c r="AB52" s="183">
        <f t="shared" si="33"/>
        <v>83.333333333333343</v>
      </c>
      <c r="AC52" s="183">
        <f>IF(AB52="","",IF($I$8="A",(RANK(AB52,AB$11:AB$349)+COUNTIF(AB$11:AB52,AB52)-1),(RANK(AB52,AB$11:AB$349,1)+COUNTIF(AB$11:AB52,AB52)-1)))</f>
        <v>5</v>
      </c>
      <c r="AD52" s="183"/>
      <c r="AE52" s="49">
        <f>IF(I$8="A",(RANK(AG52,AG$11:AG$349,1)+COUNTIF(AG$11:AG52,AG52)-1),(RANK(AG52,AG$11:AG$349)+COUNTIF(AG$11:AG52,AG52)-1))</f>
        <v>42</v>
      </c>
      <c r="AF52" t="str">
        <f>VLOOKUP(Profile!$J$5,Families!$C:$R,6,FALSE)</f>
        <v>Herefordshire</v>
      </c>
      <c r="AG52" s="15">
        <f t="shared" si="34"/>
        <v>62.711864406779661</v>
      </c>
      <c r="AH52" s="50">
        <f t="shared" si="35"/>
        <v>42</v>
      </c>
      <c r="AI52" s="5" t="str">
        <f>IF(L52="","",VLOOKUP($L52,classifications!$C:$J,8,FALSE))</f>
        <v>Unitary</v>
      </c>
      <c r="AJ52" s="43">
        <f t="shared" si="36"/>
        <v>83.333333333333343</v>
      </c>
      <c r="AK52" s="40">
        <f>IF(AJ52="","",IF(I$8="A",(RANK(AJ52,AJ$11:AJ$349,1)+COUNTIF(AJ$11:AJ52,AJ52)-1),(RANK(AJ52,AJ$11:AJ$349)+COUNTIF(AJ$11:AJ52,AJ52)-1)))</f>
        <v>42</v>
      </c>
      <c r="AL52" s="3">
        <f t="shared" si="37"/>
        <v>42</v>
      </c>
      <c r="AM52" t="str">
        <f t="shared" si="38"/>
        <v>Bedford</v>
      </c>
      <c r="AN52">
        <f t="shared" si="39"/>
        <v>83.333333333333343</v>
      </c>
      <c r="AP52" s="5" t="str">
        <f>IF(L52="","",VLOOKUP($L52,classifications!$C:$E,3,FALSE))</f>
        <v>East of England</v>
      </c>
      <c r="AQ52" s="43" t="str">
        <f t="shared" si="40"/>
        <v/>
      </c>
      <c r="AR52" s="40" t="str">
        <f>IF(AQ52="","",IF(I$8="A",(RANK(AQ52,AQ$11:AQ$349,1)+COUNTIF(AQ$11:AQ52,AQ52)-1),(RANK(AQ52,AQ$11:AQ$349)+COUNTIF(AQ$11:AQ52,AQ52)-1)))</f>
        <v/>
      </c>
      <c r="AS52" s="3" t="str">
        <f t="shared" si="41"/>
        <v/>
      </c>
      <c r="AT52" s="40" t="str">
        <f t="shared" si="42"/>
        <v/>
      </c>
      <c r="AU52" s="43" t="str">
        <f t="shared" si="43"/>
        <v/>
      </c>
      <c r="AX52">
        <f>HLOOKUP($AX$9&amp;$AX$10,Data!$A$1:$ZZ$1988,(MATCH($C52,Data!$A$1:$A$1988,0)),FALSE)</f>
        <v>66.666666666666657</v>
      </c>
    </row>
    <row r="53" spans="1:50">
      <c r="A53" s="59" t="str">
        <f>$D$1&amp;43</f>
        <v>UA43</v>
      </c>
      <c r="B53" s="60">
        <f>IF(ISERROR(VLOOKUP(A53,classifications!A:C,3,FALSE)),0,VLOOKUP(A53,classifications!A:C,3,FALSE))</f>
        <v>0</v>
      </c>
      <c r="C53" t="s">
        <v>27</v>
      </c>
      <c r="D53" t="str">
        <f>VLOOKUP($C53,classifications!$C:$J,4,FALSE)</f>
        <v>SD</v>
      </c>
      <c r="E53">
        <f>VLOOKUP(C53,classifications!C:K,9,FALSE)</f>
        <v>0</v>
      </c>
      <c r="F53">
        <f t="shared" si="20"/>
        <v>66.666666666666657</v>
      </c>
      <c r="G53" s="15"/>
      <c r="H53" s="42" t="str">
        <f t="shared" si="21"/>
        <v/>
      </c>
      <c r="I53" s="79" t="str">
        <f>IF(H53="","",IF($I$8="A",(RANK(H53,H$11:H$349,1)+COUNTIF(H$11:H53,H53)-1),(RANK(H53,H$11:H$349)+COUNTIF(H$11:H53,H53)-1)))</f>
        <v/>
      </c>
      <c r="J53" s="41"/>
      <c r="K53" s="36">
        <f t="shared" si="22"/>
        <v>43</v>
      </c>
      <c r="L53" t="str">
        <f t="shared" si="23"/>
        <v>Isle Of Wight</v>
      </c>
      <c r="M53" s="117">
        <f t="shared" si="24"/>
        <v>83.333333333333343</v>
      </c>
      <c r="N53" s="112">
        <f t="shared" si="25"/>
        <v>83.333333333333343</v>
      </c>
      <c r="O53" s="96" t="str">
        <f t="shared" si="26"/>
        <v/>
      </c>
      <c r="P53" s="96" t="str">
        <f t="shared" si="27"/>
        <v/>
      </c>
      <c r="Q53" s="96">
        <f t="shared" si="28"/>
        <v>83.333333333333343</v>
      </c>
      <c r="R53" s="92" t="str">
        <f t="shared" si="29"/>
        <v/>
      </c>
      <c r="S53" s="42" t="str">
        <f t="shared" si="30"/>
        <v/>
      </c>
      <c r="T53" s="176" t="str">
        <f>IF(L53="","",VLOOKUP(L53,classifications!C:K,9,FALSE))</f>
        <v>Sparse</v>
      </c>
      <c r="U53" s="177">
        <f t="shared" si="31"/>
        <v>83.333333333333343</v>
      </c>
      <c r="V53" s="183">
        <f>IF(U53="","",IF($I$8="A",(RANK(U53,U$11:U$349)+COUNTIF(U$11:U53,U53)-1),(RANK(U53,U$11:U$349,1)+COUNTIF(U$11:U53,U53)-1)))</f>
        <v>8</v>
      </c>
      <c r="W53" s="184"/>
      <c r="X53" s="5" t="str">
        <f>IF(L53="","",VLOOKUP($L53,classifications!$C:$J,6,FALSE))</f>
        <v xml:space="preserve">Predominantly Rural </v>
      </c>
      <c r="Y53">
        <f t="shared" si="32"/>
        <v>83.333333333333343</v>
      </c>
      <c r="Z53" s="40">
        <f>IF(Y53="","",IF(I$8="A",(RANK(Y53,Y$11:Y$349,1)+COUNTIF(Y$11:Y53,Y53)-1),(RANK(Y53,Y$11:Y$349)+COUNTIF(Y$11:Y53,Y53)-1)))</f>
        <v>12</v>
      </c>
      <c r="AA53" s="189" t="str">
        <f>IF(L53="","",VLOOKUP($L53,classifications!C:I,7,FALSE))</f>
        <v>Predominantly Rural</v>
      </c>
      <c r="AB53" s="183" t="str">
        <f t="shared" si="33"/>
        <v/>
      </c>
      <c r="AC53" s="183" t="str">
        <f>IF(AB53="","",IF($I$8="A",(RANK(AB53,AB$11:AB$349)+COUNTIF(AB$11:AB53,AB53)-1),(RANK(AB53,AB$11:AB$349,1)+COUNTIF(AB$11:AB53,AB53)-1)))</f>
        <v/>
      </c>
      <c r="AD53" s="183"/>
      <c r="AE53" s="49">
        <f>IF(I$8="A",(RANK(AG53,AG$11:AG$349,1)+COUNTIF(AG$11:AG53,AG53)-1),(RANK(AG53,AG$11:AG$349)+COUNTIF(AG$11:AG53,AG53)-1))</f>
        <v>43</v>
      </c>
      <c r="AF53" t="str">
        <f>VLOOKUP(Profile!$J$5,Families!$C:$R,6,FALSE)</f>
        <v>Herefordshire</v>
      </c>
      <c r="AG53" s="15">
        <f t="shared" si="34"/>
        <v>62.711864406779661</v>
      </c>
      <c r="AH53" s="50">
        <f t="shared" si="35"/>
        <v>43</v>
      </c>
      <c r="AI53" s="5" t="str">
        <f>IF(L53="","",VLOOKUP($L53,classifications!$C:$J,8,FALSE))</f>
        <v>Unitary</v>
      </c>
      <c r="AJ53" s="43">
        <f t="shared" si="36"/>
        <v>83.333333333333343</v>
      </c>
      <c r="AK53" s="40">
        <f>IF(AJ53="","",IF(I$8="A",(RANK(AJ53,AJ$11:AJ$349,1)+COUNTIF(AJ$11:AJ53,AJ53)-1),(RANK(AJ53,AJ$11:AJ$349)+COUNTIF(AJ$11:AJ53,AJ53)-1)))</f>
        <v>43</v>
      </c>
      <c r="AL53" s="3">
        <f t="shared" si="37"/>
        <v>43</v>
      </c>
      <c r="AM53" t="str">
        <f t="shared" si="38"/>
        <v>Isle Of Wight</v>
      </c>
      <c r="AN53">
        <f t="shared" si="39"/>
        <v>83.333333333333343</v>
      </c>
      <c r="AP53" s="5" t="str">
        <f>IF(L53="","",VLOOKUP($L53,classifications!$C:$E,3,FALSE))</f>
        <v>South East</v>
      </c>
      <c r="AQ53" s="43" t="str">
        <f t="shared" si="40"/>
        <v/>
      </c>
      <c r="AR53" s="40" t="str">
        <f>IF(AQ53="","",IF(I$8="A",(RANK(AQ53,AQ$11:AQ$349,1)+COUNTIF(AQ$11:AQ53,AQ53)-1),(RANK(AQ53,AQ$11:AQ$349)+COUNTIF(AQ$11:AQ53,AQ53)-1)))</f>
        <v/>
      </c>
      <c r="AS53" s="3" t="str">
        <f t="shared" si="41"/>
        <v/>
      </c>
      <c r="AT53" s="40" t="str">
        <f t="shared" si="42"/>
        <v/>
      </c>
      <c r="AU53" s="43" t="str">
        <f t="shared" si="43"/>
        <v/>
      </c>
      <c r="AX53">
        <f>HLOOKUP($AX$9&amp;$AX$10,Data!$A$1:$ZZ$1988,(MATCH($C53,Data!$A$1:$A$1988,0)),FALSE)</f>
        <v>66.666666666666657</v>
      </c>
    </row>
    <row r="54" spans="1:50">
      <c r="A54" s="59" t="str">
        <f>$D$1&amp;44</f>
        <v>UA44</v>
      </c>
      <c r="B54" s="60">
        <f>IF(ISERROR(VLOOKUP(A54,classifications!A:C,3,FALSE)),0,VLOOKUP(A54,classifications!A:C,3,FALSE))</f>
        <v>0</v>
      </c>
      <c r="C54" t="s">
        <v>302</v>
      </c>
      <c r="D54" t="str">
        <f>VLOOKUP($C54,classifications!$C:$J,4,FALSE)</f>
        <v>SC</v>
      </c>
      <c r="E54">
        <f>VLOOKUP(C54,classifications!C:K,9,FALSE)</f>
        <v>0</v>
      </c>
      <c r="F54" t="e">
        <f t="shared" si="20"/>
        <v>#N/A</v>
      </c>
      <c r="G54" s="15"/>
      <c r="H54" s="42" t="str">
        <f t="shared" si="21"/>
        <v/>
      </c>
      <c r="I54" s="79" t="str">
        <f>IF(H54="","",IF($I$8="A",(RANK(H54,H$11:H$349,1)+COUNTIF(H$11:H54,H54)-1),(RANK(H54,H$11:H$349)+COUNTIF(H$11:H54,H54)-1)))</f>
        <v/>
      </c>
      <c r="J54" s="41"/>
      <c r="K54" s="36">
        <f t="shared" si="22"/>
        <v>44</v>
      </c>
      <c r="L54" t="str">
        <f t="shared" si="23"/>
        <v>Reading</v>
      </c>
      <c r="M54" s="117">
        <f t="shared" si="24"/>
        <v>82.35294117647058</v>
      </c>
      <c r="N54" s="112">
        <f t="shared" si="25"/>
        <v>82.35294117647058</v>
      </c>
      <c r="O54" s="96" t="str">
        <f t="shared" si="26"/>
        <v/>
      </c>
      <c r="P54" s="96" t="str">
        <f t="shared" si="27"/>
        <v/>
      </c>
      <c r="Q54" s="96" t="str">
        <f t="shared" si="28"/>
        <v/>
      </c>
      <c r="R54" s="92">
        <f t="shared" si="29"/>
        <v>82.35294117647058</v>
      </c>
      <c r="S54" s="42" t="str">
        <f t="shared" si="30"/>
        <v/>
      </c>
      <c r="T54" s="176">
        <f>IF(L54="","",VLOOKUP(L54,classifications!C:K,9,FALSE))</f>
        <v>0</v>
      </c>
      <c r="U54" s="177" t="str">
        <f t="shared" si="31"/>
        <v/>
      </c>
      <c r="V54" s="183" t="str">
        <f>IF(U54="","",IF($I$8="A",(RANK(U54,U$11:U$349)+COUNTIF(U$11:U54,U54)-1),(RANK(U54,U$11:U$349,1)+COUNTIF(U$11:U54,U54)-1)))</f>
        <v/>
      </c>
      <c r="W54" s="184"/>
      <c r="X54" s="5" t="str">
        <f>IF(L54="","",VLOOKUP($L54,classifications!$C:$J,6,FALSE))</f>
        <v>Predominantly Urban</v>
      </c>
      <c r="Y54" t="str">
        <f t="shared" si="32"/>
        <v/>
      </c>
      <c r="Z54" s="40" t="str">
        <f>IF(Y54="","",IF(I$8="A",(RANK(Y54,Y$11:Y$349,1)+COUNTIF(Y$11:Y54,Y54)-1),(RANK(Y54,Y$11:Y$349)+COUNTIF(Y$11:Y54,Y54)-1)))</f>
        <v/>
      </c>
      <c r="AA54" s="189" t="str">
        <f>IF(L54="","",VLOOKUP($L54,classifications!C:I,7,FALSE))</f>
        <v>Predominantly Urban</v>
      </c>
      <c r="AB54" s="183" t="str">
        <f t="shared" si="33"/>
        <v/>
      </c>
      <c r="AC54" s="183" t="str">
        <f>IF(AB54="","",IF($I$8="A",(RANK(AB54,AB$11:AB$349)+COUNTIF(AB$11:AB54,AB54)-1),(RANK(AB54,AB$11:AB$349,1)+COUNTIF(AB$11:AB54,AB54)-1)))</f>
        <v/>
      </c>
      <c r="AD54" s="183"/>
      <c r="AE54" s="49">
        <f>IF(I$8="A",(RANK(AG54,AG$11:AG$349,1)+COUNTIF(AG$11:AG54,AG54)-1),(RANK(AG54,AG$11:AG$349)+COUNTIF(AG$11:AG54,AG54)-1))</f>
        <v>44</v>
      </c>
      <c r="AF54" t="str">
        <f>VLOOKUP(Profile!$J$5,Families!$C:$R,6,FALSE)</f>
        <v>Herefordshire</v>
      </c>
      <c r="AG54" s="15">
        <f t="shared" si="34"/>
        <v>62.711864406779661</v>
      </c>
      <c r="AH54" s="50">
        <f t="shared" si="35"/>
        <v>44</v>
      </c>
      <c r="AI54" s="5" t="str">
        <f>IF(L54="","",VLOOKUP($L54,classifications!$C:$J,8,FALSE))</f>
        <v>Unitary</v>
      </c>
      <c r="AJ54" s="43">
        <f t="shared" si="36"/>
        <v>82.35294117647058</v>
      </c>
      <c r="AK54" s="40">
        <f>IF(AJ54="","",IF(I$8="A",(RANK(AJ54,AJ$11:AJ$349,1)+COUNTIF(AJ$11:AJ54,AJ54)-1),(RANK(AJ54,AJ$11:AJ$349)+COUNTIF(AJ$11:AJ54,AJ54)-1)))</f>
        <v>44</v>
      </c>
      <c r="AL54" s="3">
        <f t="shared" si="37"/>
        <v>44</v>
      </c>
      <c r="AM54" t="str">
        <f t="shared" si="38"/>
        <v>Reading</v>
      </c>
      <c r="AN54">
        <f t="shared" si="39"/>
        <v>82.35294117647058</v>
      </c>
      <c r="AP54" s="5" t="str">
        <f>IF(L54="","",VLOOKUP($L54,classifications!$C:$E,3,FALSE))</f>
        <v>South East</v>
      </c>
      <c r="AQ54" s="43" t="str">
        <f t="shared" si="40"/>
        <v/>
      </c>
      <c r="AR54" s="40" t="str">
        <f>IF(AQ54="","",IF(I$8="A",(RANK(AQ54,AQ$11:AQ$349,1)+COUNTIF(AQ$11:AQ54,AQ54)-1),(RANK(AQ54,AQ$11:AQ$349)+COUNTIF(AQ$11:AQ54,AQ54)-1)))</f>
        <v/>
      </c>
      <c r="AS54" s="3" t="str">
        <f t="shared" si="41"/>
        <v/>
      </c>
      <c r="AT54" s="40" t="str">
        <f t="shared" si="42"/>
        <v/>
      </c>
      <c r="AU54" s="43" t="str">
        <f t="shared" si="43"/>
        <v/>
      </c>
      <c r="AX54" t="e">
        <f>HLOOKUP($AX$9&amp;$AX$10,Data!$A$1:$ZZ$1988,(MATCH($C54,Data!$A$1:$A$1988,0)),FALSE)</f>
        <v>#N/A</v>
      </c>
    </row>
    <row r="55" spans="1:50">
      <c r="A55" s="59" t="str">
        <f>$D$1&amp;45</f>
        <v>UA45</v>
      </c>
      <c r="B55" s="60">
        <f>IF(ISERROR(VLOOKUP(A55,classifications!A:C,3,FALSE)),0,VLOOKUP(A55,classifications!A:C,3,FALSE))</f>
        <v>0</v>
      </c>
      <c r="C55" t="s">
        <v>200</v>
      </c>
      <c r="D55" t="str">
        <f>VLOOKUP($C55,classifications!$C:$J,4,FALSE)</f>
        <v>L</v>
      </c>
      <c r="E55">
        <f>VLOOKUP(C55,classifications!C:K,9,FALSE)</f>
        <v>0</v>
      </c>
      <c r="F55">
        <f t="shared" si="20"/>
        <v>93.75</v>
      </c>
      <c r="G55" s="15"/>
      <c r="H55" s="42" t="str">
        <f t="shared" si="21"/>
        <v/>
      </c>
      <c r="I55" s="79" t="str">
        <f>IF(H55="","",IF($I$8="A",(RANK(H55,H$11:H$349,1)+COUNTIF(H$11:H55,H55)-1),(RANK(H55,H$11:H$349)+COUNTIF(H$11:H55,H55)-1)))</f>
        <v/>
      </c>
      <c r="J55" s="41"/>
      <c r="K55" s="36">
        <f t="shared" si="22"/>
        <v>45</v>
      </c>
      <c r="L55" t="str">
        <f t="shared" si="23"/>
        <v>West Berkshire</v>
      </c>
      <c r="M55" s="117">
        <f t="shared" si="24"/>
        <v>80.412371134020617</v>
      </c>
      <c r="N55" s="112">
        <f t="shared" si="25"/>
        <v>80.412371134020617</v>
      </c>
      <c r="O55" s="96" t="str">
        <f t="shared" si="26"/>
        <v/>
      </c>
      <c r="P55" s="96" t="str">
        <f t="shared" si="27"/>
        <v/>
      </c>
      <c r="Q55" s="96" t="str">
        <f t="shared" si="28"/>
        <v/>
      </c>
      <c r="R55" s="92">
        <f t="shared" si="29"/>
        <v>80.412371134020617</v>
      </c>
      <c r="S55" s="42" t="str">
        <f t="shared" si="30"/>
        <v/>
      </c>
      <c r="T55" s="176">
        <f>IF(L55="","",VLOOKUP(L55,classifications!C:K,9,FALSE))</f>
        <v>0</v>
      </c>
      <c r="U55" s="177" t="str">
        <f t="shared" si="31"/>
        <v/>
      </c>
      <c r="V55" s="183" t="str">
        <f>IF(U55="","",IF($I$8="A",(RANK(U55,U$11:U$349)+COUNTIF(U$11:U55,U55)-1),(RANK(U55,U$11:U$349,1)+COUNTIF(U$11:U55,U55)-1)))</f>
        <v/>
      </c>
      <c r="W55" s="184"/>
      <c r="X55" s="5" t="str">
        <f>IF(L55="","",VLOOKUP($L55,classifications!$C:$J,6,FALSE))</f>
        <v>Urban with Significant Rural</v>
      </c>
      <c r="Y55">
        <f t="shared" si="32"/>
        <v>80.412371134020617</v>
      </c>
      <c r="Z55" s="40">
        <f>IF(Y55="","",IF(I$8="A",(RANK(Y55,Y$11:Y$349,1)+COUNTIF(Y$11:Y55,Y55)-1),(RANK(Y55,Y$11:Y$349)+COUNTIF(Y$11:Y55,Y55)-1)))</f>
        <v>13</v>
      </c>
      <c r="AA55" s="189" t="str">
        <f>IF(L55="","",VLOOKUP($L55,classifications!C:I,7,FALSE))</f>
        <v>Urban with Significant Rural</v>
      </c>
      <c r="AB55" s="183">
        <f t="shared" si="33"/>
        <v>80.412371134020617</v>
      </c>
      <c r="AC55" s="183">
        <f>IF(AB55="","",IF($I$8="A",(RANK(AB55,AB$11:AB$349)+COUNTIF(AB$11:AB55,AB55)-1),(RANK(AB55,AB$11:AB$349,1)+COUNTIF(AB$11:AB55,AB55)-1)))</f>
        <v>4</v>
      </c>
      <c r="AD55" s="183"/>
      <c r="AE55" s="49">
        <f>IF(I$8="A",(RANK(AG55,AG$11:AG$349,1)+COUNTIF(AG$11:AG55,AG55)-1),(RANK(AG55,AG$11:AG$349)+COUNTIF(AG$11:AG55,AG55)-1))</f>
        <v>45</v>
      </c>
      <c r="AF55" t="str">
        <f>VLOOKUP(Profile!$J$5,Families!$C:$R,6,FALSE)</f>
        <v>Herefordshire</v>
      </c>
      <c r="AG55" s="15">
        <f t="shared" si="34"/>
        <v>62.711864406779661</v>
      </c>
      <c r="AH55" s="50">
        <f t="shared" si="35"/>
        <v>45</v>
      </c>
      <c r="AI55" s="5" t="str">
        <f>IF(L55="","",VLOOKUP($L55,classifications!$C:$J,8,FALSE))</f>
        <v>Unitary</v>
      </c>
      <c r="AJ55" s="43">
        <f t="shared" si="36"/>
        <v>80.412371134020617</v>
      </c>
      <c r="AK55" s="40">
        <f>IF(AJ55="","",IF(I$8="A",(RANK(AJ55,AJ$11:AJ$349,1)+COUNTIF(AJ$11:AJ55,AJ55)-1),(RANK(AJ55,AJ$11:AJ$349)+COUNTIF(AJ$11:AJ55,AJ55)-1)))</f>
        <v>45</v>
      </c>
      <c r="AL55" s="3">
        <f t="shared" si="37"/>
        <v>45</v>
      </c>
      <c r="AM55" t="str">
        <f t="shared" si="38"/>
        <v>West Berkshire</v>
      </c>
      <c r="AN55">
        <f t="shared" si="39"/>
        <v>80.412371134020617</v>
      </c>
      <c r="AP55" s="5" t="str">
        <f>IF(L55="","",VLOOKUP($L55,classifications!$C:$E,3,FALSE))</f>
        <v>South East</v>
      </c>
      <c r="AQ55" s="43" t="str">
        <f t="shared" si="40"/>
        <v/>
      </c>
      <c r="AR55" s="40" t="str">
        <f>IF(AQ55="","",IF(I$8="A",(RANK(AQ55,AQ$11:AQ$349,1)+COUNTIF(AQ$11:AQ55,AQ55)-1),(RANK(AQ55,AQ$11:AQ$349)+COUNTIF(AQ$11:AQ55,AQ55)-1)))</f>
        <v/>
      </c>
      <c r="AS55" s="3" t="str">
        <f t="shared" si="41"/>
        <v/>
      </c>
      <c r="AT55" s="40" t="str">
        <f t="shared" si="42"/>
        <v/>
      </c>
      <c r="AU55" s="43" t="str">
        <f t="shared" si="43"/>
        <v/>
      </c>
      <c r="AX55">
        <f>HLOOKUP($AX$9&amp;$AX$10,Data!$A$1:$ZZ$1988,(MATCH($C55,Data!$A$1:$A$1988,0)),FALSE)</f>
        <v>93.75</v>
      </c>
    </row>
    <row r="56" spans="1:50">
      <c r="A56" s="59" t="str">
        <f>$D$1&amp;46</f>
        <v>UA46</v>
      </c>
      <c r="B56" s="60">
        <f>IF(ISERROR(VLOOKUP(A56,classifications!A:C,3,FALSE)),0,VLOOKUP(A56,classifications!A:C,3,FALSE))</f>
        <v>0</v>
      </c>
      <c r="C56" t="s">
        <v>28</v>
      </c>
      <c r="D56" t="str">
        <f>VLOOKUP($C56,classifications!$C:$J,4,FALSE)</f>
        <v>SD</v>
      </c>
      <c r="E56">
        <f>VLOOKUP(C56,classifications!C:K,9,FALSE)</f>
        <v>0</v>
      </c>
      <c r="F56">
        <f t="shared" si="20"/>
        <v>90</v>
      </c>
      <c r="G56" s="15"/>
      <c r="H56" s="42" t="str">
        <f t="shared" si="21"/>
        <v/>
      </c>
      <c r="I56" s="79" t="str">
        <f>IF(H56="","",IF($I$8="A",(RANK(H56,H$11:H$349,1)+COUNTIF(H$11:H56,H56)-1),(RANK(H56,H$11:H$349)+COUNTIF(H$11:H56,H56)-1)))</f>
        <v/>
      </c>
      <c r="J56" s="41"/>
      <c r="K56" s="36">
        <f t="shared" si="22"/>
        <v>46</v>
      </c>
      <c r="L56" t="str">
        <f t="shared" si="23"/>
        <v>Northumberland</v>
      </c>
      <c r="M56" s="117">
        <f t="shared" si="24"/>
        <v>80</v>
      </c>
      <c r="N56" s="112">
        <f t="shared" si="25"/>
        <v>80</v>
      </c>
      <c r="O56" s="96" t="str">
        <f t="shared" si="26"/>
        <v/>
      </c>
      <c r="P56" s="96" t="str">
        <f t="shared" si="27"/>
        <v/>
      </c>
      <c r="Q56" s="96" t="str">
        <f t="shared" si="28"/>
        <v/>
      </c>
      <c r="R56" s="92">
        <f t="shared" si="29"/>
        <v>80</v>
      </c>
      <c r="S56" s="42" t="str">
        <f t="shared" si="30"/>
        <v/>
      </c>
      <c r="T56" s="176" t="str">
        <f>IF(L56="","",VLOOKUP(L56,classifications!C:K,9,FALSE))</f>
        <v>Sparse</v>
      </c>
      <c r="U56" s="177">
        <f t="shared" si="31"/>
        <v>80</v>
      </c>
      <c r="V56" s="183">
        <f>IF(U56="","",IF($I$8="A",(RANK(U56,U$11:U$349)+COUNTIF(U$11:U56,U56)-1),(RANK(U56,U$11:U$349,1)+COUNTIF(U$11:U56,U56)-1)))</f>
        <v>7</v>
      </c>
      <c r="W56" s="184"/>
      <c r="X56" s="5" t="str">
        <f>IF(L56="","",VLOOKUP($L56,classifications!$C:$J,6,FALSE))</f>
        <v xml:space="preserve">Predominantly Rural </v>
      </c>
      <c r="Y56">
        <f t="shared" si="32"/>
        <v>80</v>
      </c>
      <c r="Z56" s="40">
        <f>IF(Y56="","",IF(I$8="A",(RANK(Y56,Y$11:Y$349,1)+COUNTIF(Y$11:Y56,Y56)-1),(RANK(Y56,Y$11:Y$349)+COUNTIF(Y$11:Y56,Y56)-1)))</f>
        <v>14</v>
      </c>
      <c r="AA56" s="189" t="str">
        <f>IF(L56="","",VLOOKUP($L56,classifications!C:I,7,FALSE))</f>
        <v>Predominantly Rural</v>
      </c>
      <c r="AB56" s="183" t="str">
        <f t="shared" si="33"/>
        <v/>
      </c>
      <c r="AC56" s="183" t="str">
        <f>IF(AB56="","",IF($I$8="A",(RANK(AB56,AB$11:AB$349)+COUNTIF(AB$11:AB56,AB56)-1),(RANK(AB56,AB$11:AB$349,1)+COUNTIF(AB$11:AB56,AB56)-1)))</f>
        <v/>
      </c>
      <c r="AD56" s="183"/>
      <c r="AE56" s="49">
        <f>IF(I$8="A",(RANK(AG56,AG$11:AG$349,1)+COUNTIF(AG$11:AG56,AG56)-1),(RANK(AG56,AG$11:AG$349)+COUNTIF(AG$11:AG56,AG56)-1))</f>
        <v>46</v>
      </c>
      <c r="AF56" t="str">
        <f>VLOOKUP(Profile!$J$5,Families!$C:$R,6,FALSE)</f>
        <v>Herefordshire</v>
      </c>
      <c r="AG56" s="15">
        <f t="shared" si="34"/>
        <v>62.711864406779661</v>
      </c>
      <c r="AH56" s="50">
        <f t="shared" si="35"/>
        <v>46</v>
      </c>
      <c r="AI56" s="5" t="str">
        <f>IF(L56="","",VLOOKUP($L56,classifications!$C:$J,8,FALSE))</f>
        <v>Unitary</v>
      </c>
      <c r="AJ56" s="43">
        <f t="shared" si="36"/>
        <v>80</v>
      </c>
      <c r="AK56" s="40">
        <f>IF(AJ56="","",IF(I$8="A",(RANK(AJ56,AJ$11:AJ$349,1)+COUNTIF(AJ$11:AJ56,AJ56)-1),(RANK(AJ56,AJ$11:AJ$349)+COUNTIF(AJ$11:AJ56,AJ56)-1)))</f>
        <v>46</v>
      </c>
      <c r="AL56" s="3">
        <f t="shared" si="37"/>
        <v>46</v>
      </c>
      <c r="AM56" t="str">
        <f t="shared" si="38"/>
        <v>Northumberland</v>
      </c>
      <c r="AN56">
        <f t="shared" si="39"/>
        <v>80</v>
      </c>
      <c r="AP56" s="5" t="str">
        <f>IF(L56="","",VLOOKUP($L56,classifications!$C:$E,3,FALSE))</f>
        <v>NE</v>
      </c>
      <c r="AQ56" s="43" t="str">
        <f t="shared" si="40"/>
        <v/>
      </c>
      <c r="AR56" s="40" t="str">
        <f>IF(AQ56="","",IF(I$8="A",(RANK(AQ56,AQ$11:AQ$349,1)+COUNTIF(AQ$11:AQ56,AQ56)-1),(RANK(AQ56,AQ$11:AQ$349)+COUNTIF(AQ$11:AQ56,AQ56)-1)))</f>
        <v/>
      </c>
      <c r="AS56" s="3" t="str">
        <f t="shared" si="41"/>
        <v/>
      </c>
      <c r="AT56" s="40" t="str">
        <f t="shared" si="42"/>
        <v/>
      </c>
      <c r="AU56" s="43" t="str">
        <f t="shared" si="43"/>
        <v/>
      </c>
      <c r="AX56">
        <f>HLOOKUP($AX$9&amp;$AX$10,Data!$A$1:$ZZ$1988,(MATCH($C56,Data!$A$1:$A$1988,0)),FALSE)</f>
        <v>90</v>
      </c>
    </row>
    <row r="57" spans="1:50">
      <c r="A57" s="59" t="str">
        <f>$D$1&amp;47</f>
        <v>UA47</v>
      </c>
      <c r="B57" s="60">
        <f>IF(ISERROR(VLOOKUP(A57,classifications!A:C,3,FALSE)),0,VLOOKUP(A57,classifications!A:C,3,FALSE))</f>
        <v>0</v>
      </c>
      <c r="C57" t="s">
        <v>29</v>
      </c>
      <c r="D57" t="str">
        <f>VLOOKUP($C57,classifications!$C:$J,4,FALSE)</f>
        <v>SD</v>
      </c>
      <c r="E57">
        <f>VLOOKUP(C57,classifications!C:K,9,FALSE)</f>
        <v>0</v>
      </c>
      <c r="F57">
        <f t="shared" si="20"/>
        <v>82.857142857142861</v>
      </c>
      <c r="G57" s="15"/>
      <c r="H57" s="42" t="str">
        <f t="shared" si="21"/>
        <v/>
      </c>
      <c r="I57" s="79" t="str">
        <f>IF(H57="","",IF($I$8="A",(RANK(H57,H$11:H$349,1)+COUNTIF(H$11:H57,H57)-1),(RANK(H57,H$11:H$349)+COUNTIF(H$11:H57,H57)-1)))</f>
        <v/>
      </c>
      <c r="J57" s="41"/>
      <c r="K57" s="36">
        <f t="shared" si="22"/>
        <v>47</v>
      </c>
      <c r="L57" t="str">
        <f t="shared" si="23"/>
        <v>Cornwall</v>
      </c>
      <c r="M57" s="117">
        <f t="shared" si="24"/>
        <v>79.234972677595621</v>
      </c>
      <c r="N57" s="112">
        <f t="shared" si="25"/>
        <v>79.234972677595621</v>
      </c>
      <c r="O57" s="96" t="str">
        <f t="shared" si="26"/>
        <v/>
      </c>
      <c r="P57" s="96" t="str">
        <f t="shared" si="27"/>
        <v/>
      </c>
      <c r="Q57" s="96" t="str">
        <f t="shared" si="28"/>
        <v/>
      </c>
      <c r="R57" s="92">
        <f t="shared" si="29"/>
        <v>79.234972677595621</v>
      </c>
      <c r="S57" s="42" t="str">
        <f t="shared" si="30"/>
        <v/>
      </c>
      <c r="T57" s="176" t="str">
        <f>IF(L57="","",VLOOKUP(L57,classifications!C:K,9,FALSE))</f>
        <v>Sparse</v>
      </c>
      <c r="U57" s="177">
        <f t="shared" si="31"/>
        <v>79.234972677595621</v>
      </c>
      <c r="V57" s="183">
        <f>IF(U57="","",IF($I$8="A",(RANK(U57,U$11:U$349)+COUNTIF(U$11:U57,U57)-1),(RANK(U57,U$11:U$349,1)+COUNTIF(U$11:U57,U57)-1)))</f>
        <v>6</v>
      </c>
      <c r="W57" s="184"/>
      <c r="X57" s="5" t="str">
        <f>IF(L57="","",VLOOKUP($L57,classifications!$C:$J,6,FALSE))</f>
        <v xml:space="preserve">Predominantly Rural </v>
      </c>
      <c r="Y57">
        <f t="shared" si="32"/>
        <v>79.234972677595621</v>
      </c>
      <c r="Z57" s="40">
        <f>IF(Y57="","",IF(I$8="A",(RANK(Y57,Y$11:Y$349,1)+COUNTIF(Y$11:Y57,Y57)-1),(RANK(Y57,Y$11:Y$349)+COUNTIF(Y$11:Y57,Y57)-1)))</f>
        <v>15</v>
      </c>
      <c r="AA57" s="189" t="str">
        <f>IF(L57="","",VLOOKUP($L57,classifications!C:I,7,FALSE))</f>
        <v>Predominantly Rural</v>
      </c>
      <c r="AB57" s="183" t="str">
        <f t="shared" si="33"/>
        <v/>
      </c>
      <c r="AC57" s="183" t="str">
        <f>IF(AB57="","",IF($I$8="A",(RANK(AB57,AB$11:AB$349)+COUNTIF(AB$11:AB57,AB57)-1),(RANK(AB57,AB$11:AB$349,1)+COUNTIF(AB$11:AB57,AB57)-1)))</f>
        <v/>
      </c>
      <c r="AD57" s="183"/>
      <c r="AE57" s="49">
        <f>IF(I$8="A",(RANK(AG57,AG$11:AG$349,1)+COUNTIF(AG$11:AG57,AG57)-1),(RANK(AG57,AG$11:AG$349)+COUNTIF(AG$11:AG57,AG57)-1))</f>
        <v>47</v>
      </c>
      <c r="AF57" t="str">
        <f>VLOOKUP(Profile!$J$5,Families!$C:$R,6,FALSE)</f>
        <v>Herefordshire</v>
      </c>
      <c r="AG57" s="15">
        <f t="shared" si="34"/>
        <v>62.711864406779661</v>
      </c>
      <c r="AH57" s="50">
        <f t="shared" si="35"/>
        <v>47</v>
      </c>
      <c r="AI57" s="5" t="str">
        <f>IF(L57="","",VLOOKUP($L57,classifications!$C:$J,8,FALSE))</f>
        <v>Unitary</v>
      </c>
      <c r="AJ57" s="43">
        <f t="shared" si="36"/>
        <v>79.234972677595621</v>
      </c>
      <c r="AK57" s="40">
        <f>IF(AJ57="","",IF(I$8="A",(RANK(AJ57,AJ$11:AJ$349,1)+COUNTIF(AJ$11:AJ57,AJ57)-1),(RANK(AJ57,AJ$11:AJ$349)+COUNTIF(AJ$11:AJ57,AJ57)-1)))</f>
        <v>47</v>
      </c>
      <c r="AL57" s="3">
        <f t="shared" si="37"/>
        <v>47</v>
      </c>
      <c r="AM57" t="str">
        <f t="shared" si="38"/>
        <v>Cornwall</v>
      </c>
      <c r="AN57">
        <f t="shared" si="39"/>
        <v>79.234972677595621</v>
      </c>
      <c r="AP57" s="5" t="str">
        <f>IF(L57="","",VLOOKUP($L57,classifications!$C:$E,3,FALSE))</f>
        <v>South West</v>
      </c>
      <c r="AQ57" s="43" t="str">
        <f t="shared" si="40"/>
        <v/>
      </c>
      <c r="AR57" s="40" t="str">
        <f>IF(AQ57="","",IF(I$8="A",(RANK(AQ57,AQ$11:AQ$349,1)+COUNTIF(AQ$11:AQ57,AQ57)-1),(RANK(AQ57,AQ$11:AQ$349)+COUNTIF(AQ$11:AQ57,AQ57)-1)))</f>
        <v/>
      </c>
      <c r="AS57" s="3" t="str">
        <f t="shared" si="41"/>
        <v/>
      </c>
      <c r="AT57" s="40" t="str">
        <f t="shared" si="42"/>
        <v/>
      </c>
      <c r="AU57" s="43" t="str">
        <f t="shared" si="43"/>
        <v/>
      </c>
      <c r="AX57">
        <f>HLOOKUP($AX$9&amp;$AX$10,Data!$A$1:$ZZ$1988,(MATCH($C57,Data!$A$1:$A$1988,0)),FALSE)</f>
        <v>82.857142857142861</v>
      </c>
    </row>
    <row r="58" spans="1:50">
      <c r="A58" s="59" t="str">
        <f>$D$1&amp;48</f>
        <v>UA48</v>
      </c>
      <c r="B58" s="60">
        <f>IF(ISERROR(VLOOKUP(A58,classifications!A:C,3,FALSE)),0,VLOOKUP(A58,classifications!A:C,3,FALSE))</f>
        <v>0</v>
      </c>
      <c r="C58" t="s">
        <v>30</v>
      </c>
      <c r="D58" t="str">
        <f>VLOOKUP($C58,classifications!$C:$J,4,FALSE)</f>
        <v>SD</v>
      </c>
      <c r="E58">
        <f>VLOOKUP(C58,classifications!C:K,9,FALSE)</f>
        <v>0</v>
      </c>
      <c r="F58">
        <f t="shared" si="20"/>
        <v>78.94736842105263</v>
      </c>
      <c r="G58" s="15"/>
      <c r="H58" s="42" t="str">
        <f t="shared" si="21"/>
        <v/>
      </c>
      <c r="I58" s="79" t="str">
        <f>IF(H58="","",IF($I$8="A",(RANK(H58,H$11:H$349,1)+COUNTIF(H$11:H58,H58)-1),(RANK(H58,H$11:H$349)+COUNTIF(H$11:H58,H58)-1)))</f>
        <v/>
      </c>
      <c r="J58" s="41"/>
      <c r="K58" s="36">
        <f t="shared" si="22"/>
        <v>48</v>
      </c>
      <c r="L58" t="str">
        <f t="shared" si="23"/>
        <v>North Lincolnshire</v>
      </c>
      <c r="M58" s="117">
        <f t="shared" si="24"/>
        <v>78.94736842105263</v>
      </c>
      <c r="N58" s="112">
        <f t="shared" si="25"/>
        <v>78.94736842105263</v>
      </c>
      <c r="O58" s="96" t="str">
        <f t="shared" si="26"/>
        <v/>
      </c>
      <c r="P58" s="96" t="str">
        <f t="shared" si="27"/>
        <v/>
      </c>
      <c r="Q58" s="96" t="str">
        <f t="shared" si="28"/>
        <v/>
      </c>
      <c r="R58" s="92">
        <f t="shared" si="29"/>
        <v>78.94736842105263</v>
      </c>
      <c r="S58" s="42" t="str">
        <f t="shared" si="30"/>
        <v/>
      </c>
      <c r="T58" s="176" t="str">
        <f>IF(L58="","",VLOOKUP(L58,classifications!C:K,9,FALSE))</f>
        <v>Sparse</v>
      </c>
      <c r="U58" s="177">
        <f t="shared" si="31"/>
        <v>78.94736842105263</v>
      </c>
      <c r="V58" s="183">
        <f>IF(U58="","",IF($I$8="A",(RANK(U58,U$11:U$349)+COUNTIF(U$11:U58,U58)-1),(RANK(U58,U$11:U$349,1)+COUNTIF(U$11:U58,U58)-1)))</f>
        <v>5</v>
      </c>
      <c r="W58" s="184"/>
      <c r="X58" s="5" t="str">
        <f>IF(L58="","",VLOOKUP($L58,classifications!$C:$J,6,FALSE))</f>
        <v>Urban with Significant Rural</v>
      </c>
      <c r="Y58">
        <f t="shared" si="32"/>
        <v>78.94736842105263</v>
      </c>
      <c r="Z58" s="40">
        <f>IF(Y58="","",IF(I$8="A",(RANK(Y58,Y$11:Y$349,1)+COUNTIF(Y$11:Y58,Y58)-1),(RANK(Y58,Y$11:Y$349)+COUNTIF(Y$11:Y58,Y58)-1)))</f>
        <v>16</v>
      </c>
      <c r="AA58" s="189" t="str">
        <f>IF(L58="","",VLOOKUP($L58,classifications!C:I,7,FALSE))</f>
        <v>Urban with Significant Rural</v>
      </c>
      <c r="AB58" s="183">
        <f t="shared" si="33"/>
        <v>78.94736842105263</v>
      </c>
      <c r="AC58" s="183">
        <f>IF(AB58="","",IF($I$8="A",(RANK(AB58,AB$11:AB$349)+COUNTIF(AB$11:AB58,AB58)-1),(RANK(AB58,AB$11:AB$349,1)+COUNTIF(AB$11:AB58,AB58)-1)))</f>
        <v>3</v>
      </c>
      <c r="AD58" s="183"/>
      <c r="AE58" s="49">
        <f>IF(I$8="A",(RANK(AG58,AG$11:AG$349,1)+COUNTIF(AG$11:AG58,AG58)-1),(RANK(AG58,AG$11:AG$349)+COUNTIF(AG$11:AG58,AG58)-1))</f>
        <v>48</v>
      </c>
      <c r="AF58" t="str">
        <f>VLOOKUP(Profile!$J$5,Families!$C:$R,6,FALSE)</f>
        <v>Herefordshire</v>
      </c>
      <c r="AG58" s="15">
        <f t="shared" si="34"/>
        <v>62.711864406779661</v>
      </c>
      <c r="AH58" s="50">
        <f t="shared" si="35"/>
        <v>48</v>
      </c>
      <c r="AI58" s="5" t="str">
        <f>IF(L58="","",VLOOKUP($L58,classifications!$C:$J,8,FALSE))</f>
        <v>Unitary</v>
      </c>
      <c r="AJ58" s="43">
        <f t="shared" si="36"/>
        <v>78.94736842105263</v>
      </c>
      <c r="AK58" s="40">
        <f>IF(AJ58="","",IF(I$8="A",(RANK(AJ58,AJ$11:AJ$349,1)+COUNTIF(AJ$11:AJ58,AJ58)-1),(RANK(AJ58,AJ$11:AJ$349)+COUNTIF(AJ$11:AJ58,AJ58)-1)))</f>
        <v>48</v>
      </c>
      <c r="AL58" s="3">
        <f t="shared" si="37"/>
        <v>48</v>
      </c>
      <c r="AM58" t="str">
        <f t="shared" si="38"/>
        <v>North Lincolnshire</v>
      </c>
      <c r="AN58">
        <f t="shared" si="39"/>
        <v>78.94736842105263</v>
      </c>
      <c r="AP58" s="5" t="str">
        <f>IF(L58="","",VLOOKUP($L58,classifications!$C:$E,3,FALSE))</f>
        <v>Yorkshire &amp; Humberside</v>
      </c>
      <c r="AQ58" s="43" t="str">
        <f t="shared" si="40"/>
        <v/>
      </c>
      <c r="AR58" s="40" t="str">
        <f>IF(AQ58="","",IF(I$8="A",(RANK(AQ58,AQ$11:AQ$349,1)+COUNTIF(AQ$11:AQ58,AQ58)-1),(RANK(AQ58,AQ$11:AQ$349)+COUNTIF(AQ$11:AQ58,AQ58)-1)))</f>
        <v/>
      </c>
      <c r="AS58" s="3" t="str">
        <f t="shared" si="41"/>
        <v/>
      </c>
      <c r="AT58" s="40" t="str">
        <f t="shared" si="42"/>
        <v/>
      </c>
      <c r="AU58" s="43" t="str">
        <f t="shared" si="43"/>
        <v/>
      </c>
      <c r="AX58">
        <f>HLOOKUP($AX$9&amp;$AX$10,Data!$A$1:$ZZ$1988,(MATCH($C58,Data!$A$1:$A$1988,0)),FALSE)</f>
        <v>78.94736842105263</v>
      </c>
    </row>
    <row r="59" spans="1:50">
      <c r="A59" s="59" t="str">
        <f>$D$1&amp;49</f>
        <v>UA49</v>
      </c>
      <c r="B59" s="60">
        <f>IF(ISERROR(VLOOKUP(A59,classifications!A:C,3,FALSE)),0,VLOOKUP(A59,classifications!A:C,3,FALSE))</f>
        <v>0</v>
      </c>
      <c r="C59" t="s">
        <v>31</v>
      </c>
      <c r="D59" t="str">
        <f>VLOOKUP($C59,classifications!$C:$J,4,FALSE)</f>
        <v>SD</v>
      </c>
      <c r="E59">
        <f>VLOOKUP(C59,classifications!C:K,9,FALSE)</f>
        <v>0</v>
      </c>
      <c r="F59">
        <f t="shared" si="20"/>
        <v>60</v>
      </c>
      <c r="G59" s="15"/>
      <c r="H59" s="42" t="str">
        <f t="shared" si="21"/>
        <v/>
      </c>
      <c r="I59" s="79" t="str">
        <f>IF(H59="","",IF($I$8="A",(RANK(H59,H$11:H$349,1)+COUNTIF(H$11:H59,H59)-1),(RANK(H59,H$11:H$349)+COUNTIF(H$11:H59,H59)-1)))</f>
        <v/>
      </c>
      <c r="J59" s="41"/>
      <c r="K59" s="36">
        <f t="shared" si="22"/>
        <v>49</v>
      </c>
      <c r="L59" t="str">
        <f t="shared" si="23"/>
        <v>Dorset</v>
      </c>
      <c r="M59" s="117">
        <f t="shared" si="24"/>
        <v>77.685950413223139</v>
      </c>
      <c r="N59" s="112">
        <f t="shared" si="25"/>
        <v>77.685950413223139</v>
      </c>
      <c r="O59" s="96" t="str">
        <f t="shared" si="26"/>
        <v/>
      </c>
      <c r="P59" s="96" t="str">
        <f t="shared" si="27"/>
        <v/>
      </c>
      <c r="Q59" s="96" t="str">
        <f t="shared" si="28"/>
        <v/>
      </c>
      <c r="R59" s="92">
        <f t="shared" si="29"/>
        <v>77.685950413223139</v>
      </c>
      <c r="S59" s="42" t="str">
        <f t="shared" si="30"/>
        <v/>
      </c>
      <c r="T59" s="176">
        <f>IF(L59="","",VLOOKUP(L59,classifications!C:K,9,FALSE))</f>
        <v>0</v>
      </c>
      <c r="U59" s="177" t="str">
        <f t="shared" si="31"/>
        <v/>
      </c>
      <c r="V59" s="183" t="str">
        <f>IF(U59="","",IF($I$8="A",(RANK(U59,U$11:U$349)+COUNTIF(U$11:U59,U59)-1),(RANK(U59,U$11:U$349,1)+COUNTIF(U$11:U59,U59)-1)))</f>
        <v/>
      </c>
      <c r="W59" s="184"/>
      <c r="X59" s="5" t="str">
        <f>IF(L59="","",VLOOKUP($L59,classifications!$C:$J,6,FALSE))</f>
        <v>Predominantly Rural</v>
      </c>
      <c r="Y59" t="str">
        <f t="shared" si="32"/>
        <v/>
      </c>
      <c r="Z59" s="40" t="str">
        <f>IF(Y59="","",IF(I$8="A",(RANK(Y59,Y$11:Y$349,1)+COUNTIF(Y$11:Y59,Y59)-1),(RANK(Y59,Y$11:Y$349)+COUNTIF(Y$11:Y59,Y59)-1)))</f>
        <v/>
      </c>
      <c r="AA59" s="189" t="str">
        <f>IF(L59="","",VLOOKUP($L59,classifications!C:I,7,FALSE))</f>
        <v>Predominantly Rural</v>
      </c>
      <c r="AB59" s="183" t="str">
        <f t="shared" si="33"/>
        <v/>
      </c>
      <c r="AC59" s="183" t="str">
        <f>IF(AB59="","",IF($I$8="A",(RANK(AB59,AB$11:AB$349)+COUNTIF(AB$11:AB59,AB59)-1),(RANK(AB59,AB$11:AB$349,1)+COUNTIF(AB$11:AB59,AB59)-1)))</f>
        <v/>
      </c>
      <c r="AD59" s="183"/>
      <c r="AE59" s="49">
        <f>IF(I$8="A",(RANK(AG59,AG$11:AG$349,1)+COUNTIF(AG$11:AG59,AG59)-1),(RANK(AG59,AG$11:AG$349)+COUNTIF(AG$11:AG59,AG59)-1))</f>
        <v>49</v>
      </c>
      <c r="AF59" t="str">
        <f>VLOOKUP(Profile!$J$5,Families!$C:$R,6,FALSE)</f>
        <v>Herefordshire</v>
      </c>
      <c r="AG59" s="15">
        <f t="shared" si="34"/>
        <v>62.711864406779661</v>
      </c>
      <c r="AH59" s="50">
        <f t="shared" si="35"/>
        <v>49</v>
      </c>
      <c r="AI59" s="5" t="str">
        <f>IF(L59="","",VLOOKUP($L59,classifications!$C:$J,8,FALSE))</f>
        <v>Unitary</v>
      </c>
      <c r="AJ59" s="43">
        <f t="shared" si="36"/>
        <v>77.685950413223139</v>
      </c>
      <c r="AK59" s="40">
        <f>IF(AJ59="","",IF(I$8="A",(RANK(AJ59,AJ$11:AJ$349,1)+COUNTIF(AJ$11:AJ59,AJ59)-1),(RANK(AJ59,AJ$11:AJ$349)+COUNTIF(AJ$11:AJ59,AJ59)-1)))</f>
        <v>49</v>
      </c>
      <c r="AL59" s="3">
        <f t="shared" si="37"/>
        <v>49</v>
      </c>
      <c r="AM59" t="str">
        <f t="shared" si="38"/>
        <v>Dorset</v>
      </c>
      <c r="AN59">
        <f t="shared" si="39"/>
        <v>77.685950413223139</v>
      </c>
      <c r="AP59" s="5" t="str">
        <f>IF(L59="","",VLOOKUP($L59,classifications!$C:$E,3,FALSE))</f>
        <v>South West</v>
      </c>
      <c r="AQ59" s="43" t="str">
        <f t="shared" si="40"/>
        <v/>
      </c>
      <c r="AR59" s="40" t="str">
        <f>IF(AQ59="","",IF(I$8="A",(RANK(AQ59,AQ$11:AQ$349,1)+COUNTIF(AQ$11:AQ59,AQ59)-1),(RANK(AQ59,AQ$11:AQ$349)+COUNTIF(AQ$11:AQ59,AQ59)-1)))</f>
        <v/>
      </c>
      <c r="AS59" s="3" t="str">
        <f t="shared" si="41"/>
        <v/>
      </c>
      <c r="AT59" s="40" t="str">
        <f t="shared" si="42"/>
        <v/>
      </c>
      <c r="AU59" s="43" t="str">
        <f t="shared" si="43"/>
        <v/>
      </c>
      <c r="AX59">
        <f>HLOOKUP($AX$9&amp;$AX$10,Data!$A$1:$ZZ$1988,(MATCH($C59,Data!$A$1:$A$1988,0)),FALSE)</f>
        <v>60</v>
      </c>
    </row>
    <row r="60" spans="1:50">
      <c r="A60" s="59" t="str">
        <f>$D$1&amp;50</f>
        <v>UA50</v>
      </c>
      <c r="B60" s="60">
        <f>IF(ISERROR(VLOOKUP(A60,classifications!A:C,3,FALSE)),0,VLOOKUP(A60,classifications!A:C,3,FALSE))</f>
        <v>0</v>
      </c>
      <c r="C60" t="s">
        <v>303</v>
      </c>
      <c r="D60" t="str">
        <f>VLOOKUP($C60,classifications!$C:$J,4,FALSE)</f>
        <v>UA</v>
      </c>
      <c r="E60">
        <f>VLOOKUP(C60,classifications!C:K,9,FALSE)</f>
        <v>0</v>
      </c>
      <c r="F60">
        <f t="shared" si="20"/>
        <v>88.118811881188122</v>
      </c>
      <c r="G60" s="15"/>
      <c r="H60" s="42">
        <f t="shared" si="21"/>
        <v>88.118811881188122</v>
      </c>
      <c r="I60" s="79">
        <f>IF(H60="","",IF($I$8="A",(RANK(H60,H$11:H$349,1)+COUNTIF(H$11:H60,H60)-1),(RANK(H60,H$11:H$349)+COUNTIF(H$11:H60,H60)-1)))</f>
        <v>33</v>
      </c>
      <c r="J60" s="41"/>
      <c r="K60" s="36">
        <f t="shared" si="22"/>
        <v>50</v>
      </c>
      <c r="L60" t="str">
        <f t="shared" si="23"/>
        <v>North Somerset</v>
      </c>
      <c r="M60" s="117">
        <f t="shared" si="24"/>
        <v>72.972972972972968</v>
      </c>
      <c r="N60" s="112">
        <f t="shared" si="25"/>
        <v>72.972972972972968</v>
      </c>
      <c r="O60" s="96" t="str">
        <f t="shared" si="26"/>
        <v/>
      </c>
      <c r="P60" s="96" t="str">
        <f t="shared" si="27"/>
        <v/>
      </c>
      <c r="Q60" s="96" t="str">
        <f t="shared" si="28"/>
        <v/>
      </c>
      <c r="R60" s="92">
        <f t="shared" si="29"/>
        <v>72.972972972972968</v>
      </c>
      <c r="S60" s="42" t="str">
        <f t="shared" si="30"/>
        <v/>
      </c>
      <c r="T60" s="176" t="str">
        <f>IF(L60="","",VLOOKUP(L60,classifications!C:K,9,FALSE))</f>
        <v>Sparse</v>
      </c>
      <c r="U60" s="177">
        <f t="shared" si="31"/>
        <v>72.972972972972968</v>
      </c>
      <c r="V60" s="183">
        <f>IF(U60="","",IF($I$8="A",(RANK(U60,U$11:U$349)+COUNTIF(U$11:U60,U60)-1),(RANK(U60,U$11:U$349,1)+COUNTIF(U$11:U60,U60)-1)))</f>
        <v>4</v>
      </c>
      <c r="W60" s="184"/>
      <c r="X60" s="5" t="str">
        <f>IF(L60="","",VLOOKUP($L60,classifications!$C:$J,6,FALSE))</f>
        <v>Urban with Significant Rural</v>
      </c>
      <c r="Y60">
        <f t="shared" si="32"/>
        <v>72.972972972972968</v>
      </c>
      <c r="Z60" s="40">
        <f>IF(Y60="","",IF(I$8="A",(RANK(Y60,Y$11:Y$349,1)+COUNTIF(Y$11:Y60,Y60)-1),(RANK(Y60,Y$11:Y$349)+COUNTIF(Y$11:Y60,Y60)-1)))</f>
        <v>17</v>
      </c>
      <c r="AA60" s="189" t="str">
        <f>IF(L60="","",VLOOKUP($L60,classifications!C:I,7,FALSE))</f>
        <v>Urban with Significant Rural</v>
      </c>
      <c r="AB60" s="183">
        <f t="shared" si="33"/>
        <v>72.972972972972968</v>
      </c>
      <c r="AC60" s="183">
        <f>IF(AB60="","",IF($I$8="A",(RANK(AB60,AB$11:AB$349)+COUNTIF(AB$11:AB60,AB60)-1),(RANK(AB60,AB$11:AB$349,1)+COUNTIF(AB$11:AB60,AB60)-1)))</f>
        <v>2</v>
      </c>
      <c r="AD60" s="183"/>
      <c r="AE60" s="49">
        <f>IF(I$8="A",(RANK(AG60,AG$11:AG$349,1)+COUNTIF(AG$11:AG60,AG60)-1),(RANK(AG60,AG$11:AG$349)+COUNTIF(AG$11:AG60,AG60)-1))</f>
        <v>50</v>
      </c>
      <c r="AF60" t="str">
        <f>VLOOKUP(Profile!$J$5,Families!$C:$R,6,FALSE)</f>
        <v>Herefordshire</v>
      </c>
      <c r="AG60" s="15">
        <f t="shared" si="34"/>
        <v>62.711864406779661</v>
      </c>
      <c r="AH60" s="50">
        <f t="shared" si="35"/>
        <v>50</v>
      </c>
      <c r="AI60" s="5" t="str">
        <f>IF(L60="","",VLOOKUP($L60,classifications!$C:$J,8,FALSE))</f>
        <v>Unitary</v>
      </c>
      <c r="AJ60" s="43">
        <f t="shared" si="36"/>
        <v>72.972972972972968</v>
      </c>
      <c r="AK60" s="40">
        <f>IF(AJ60="","",IF(I$8="A",(RANK(AJ60,AJ$11:AJ$349,1)+COUNTIF(AJ$11:AJ60,AJ60)-1),(RANK(AJ60,AJ$11:AJ$349)+COUNTIF(AJ$11:AJ60,AJ60)-1)))</f>
        <v>50</v>
      </c>
      <c r="AL60" s="3">
        <f t="shared" si="37"/>
        <v>50</v>
      </c>
      <c r="AM60" t="str">
        <f t="shared" si="38"/>
        <v>North Somerset</v>
      </c>
      <c r="AN60">
        <f t="shared" si="39"/>
        <v>72.972972972972968</v>
      </c>
      <c r="AP60" s="5" t="str">
        <f>IF(L60="","",VLOOKUP($L60,classifications!$C:$E,3,FALSE))</f>
        <v>South West</v>
      </c>
      <c r="AQ60" s="43" t="str">
        <f t="shared" si="40"/>
        <v/>
      </c>
      <c r="AR60" s="40" t="str">
        <f>IF(AQ60="","",IF(I$8="A",(RANK(AQ60,AQ$11:AQ$349,1)+COUNTIF(AQ$11:AQ60,AQ60)-1),(RANK(AQ60,AQ$11:AQ$349)+COUNTIF(AQ$11:AQ60,AQ60)-1)))</f>
        <v/>
      </c>
      <c r="AS60" s="3" t="str">
        <f t="shared" si="41"/>
        <v/>
      </c>
      <c r="AT60" s="40" t="str">
        <f t="shared" si="42"/>
        <v/>
      </c>
      <c r="AU60" s="43" t="str">
        <f t="shared" si="43"/>
        <v/>
      </c>
      <c r="AX60">
        <f>HLOOKUP($AX$9&amp;$AX$10,Data!$A$1:$ZZ$1988,(MATCH($C60,Data!$A$1:$A$1988,0)),FALSE)</f>
        <v>88.118811881188122</v>
      </c>
    </row>
    <row r="61" spans="1:50">
      <c r="A61" s="59" t="str">
        <f>$D$1&amp;51</f>
        <v>UA51</v>
      </c>
      <c r="B61" s="60">
        <f>IF(ISERROR(VLOOKUP(A61,classifications!A:C,3,FALSE)),0,VLOOKUP(A61,classifications!A:C,3,FALSE))</f>
        <v>0</v>
      </c>
      <c r="C61" t="s">
        <v>32</v>
      </c>
      <c r="D61" t="str">
        <f>VLOOKUP($C61,classifications!$C:$J,4,FALSE)</f>
        <v>SD</v>
      </c>
      <c r="E61">
        <f>VLOOKUP(C61,classifications!C:K,9,FALSE)</f>
        <v>0</v>
      </c>
      <c r="F61">
        <f t="shared" si="20"/>
        <v>86.956521739130437</v>
      </c>
      <c r="G61" s="15"/>
      <c r="H61" s="42" t="str">
        <f t="shared" si="21"/>
        <v/>
      </c>
      <c r="I61" s="79" t="str">
        <f>IF(H61="","",IF($I$8="A",(RANK(H61,H$11:H$349,1)+COUNTIF(H$11:H61,H61)-1),(RANK(H61,H$11:H$349)+COUNTIF(H$11:H61,H61)-1)))</f>
        <v/>
      </c>
      <c r="J61" s="41"/>
      <c r="K61" s="36">
        <f t="shared" si="22"/>
        <v>51</v>
      </c>
      <c r="L61" t="str">
        <f t="shared" si="23"/>
        <v>Shropshire</v>
      </c>
      <c r="M61" s="117">
        <f t="shared" si="24"/>
        <v>72.448979591836732</v>
      </c>
      <c r="N61" s="112">
        <f t="shared" si="25"/>
        <v>72.448979591836732</v>
      </c>
      <c r="O61" s="96" t="str">
        <f t="shared" si="26"/>
        <v/>
      </c>
      <c r="P61" s="96" t="str">
        <f t="shared" si="27"/>
        <v/>
      </c>
      <c r="Q61" s="96" t="str">
        <f t="shared" si="28"/>
        <v/>
      </c>
      <c r="R61" s="92">
        <f t="shared" si="29"/>
        <v>72.448979591836732</v>
      </c>
      <c r="S61" s="42" t="str">
        <f t="shared" si="30"/>
        <v/>
      </c>
      <c r="T61" s="176" t="str">
        <f>IF(L61="","",VLOOKUP(L61,classifications!C:K,9,FALSE))</f>
        <v>Sparse</v>
      </c>
      <c r="U61" s="177">
        <f t="shared" si="31"/>
        <v>72.448979591836732</v>
      </c>
      <c r="V61" s="183">
        <f>IF(U61="","",IF($I$8="A",(RANK(U61,U$11:U$349)+COUNTIF(U$11:U61,U61)-1),(RANK(U61,U$11:U$349,1)+COUNTIF(U$11:U61,U61)-1)))</f>
        <v>3</v>
      </c>
      <c r="W61" s="184"/>
      <c r="X61" s="5" t="str">
        <f>IF(L61="","",VLOOKUP($L61,classifications!$C:$J,6,FALSE))</f>
        <v xml:space="preserve">Predominantly Rural </v>
      </c>
      <c r="Y61">
        <f t="shared" si="32"/>
        <v>72.448979591836732</v>
      </c>
      <c r="Z61" s="40">
        <f>IF(Y61="","",IF(I$8="A",(RANK(Y61,Y$11:Y$349,1)+COUNTIF(Y$11:Y61,Y61)-1),(RANK(Y61,Y$11:Y$349)+COUNTIF(Y$11:Y61,Y61)-1)))</f>
        <v>18</v>
      </c>
      <c r="AA61" s="189" t="str">
        <f>IF(L61="","",VLOOKUP($L61,classifications!C:I,7,FALSE))</f>
        <v>Predominantly Rural</v>
      </c>
      <c r="AB61" s="183" t="str">
        <f t="shared" si="33"/>
        <v/>
      </c>
      <c r="AC61" s="183" t="str">
        <f>IF(AB61="","",IF($I$8="A",(RANK(AB61,AB$11:AB$349)+COUNTIF(AB$11:AB61,AB61)-1),(RANK(AB61,AB$11:AB$349,1)+COUNTIF(AB$11:AB61,AB61)-1)))</f>
        <v/>
      </c>
      <c r="AD61" s="183"/>
      <c r="AE61" s="49">
        <f>IF(I$8="A",(RANK(AG61,AG$11:AG$349,1)+COUNTIF(AG$11:AG61,AG61)-1),(RANK(AG61,AG$11:AG$349)+COUNTIF(AG$11:AG61,AG61)-1))</f>
        <v>51</v>
      </c>
      <c r="AF61" t="str">
        <f>VLOOKUP(Profile!$J$5,Families!$C:$R,6,FALSE)</f>
        <v>Herefordshire</v>
      </c>
      <c r="AG61" s="15">
        <f t="shared" si="34"/>
        <v>62.711864406779661</v>
      </c>
      <c r="AH61" s="50">
        <f t="shared" si="35"/>
        <v>51</v>
      </c>
      <c r="AI61" s="5" t="str">
        <f>IF(L61="","",VLOOKUP($L61,classifications!$C:$J,8,FALSE))</f>
        <v>Unitary</v>
      </c>
      <c r="AJ61" s="43">
        <f t="shared" si="36"/>
        <v>72.448979591836732</v>
      </c>
      <c r="AK61" s="40">
        <f>IF(AJ61="","",IF(I$8="A",(RANK(AJ61,AJ$11:AJ$349,1)+COUNTIF(AJ$11:AJ61,AJ61)-1),(RANK(AJ61,AJ$11:AJ$349)+COUNTIF(AJ$11:AJ61,AJ61)-1)))</f>
        <v>51</v>
      </c>
      <c r="AL61" s="3">
        <f t="shared" si="37"/>
        <v>51</v>
      </c>
      <c r="AM61" t="str">
        <f t="shared" si="38"/>
        <v>Shropshire</v>
      </c>
      <c r="AN61">
        <f t="shared" si="39"/>
        <v>72.448979591836732</v>
      </c>
      <c r="AP61" s="5" t="str">
        <f>IF(L61="","",VLOOKUP($L61,classifications!$C:$E,3,FALSE))</f>
        <v>West Midlands</v>
      </c>
      <c r="AQ61" s="43" t="str">
        <f t="shared" si="40"/>
        <v/>
      </c>
      <c r="AR61" s="40" t="str">
        <f>IF(AQ61="","",IF(I$8="A",(RANK(AQ61,AQ$11:AQ$349,1)+COUNTIF(AQ$11:AQ61,AQ61)-1),(RANK(AQ61,AQ$11:AQ$349)+COUNTIF(AQ$11:AQ61,AQ61)-1)))</f>
        <v/>
      </c>
      <c r="AS61" s="3" t="str">
        <f t="shared" si="41"/>
        <v/>
      </c>
      <c r="AT61" s="40" t="str">
        <f t="shared" si="42"/>
        <v/>
      </c>
      <c r="AU61" s="43" t="str">
        <f t="shared" si="43"/>
        <v/>
      </c>
      <c r="AX61">
        <f>HLOOKUP($AX$9&amp;$AX$10,Data!$A$1:$ZZ$1988,(MATCH($C61,Data!$A$1:$A$1988,0)),FALSE)</f>
        <v>86.956521739130437</v>
      </c>
    </row>
    <row r="62" spans="1:50">
      <c r="A62" s="59" t="str">
        <f>$D$1&amp;52</f>
        <v>UA52</v>
      </c>
      <c r="B62" s="60">
        <f>IF(ISERROR(VLOOKUP(A62,classifications!A:C,3,FALSE)),0,VLOOKUP(A62,classifications!A:C,3,FALSE))</f>
        <v>0</v>
      </c>
      <c r="C62" t="s">
        <v>33</v>
      </c>
      <c r="D62" t="str">
        <f>VLOOKUP($C62,classifications!$C:$J,4,FALSE)</f>
        <v>SD</v>
      </c>
      <c r="E62">
        <f>VLOOKUP(C62,classifications!C:K,9,FALSE)</f>
        <v>0</v>
      </c>
      <c r="F62">
        <f t="shared" si="20"/>
        <v>91.666666666666657</v>
      </c>
      <c r="G62" s="15"/>
      <c r="H62" s="42" t="str">
        <f t="shared" si="21"/>
        <v/>
      </c>
      <c r="I62" s="79" t="str">
        <f>IF(H62="","",IF($I$8="A",(RANK(H62,H$11:H$349,1)+COUNTIF(H$11:H62,H62)-1),(RANK(H62,H$11:H$349)+COUNTIF(H$11:H62,H62)-1)))</f>
        <v/>
      </c>
      <c r="J62" s="41"/>
      <c r="K62" s="36">
        <f t="shared" si="22"/>
        <v>52</v>
      </c>
      <c r="L62" t="str">
        <f t="shared" si="23"/>
        <v>Windsor &amp; Maidenhead</v>
      </c>
      <c r="M62" s="117">
        <f t="shared" si="24"/>
        <v>71.428571428571431</v>
      </c>
      <c r="N62" s="112">
        <f t="shared" si="25"/>
        <v>71.428571428571431</v>
      </c>
      <c r="O62" s="96" t="str">
        <f t="shared" si="26"/>
        <v/>
      </c>
      <c r="P62" s="96" t="str">
        <f t="shared" si="27"/>
        <v/>
      </c>
      <c r="Q62" s="96" t="str">
        <f t="shared" si="28"/>
        <v/>
      </c>
      <c r="R62" s="92">
        <f t="shared" si="29"/>
        <v>71.428571428571431</v>
      </c>
      <c r="S62" s="42" t="str">
        <f t="shared" si="30"/>
        <v/>
      </c>
      <c r="T62" s="176">
        <f>IF(L62="","",VLOOKUP(L62,classifications!C:K,9,FALSE))</f>
        <v>0</v>
      </c>
      <c r="U62" s="177" t="str">
        <f t="shared" si="31"/>
        <v/>
      </c>
      <c r="V62" s="183" t="str">
        <f>IF(U62="","",IF($I$8="A",(RANK(U62,U$11:U$349)+COUNTIF(U$11:U62,U62)-1),(RANK(U62,U$11:U$349,1)+COUNTIF(U$11:U62,U62)-1)))</f>
        <v/>
      </c>
      <c r="W62" s="184"/>
      <c r="X62" s="5" t="str">
        <f>IF(L62="","",VLOOKUP($L62,classifications!$C:$J,6,FALSE))</f>
        <v>Predominantly Urban</v>
      </c>
      <c r="Y62" t="str">
        <f t="shared" si="32"/>
        <v/>
      </c>
      <c r="Z62" s="40" t="str">
        <f>IF(Y62="","",IF(I$8="A",(RANK(Y62,Y$11:Y$349,1)+COUNTIF(Y$11:Y62,Y62)-1),(RANK(Y62,Y$11:Y$349)+COUNTIF(Y$11:Y62,Y62)-1)))</f>
        <v/>
      </c>
      <c r="AA62" s="189" t="str">
        <f>IF(L62="","",VLOOKUP($L62,classifications!C:I,7,FALSE))</f>
        <v>Predominantly Urban</v>
      </c>
      <c r="AB62" s="183" t="str">
        <f t="shared" si="33"/>
        <v/>
      </c>
      <c r="AC62" s="183" t="str">
        <f>IF(AB62="","",IF($I$8="A",(RANK(AB62,AB$11:AB$349)+COUNTIF(AB$11:AB62,AB62)-1),(RANK(AB62,AB$11:AB$349,1)+COUNTIF(AB$11:AB62,AB62)-1)))</f>
        <v/>
      </c>
      <c r="AD62" s="183"/>
      <c r="AE62" s="49">
        <f>IF(I$8="A",(RANK(AG62,AG$11:AG$349,1)+COUNTIF(AG$11:AG62,AG62)-1),(RANK(AG62,AG$11:AG$349)+COUNTIF(AG$11:AG62,AG62)-1))</f>
        <v>52</v>
      </c>
      <c r="AF62" t="str">
        <f>VLOOKUP(Profile!$J$5,Families!$C:$R,6,FALSE)</f>
        <v>Herefordshire</v>
      </c>
      <c r="AG62" s="15">
        <f t="shared" si="34"/>
        <v>62.711864406779661</v>
      </c>
      <c r="AH62" s="50">
        <f t="shared" si="35"/>
        <v>52</v>
      </c>
      <c r="AI62" s="5" t="str">
        <f>IF(L62="","",VLOOKUP($L62,classifications!$C:$J,8,FALSE))</f>
        <v>Unitary</v>
      </c>
      <c r="AJ62" s="43">
        <f t="shared" si="36"/>
        <v>71.428571428571431</v>
      </c>
      <c r="AK62" s="40">
        <f>IF(AJ62="","",IF(I$8="A",(RANK(AJ62,AJ$11:AJ$349,1)+COUNTIF(AJ$11:AJ62,AJ62)-1),(RANK(AJ62,AJ$11:AJ$349)+COUNTIF(AJ$11:AJ62,AJ62)-1)))</f>
        <v>52</v>
      </c>
      <c r="AL62" s="3">
        <f t="shared" si="37"/>
        <v>52</v>
      </c>
      <c r="AM62" t="str">
        <f t="shared" si="38"/>
        <v>Windsor &amp; Maidenhead</v>
      </c>
      <c r="AN62">
        <f t="shared" si="39"/>
        <v>71.428571428571431</v>
      </c>
      <c r="AP62" s="5" t="str">
        <f>IF(L62="","",VLOOKUP($L62,classifications!$C:$E,3,FALSE))</f>
        <v>South East</v>
      </c>
      <c r="AQ62" s="43" t="str">
        <f t="shared" si="40"/>
        <v/>
      </c>
      <c r="AR62" s="40" t="str">
        <f>IF(AQ62="","",IF(I$8="A",(RANK(AQ62,AQ$11:AQ$349,1)+COUNTIF(AQ$11:AQ62,AQ62)-1),(RANK(AQ62,AQ$11:AQ$349)+COUNTIF(AQ$11:AQ62,AQ62)-1)))</f>
        <v/>
      </c>
      <c r="AS62" s="3" t="str">
        <f t="shared" si="41"/>
        <v/>
      </c>
      <c r="AT62" s="40" t="str">
        <f t="shared" si="42"/>
        <v/>
      </c>
      <c r="AU62" s="43" t="str">
        <f t="shared" si="43"/>
        <v/>
      </c>
      <c r="AX62">
        <f>HLOOKUP($AX$9&amp;$AX$10,Data!$A$1:$ZZ$1988,(MATCH($C62,Data!$A$1:$A$1988,0)),FALSE)</f>
        <v>91.666666666666657</v>
      </c>
    </row>
    <row r="63" spans="1:50">
      <c r="A63" s="59" t="str">
        <f>$D$1&amp;53</f>
        <v>UA53</v>
      </c>
      <c r="B63" s="60">
        <f>IF(ISERROR(VLOOKUP(A63,classifications!A:C,3,FALSE)),0,VLOOKUP(A63,classifications!A:C,3,FALSE))</f>
        <v>0</v>
      </c>
      <c r="C63" t="s">
        <v>34</v>
      </c>
      <c r="D63" t="str">
        <f>VLOOKUP($C63,classifications!$C:$J,4,FALSE)</f>
        <v>SD</v>
      </c>
      <c r="E63">
        <f>VLOOKUP(C63,classifications!C:K,9,FALSE)</f>
        <v>0</v>
      </c>
      <c r="F63">
        <f t="shared" si="20"/>
        <v>68.75</v>
      </c>
      <c r="G63" s="15"/>
      <c r="H63" s="42" t="str">
        <f t="shared" si="21"/>
        <v/>
      </c>
      <c r="I63" s="79" t="str">
        <f>IF(H63="","",IF($I$8="A",(RANK(H63,H$11:H$349,1)+COUNTIF(H$11:H63,H63)-1),(RANK(H63,H$11:H$349)+COUNTIF(H$11:H63,H63)-1)))</f>
        <v/>
      </c>
      <c r="J63" s="41"/>
      <c r="K63" s="36">
        <f t="shared" si="22"/>
        <v>53</v>
      </c>
      <c r="L63" t="str">
        <f t="shared" si="23"/>
        <v>Halton</v>
      </c>
      <c r="M63" s="117">
        <f t="shared" si="24"/>
        <v>69.696969696969703</v>
      </c>
      <c r="N63" s="112">
        <f t="shared" si="25"/>
        <v>69.696969696969703</v>
      </c>
      <c r="O63" s="96" t="str">
        <f t="shared" si="26"/>
        <v/>
      </c>
      <c r="P63" s="96" t="str">
        <f t="shared" si="27"/>
        <v/>
      </c>
      <c r="Q63" s="96" t="str">
        <f t="shared" si="28"/>
        <v/>
      </c>
      <c r="R63" s="92">
        <f t="shared" si="29"/>
        <v>69.696969696969703</v>
      </c>
      <c r="S63" s="42" t="str">
        <f t="shared" si="30"/>
        <v/>
      </c>
      <c r="T63" s="176">
        <f>IF(L63="","",VLOOKUP(L63,classifications!C:K,9,FALSE))</f>
        <v>0</v>
      </c>
      <c r="U63" s="177" t="str">
        <f t="shared" si="31"/>
        <v/>
      </c>
      <c r="V63" s="183" t="str">
        <f>IF(U63="","",IF($I$8="A",(RANK(U63,U$11:U$349)+COUNTIF(U$11:U63,U63)-1),(RANK(U63,U$11:U$349,1)+COUNTIF(U$11:U63,U63)-1)))</f>
        <v/>
      </c>
      <c r="W63" s="184"/>
      <c r="X63" s="5" t="str">
        <f>IF(L63="","",VLOOKUP($L63,classifications!$C:$J,6,FALSE))</f>
        <v>Predominantly Urban</v>
      </c>
      <c r="Y63" t="str">
        <f t="shared" si="32"/>
        <v/>
      </c>
      <c r="Z63" s="40" t="str">
        <f>IF(Y63="","",IF(I$8="A",(RANK(Y63,Y$11:Y$349,1)+COUNTIF(Y$11:Y63,Y63)-1),(RANK(Y63,Y$11:Y$349)+COUNTIF(Y$11:Y63,Y63)-1)))</f>
        <v/>
      </c>
      <c r="AA63" s="189" t="str">
        <f>IF(L63="","",VLOOKUP($L63,classifications!C:I,7,FALSE))</f>
        <v>Predominantly Urban</v>
      </c>
      <c r="AB63" s="183" t="str">
        <f t="shared" si="33"/>
        <v/>
      </c>
      <c r="AC63" s="183" t="str">
        <f>IF(AB63="","",IF($I$8="A",(RANK(AB63,AB$11:AB$349)+COUNTIF(AB$11:AB63,AB63)-1),(RANK(AB63,AB$11:AB$349,1)+COUNTIF(AB$11:AB63,AB63)-1)))</f>
        <v/>
      </c>
      <c r="AD63" s="183"/>
      <c r="AE63" s="49">
        <f>IF(I$8="A",(RANK(AG63,AG$11:AG$349,1)+COUNTIF(AG$11:AG63,AG63)-1),(RANK(AG63,AG$11:AG$349)+COUNTIF(AG$11:AG63,AG63)-1))</f>
        <v>53</v>
      </c>
      <c r="AF63" t="str">
        <f>VLOOKUP(Profile!$J$5,Families!$C:$R,6,FALSE)</f>
        <v>Herefordshire</v>
      </c>
      <c r="AG63" s="15">
        <f t="shared" si="34"/>
        <v>62.711864406779661</v>
      </c>
      <c r="AH63" s="50">
        <f t="shared" si="35"/>
        <v>53</v>
      </c>
      <c r="AI63" s="5" t="str">
        <f>IF(L63="","",VLOOKUP($L63,classifications!$C:$J,8,FALSE))</f>
        <v>Unitary</v>
      </c>
      <c r="AJ63" s="43">
        <f t="shared" si="36"/>
        <v>69.696969696969703</v>
      </c>
      <c r="AK63" s="40">
        <f>IF(AJ63="","",IF(I$8="A",(RANK(AJ63,AJ$11:AJ$349,1)+COUNTIF(AJ$11:AJ63,AJ63)-1),(RANK(AJ63,AJ$11:AJ$349)+COUNTIF(AJ$11:AJ63,AJ63)-1)))</f>
        <v>53</v>
      </c>
      <c r="AL63" s="3">
        <f t="shared" si="37"/>
        <v>53</v>
      </c>
      <c r="AM63" t="str">
        <f t="shared" si="38"/>
        <v>Halton</v>
      </c>
      <c r="AN63">
        <f t="shared" si="39"/>
        <v>69.696969696969703</v>
      </c>
      <c r="AP63" s="5" t="str">
        <f>IF(L63="","",VLOOKUP($L63,classifications!$C:$E,3,FALSE))</f>
        <v>North West</v>
      </c>
      <c r="AQ63" s="43">
        <f t="shared" si="40"/>
        <v>69.696969696969703</v>
      </c>
      <c r="AR63" s="40">
        <f>IF(AQ63="","",IF(I$8="A",(RANK(AQ63,AQ$11:AQ$349,1)+COUNTIF(AQ$11:AQ63,AQ63)-1),(RANK(AQ63,AQ$11:AQ$349)+COUNTIF(AQ$11:AQ63,AQ63)-1)))</f>
        <v>6</v>
      </c>
      <c r="AS63" s="3" t="str">
        <f t="shared" si="41"/>
        <v/>
      </c>
      <c r="AT63" s="40" t="str">
        <f t="shared" si="42"/>
        <v/>
      </c>
      <c r="AU63" s="43" t="str">
        <f t="shared" si="43"/>
        <v/>
      </c>
      <c r="AX63">
        <f>HLOOKUP($AX$9&amp;$AX$10,Data!$A$1:$ZZ$1988,(MATCH($C63,Data!$A$1:$A$1988,0)),FALSE)</f>
        <v>68.75</v>
      </c>
    </row>
    <row r="64" spans="1:50">
      <c r="A64" s="59" t="str">
        <f>$D$1&amp;54</f>
        <v>UA54</v>
      </c>
      <c r="B64" s="60">
        <f>IF(ISERROR(VLOOKUP(A64,classifications!A:C,3,FALSE)),0,VLOOKUP(A64,classifications!A:C,3,FALSE))</f>
        <v>0</v>
      </c>
      <c r="C64" t="s">
        <v>35</v>
      </c>
      <c r="D64" t="str">
        <f>VLOOKUP($C64,classifications!$C:$J,4,FALSE)</f>
        <v>SD</v>
      </c>
      <c r="E64">
        <f>VLOOKUP(C64,classifications!C:K,9,FALSE)</f>
        <v>0</v>
      </c>
      <c r="F64">
        <f t="shared" si="20"/>
        <v>96.428571428571431</v>
      </c>
      <c r="G64" s="15"/>
      <c r="H64" s="42" t="str">
        <f t="shared" si="21"/>
        <v/>
      </c>
      <c r="I64" s="79" t="str">
        <f>IF(H64="","",IF($I$8="A",(RANK(H64,H$11:H$349,1)+COUNTIF(H$11:H64,H64)-1),(RANK(H64,H$11:H$349)+COUNTIF(H$11:H64,H64)-1)))</f>
        <v/>
      </c>
      <c r="J64" s="41"/>
      <c r="K64" s="36">
        <f t="shared" si="22"/>
        <v>54</v>
      </c>
      <c r="L64" t="str">
        <f t="shared" si="23"/>
        <v>Wiltshire</v>
      </c>
      <c r="M64" s="117">
        <f t="shared" si="24"/>
        <v>68.376068376068375</v>
      </c>
      <c r="N64" s="112">
        <f t="shared" si="25"/>
        <v>68.376068376068375</v>
      </c>
      <c r="O64" s="96" t="str">
        <f t="shared" si="26"/>
        <v/>
      </c>
      <c r="P64" s="96" t="str">
        <f t="shared" si="27"/>
        <v/>
      </c>
      <c r="Q64" s="96" t="str">
        <f t="shared" si="28"/>
        <v/>
      </c>
      <c r="R64" s="92">
        <f t="shared" si="29"/>
        <v>68.376068376068375</v>
      </c>
      <c r="S64" s="42" t="str">
        <f t="shared" si="30"/>
        <v/>
      </c>
      <c r="T64" s="176">
        <f>IF(L64="","",VLOOKUP(L64,classifications!C:K,9,FALSE))</f>
        <v>0</v>
      </c>
      <c r="U64" s="177" t="str">
        <f t="shared" si="31"/>
        <v/>
      </c>
      <c r="V64" s="183" t="str">
        <f>IF(U64="","",IF($I$8="A",(RANK(U64,U$11:U$349)+COUNTIF(U$11:U64,U64)-1),(RANK(U64,U$11:U$349,1)+COUNTIF(U$11:U64,U64)-1)))</f>
        <v/>
      </c>
      <c r="W64" s="184"/>
      <c r="X64" s="5" t="str">
        <f>IF(L64="","",VLOOKUP($L64,classifications!$C:$J,6,FALSE))</f>
        <v xml:space="preserve">Predominantly Rural </v>
      </c>
      <c r="Y64">
        <f t="shared" si="32"/>
        <v>68.376068376068375</v>
      </c>
      <c r="Z64" s="40">
        <f>IF(Y64="","",IF(I$8="A",(RANK(Y64,Y$11:Y$349,1)+COUNTIF(Y$11:Y64,Y64)-1),(RANK(Y64,Y$11:Y$349)+COUNTIF(Y$11:Y64,Y64)-1)))</f>
        <v>19</v>
      </c>
      <c r="AA64" s="189" t="str">
        <f>IF(L64="","",VLOOKUP($L64,classifications!C:I,7,FALSE))</f>
        <v>Predominantly Rural</v>
      </c>
      <c r="AB64" s="183" t="str">
        <f t="shared" si="33"/>
        <v/>
      </c>
      <c r="AC64" s="183" t="str">
        <f>IF(AB64="","",IF($I$8="A",(RANK(AB64,AB$11:AB$349)+COUNTIF(AB$11:AB64,AB64)-1),(RANK(AB64,AB$11:AB$349,1)+COUNTIF(AB$11:AB64,AB64)-1)))</f>
        <v/>
      </c>
      <c r="AD64" s="183"/>
      <c r="AE64" s="49">
        <f>IF(I$8="A",(RANK(AG64,AG$11:AG$349,1)+COUNTIF(AG$11:AG64,AG64)-1),(RANK(AG64,AG$11:AG$349)+COUNTIF(AG$11:AG64,AG64)-1))</f>
        <v>54</v>
      </c>
      <c r="AF64" t="str">
        <f>VLOOKUP(Profile!$J$5,Families!$C:$R,6,FALSE)</f>
        <v>Herefordshire</v>
      </c>
      <c r="AG64" s="15">
        <f t="shared" si="34"/>
        <v>62.711864406779661</v>
      </c>
      <c r="AH64" s="50">
        <f t="shared" si="35"/>
        <v>54</v>
      </c>
      <c r="AI64" s="5" t="str">
        <f>IF(L64="","",VLOOKUP($L64,classifications!$C:$J,8,FALSE))</f>
        <v>Unitary</v>
      </c>
      <c r="AJ64" s="43">
        <f t="shared" si="36"/>
        <v>68.376068376068375</v>
      </c>
      <c r="AK64" s="40">
        <f>IF(AJ64="","",IF(I$8="A",(RANK(AJ64,AJ$11:AJ$349,1)+COUNTIF(AJ$11:AJ64,AJ64)-1),(RANK(AJ64,AJ$11:AJ$349)+COUNTIF(AJ$11:AJ64,AJ64)-1)))</f>
        <v>54</v>
      </c>
      <c r="AL64" s="3">
        <f t="shared" si="37"/>
        <v>54</v>
      </c>
      <c r="AM64" t="str">
        <f t="shared" si="38"/>
        <v>Wiltshire</v>
      </c>
      <c r="AN64">
        <f t="shared" si="39"/>
        <v>68.376068376068375</v>
      </c>
      <c r="AP64" s="5" t="str">
        <f>IF(L64="","",VLOOKUP($L64,classifications!$C:$E,3,FALSE))</f>
        <v>South West</v>
      </c>
      <c r="AQ64" s="43" t="str">
        <f t="shared" si="40"/>
        <v/>
      </c>
      <c r="AR64" s="40" t="str">
        <f>IF(AQ64="","",IF(I$8="A",(RANK(AQ64,AQ$11:AQ$349,1)+COUNTIF(AQ$11:AQ64,AQ64)-1),(RANK(AQ64,AQ$11:AQ$349)+COUNTIF(AQ$11:AQ64,AQ64)-1)))</f>
        <v/>
      </c>
      <c r="AS64" s="3" t="str">
        <f t="shared" si="41"/>
        <v/>
      </c>
      <c r="AT64" s="40" t="str">
        <f t="shared" si="42"/>
        <v/>
      </c>
      <c r="AU64" s="43" t="str">
        <f t="shared" si="43"/>
        <v/>
      </c>
      <c r="AX64">
        <f>HLOOKUP($AX$9&amp;$AX$10,Data!$A$1:$ZZ$1988,(MATCH($C64,Data!$A$1:$A$1988,0)),FALSE)</f>
        <v>96.428571428571431</v>
      </c>
    </row>
    <row r="65" spans="1:50">
      <c r="A65" s="59" t="str">
        <f>$D$1&amp;55</f>
        <v>UA55</v>
      </c>
      <c r="B65" s="60">
        <f>IF(ISERROR(VLOOKUP(A65,classifications!A:C,3,FALSE)),0,VLOOKUP(A65,classifications!A:C,3,FALSE))</f>
        <v>0</v>
      </c>
      <c r="C65" t="s">
        <v>304</v>
      </c>
      <c r="D65" t="str">
        <f>VLOOKUP($C65,classifications!$C:$J,4,FALSE)</f>
        <v>UA</v>
      </c>
      <c r="E65" t="str">
        <f>VLOOKUP(C65,classifications!C:K,9,FALSE)</f>
        <v>Sparse</v>
      </c>
      <c r="F65">
        <f t="shared" si="20"/>
        <v>94.444444444444443</v>
      </c>
      <c r="G65" s="15"/>
      <c r="H65" s="42">
        <f t="shared" si="21"/>
        <v>94.444444444444443</v>
      </c>
      <c r="I65" s="79">
        <f>IF(H65="","",IF($I$8="A",(RANK(H65,H$11:H$349,1)+COUNTIF(H$11:H65,H65)-1),(RANK(H65,H$11:H$349)+COUNTIF(H$11:H65,H65)-1)))</f>
        <v>18</v>
      </c>
      <c r="J65" s="41"/>
      <c r="K65" s="36">
        <f t="shared" si="22"/>
        <v>55</v>
      </c>
      <c r="L65" t="str">
        <f t="shared" si="23"/>
        <v>Herefordshire</v>
      </c>
      <c r="M65" s="117">
        <f t="shared" si="24"/>
        <v>62.711864406779661</v>
      </c>
      <c r="N65" s="112">
        <f t="shared" si="25"/>
        <v>62.711864406779661</v>
      </c>
      <c r="O65" s="96" t="str">
        <f t="shared" si="26"/>
        <v/>
      </c>
      <c r="P65" s="96" t="str">
        <f t="shared" si="27"/>
        <v/>
      </c>
      <c r="Q65" s="96" t="str">
        <f t="shared" si="28"/>
        <v/>
      </c>
      <c r="R65" s="92">
        <f t="shared" si="29"/>
        <v>62.711864406779661</v>
      </c>
      <c r="S65" s="42" t="str">
        <f t="shared" si="30"/>
        <v/>
      </c>
      <c r="T65" s="176" t="str">
        <f>IF(L65="","",VLOOKUP(L65,classifications!C:K,9,FALSE))</f>
        <v>Sparse</v>
      </c>
      <c r="U65" s="177">
        <f t="shared" si="31"/>
        <v>62.711864406779661</v>
      </c>
      <c r="V65" s="183">
        <f>IF(U65="","",IF($I$8="A",(RANK(U65,U$11:U$349)+COUNTIF(U$11:U65,U65)-1),(RANK(U65,U$11:U$349,1)+COUNTIF(U$11:U65,U65)-1)))</f>
        <v>2</v>
      </c>
      <c r="W65" s="184"/>
      <c r="X65" s="5" t="str">
        <f>IF(L65="","",VLOOKUP($L65,classifications!$C:$J,6,FALSE))</f>
        <v xml:space="preserve">Predominantly Rural </v>
      </c>
      <c r="Y65">
        <f t="shared" si="32"/>
        <v>62.711864406779661</v>
      </c>
      <c r="Z65" s="40">
        <f>IF(Y65="","",IF(I$8="A",(RANK(Y65,Y$11:Y$349,1)+COUNTIF(Y$11:Y65,Y65)-1),(RANK(Y65,Y$11:Y$349)+COUNTIF(Y$11:Y65,Y65)-1)))</f>
        <v>20</v>
      </c>
      <c r="AA65" s="189" t="str">
        <f>IF(L65="","",VLOOKUP($L65,classifications!C:I,7,FALSE))</f>
        <v>Predominantly Rural</v>
      </c>
      <c r="AB65" s="183" t="str">
        <f t="shared" si="33"/>
        <v/>
      </c>
      <c r="AC65" s="183" t="str">
        <f>IF(AB65="","",IF($I$8="A",(RANK(AB65,AB$11:AB$349)+COUNTIF(AB$11:AB65,AB65)-1),(RANK(AB65,AB$11:AB$349,1)+COUNTIF(AB$11:AB65,AB65)-1)))</f>
        <v/>
      </c>
      <c r="AD65" s="183"/>
      <c r="AE65" s="49">
        <f>IF(I$8="A",(RANK(AG65,AG$11:AG$349,1)+COUNTIF(AG$11:AG65,AG65)-1),(RANK(AG65,AG$11:AG$349)+COUNTIF(AG$11:AG65,AG65)-1))</f>
        <v>55</v>
      </c>
      <c r="AF65" t="str">
        <f>VLOOKUP(Profile!$J$5,Families!$C:$R,6,FALSE)</f>
        <v>Herefordshire</v>
      </c>
      <c r="AG65" s="15">
        <f t="shared" si="34"/>
        <v>62.711864406779661</v>
      </c>
      <c r="AH65" s="50">
        <f t="shared" si="35"/>
        <v>55</v>
      </c>
      <c r="AI65" s="5" t="str">
        <f>IF(L65="","",VLOOKUP($L65,classifications!$C:$J,8,FALSE))</f>
        <v>Unitary</v>
      </c>
      <c r="AJ65" s="43">
        <f t="shared" si="36"/>
        <v>62.711864406779661</v>
      </c>
      <c r="AK65" s="40">
        <f>IF(AJ65="","",IF(I$8="A",(RANK(AJ65,AJ$11:AJ$349,1)+COUNTIF(AJ$11:AJ65,AJ65)-1),(RANK(AJ65,AJ$11:AJ$349)+COUNTIF(AJ$11:AJ65,AJ65)-1)))</f>
        <v>55</v>
      </c>
      <c r="AL65" s="3">
        <f t="shared" si="37"/>
        <v>55</v>
      </c>
      <c r="AM65" t="str">
        <f t="shared" si="38"/>
        <v>Herefordshire</v>
      </c>
      <c r="AN65">
        <f t="shared" si="39"/>
        <v>62.711864406779661</v>
      </c>
      <c r="AP65" s="5" t="str">
        <f>IF(L65="","",VLOOKUP($L65,classifications!$C:$E,3,FALSE))</f>
        <v>West Midlands</v>
      </c>
      <c r="AQ65" s="43" t="str">
        <f t="shared" si="40"/>
        <v/>
      </c>
      <c r="AR65" s="40" t="str">
        <f>IF(AQ65="","",IF(I$8="A",(RANK(AQ65,AQ$11:AQ$349,1)+COUNTIF(AQ$11:AQ65,AQ65)-1),(RANK(AQ65,AQ$11:AQ$349)+COUNTIF(AQ$11:AQ65,AQ65)-1)))</f>
        <v/>
      </c>
      <c r="AS65" s="3" t="str">
        <f t="shared" si="41"/>
        <v/>
      </c>
      <c r="AT65" s="40" t="str">
        <f t="shared" si="42"/>
        <v/>
      </c>
      <c r="AU65" s="43" t="str">
        <f t="shared" si="43"/>
        <v/>
      </c>
      <c r="AX65">
        <f>HLOOKUP($AX$9&amp;$AX$10,Data!$A$1:$ZZ$1988,(MATCH($C65,Data!$A$1:$A$1988,0)),FALSE)</f>
        <v>94.444444444444443</v>
      </c>
    </row>
    <row r="66" spans="1:50">
      <c r="A66" s="59" t="str">
        <f>$D$1&amp;56</f>
        <v>UA56</v>
      </c>
      <c r="B66" s="60">
        <f>IF(ISERROR(VLOOKUP(A66,classifications!A:C,3,FALSE)),0,VLOOKUP(A66,classifications!A:C,3,FALSE))</f>
        <v>0</v>
      </c>
      <c r="C66" t="s">
        <v>813</v>
      </c>
      <c r="D66" t="str">
        <f>VLOOKUP($C66,classifications!$C:$J,4,FALSE)</f>
        <v>UA</v>
      </c>
      <c r="E66">
        <f>VLOOKUP(C66,classifications!C:K,9,FALSE)</f>
        <v>0</v>
      </c>
      <c r="F66">
        <f t="shared" si="20"/>
        <v>91.379310344827587</v>
      </c>
      <c r="G66" s="15"/>
      <c r="H66" s="42">
        <f t="shared" si="21"/>
        <v>91.379310344827587</v>
      </c>
      <c r="I66" s="79">
        <f>IF(H66="","",IF($I$8="A",(RANK(H66,H$11:H$349,1)+COUNTIF(H$11:H66,H66)-1),(RANK(H66,H$11:H$349)+COUNTIF(H$11:H66,H66)-1)))</f>
        <v>27</v>
      </c>
      <c r="J66" s="41"/>
      <c r="K66" s="36">
        <f t="shared" si="22"/>
        <v>56</v>
      </c>
      <c r="L66" t="str">
        <f t="shared" si="23"/>
        <v>West Northamptonshire</v>
      </c>
      <c r="M66" s="117">
        <f t="shared" si="24"/>
        <v>59.482758620689658</v>
      </c>
      <c r="N66" s="112">
        <f t="shared" si="25"/>
        <v>59.482758620689658</v>
      </c>
      <c r="O66" s="96" t="str">
        <f t="shared" si="26"/>
        <v/>
      </c>
      <c r="P66" s="96" t="str">
        <f t="shared" si="27"/>
        <v/>
      </c>
      <c r="Q66" s="96" t="str">
        <f t="shared" si="28"/>
        <v/>
      </c>
      <c r="R66" s="92">
        <f t="shared" si="29"/>
        <v>59.482758620689658</v>
      </c>
      <c r="S66" s="42" t="str">
        <f t="shared" si="30"/>
        <v/>
      </c>
      <c r="T66" s="176" t="str">
        <f>IF(L66="","",VLOOKUP(L66,classifications!C:K,9,FALSE))</f>
        <v>Sparse</v>
      </c>
      <c r="U66" s="177">
        <f t="shared" si="31"/>
        <v>59.482758620689658</v>
      </c>
      <c r="V66" s="183">
        <f>IF(U66="","",IF($I$8="A",(RANK(U66,U$11:U$349)+COUNTIF(U$11:U66,U66)-1),(RANK(U66,U$11:U$349,1)+COUNTIF(U$11:U66,U66)-1)))</f>
        <v>1</v>
      </c>
      <c r="W66" s="184"/>
      <c r="X66" s="5" t="str">
        <f>IF(L66="","",VLOOKUP($L66,classifications!$C:$J,6,FALSE))</f>
        <v>Urban with Significant Rural</v>
      </c>
      <c r="Y66">
        <f t="shared" si="32"/>
        <v>59.482758620689658</v>
      </c>
      <c r="Z66" s="40">
        <f>IF(Y66="","",IF(I$8="A",(RANK(Y66,Y$11:Y$349,1)+COUNTIF(Y$11:Y66,Y66)-1),(RANK(Y66,Y$11:Y$349)+COUNTIF(Y$11:Y66,Y66)-1)))</f>
        <v>21</v>
      </c>
      <c r="AA66" s="189" t="str">
        <f>IF(L66="","",VLOOKUP($L66,classifications!C:I,7,FALSE))</f>
        <v>Urban with Significant Rural</v>
      </c>
      <c r="AB66" s="183">
        <f t="shared" si="33"/>
        <v>59.482758620689658</v>
      </c>
      <c r="AC66" s="183">
        <f>IF(AB66="","",IF($I$8="A",(RANK(AB66,AB$11:AB$349)+COUNTIF(AB$11:AB66,AB66)-1),(RANK(AB66,AB$11:AB$349,1)+COUNTIF(AB$11:AB66,AB66)-1)))</f>
        <v>1</v>
      </c>
      <c r="AD66" s="183"/>
      <c r="AE66" s="49">
        <f>IF(I$8="A",(RANK(AG66,AG$11:AG$349,1)+COUNTIF(AG$11:AG66,AG66)-1),(RANK(AG66,AG$11:AG$349)+COUNTIF(AG$11:AG66,AG66)-1))</f>
        <v>56</v>
      </c>
      <c r="AF66" t="str">
        <f>VLOOKUP(Profile!$J$5,Families!$C:$R,6,FALSE)</f>
        <v>Herefordshire</v>
      </c>
      <c r="AG66" s="15">
        <f t="shared" si="34"/>
        <v>62.711864406779661</v>
      </c>
      <c r="AH66" s="50">
        <f t="shared" si="35"/>
        <v>56</v>
      </c>
      <c r="AI66" s="5" t="str">
        <f>IF(L66="","",VLOOKUP($L66,classifications!$C:$J,8,FALSE))</f>
        <v>Unitary</v>
      </c>
      <c r="AJ66" s="43">
        <f t="shared" si="36"/>
        <v>59.482758620689658</v>
      </c>
      <c r="AK66" s="40">
        <f>IF(AJ66="","",IF(I$8="A",(RANK(AJ66,AJ$11:AJ$349,1)+COUNTIF(AJ$11:AJ66,AJ66)-1),(RANK(AJ66,AJ$11:AJ$349)+COUNTIF(AJ$11:AJ66,AJ66)-1)))</f>
        <v>56</v>
      </c>
      <c r="AL66" s="3">
        <f t="shared" si="37"/>
        <v>56</v>
      </c>
      <c r="AM66" t="str">
        <f t="shared" si="38"/>
        <v>West Northamptonshire</v>
      </c>
      <c r="AN66">
        <f t="shared" si="39"/>
        <v>59.482758620689658</v>
      </c>
      <c r="AP66" s="5" t="str">
        <f>IF(L66="","",VLOOKUP($L66,classifications!$C:$E,3,FALSE))</f>
        <v>East Midlands</v>
      </c>
      <c r="AQ66" s="43" t="str">
        <f t="shared" si="40"/>
        <v/>
      </c>
      <c r="AR66" s="40" t="str">
        <f>IF(AQ66="","",IF(I$8="A",(RANK(AQ66,AQ$11:AQ$349,1)+COUNTIF(AQ$11:AQ66,AQ66)-1),(RANK(AQ66,AQ$11:AQ$349)+COUNTIF(AQ$11:AQ66,AQ66)-1)))</f>
        <v/>
      </c>
      <c r="AS66" s="3" t="str">
        <f t="shared" si="41"/>
        <v/>
      </c>
      <c r="AT66" s="40" t="str">
        <f t="shared" si="42"/>
        <v/>
      </c>
      <c r="AU66" s="43" t="str">
        <f t="shared" si="43"/>
        <v/>
      </c>
      <c r="AX66">
        <f>HLOOKUP($AX$9&amp;$AX$10,Data!$A$1:$ZZ$1988,(MATCH($C66,Data!$A$1:$A$1988,0)),FALSE)</f>
        <v>91.379310344827587</v>
      </c>
    </row>
    <row r="67" spans="1:50">
      <c r="A67" s="59" t="str">
        <f>$D$1&amp;57</f>
        <v>UA57</v>
      </c>
      <c r="B67" s="60">
        <f>IF(ISERROR(VLOOKUP(A67,classifications!A:C,3,FALSE)),0,VLOOKUP(A67,classifications!A:C,3,FALSE))</f>
        <v>0</v>
      </c>
      <c r="C67" t="s">
        <v>36</v>
      </c>
      <c r="D67" t="str">
        <f>VLOOKUP($C67,classifications!$C:$J,4,FALSE)</f>
        <v>SD</v>
      </c>
      <c r="E67">
        <f>VLOOKUP(C67,classifications!C:K,9,FALSE)</f>
        <v>0</v>
      </c>
      <c r="F67">
        <f t="shared" si="20"/>
        <v>95.652173913043484</v>
      </c>
      <c r="G67" s="15"/>
      <c r="H67" s="42" t="str">
        <f t="shared" si="21"/>
        <v/>
      </c>
      <c r="I67" s="79" t="str">
        <f>IF(H67="","",IF($I$8="A",(RANK(H67,H$11:H$349,1)+COUNTIF(H$11:H67,H67)-1),(RANK(H67,H$11:H$349)+COUNTIF(H$11:H67,H67)-1)))</f>
        <v/>
      </c>
      <c r="J67" s="41"/>
      <c r="K67" s="36">
        <f t="shared" si="22"/>
        <v>57</v>
      </c>
      <c r="L67" t="str">
        <f t="shared" si="23"/>
        <v>Middlesbrough</v>
      </c>
      <c r="M67" s="117">
        <f t="shared" si="24"/>
        <v>45.454545454545453</v>
      </c>
      <c r="N67" s="112">
        <f t="shared" si="25"/>
        <v>45.454545454545453</v>
      </c>
      <c r="O67" s="96" t="str">
        <f t="shared" si="26"/>
        <v/>
      </c>
      <c r="P67" s="96" t="str">
        <f t="shared" si="27"/>
        <v/>
      </c>
      <c r="Q67" s="96" t="str">
        <f t="shared" si="28"/>
        <v/>
      </c>
      <c r="R67" s="92">
        <f t="shared" si="29"/>
        <v>45.454545454545453</v>
      </c>
      <c r="S67" s="42" t="str">
        <f t="shared" si="30"/>
        <v/>
      </c>
      <c r="T67" s="176">
        <f>IF(L67="","",VLOOKUP(L67,classifications!C:K,9,FALSE))</f>
        <v>0</v>
      </c>
      <c r="U67" s="177" t="str">
        <f t="shared" si="31"/>
        <v/>
      </c>
      <c r="V67" s="183" t="str">
        <f>IF(U67="","",IF($I$8="A",(RANK(U67,U$11:U$349)+COUNTIF(U$11:U67,U67)-1),(RANK(U67,U$11:U$349,1)+COUNTIF(U$11:U67,U67)-1)))</f>
        <v/>
      </c>
      <c r="W67" s="184"/>
      <c r="X67" s="5" t="str">
        <f>IF(L67="","",VLOOKUP($L67,classifications!$C:$J,6,FALSE))</f>
        <v>Predominantly Urban</v>
      </c>
      <c r="Y67" t="str">
        <f t="shared" si="32"/>
        <v/>
      </c>
      <c r="Z67" s="40" t="str">
        <f>IF(Y67="","",IF(I$8="A",(RANK(Y67,Y$11:Y$349,1)+COUNTIF(Y$11:Y67,Y67)-1),(RANK(Y67,Y$11:Y$349)+COUNTIF(Y$11:Y67,Y67)-1)))</f>
        <v/>
      </c>
      <c r="AA67" s="189" t="str">
        <f>IF(L67="","",VLOOKUP($L67,classifications!C:I,7,FALSE))</f>
        <v>Predominantly Urban</v>
      </c>
      <c r="AB67" s="183" t="str">
        <f t="shared" si="33"/>
        <v/>
      </c>
      <c r="AC67" s="183" t="str">
        <f>IF(AB67="","",IF($I$8="A",(RANK(AB67,AB$11:AB$349)+COUNTIF(AB$11:AB67,AB67)-1),(RANK(AB67,AB$11:AB$349,1)+COUNTIF(AB$11:AB67,AB67)-1)))</f>
        <v/>
      </c>
      <c r="AD67" s="183"/>
      <c r="AE67" s="49">
        <f>IF(I$8="A",(RANK(AG67,AG$11:AG$349,1)+COUNTIF(AG$11:AG67,AG67)-1),(RANK(AG67,AG$11:AG$349)+COUNTIF(AG$11:AG67,AG67)-1))</f>
        <v>57</v>
      </c>
      <c r="AF67" t="str">
        <f>VLOOKUP(Profile!$J$5,Families!$C:$R,6,FALSE)</f>
        <v>Herefordshire</v>
      </c>
      <c r="AG67" s="15">
        <f t="shared" si="34"/>
        <v>62.711864406779661</v>
      </c>
      <c r="AH67" s="50">
        <f t="shared" si="35"/>
        <v>57</v>
      </c>
      <c r="AI67" s="5" t="str">
        <f>IF(L67="","",VLOOKUP($L67,classifications!$C:$J,8,FALSE))</f>
        <v>Unitary</v>
      </c>
      <c r="AJ67" s="43">
        <f t="shared" si="36"/>
        <v>45.454545454545453</v>
      </c>
      <c r="AK67" s="40">
        <f>IF(AJ67="","",IF(I$8="A",(RANK(AJ67,AJ$11:AJ$349,1)+COUNTIF(AJ$11:AJ67,AJ67)-1),(RANK(AJ67,AJ$11:AJ$349)+COUNTIF(AJ$11:AJ67,AJ67)-1)))</f>
        <v>57</v>
      </c>
      <c r="AL67" s="3">
        <f t="shared" si="37"/>
        <v>57</v>
      </c>
      <c r="AM67" t="str">
        <f t="shared" si="38"/>
        <v>Middlesbrough</v>
      </c>
      <c r="AN67">
        <f t="shared" si="39"/>
        <v>45.454545454545453</v>
      </c>
      <c r="AP67" s="5" t="str">
        <f>IF(L67="","",VLOOKUP($L67,classifications!$C:$E,3,FALSE))</f>
        <v>NE</v>
      </c>
      <c r="AQ67" s="43" t="str">
        <f t="shared" si="40"/>
        <v/>
      </c>
      <c r="AR67" s="40" t="str">
        <f>IF(AQ67="","",IF(I$8="A",(RANK(AQ67,AQ$11:AQ$349,1)+COUNTIF(AQ$11:AQ67,AQ67)-1),(RANK(AQ67,AQ$11:AQ$349)+COUNTIF(AQ$11:AQ67,AQ67)-1)))</f>
        <v/>
      </c>
      <c r="AS67" s="3" t="str">
        <f t="shared" si="41"/>
        <v/>
      </c>
      <c r="AT67" s="40" t="str">
        <f t="shared" si="42"/>
        <v/>
      </c>
      <c r="AU67" s="43" t="str">
        <f t="shared" si="43"/>
        <v/>
      </c>
      <c r="AX67">
        <f>HLOOKUP($AX$9&amp;$AX$10,Data!$A$1:$ZZ$1988,(MATCH($C67,Data!$A$1:$A$1988,0)),FALSE)</f>
        <v>95.652173913043484</v>
      </c>
    </row>
    <row r="68" spans="1:50">
      <c r="A68" s="59" t="str">
        <f>$D$1&amp;58</f>
        <v>UA58</v>
      </c>
      <c r="B68" s="60">
        <f>IF(ISERROR(VLOOKUP(A68,classifications!A:C,3,FALSE)),0,VLOOKUP(A68,classifications!A:C,3,FALSE))</f>
        <v>0</v>
      </c>
      <c r="C68" t="s">
        <v>37</v>
      </c>
      <c r="D68" t="str">
        <f>VLOOKUP($C68,classifications!$C:$J,4,FALSE)</f>
        <v>SD</v>
      </c>
      <c r="E68" t="str">
        <f>VLOOKUP(C68,classifications!C:K,9,FALSE)</f>
        <v>Sparse</v>
      </c>
      <c r="F68">
        <f t="shared" si="20"/>
        <v>63.636363636363633</v>
      </c>
      <c r="G68" s="15"/>
      <c r="H68" s="42" t="str">
        <f t="shared" si="21"/>
        <v/>
      </c>
      <c r="I68" s="79" t="str">
        <f>IF(H68="","",IF($I$8="A",(RANK(H68,H$11:H$349,1)+COUNTIF(H$11:H68,H68)-1),(RANK(H68,H$11:H$349)+COUNTIF(H$11:H68,H68)-1)))</f>
        <v/>
      </c>
      <c r="J68" s="41"/>
      <c r="K68" s="36">
        <f t="shared" si="22"/>
        <v>58</v>
      </c>
      <c r="L68" t="str">
        <f t="shared" si="23"/>
        <v>Portsmouth</v>
      </c>
      <c r="M68" s="117">
        <f t="shared" si="24"/>
        <v>40.909090909090914</v>
      </c>
      <c r="N68" s="112">
        <f t="shared" si="25"/>
        <v>40.909090909090914</v>
      </c>
      <c r="O68" s="96" t="str">
        <f t="shared" si="26"/>
        <v/>
      </c>
      <c r="P68" s="96" t="str">
        <f t="shared" si="27"/>
        <v/>
      </c>
      <c r="Q68" s="96" t="str">
        <f t="shared" si="28"/>
        <v/>
      </c>
      <c r="R68" s="92">
        <f t="shared" si="29"/>
        <v>40.909090909090914</v>
      </c>
      <c r="S68" s="42" t="str">
        <f t="shared" si="30"/>
        <v/>
      </c>
      <c r="T68" s="176">
        <f>IF(L68="","",VLOOKUP(L68,classifications!C:K,9,FALSE))</f>
        <v>0</v>
      </c>
      <c r="U68" s="177" t="str">
        <f t="shared" si="31"/>
        <v/>
      </c>
      <c r="V68" s="183" t="str">
        <f>IF(U68="","",IF($I$8="A",(RANK(U68,U$11:U$349)+COUNTIF(U$11:U68,U68)-1),(RANK(U68,U$11:U$349,1)+COUNTIF(U$11:U68,U68)-1)))</f>
        <v/>
      </c>
      <c r="W68" s="184"/>
      <c r="X68" s="5" t="str">
        <f>IF(L68="","",VLOOKUP($L68,classifications!$C:$J,6,FALSE))</f>
        <v>Predominantly Urban</v>
      </c>
      <c r="Y68" t="str">
        <f t="shared" si="32"/>
        <v/>
      </c>
      <c r="Z68" s="40" t="str">
        <f>IF(Y68="","",IF(I$8="A",(RANK(Y68,Y$11:Y$349,1)+COUNTIF(Y$11:Y68,Y68)-1),(RANK(Y68,Y$11:Y$349)+COUNTIF(Y$11:Y68,Y68)-1)))</f>
        <v/>
      </c>
      <c r="AA68" s="189" t="str">
        <f>IF(L68="","",VLOOKUP($L68,classifications!C:I,7,FALSE))</f>
        <v>Predominantly Urban</v>
      </c>
      <c r="AB68" s="183" t="str">
        <f t="shared" si="33"/>
        <v/>
      </c>
      <c r="AC68" s="183" t="str">
        <f>IF(AB68="","",IF($I$8="A",(RANK(AB68,AB$11:AB$349)+COUNTIF(AB$11:AB68,AB68)-1),(RANK(AB68,AB$11:AB$349,1)+COUNTIF(AB$11:AB68,AB68)-1)))</f>
        <v/>
      </c>
      <c r="AD68" s="183"/>
      <c r="AE68" s="49">
        <f>IF(I$8="A",(RANK(AG68,AG$11:AG$349,1)+COUNTIF(AG$11:AG68,AG68)-1),(RANK(AG68,AG$11:AG$349)+COUNTIF(AG$11:AG68,AG68)-1))</f>
        <v>58</v>
      </c>
      <c r="AF68" t="str">
        <f>VLOOKUP(Profile!$J$5,Families!$C:$R,6,FALSE)</f>
        <v>Herefordshire</v>
      </c>
      <c r="AG68" s="15">
        <f t="shared" si="34"/>
        <v>62.711864406779661</v>
      </c>
      <c r="AH68" s="50">
        <f t="shared" si="35"/>
        <v>58</v>
      </c>
      <c r="AI68" s="5" t="str">
        <f>IF(L68="","",VLOOKUP($L68,classifications!$C:$J,8,FALSE))</f>
        <v>Unitary</v>
      </c>
      <c r="AJ68" s="43">
        <f t="shared" si="36"/>
        <v>40.909090909090914</v>
      </c>
      <c r="AK68" s="40">
        <f>IF(AJ68="","",IF(I$8="A",(RANK(AJ68,AJ$11:AJ$349,1)+COUNTIF(AJ$11:AJ68,AJ68)-1),(RANK(AJ68,AJ$11:AJ$349)+COUNTIF(AJ$11:AJ68,AJ68)-1)))</f>
        <v>58</v>
      </c>
      <c r="AL68" s="3">
        <f t="shared" si="37"/>
        <v>58</v>
      </c>
      <c r="AM68" t="str">
        <f t="shared" si="38"/>
        <v>Portsmouth</v>
      </c>
      <c r="AN68">
        <f t="shared" si="39"/>
        <v>40.909090909090914</v>
      </c>
      <c r="AP68" s="5" t="str">
        <f>IF(L68="","",VLOOKUP($L68,classifications!$C:$E,3,FALSE))</f>
        <v>South East</v>
      </c>
      <c r="AQ68" s="43" t="str">
        <f t="shared" si="40"/>
        <v/>
      </c>
      <c r="AR68" s="40" t="str">
        <f>IF(AQ68="","",IF(I$8="A",(RANK(AQ68,AQ$11:AQ$349,1)+COUNTIF(AQ$11:AQ68,AQ68)-1),(RANK(AQ68,AQ$11:AQ$349)+COUNTIF(AQ$11:AQ68,AQ68)-1)))</f>
        <v/>
      </c>
      <c r="AS68" s="3" t="str">
        <f t="shared" si="41"/>
        <v/>
      </c>
      <c r="AT68" s="40" t="str">
        <f t="shared" si="42"/>
        <v/>
      </c>
      <c r="AU68" s="43" t="str">
        <f t="shared" si="43"/>
        <v/>
      </c>
      <c r="AX68">
        <f>HLOOKUP($AX$9&amp;$AX$10,Data!$A$1:$ZZ$1988,(MATCH($C68,Data!$A$1:$A$1988,0)),FALSE)</f>
        <v>63.636363636363633</v>
      </c>
    </row>
    <row r="69" spans="1:50">
      <c r="A69" s="59" t="str">
        <f>$D$1&amp;59</f>
        <v>UA59</v>
      </c>
      <c r="B69" s="60">
        <f>IF(ISERROR(VLOOKUP(A69,classifications!A:C,3,FALSE)),0,VLOOKUP(A69,classifications!A:C,3,FALSE))</f>
        <v>0</v>
      </c>
      <c r="C69" t="s">
        <v>39</v>
      </c>
      <c r="D69" t="str">
        <f>VLOOKUP($C69,classifications!$C:$J,4,FALSE)</f>
        <v>SD</v>
      </c>
      <c r="E69">
        <f>VLOOKUP(C69,classifications!C:K,9,FALSE)</f>
        <v>0</v>
      </c>
      <c r="F69">
        <f t="shared" si="20"/>
        <v>94.444444444444443</v>
      </c>
      <c r="G69" s="15"/>
      <c r="H69" s="42" t="str">
        <f t="shared" si="21"/>
        <v/>
      </c>
      <c r="I69" s="79" t="str">
        <f>IF(H69="","",IF($I$8="A",(RANK(H69,H$11:H$349,1)+COUNTIF(H$11:H69,H69)-1),(RANK(H69,H$11:H$349)+COUNTIF(H$11:H69,H69)-1)))</f>
        <v/>
      </c>
      <c r="J69" s="41"/>
      <c r="K69" s="36" t="str">
        <f t="shared" si="22"/>
        <v/>
      </c>
      <c r="L69" t="str">
        <f t="shared" si="23"/>
        <v/>
      </c>
      <c r="M69" s="117" t="str">
        <f t="shared" si="24"/>
        <v/>
      </c>
      <c r="N69" s="112" t="str">
        <f t="shared" si="25"/>
        <v/>
      </c>
      <c r="O69" s="96" t="str">
        <f t="shared" si="26"/>
        <v/>
      </c>
      <c r="P69" s="96" t="str">
        <f t="shared" si="27"/>
        <v/>
      </c>
      <c r="Q69" s="96" t="str">
        <f t="shared" si="28"/>
        <v/>
      </c>
      <c r="R69" s="92" t="str">
        <f t="shared" si="29"/>
        <v/>
      </c>
      <c r="S69" s="42" t="str">
        <f t="shared" si="30"/>
        <v/>
      </c>
      <c r="T69" s="176" t="str">
        <f>IF(L69="","",VLOOKUP(L69,classifications!C:K,9,FALSE))</f>
        <v/>
      </c>
      <c r="U69" s="177" t="str">
        <f t="shared" si="31"/>
        <v/>
      </c>
      <c r="V69" s="183" t="str">
        <f>IF(U69="","",IF($I$8="A",(RANK(U69,U$11:U$349)+COUNTIF(U$11:U69,U69)-1),(RANK(U69,U$11:U$349,1)+COUNTIF(U$11:U69,U69)-1)))</f>
        <v/>
      </c>
      <c r="W69" s="184"/>
      <c r="X69" s="5" t="str">
        <f>IF(L69="","",VLOOKUP($L69,classifications!$C:$J,6,FALSE))</f>
        <v/>
      </c>
      <c r="Y69" t="str">
        <f t="shared" si="32"/>
        <v/>
      </c>
      <c r="Z69" s="40" t="str">
        <f>IF(Y69="","",IF(I$8="A",(RANK(Y69,Y$11:Y$349,1)+COUNTIF(Y$11:Y69,Y69)-1),(RANK(Y69,Y$11:Y$349)+COUNTIF(Y$11:Y69,Y69)-1)))</f>
        <v/>
      </c>
      <c r="AA69" s="189" t="str">
        <f>IF(L69="","",VLOOKUP($L69,classifications!C:I,7,FALSE))</f>
        <v/>
      </c>
      <c r="AB69" s="183" t="str">
        <f t="shared" si="33"/>
        <v/>
      </c>
      <c r="AC69" s="183" t="str">
        <f>IF(AB69="","",IF($I$8="A",(RANK(AB69,AB$11:AB$349)+COUNTIF(AB$11:AB69,AB69)-1),(RANK(AB69,AB$11:AB$349,1)+COUNTIF(AB$11:AB69,AB69)-1)))</f>
        <v/>
      </c>
      <c r="AD69" s="183"/>
      <c r="AE69" s="49">
        <f>IF(I$8="A",(RANK(AG69,AG$11:AG$349,1)+COUNTIF(AG$11:AG69,AG69)-1),(RANK(AG69,AG$11:AG$349)+COUNTIF(AG$11:AG69,AG69)-1))</f>
        <v>59</v>
      </c>
      <c r="AF69" t="str">
        <f>VLOOKUP(Profile!$J$5,Families!$C:$R,6,FALSE)</f>
        <v>Herefordshire</v>
      </c>
      <c r="AG69" s="15">
        <f t="shared" si="34"/>
        <v>62.711864406779661</v>
      </c>
      <c r="AH69" s="50">
        <f t="shared" si="35"/>
        <v>59</v>
      </c>
      <c r="AI69" s="5" t="str">
        <f>IF(L69="","",VLOOKUP($L69,classifications!$C:$J,8,FALSE))</f>
        <v/>
      </c>
      <c r="AJ69" s="43" t="str">
        <f t="shared" si="36"/>
        <v/>
      </c>
      <c r="AK69" s="40" t="str">
        <f>IF(AJ69="","",IF(I$8="A",(RANK(AJ69,AJ$11:AJ$349,1)+COUNTIF(AJ$11:AJ69,AJ69)-1),(RANK(AJ69,AJ$11:AJ$349)+COUNTIF(AJ$11:AJ69,AJ69)-1)))</f>
        <v/>
      </c>
      <c r="AL69" s="3" t="str">
        <f t="shared" si="37"/>
        <v/>
      </c>
      <c r="AM69" t="str">
        <f t="shared" si="38"/>
        <v/>
      </c>
      <c r="AN69" t="str">
        <f t="shared" si="39"/>
        <v/>
      </c>
      <c r="AP69" s="5" t="str">
        <f>IF(L69="","",VLOOKUP($L69,classifications!$C:$E,3,FALSE))</f>
        <v/>
      </c>
      <c r="AQ69" s="43" t="str">
        <f t="shared" si="40"/>
        <v/>
      </c>
      <c r="AR69" s="40" t="str">
        <f>IF(AQ69="","",IF(I$8="A",(RANK(AQ69,AQ$11:AQ$349,1)+COUNTIF(AQ$11:AQ69,AQ69)-1),(RANK(AQ69,AQ$11:AQ$349)+COUNTIF(AQ$11:AQ69,AQ69)-1)))</f>
        <v/>
      </c>
      <c r="AS69" s="3" t="str">
        <f t="shared" si="41"/>
        <v/>
      </c>
      <c r="AT69" s="40" t="str">
        <f t="shared" si="42"/>
        <v/>
      </c>
      <c r="AU69" s="43" t="str">
        <f t="shared" si="43"/>
        <v/>
      </c>
      <c r="AX69">
        <f>HLOOKUP($AX$9&amp;$AX$10,Data!$A$1:$ZZ$1988,(MATCH($C69,Data!$A$1:$A$1988,0)),FALSE)</f>
        <v>94.444444444444443</v>
      </c>
    </row>
    <row r="70" spans="1:50">
      <c r="A70" s="59" t="str">
        <f>$D$1&amp;60</f>
        <v>UA60</v>
      </c>
      <c r="B70" s="60">
        <f>IF(ISERROR(VLOOKUP(A70,classifications!A:C,3,FALSE)),0,VLOOKUP(A70,classifications!A:C,3,FALSE))</f>
        <v>0</v>
      </c>
      <c r="C70" t="s">
        <v>369</v>
      </c>
      <c r="D70" t="str">
        <f>VLOOKUP($C70,classifications!$C:$J,4,FALSE)</f>
        <v>L</v>
      </c>
      <c r="E70">
        <f>VLOOKUP(C70,classifications!C:K,9,FALSE)</f>
        <v>0</v>
      </c>
      <c r="F70">
        <f t="shared" si="20"/>
        <v>92.307692307692307</v>
      </c>
      <c r="G70" s="15"/>
      <c r="H70" s="42" t="str">
        <f t="shared" si="21"/>
        <v/>
      </c>
      <c r="I70" s="79" t="str">
        <f>IF(H70="","",IF($I$8="A",(RANK(H70,H$11:H$349,1)+COUNTIF(H$11:H70,H70)-1),(RANK(H70,H$11:H$349)+COUNTIF(H$11:H70,H70)-1)))</f>
        <v/>
      </c>
      <c r="J70" s="41"/>
      <c r="K70" s="36" t="str">
        <f t="shared" si="22"/>
        <v/>
      </c>
      <c r="L70" t="str">
        <f t="shared" si="23"/>
        <v/>
      </c>
      <c r="M70" s="117" t="str">
        <f t="shared" si="24"/>
        <v/>
      </c>
      <c r="N70" s="112" t="str">
        <f t="shared" si="25"/>
        <v/>
      </c>
      <c r="O70" s="96" t="str">
        <f t="shared" si="26"/>
        <v/>
      </c>
      <c r="P70" s="96" t="str">
        <f t="shared" si="27"/>
        <v/>
      </c>
      <c r="Q70" s="96" t="str">
        <f t="shared" si="28"/>
        <v/>
      </c>
      <c r="R70" s="92" t="str">
        <f t="shared" si="29"/>
        <v/>
      </c>
      <c r="S70" s="42" t="str">
        <f t="shared" si="30"/>
        <v/>
      </c>
      <c r="T70" s="176" t="str">
        <f>IF(L70="","",VLOOKUP(L70,classifications!C:K,9,FALSE))</f>
        <v/>
      </c>
      <c r="U70" s="177" t="str">
        <f t="shared" si="31"/>
        <v/>
      </c>
      <c r="V70" s="183" t="str">
        <f>IF(U70="","",IF($I$8="A",(RANK(U70,U$11:U$349)+COUNTIF(U$11:U70,U70)-1),(RANK(U70,U$11:U$349,1)+COUNTIF(U$11:U70,U70)-1)))</f>
        <v/>
      </c>
      <c r="W70" s="184"/>
      <c r="X70" s="5" t="str">
        <f>IF(L70="","",VLOOKUP($L70,classifications!$C:$J,6,FALSE))</f>
        <v/>
      </c>
      <c r="Y70" t="str">
        <f t="shared" si="32"/>
        <v/>
      </c>
      <c r="Z70" s="40" t="str">
        <f>IF(Y70="","",IF(I$8="A",(RANK(Y70,Y$11:Y$349,1)+COUNTIF(Y$11:Y70,Y70)-1),(RANK(Y70,Y$11:Y$349)+COUNTIF(Y$11:Y70,Y70)-1)))</f>
        <v/>
      </c>
      <c r="AA70" s="189" t="str">
        <f>IF(L70="","",VLOOKUP($L70,classifications!C:I,7,FALSE))</f>
        <v/>
      </c>
      <c r="AB70" s="183" t="str">
        <f t="shared" si="33"/>
        <v/>
      </c>
      <c r="AC70" s="183" t="str">
        <f>IF(AB70="","",IF($I$8="A",(RANK(AB70,AB$11:AB$349)+COUNTIF(AB$11:AB70,AB70)-1),(RANK(AB70,AB$11:AB$349,1)+COUNTIF(AB$11:AB70,AB70)-1)))</f>
        <v/>
      </c>
      <c r="AD70" s="183"/>
      <c r="AE70" s="49">
        <f>IF(I$8="A",(RANK(AG70,AG$11:AG$349,1)+COUNTIF(AG$11:AG70,AG70)-1),(RANK(AG70,AG$11:AG$349)+COUNTIF(AG$11:AG70,AG70)-1))</f>
        <v>60</v>
      </c>
      <c r="AF70" t="str">
        <f>VLOOKUP(Profile!$J$5,Families!$C:$R,6,FALSE)</f>
        <v>Herefordshire</v>
      </c>
      <c r="AG70" s="15">
        <f t="shared" si="34"/>
        <v>62.711864406779661</v>
      </c>
      <c r="AH70" s="50">
        <f t="shared" si="35"/>
        <v>60</v>
      </c>
      <c r="AI70" s="5" t="str">
        <f>IF(L70="","",VLOOKUP($L70,classifications!$C:$J,8,FALSE))</f>
        <v/>
      </c>
      <c r="AJ70" s="43" t="str">
        <f t="shared" si="36"/>
        <v/>
      </c>
      <c r="AK70" s="40" t="str">
        <f>IF(AJ70="","",IF(I$8="A",(RANK(AJ70,AJ$11:AJ$349,1)+COUNTIF(AJ$11:AJ70,AJ70)-1),(RANK(AJ70,AJ$11:AJ$349)+COUNTIF(AJ$11:AJ70,AJ70)-1)))</f>
        <v/>
      </c>
      <c r="AL70" s="3" t="str">
        <f t="shared" si="37"/>
        <v/>
      </c>
      <c r="AM70" t="str">
        <f t="shared" si="38"/>
        <v/>
      </c>
      <c r="AN70" t="str">
        <f t="shared" si="39"/>
        <v/>
      </c>
      <c r="AP70" s="5" t="str">
        <f>IF(L70="","",VLOOKUP($L70,classifications!$C:$E,3,FALSE))</f>
        <v/>
      </c>
      <c r="AQ70" s="43" t="str">
        <f t="shared" si="40"/>
        <v/>
      </c>
      <c r="AR70" s="40" t="str">
        <f>IF(AQ70="","",IF(I$8="A",(RANK(AQ70,AQ$11:AQ$349,1)+COUNTIF(AQ$11:AQ70,AQ70)-1),(RANK(AQ70,AQ$11:AQ$349)+COUNTIF(AQ$11:AQ70,AQ70)-1)))</f>
        <v/>
      </c>
      <c r="AS70" s="3" t="str">
        <f t="shared" si="41"/>
        <v/>
      </c>
      <c r="AT70" s="40" t="str">
        <f t="shared" si="42"/>
        <v/>
      </c>
      <c r="AU70" s="43" t="str">
        <f t="shared" si="43"/>
        <v/>
      </c>
      <c r="AX70">
        <f>HLOOKUP($AX$9&amp;$AX$10,Data!$A$1:$ZZ$1988,(MATCH($C70,Data!$A$1:$A$1988,0)),FALSE)</f>
        <v>92.307692307692307</v>
      </c>
    </row>
    <row r="71" spans="1:50">
      <c r="A71" s="59" t="str">
        <f>$D$1&amp;61</f>
        <v>UA61</v>
      </c>
      <c r="B71" s="60">
        <f>IF(ISERROR(VLOOKUP(A71,classifications!A:C,3,FALSE)),0,VLOOKUP(A71,classifications!A:C,3,FALSE))</f>
        <v>0</v>
      </c>
      <c r="C71" t="s">
        <v>41</v>
      </c>
      <c r="D71" t="str">
        <f>VLOOKUP($C71,classifications!$C:$J,4,FALSE)</f>
        <v>SD</v>
      </c>
      <c r="E71">
        <f>VLOOKUP(C71,classifications!C:K,9,FALSE)</f>
        <v>0</v>
      </c>
      <c r="F71">
        <f t="shared" si="20"/>
        <v>100</v>
      </c>
      <c r="G71" s="15"/>
      <c r="H71" s="42" t="str">
        <f t="shared" si="21"/>
        <v/>
      </c>
      <c r="I71" s="79" t="str">
        <f>IF(H71="","",IF($I$8="A",(RANK(H71,H$11:H$349,1)+COUNTIF(H$11:H71,H71)-1),(RANK(H71,H$11:H$349)+COUNTIF(H$11:H71,H71)-1)))</f>
        <v/>
      </c>
      <c r="J71" s="41"/>
      <c r="K71" s="36" t="str">
        <f t="shared" si="22"/>
        <v/>
      </c>
      <c r="L71" t="str">
        <f t="shared" si="23"/>
        <v/>
      </c>
      <c r="M71" s="117" t="str">
        <f t="shared" si="24"/>
        <v/>
      </c>
      <c r="N71" s="112" t="str">
        <f t="shared" si="25"/>
        <v/>
      </c>
      <c r="O71" s="96" t="str">
        <f t="shared" si="26"/>
        <v/>
      </c>
      <c r="P71" s="96" t="str">
        <f t="shared" si="27"/>
        <v/>
      </c>
      <c r="Q71" s="96" t="str">
        <f t="shared" si="28"/>
        <v/>
      </c>
      <c r="R71" s="92" t="str">
        <f t="shared" si="29"/>
        <v/>
      </c>
      <c r="S71" s="42" t="str">
        <f t="shared" si="30"/>
        <v/>
      </c>
      <c r="T71" s="176" t="str">
        <f>IF(L71="","",VLOOKUP(L71,classifications!C:K,9,FALSE))</f>
        <v/>
      </c>
      <c r="U71" s="177" t="str">
        <f t="shared" si="31"/>
        <v/>
      </c>
      <c r="V71" s="183" t="str">
        <f>IF(U71="","",IF($I$8="A",(RANK(U71,U$11:U$349)+COUNTIF(U$11:U71,U71)-1),(RANK(U71,U$11:U$349,1)+COUNTIF(U$11:U71,U71)-1)))</f>
        <v/>
      </c>
      <c r="W71" s="184"/>
      <c r="X71" s="5" t="str">
        <f>IF(L71="","",VLOOKUP($L71,classifications!$C:$J,6,FALSE))</f>
        <v/>
      </c>
      <c r="Y71" t="str">
        <f t="shared" si="32"/>
        <v/>
      </c>
      <c r="Z71" s="40" t="str">
        <f>IF(Y71="","",IF(I$8="A",(RANK(Y71,Y$11:Y$349,1)+COUNTIF(Y$11:Y71,Y71)-1),(RANK(Y71,Y$11:Y$349)+COUNTIF(Y$11:Y71,Y71)-1)))</f>
        <v/>
      </c>
      <c r="AA71" s="189" t="str">
        <f>IF(L71="","",VLOOKUP($L71,classifications!C:I,7,FALSE))</f>
        <v/>
      </c>
      <c r="AB71" s="183" t="str">
        <f t="shared" si="33"/>
        <v/>
      </c>
      <c r="AC71" s="183" t="str">
        <f>IF(AB71="","",IF($I$8="A",(RANK(AB71,AB$11:AB$349)+COUNTIF(AB$11:AB71,AB71)-1),(RANK(AB71,AB$11:AB$349,1)+COUNTIF(AB$11:AB71,AB71)-1)))</f>
        <v/>
      </c>
      <c r="AD71" s="183"/>
      <c r="AE71" s="49">
        <f>IF(I$8="A",(RANK(AG71,AG$11:AG$349,1)+COUNTIF(AG$11:AG71,AG71)-1),(RANK(AG71,AG$11:AG$349)+COUNTIF(AG$11:AG71,AG71)-1))</f>
        <v>61</v>
      </c>
      <c r="AF71" t="str">
        <f>VLOOKUP(Profile!$J$5,Families!$C:$R,6,FALSE)</f>
        <v>Herefordshire</v>
      </c>
      <c r="AG71" s="15">
        <f t="shared" si="34"/>
        <v>62.711864406779661</v>
      </c>
      <c r="AH71" s="50">
        <f t="shared" si="35"/>
        <v>61</v>
      </c>
      <c r="AI71" s="5" t="str">
        <f>IF(L71="","",VLOOKUP($L71,classifications!$C:$J,8,FALSE))</f>
        <v/>
      </c>
      <c r="AJ71" s="43" t="str">
        <f t="shared" si="36"/>
        <v/>
      </c>
      <c r="AK71" s="40" t="str">
        <f>IF(AJ71="","",IF(I$8="A",(RANK(AJ71,AJ$11:AJ$349,1)+COUNTIF(AJ$11:AJ71,AJ71)-1),(RANK(AJ71,AJ$11:AJ$349)+COUNTIF(AJ$11:AJ71,AJ71)-1)))</f>
        <v/>
      </c>
      <c r="AL71" s="3" t="str">
        <f t="shared" si="37"/>
        <v/>
      </c>
      <c r="AM71" t="str">
        <f t="shared" si="38"/>
        <v/>
      </c>
      <c r="AN71" t="str">
        <f t="shared" si="39"/>
        <v/>
      </c>
      <c r="AP71" s="5" t="str">
        <f>IF(L71="","",VLOOKUP($L71,classifications!$C:$E,3,FALSE))</f>
        <v/>
      </c>
      <c r="AQ71" s="43" t="str">
        <f t="shared" si="40"/>
        <v/>
      </c>
      <c r="AR71" s="40" t="str">
        <f>IF(AQ71="","",IF(I$8="A",(RANK(AQ71,AQ$11:AQ$349,1)+COUNTIF(AQ$11:AQ71,AQ71)-1),(RANK(AQ71,AQ$11:AQ$349)+COUNTIF(AQ$11:AQ71,AQ71)-1)))</f>
        <v/>
      </c>
      <c r="AS71" s="3" t="str">
        <f t="shared" si="41"/>
        <v/>
      </c>
      <c r="AT71" s="40" t="str">
        <f t="shared" si="42"/>
        <v/>
      </c>
      <c r="AU71" s="43" t="str">
        <f t="shared" si="43"/>
        <v/>
      </c>
      <c r="AX71">
        <f>HLOOKUP($AX$9&amp;$AX$10,Data!$A$1:$ZZ$1988,(MATCH($C71,Data!$A$1:$A$1988,0)),FALSE)</f>
        <v>100</v>
      </c>
    </row>
    <row r="72" spans="1:50">
      <c r="A72" s="59" t="str">
        <f>$D$1&amp;62</f>
        <v>UA62</v>
      </c>
      <c r="B72" s="60">
        <f>IF(ISERROR(VLOOKUP(A72,classifications!A:C,3,FALSE)),0,VLOOKUP(A72,classifications!A:C,3,FALSE))</f>
        <v>0</v>
      </c>
      <c r="C72" t="s">
        <v>42</v>
      </c>
      <c r="D72" t="str">
        <f>VLOOKUP($C72,classifications!$C:$J,4,FALSE)</f>
        <v>SD</v>
      </c>
      <c r="E72" t="str">
        <f>VLOOKUP(C72,classifications!C:K,9,FALSE)</f>
        <v>Sparse</v>
      </c>
      <c r="F72">
        <f t="shared" si="20"/>
        <v>100</v>
      </c>
      <c r="G72" s="15"/>
      <c r="H72" s="42" t="str">
        <f t="shared" si="21"/>
        <v/>
      </c>
      <c r="I72" s="79" t="str">
        <f>IF(H72="","",IF($I$8="A",(RANK(H72,H$11:H$349,1)+COUNTIF(H$11:H72,H72)-1),(RANK(H72,H$11:H$349)+COUNTIF(H$11:H72,H72)-1)))</f>
        <v/>
      </c>
      <c r="J72" s="41"/>
      <c r="K72" s="36" t="str">
        <f t="shared" si="22"/>
        <v/>
      </c>
      <c r="L72" t="str">
        <f t="shared" si="23"/>
        <v/>
      </c>
      <c r="M72" s="117" t="str">
        <f t="shared" si="24"/>
        <v/>
      </c>
      <c r="N72" s="112" t="str">
        <f t="shared" si="25"/>
        <v/>
      </c>
      <c r="O72" s="96" t="str">
        <f t="shared" si="26"/>
        <v/>
      </c>
      <c r="P72" s="96" t="str">
        <f t="shared" si="27"/>
        <v/>
      </c>
      <c r="Q72" s="96" t="str">
        <f t="shared" si="28"/>
        <v/>
      </c>
      <c r="R72" s="92" t="str">
        <f t="shared" si="29"/>
        <v/>
      </c>
      <c r="S72" s="42" t="str">
        <f t="shared" si="30"/>
        <v/>
      </c>
      <c r="T72" s="176" t="str">
        <f>IF(L72="","",VLOOKUP(L72,classifications!C:K,9,FALSE))</f>
        <v/>
      </c>
      <c r="U72" s="177" t="str">
        <f t="shared" si="31"/>
        <v/>
      </c>
      <c r="V72" s="183" t="str">
        <f>IF(U72="","",IF($I$8="A",(RANK(U72,U$11:U$349)+COUNTIF(U$11:U72,U72)-1),(RANK(U72,U$11:U$349,1)+COUNTIF(U$11:U72,U72)-1)))</f>
        <v/>
      </c>
      <c r="W72" s="184"/>
      <c r="X72" s="5" t="str">
        <f>IF(L72="","",VLOOKUP($L72,classifications!$C:$J,6,FALSE))</f>
        <v/>
      </c>
      <c r="Y72" t="str">
        <f t="shared" si="32"/>
        <v/>
      </c>
      <c r="Z72" s="40" t="str">
        <f>IF(Y72="","",IF(I$8="A",(RANK(Y72,Y$11:Y$349,1)+COUNTIF(Y$11:Y72,Y72)-1),(RANK(Y72,Y$11:Y$349)+COUNTIF(Y$11:Y72,Y72)-1)))</f>
        <v/>
      </c>
      <c r="AA72" s="189" t="str">
        <f>IF(L72="","",VLOOKUP($L72,classifications!C:I,7,FALSE))</f>
        <v/>
      </c>
      <c r="AB72" s="183" t="str">
        <f t="shared" si="33"/>
        <v/>
      </c>
      <c r="AC72" s="183" t="str">
        <f>IF(AB72="","",IF($I$8="A",(RANK(AB72,AB$11:AB$349)+COUNTIF(AB$11:AB72,AB72)-1),(RANK(AB72,AB$11:AB$349,1)+COUNTIF(AB$11:AB72,AB72)-1)))</f>
        <v/>
      </c>
      <c r="AD72" s="183"/>
      <c r="AE72" s="49">
        <f>IF(I$8="A",(RANK(AG72,AG$11:AG$349,1)+COUNTIF(AG$11:AG72,AG72)-1),(RANK(AG72,AG$11:AG$349)+COUNTIF(AG$11:AG72,AG72)-1))</f>
        <v>62</v>
      </c>
      <c r="AF72" t="str">
        <f>VLOOKUP(Profile!$J$5,Families!$C:$R,6,FALSE)</f>
        <v>Herefordshire</v>
      </c>
      <c r="AG72" s="15">
        <f t="shared" si="34"/>
        <v>62.711864406779661</v>
      </c>
      <c r="AH72" s="50">
        <f t="shared" si="35"/>
        <v>62</v>
      </c>
      <c r="AI72" s="5" t="str">
        <f>IF(L72="","",VLOOKUP($L72,classifications!$C:$J,8,FALSE))</f>
        <v/>
      </c>
      <c r="AJ72" s="43" t="str">
        <f t="shared" si="36"/>
        <v/>
      </c>
      <c r="AK72" s="40" t="str">
        <f>IF(AJ72="","",IF(I$8="A",(RANK(AJ72,AJ$11:AJ$349,1)+COUNTIF(AJ$11:AJ72,AJ72)-1),(RANK(AJ72,AJ$11:AJ$349)+COUNTIF(AJ$11:AJ72,AJ72)-1)))</f>
        <v/>
      </c>
      <c r="AL72" s="3" t="str">
        <f t="shared" si="37"/>
        <v/>
      </c>
      <c r="AM72" t="str">
        <f t="shared" si="38"/>
        <v/>
      </c>
      <c r="AN72" t="str">
        <f t="shared" si="39"/>
        <v/>
      </c>
      <c r="AP72" s="5" t="str">
        <f>IF(L72="","",VLOOKUP($L72,classifications!$C:$E,3,FALSE))</f>
        <v/>
      </c>
      <c r="AQ72" s="43" t="str">
        <f t="shared" si="40"/>
        <v/>
      </c>
      <c r="AR72" s="40" t="str">
        <f>IF(AQ72="","",IF(I$8="A",(RANK(AQ72,AQ$11:AQ$349,1)+COUNTIF(AQ$11:AQ72,AQ72)-1),(RANK(AQ72,AQ$11:AQ$349)+COUNTIF(AQ$11:AQ72,AQ72)-1)))</f>
        <v/>
      </c>
      <c r="AS72" s="3" t="str">
        <f t="shared" si="41"/>
        <v/>
      </c>
      <c r="AT72" s="40" t="str">
        <f t="shared" si="42"/>
        <v/>
      </c>
      <c r="AU72" s="43" t="str">
        <f t="shared" si="43"/>
        <v/>
      </c>
      <c r="AX72">
        <f>HLOOKUP($AX$9&amp;$AX$10,Data!$A$1:$ZZ$1988,(MATCH($C72,Data!$A$1:$A$1988,0)),FALSE)</f>
        <v>100</v>
      </c>
    </row>
    <row r="73" spans="1:50">
      <c r="A73" s="59" t="str">
        <f>$D$1&amp;63</f>
        <v>UA63</v>
      </c>
      <c r="B73" s="60">
        <f>IF(ISERROR(VLOOKUP(A73,classifications!A:C,3,FALSE)),0,VLOOKUP(A73,classifications!A:C,3,FALSE))</f>
        <v>0</v>
      </c>
      <c r="C73" t="s">
        <v>305</v>
      </c>
      <c r="D73" t="str">
        <f>VLOOKUP($C73,classifications!$C:$J,4,FALSE)</f>
        <v>UA</v>
      </c>
      <c r="E73" t="str">
        <f>VLOOKUP(C73,classifications!C:K,9,FALSE)</f>
        <v>Sparse</v>
      </c>
      <c r="F73">
        <f t="shared" si="20"/>
        <v>79.234972677595621</v>
      </c>
      <c r="G73" s="15"/>
      <c r="H73" s="42">
        <f t="shared" si="21"/>
        <v>79.234972677595621</v>
      </c>
      <c r="I73" s="79">
        <f>IF(H73="","",IF($I$8="A",(RANK(H73,H$11:H$349,1)+COUNTIF(H$11:H73,H73)-1),(RANK(H73,H$11:H$349)+COUNTIF(H$11:H73,H73)-1)))</f>
        <v>47</v>
      </c>
      <c r="J73" s="41"/>
      <c r="K73" s="36" t="str">
        <f t="shared" si="22"/>
        <v/>
      </c>
      <c r="L73" t="str">
        <f t="shared" si="23"/>
        <v/>
      </c>
      <c r="M73" s="117" t="str">
        <f t="shared" si="24"/>
        <v/>
      </c>
      <c r="N73" s="112" t="str">
        <f t="shared" si="25"/>
        <v/>
      </c>
      <c r="O73" s="96" t="str">
        <f t="shared" si="26"/>
        <v/>
      </c>
      <c r="P73" s="96" t="str">
        <f t="shared" si="27"/>
        <v/>
      </c>
      <c r="Q73" s="96" t="str">
        <f t="shared" si="28"/>
        <v/>
      </c>
      <c r="R73" s="92" t="str">
        <f t="shared" si="29"/>
        <v/>
      </c>
      <c r="S73" s="42" t="str">
        <f t="shared" si="30"/>
        <v/>
      </c>
      <c r="T73" s="176" t="str">
        <f>IF(L73="","",VLOOKUP(L73,classifications!C:K,9,FALSE))</f>
        <v/>
      </c>
      <c r="U73" s="177" t="str">
        <f t="shared" si="31"/>
        <v/>
      </c>
      <c r="V73" s="183" t="str">
        <f>IF(U73="","",IF($I$8="A",(RANK(U73,U$11:U$349)+COUNTIF(U$11:U73,U73)-1),(RANK(U73,U$11:U$349,1)+COUNTIF(U$11:U73,U73)-1)))</f>
        <v/>
      </c>
      <c r="W73" s="184"/>
      <c r="X73" s="5" t="str">
        <f>IF(L73="","",VLOOKUP($L73,classifications!$C:$J,6,FALSE))</f>
        <v/>
      </c>
      <c r="Y73" t="str">
        <f t="shared" si="32"/>
        <v/>
      </c>
      <c r="Z73" s="40" t="str">
        <f>IF(Y73="","",IF(I$8="A",(RANK(Y73,Y$11:Y$349,1)+COUNTIF(Y$11:Y73,Y73)-1),(RANK(Y73,Y$11:Y$349)+COUNTIF(Y$11:Y73,Y73)-1)))</f>
        <v/>
      </c>
      <c r="AA73" s="189" t="str">
        <f>IF(L73="","",VLOOKUP($L73,classifications!C:I,7,FALSE))</f>
        <v/>
      </c>
      <c r="AB73" s="183" t="str">
        <f t="shared" si="33"/>
        <v/>
      </c>
      <c r="AC73" s="183" t="str">
        <f>IF(AB73="","",IF($I$8="A",(RANK(AB73,AB$11:AB$349)+COUNTIF(AB$11:AB73,AB73)-1),(RANK(AB73,AB$11:AB$349,1)+COUNTIF(AB$11:AB73,AB73)-1)))</f>
        <v/>
      </c>
      <c r="AD73" s="183"/>
      <c r="AE73" s="49">
        <f>IF(I$8="A",(RANK(AG73,AG$11:AG$349,1)+COUNTIF(AG$11:AG73,AG73)-1),(RANK(AG73,AG$11:AG$349)+COUNTIF(AG$11:AG73,AG73)-1))</f>
        <v>63</v>
      </c>
      <c r="AF73" t="str">
        <f>VLOOKUP(Profile!$J$5,Families!$C:$R,6,FALSE)</f>
        <v>Herefordshire</v>
      </c>
      <c r="AG73" s="15">
        <f t="shared" si="34"/>
        <v>62.711864406779661</v>
      </c>
      <c r="AH73" s="50">
        <f t="shared" si="35"/>
        <v>63</v>
      </c>
      <c r="AI73" s="5" t="str">
        <f>IF(L73="","",VLOOKUP($L73,classifications!$C:$J,8,FALSE))</f>
        <v/>
      </c>
      <c r="AJ73" s="43" t="str">
        <f t="shared" si="36"/>
        <v/>
      </c>
      <c r="AK73" s="40" t="str">
        <f>IF(AJ73="","",IF(I$8="A",(RANK(AJ73,AJ$11:AJ$349,1)+COUNTIF(AJ$11:AJ73,AJ73)-1),(RANK(AJ73,AJ$11:AJ$349)+COUNTIF(AJ$11:AJ73,AJ73)-1)))</f>
        <v/>
      </c>
      <c r="AL73" s="3" t="str">
        <f t="shared" si="37"/>
        <v/>
      </c>
      <c r="AM73" t="str">
        <f t="shared" si="38"/>
        <v/>
      </c>
      <c r="AN73" t="str">
        <f t="shared" si="39"/>
        <v/>
      </c>
      <c r="AP73" s="5" t="str">
        <f>IF(L73="","",VLOOKUP($L73,classifications!$C:$E,3,FALSE))</f>
        <v/>
      </c>
      <c r="AQ73" s="43" t="str">
        <f t="shared" si="40"/>
        <v/>
      </c>
      <c r="AR73" s="40" t="str">
        <f>IF(AQ73="","",IF(I$8="A",(RANK(AQ73,AQ$11:AQ$349,1)+COUNTIF(AQ$11:AQ73,AQ73)-1),(RANK(AQ73,AQ$11:AQ$349)+COUNTIF(AQ$11:AQ73,AQ73)-1)))</f>
        <v/>
      </c>
      <c r="AS73" s="3" t="str">
        <f t="shared" si="41"/>
        <v/>
      </c>
      <c r="AT73" s="40" t="str">
        <f t="shared" si="42"/>
        <v/>
      </c>
      <c r="AU73" s="43" t="str">
        <f t="shared" si="43"/>
        <v/>
      </c>
      <c r="AX73">
        <f>HLOOKUP($AX$9&amp;$AX$10,Data!$A$1:$ZZ$1988,(MATCH($C73,Data!$A$1:$A$1988,0)),FALSE)</f>
        <v>79.234972677595621</v>
      </c>
    </row>
    <row r="74" spans="1:50">
      <c r="A74" s="59" t="str">
        <f>$D$1&amp;64</f>
        <v>UA64</v>
      </c>
      <c r="B74" s="60">
        <f>IF(ISERROR(VLOOKUP(A74,classifications!A:C,3,FALSE)),0,VLOOKUP(A74,classifications!A:C,3,FALSE))</f>
        <v>0</v>
      </c>
      <c r="C74" t="s">
        <v>44</v>
      </c>
      <c r="D74" t="str">
        <f>VLOOKUP($C74,classifications!$C:$J,4,FALSE)</f>
        <v>SD</v>
      </c>
      <c r="E74" t="str">
        <f>VLOOKUP(C74,classifications!C:K,9,FALSE)</f>
        <v>Sparse</v>
      </c>
      <c r="F74">
        <f t="shared" si="20"/>
        <v>87.179487179487182</v>
      </c>
      <c r="G74" s="15"/>
      <c r="H74" s="42" t="str">
        <f t="shared" si="21"/>
        <v/>
      </c>
      <c r="I74" s="79" t="str">
        <f>IF(H74="","",IF($I$8="A",(RANK(H74,H$11:H$349,1)+COUNTIF(H$11:H74,H74)-1),(RANK(H74,H$11:H$349)+COUNTIF(H$11:H74,H74)-1)))</f>
        <v/>
      </c>
      <c r="J74" s="41"/>
      <c r="K74" s="36" t="str">
        <f t="shared" si="22"/>
        <v/>
      </c>
      <c r="L74" t="str">
        <f t="shared" si="23"/>
        <v/>
      </c>
      <c r="M74" s="117" t="str">
        <f t="shared" si="24"/>
        <v/>
      </c>
      <c r="N74" s="112" t="str">
        <f t="shared" si="25"/>
        <v/>
      </c>
      <c r="O74" s="96" t="str">
        <f t="shared" si="26"/>
        <v/>
      </c>
      <c r="P74" s="96" t="str">
        <f t="shared" si="27"/>
        <v/>
      </c>
      <c r="Q74" s="96" t="str">
        <f t="shared" si="28"/>
        <v/>
      </c>
      <c r="R74" s="92" t="str">
        <f t="shared" si="29"/>
        <v/>
      </c>
      <c r="S74" s="42" t="str">
        <f t="shared" si="30"/>
        <v/>
      </c>
      <c r="T74" s="176" t="str">
        <f>IF(L74="","",VLOOKUP(L74,classifications!C:K,9,FALSE))</f>
        <v/>
      </c>
      <c r="U74" s="177" t="str">
        <f t="shared" si="31"/>
        <v/>
      </c>
      <c r="V74" s="183" t="str">
        <f>IF(U74="","",IF($I$8="A",(RANK(U74,U$11:U$349)+COUNTIF(U$11:U74,U74)-1),(RANK(U74,U$11:U$349,1)+COUNTIF(U$11:U74,U74)-1)))</f>
        <v/>
      </c>
      <c r="W74" s="184"/>
      <c r="X74" s="5" t="str">
        <f>IF(L74="","",VLOOKUP($L74,classifications!$C:$J,6,FALSE))</f>
        <v/>
      </c>
      <c r="Y74" t="str">
        <f t="shared" si="32"/>
        <v/>
      </c>
      <c r="Z74" s="40" t="str">
        <f>IF(Y74="","",IF(I$8="A",(RANK(Y74,Y$11:Y$349,1)+COUNTIF(Y$11:Y74,Y74)-1),(RANK(Y74,Y$11:Y$349)+COUNTIF(Y$11:Y74,Y74)-1)))</f>
        <v/>
      </c>
      <c r="AA74" s="189" t="str">
        <f>IF(L74="","",VLOOKUP($L74,classifications!C:I,7,FALSE))</f>
        <v/>
      </c>
      <c r="AB74" s="183" t="str">
        <f t="shared" si="33"/>
        <v/>
      </c>
      <c r="AC74" s="183" t="str">
        <f>IF(AB74="","",IF($I$8="A",(RANK(AB74,AB$11:AB$349)+COUNTIF(AB$11:AB74,AB74)-1),(RANK(AB74,AB$11:AB$349,1)+COUNTIF(AB$11:AB74,AB74)-1)))</f>
        <v/>
      </c>
      <c r="AD74" s="183"/>
      <c r="AE74" s="49">
        <f>IF(I$8="A",(RANK(AG74,AG$11:AG$349,1)+COUNTIF(AG$11:AG74,AG74)-1),(RANK(AG74,AG$11:AG$349)+COUNTIF(AG$11:AG74,AG74)-1))</f>
        <v>64</v>
      </c>
      <c r="AF74" t="str">
        <f>VLOOKUP(Profile!$J$5,Families!$C:$R,6,FALSE)</f>
        <v>Herefordshire</v>
      </c>
      <c r="AG74" s="15">
        <f t="shared" si="34"/>
        <v>62.711864406779661</v>
      </c>
      <c r="AH74" s="50">
        <f t="shared" si="35"/>
        <v>64</v>
      </c>
      <c r="AI74" s="5" t="str">
        <f>IF(L74="","",VLOOKUP($L74,classifications!$C:$J,8,FALSE))</f>
        <v/>
      </c>
      <c r="AJ74" s="43" t="str">
        <f t="shared" si="36"/>
        <v/>
      </c>
      <c r="AK74" s="40" t="str">
        <f>IF(AJ74="","",IF(I$8="A",(RANK(AJ74,AJ$11:AJ$349,1)+COUNTIF(AJ$11:AJ74,AJ74)-1),(RANK(AJ74,AJ$11:AJ$349)+COUNTIF(AJ$11:AJ74,AJ74)-1)))</f>
        <v/>
      </c>
      <c r="AL74" s="3" t="str">
        <f t="shared" si="37"/>
        <v/>
      </c>
      <c r="AM74" t="str">
        <f t="shared" si="38"/>
        <v/>
      </c>
      <c r="AN74" t="str">
        <f t="shared" si="39"/>
        <v/>
      </c>
      <c r="AP74" s="5" t="str">
        <f>IF(L74="","",VLOOKUP($L74,classifications!$C:$E,3,FALSE))</f>
        <v/>
      </c>
      <c r="AQ74" s="43" t="str">
        <f t="shared" si="40"/>
        <v/>
      </c>
      <c r="AR74" s="40" t="str">
        <f>IF(AQ74="","",IF(I$8="A",(RANK(AQ74,AQ$11:AQ$349,1)+COUNTIF(AQ$11:AQ74,AQ74)-1),(RANK(AQ74,AQ$11:AQ$349)+COUNTIF(AQ$11:AQ74,AQ74)-1)))</f>
        <v/>
      </c>
      <c r="AS74" s="3" t="str">
        <f t="shared" si="41"/>
        <v/>
      </c>
      <c r="AT74" s="40" t="str">
        <f t="shared" si="42"/>
        <v/>
      </c>
      <c r="AU74" s="43" t="str">
        <f t="shared" si="43"/>
        <v/>
      </c>
      <c r="AX74">
        <f>HLOOKUP($AX$9&amp;$AX$10,Data!$A$1:$ZZ$1988,(MATCH($C74,Data!$A$1:$A$1988,0)),FALSE)</f>
        <v>87.179487179487182</v>
      </c>
    </row>
    <row r="75" spans="1:50">
      <c r="A75" s="59" t="str">
        <f>$D$1&amp;65</f>
        <v>UA65</v>
      </c>
      <c r="B75" s="60">
        <f>IF(ISERROR(VLOOKUP(A75,classifications!A:C,3,FALSE)),0,VLOOKUP(A75,classifications!A:C,3,FALSE))</f>
        <v>0</v>
      </c>
      <c r="C75" t="s">
        <v>228</v>
      </c>
      <c r="D75" t="str">
        <f>VLOOKUP($C75,classifications!$C:$J,4,FALSE)</f>
        <v>MD</v>
      </c>
      <c r="E75">
        <f>VLOOKUP(C75,classifications!C:K,9,FALSE)</f>
        <v>0</v>
      </c>
      <c r="F75">
        <f t="shared" si="20"/>
        <v>94.520547945205479</v>
      </c>
      <c r="G75" s="15"/>
      <c r="H75" s="42" t="str">
        <f t="shared" si="21"/>
        <v/>
      </c>
      <c r="I75" s="79" t="str">
        <f>IF(H75="","",IF($I$8="A",(RANK(H75,H$11:H$349,1)+COUNTIF(H$11:H75,H75)-1),(RANK(H75,H$11:H$349)+COUNTIF(H$11:H75,H75)-1)))</f>
        <v/>
      </c>
      <c r="J75" s="41"/>
      <c r="K75" s="36" t="str">
        <f t="shared" si="22"/>
        <v/>
      </c>
      <c r="L75" t="str">
        <f t="shared" si="23"/>
        <v/>
      </c>
      <c r="M75" s="117" t="str">
        <f t="shared" si="24"/>
        <v/>
      </c>
      <c r="N75" s="112" t="str">
        <f t="shared" si="25"/>
        <v/>
      </c>
      <c r="O75" s="96" t="str">
        <f t="shared" si="26"/>
        <v/>
      </c>
      <c r="P75" s="96" t="str">
        <f t="shared" si="27"/>
        <v/>
      </c>
      <c r="Q75" s="96" t="str">
        <f t="shared" si="28"/>
        <v/>
      </c>
      <c r="R75" s="92" t="str">
        <f t="shared" si="29"/>
        <v/>
      </c>
      <c r="S75" s="42" t="str">
        <f t="shared" si="30"/>
        <v/>
      </c>
      <c r="T75" s="176" t="str">
        <f>IF(L75="","",VLOOKUP(L75,classifications!C:K,9,FALSE))</f>
        <v/>
      </c>
      <c r="U75" s="177" t="str">
        <f t="shared" si="31"/>
        <v/>
      </c>
      <c r="V75" s="183" t="str">
        <f>IF(U75="","",IF($I$8="A",(RANK(U75,U$11:U$349)+COUNTIF(U$11:U75,U75)-1),(RANK(U75,U$11:U$349,1)+COUNTIF(U$11:U75,U75)-1)))</f>
        <v/>
      </c>
      <c r="W75" s="184"/>
      <c r="X75" s="5" t="str">
        <f>IF(L75="","",VLOOKUP($L75,classifications!$C:$J,6,FALSE))</f>
        <v/>
      </c>
      <c r="Y75" t="str">
        <f t="shared" si="32"/>
        <v/>
      </c>
      <c r="Z75" s="40" t="str">
        <f>IF(Y75="","",IF(I$8="A",(RANK(Y75,Y$11:Y$349,1)+COUNTIF(Y$11:Y75,Y75)-1),(RANK(Y75,Y$11:Y$349)+COUNTIF(Y$11:Y75,Y75)-1)))</f>
        <v/>
      </c>
      <c r="AA75" s="189" t="str">
        <f>IF(L75="","",VLOOKUP($L75,classifications!C:I,7,FALSE))</f>
        <v/>
      </c>
      <c r="AB75" s="183" t="str">
        <f t="shared" si="33"/>
        <v/>
      </c>
      <c r="AC75" s="183" t="str">
        <f>IF(AB75="","",IF($I$8="A",(RANK(AB75,AB$11:AB$349)+COUNTIF(AB$11:AB75,AB75)-1),(RANK(AB75,AB$11:AB$349,1)+COUNTIF(AB$11:AB75,AB75)-1)))</f>
        <v/>
      </c>
      <c r="AD75" s="183"/>
      <c r="AE75" s="49">
        <f>IF(I$8="A",(RANK(AG75,AG$11:AG$349,1)+COUNTIF(AG$11:AG75,AG75)-1),(RANK(AG75,AG$11:AG$349)+COUNTIF(AG$11:AG75,AG75)-1))</f>
        <v>65</v>
      </c>
      <c r="AF75" t="str">
        <f>VLOOKUP(Profile!$J$5,Families!$C:$R,6,FALSE)</f>
        <v>Herefordshire</v>
      </c>
      <c r="AG75" s="15">
        <f t="shared" si="34"/>
        <v>62.711864406779661</v>
      </c>
      <c r="AH75" s="50">
        <f t="shared" si="35"/>
        <v>65</v>
      </c>
      <c r="AI75" s="5" t="str">
        <f>IF(L75="","",VLOOKUP($L75,classifications!$C:$J,8,FALSE))</f>
        <v/>
      </c>
      <c r="AJ75" s="43" t="str">
        <f t="shared" si="36"/>
        <v/>
      </c>
      <c r="AK75" s="40" t="str">
        <f>IF(AJ75="","",IF(I$8="A",(RANK(AJ75,AJ$11:AJ$349,1)+COUNTIF(AJ$11:AJ75,AJ75)-1),(RANK(AJ75,AJ$11:AJ$349)+COUNTIF(AJ$11:AJ75,AJ75)-1)))</f>
        <v/>
      </c>
      <c r="AL75" s="3" t="str">
        <f t="shared" si="37"/>
        <v/>
      </c>
      <c r="AM75" t="str">
        <f t="shared" si="38"/>
        <v/>
      </c>
      <c r="AN75" t="str">
        <f t="shared" si="39"/>
        <v/>
      </c>
      <c r="AP75" s="5" t="str">
        <f>IF(L75="","",VLOOKUP($L75,classifications!$C:$E,3,FALSE))</f>
        <v/>
      </c>
      <c r="AQ75" s="43" t="str">
        <f t="shared" si="40"/>
        <v/>
      </c>
      <c r="AR75" s="40" t="str">
        <f>IF(AQ75="","",IF(I$8="A",(RANK(AQ75,AQ$11:AQ$349,1)+COUNTIF(AQ$11:AQ75,AQ75)-1),(RANK(AQ75,AQ$11:AQ$349)+COUNTIF(AQ$11:AQ75,AQ75)-1)))</f>
        <v/>
      </c>
      <c r="AS75" s="3" t="str">
        <f t="shared" si="41"/>
        <v/>
      </c>
      <c r="AT75" s="40" t="str">
        <f t="shared" si="42"/>
        <v/>
      </c>
      <c r="AU75" s="43" t="str">
        <f t="shared" si="43"/>
        <v/>
      </c>
      <c r="AX75">
        <f>HLOOKUP($AX$9&amp;$AX$10,Data!$A$1:$ZZ$1988,(MATCH($C75,Data!$A$1:$A$1988,0)),FALSE)</f>
        <v>94.520547945205479</v>
      </c>
    </row>
    <row r="76" spans="1:50">
      <c r="A76" s="59" t="str">
        <f>$D$1&amp;66</f>
        <v>UA66</v>
      </c>
      <c r="B76" s="60">
        <f>IF(ISERROR(VLOOKUP(A76,classifications!A:C,3,FALSE)),0,VLOOKUP(A76,classifications!A:C,3,FALSE))</f>
        <v>0</v>
      </c>
      <c r="C76" t="s">
        <v>45</v>
      </c>
      <c r="D76" t="str">
        <f>VLOOKUP($C76,classifications!$C:$J,4,FALSE)</f>
        <v>SD</v>
      </c>
      <c r="E76" t="str">
        <f>VLOOKUP(C76,classifications!C:K,9,FALSE)</f>
        <v>Sparse</v>
      </c>
      <c r="F76">
        <f t="shared" si="20"/>
        <v>93.75</v>
      </c>
      <c r="G76" s="15"/>
      <c r="H76" s="42" t="str">
        <f t="shared" si="21"/>
        <v/>
      </c>
      <c r="I76" s="79" t="str">
        <f>IF(H76="","",IF($I$8="A",(RANK(H76,H$11:H$349,1)+COUNTIF(H$11:H76,H76)-1),(RANK(H76,H$11:H$349)+COUNTIF(H$11:H76,H76)-1)))</f>
        <v/>
      </c>
      <c r="J76" s="41"/>
      <c r="K76" s="36" t="str">
        <f t="shared" si="22"/>
        <v/>
      </c>
      <c r="L76" t="str">
        <f t="shared" si="23"/>
        <v/>
      </c>
      <c r="M76" s="117" t="str">
        <f t="shared" si="24"/>
        <v/>
      </c>
      <c r="N76" s="112" t="str">
        <f t="shared" si="25"/>
        <v/>
      </c>
      <c r="O76" s="96" t="str">
        <f t="shared" si="26"/>
        <v/>
      </c>
      <c r="P76" s="96" t="str">
        <f t="shared" si="27"/>
        <v/>
      </c>
      <c r="Q76" s="96" t="str">
        <f t="shared" si="28"/>
        <v/>
      </c>
      <c r="R76" s="92" t="str">
        <f t="shared" si="29"/>
        <v/>
      </c>
      <c r="S76" s="42" t="str">
        <f t="shared" si="30"/>
        <v/>
      </c>
      <c r="T76" s="176" t="str">
        <f>IF(L76="","",VLOOKUP(L76,classifications!C:K,9,FALSE))</f>
        <v/>
      </c>
      <c r="U76" s="177" t="str">
        <f t="shared" si="31"/>
        <v/>
      </c>
      <c r="V76" s="183" t="str">
        <f>IF(U76="","",IF($I$8="A",(RANK(U76,U$11:U$349)+COUNTIF(U$11:U76,U76)-1),(RANK(U76,U$11:U$349,1)+COUNTIF(U$11:U76,U76)-1)))</f>
        <v/>
      </c>
      <c r="W76" s="184"/>
      <c r="X76" s="5" t="str">
        <f>IF(L76="","",VLOOKUP($L76,classifications!$C:$J,6,FALSE))</f>
        <v/>
      </c>
      <c r="Y76" t="str">
        <f t="shared" si="32"/>
        <v/>
      </c>
      <c r="Z76" s="40" t="str">
        <f>IF(Y76="","",IF(I$8="A",(RANK(Y76,Y$11:Y$349,1)+COUNTIF(Y$11:Y76,Y76)-1),(RANK(Y76,Y$11:Y$349)+COUNTIF(Y$11:Y76,Y76)-1)))</f>
        <v/>
      </c>
      <c r="AA76" s="189" t="str">
        <f>IF(L76="","",VLOOKUP($L76,classifications!C:I,7,FALSE))</f>
        <v/>
      </c>
      <c r="AB76" s="183" t="str">
        <f t="shared" si="33"/>
        <v/>
      </c>
      <c r="AC76" s="183" t="str">
        <f>IF(AB76="","",IF($I$8="A",(RANK(AB76,AB$11:AB$349)+COUNTIF(AB$11:AB76,AB76)-1),(RANK(AB76,AB$11:AB$349,1)+COUNTIF(AB$11:AB76,AB76)-1)))</f>
        <v/>
      </c>
      <c r="AD76" s="183"/>
      <c r="AE76" s="49">
        <f>IF(I$8="A",(RANK(AG76,AG$11:AG$349,1)+COUNTIF(AG$11:AG76,AG76)-1),(RANK(AG76,AG$11:AG$349)+COUNTIF(AG$11:AG76,AG76)-1))</f>
        <v>66</v>
      </c>
      <c r="AF76" t="str">
        <f>VLOOKUP(Profile!$J$5,Families!$C:$R,6,FALSE)</f>
        <v>Herefordshire</v>
      </c>
      <c r="AG76" s="15">
        <f t="shared" si="34"/>
        <v>62.711864406779661</v>
      </c>
      <c r="AH76" s="50">
        <f t="shared" si="35"/>
        <v>66</v>
      </c>
      <c r="AI76" s="5" t="str">
        <f>IF(L76="","",VLOOKUP($L76,classifications!$C:$J,8,FALSE))</f>
        <v/>
      </c>
      <c r="AJ76" s="43" t="str">
        <f t="shared" si="36"/>
        <v/>
      </c>
      <c r="AK76" s="40" t="str">
        <f>IF(AJ76="","",IF(I$8="A",(RANK(AJ76,AJ$11:AJ$349,1)+COUNTIF(AJ$11:AJ76,AJ76)-1),(RANK(AJ76,AJ$11:AJ$349)+COUNTIF(AJ$11:AJ76,AJ76)-1)))</f>
        <v/>
      </c>
      <c r="AL76" s="3" t="str">
        <f t="shared" si="37"/>
        <v/>
      </c>
      <c r="AM76" t="str">
        <f t="shared" si="38"/>
        <v/>
      </c>
      <c r="AN76" t="str">
        <f t="shared" si="39"/>
        <v/>
      </c>
      <c r="AP76" s="5" t="str">
        <f>IF(L76="","",VLOOKUP($L76,classifications!$C:$E,3,FALSE))</f>
        <v/>
      </c>
      <c r="AQ76" s="43" t="str">
        <f t="shared" si="40"/>
        <v/>
      </c>
      <c r="AR76" s="40" t="str">
        <f>IF(AQ76="","",IF(I$8="A",(RANK(AQ76,AQ$11:AQ$349,1)+COUNTIF(AQ$11:AQ76,AQ76)-1),(RANK(AQ76,AQ$11:AQ$349)+COUNTIF(AQ$11:AQ76,AQ76)-1)))</f>
        <v/>
      </c>
      <c r="AS76" s="3" t="str">
        <f t="shared" si="41"/>
        <v/>
      </c>
      <c r="AT76" s="40" t="str">
        <f t="shared" si="42"/>
        <v/>
      </c>
      <c r="AU76" s="43" t="str">
        <f t="shared" si="43"/>
        <v/>
      </c>
      <c r="AX76">
        <f>HLOOKUP($AX$9&amp;$AX$10,Data!$A$1:$ZZ$1988,(MATCH($C76,Data!$A$1:$A$1988,0)),FALSE)</f>
        <v>93.75</v>
      </c>
    </row>
    <row r="77" spans="1:50">
      <c r="A77" s="59" t="str">
        <f>$D$1&amp;67</f>
        <v>UA67</v>
      </c>
      <c r="B77" s="60">
        <f>IF(ISERROR(VLOOKUP(A77,classifications!A:C,3,FALSE)),0,VLOOKUP(A77,classifications!A:C,3,FALSE))</f>
        <v>0</v>
      </c>
      <c r="C77" t="s">
        <v>46</v>
      </c>
      <c r="D77" t="str">
        <f>VLOOKUP($C77,classifications!$C:$J,4,FALSE)</f>
        <v>SD</v>
      </c>
      <c r="E77">
        <f>VLOOKUP(C77,classifications!C:K,9,FALSE)</f>
        <v>0</v>
      </c>
      <c r="F77">
        <f t="shared" si="20"/>
        <v>100</v>
      </c>
      <c r="G77" s="15"/>
      <c r="H77" s="42" t="str">
        <f t="shared" si="21"/>
        <v/>
      </c>
      <c r="I77" s="79" t="str">
        <f>IF(H77="","",IF($I$8="A",(RANK(H77,H$11:H$349,1)+COUNTIF(H$11:H77,H77)-1),(RANK(H77,H$11:H$349)+COUNTIF(H$11:H77,H77)-1)))</f>
        <v/>
      </c>
      <c r="J77" s="41"/>
      <c r="K77" s="36" t="str">
        <f t="shared" si="22"/>
        <v/>
      </c>
      <c r="L77" t="str">
        <f t="shared" si="23"/>
        <v/>
      </c>
      <c r="M77" s="117" t="str">
        <f t="shared" si="24"/>
        <v/>
      </c>
      <c r="N77" s="112" t="str">
        <f t="shared" si="25"/>
        <v/>
      </c>
      <c r="O77" s="96" t="str">
        <f t="shared" si="26"/>
        <v/>
      </c>
      <c r="P77" s="96" t="str">
        <f t="shared" si="27"/>
        <v/>
      </c>
      <c r="Q77" s="96" t="str">
        <f t="shared" si="28"/>
        <v/>
      </c>
      <c r="R77" s="92" t="str">
        <f t="shared" si="29"/>
        <v/>
      </c>
      <c r="S77" s="42" t="str">
        <f t="shared" si="30"/>
        <v/>
      </c>
      <c r="T77" s="176" t="str">
        <f>IF(L77="","",VLOOKUP(L77,classifications!C:K,9,FALSE))</f>
        <v/>
      </c>
      <c r="U77" s="177" t="str">
        <f t="shared" si="31"/>
        <v/>
      </c>
      <c r="V77" s="183" t="str">
        <f>IF(U77="","",IF($I$8="A",(RANK(U77,U$11:U$349)+COUNTIF(U$11:U77,U77)-1),(RANK(U77,U$11:U$349,1)+COUNTIF(U$11:U77,U77)-1)))</f>
        <v/>
      </c>
      <c r="W77" s="184"/>
      <c r="X77" s="5" t="str">
        <f>IF(L77="","",VLOOKUP($L77,classifications!$C:$J,6,FALSE))</f>
        <v/>
      </c>
      <c r="Y77" t="str">
        <f t="shared" si="32"/>
        <v/>
      </c>
      <c r="Z77" s="40" t="str">
        <f>IF(Y77="","",IF(I$8="A",(RANK(Y77,Y$11:Y$349,1)+COUNTIF(Y$11:Y77,Y77)-1),(RANK(Y77,Y$11:Y$349)+COUNTIF(Y$11:Y77,Y77)-1)))</f>
        <v/>
      </c>
      <c r="AA77" s="189" t="str">
        <f>IF(L77="","",VLOOKUP($L77,classifications!C:I,7,FALSE))</f>
        <v/>
      </c>
      <c r="AB77" s="183" t="str">
        <f t="shared" si="33"/>
        <v/>
      </c>
      <c r="AC77" s="183" t="str">
        <f>IF(AB77="","",IF($I$8="A",(RANK(AB77,AB$11:AB$349)+COUNTIF(AB$11:AB77,AB77)-1),(RANK(AB77,AB$11:AB$349,1)+COUNTIF(AB$11:AB77,AB77)-1)))</f>
        <v/>
      </c>
      <c r="AD77" s="183"/>
      <c r="AE77" s="49">
        <f>IF(I$8="A",(RANK(AG77,AG$11:AG$349,1)+COUNTIF(AG$11:AG77,AG77)-1),(RANK(AG77,AG$11:AG$349)+COUNTIF(AG$11:AG77,AG77)-1))</f>
        <v>67</v>
      </c>
      <c r="AF77" t="str">
        <f>VLOOKUP(Profile!$J$5,Families!$C:$R,6,FALSE)</f>
        <v>Herefordshire</v>
      </c>
      <c r="AG77" s="15">
        <f t="shared" si="34"/>
        <v>62.711864406779661</v>
      </c>
      <c r="AH77" s="50">
        <f t="shared" si="35"/>
        <v>67</v>
      </c>
      <c r="AI77" s="5" t="str">
        <f>IF(L77="","",VLOOKUP($L77,classifications!$C:$J,8,FALSE))</f>
        <v/>
      </c>
      <c r="AJ77" s="43" t="str">
        <f t="shared" si="36"/>
        <v/>
      </c>
      <c r="AK77" s="40" t="str">
        <f>IF(AJ77="","",IF(I$8="A",(RANK(AJ77,AJ$11:AJ$349,1)+COUNTIF(AJ$11:AJ77,AJ77)-1),(RANK(AJ77,AJ$11:AJ$349)+COUNTIF(AJ$11:AJ77,AJ77)-1)))</f>
        <v/>
      </c>
      <c r="AL77" s="3" t="str">
        <f t="shared" si="37"/>
        <v/>
      </c>
      <c r="AM77" t="str">
        <f t="shared" si="38"/>
        <v/>
      </c>
      <c r="AN77" t="str">
        <f t="shared" si="39"/>
        <v/>
      </c>
      <c r="AP77" s="5" t="str">
        <f>IF(L77="","",VLOOKUP($L77,classifications!$C:$E,3,FALSE))</f>
        <v/>
      </c>
      <c r="AQ77" s="43" t="str">
        <f t="shared" si="40"/>
        <v/>
      </c>
      <c r="AR77" s="40" t="str">
        <f>IF(AQ77="","",IF(I$8="A",(RANK(AQ77,AQ$11:AQ$349,1)+COUNTIF(AQ$11:AQ77,AQ77)-1),(RANK(AQ77,AQ$11:AQ$349)+COUNTIF(AQ$11:AQ77,AQ77)-1)))</f>
        <v/>
      </c>
      <c r="AS77" s="3" t="str">
        <f t="shared" si="41"/>
        <v/>
      </c>
      <c r="AT77" s="40" t="str">
        <f t="shared" si="42"/>
        <v/>
      </c>
      <c r="AU77" s="43" t="str">
        <f t="shared" si="43"/>
        <v/>
      </c>
      <c r="AX77">
        <f>HLOOKUP($AX$9&amp;$AX$10,Data!$A$1:$ZZ$1988,(MATCH($C77,Data!$A$1:$A$1988,0)),FALSE)</f>
        <v>100</v>
      </c>
    </row>
    <row r="78" spans="1:50">
      <c r="A78" s="59" t="str">
        <f>$D$1&amp;68</f>
        <v>UA68</v>
      </c>
      <c r="B78" s="60">
        <f>IF(ISERROR(VLOOKUP(A78,classifications!A:C,3,FALSE)),0,VLOOKUP(A78,classifications!A:C,3,FALSE))</f>
        <v>0</v>
      </c>
      <c r="C78" t="s">
        <v>201</v>
      </c>
      <c r="D78" t="str">
        <f>VLOOKUP($C78,classifications!$C:$J,4,FALSE)</f>
        <v>L</v>
      </c>
      <c r="E78">
        <f>VLOOKUP(C78,classifications!C:K,9,FALSE)</f>
        <v>0</v>
      </c>
      <c r="F78">
        <f t="shared" si="20"/>
        <v>85.714285714285708</v>
      </c>
      <c r="G78" s="15"/>
      <c r="H78" s="42" t="str">
        <f t="shared" si="21"/>
        <v/>
      </c>
      <c r="I78" s="79" t="str">
        <f>IF(H78="","",IF($I$8="A",(RANK(H78,H$11:H$349,1)+COUNTIF(H$11:H78,H78)-1),(RANK(H78,H$11:H$349)+COUNTIF(H$11:H78,H78)-1)))</f>
        <v/>
      </c>
      <c r="J78" s="41"/>
      <c r="K78" s="36" t="str">
        <f t="shared" si="22"/>
        <v/>
      </c>
      <c r="L78" t="str">
        <f t="shared" si="23"/>
        <v/>
      </c>
      <c r="M78" s="117" t="str">
        <f t="shared" si="24"/>
        <v/>
      </c>
      <c r="N78" s="112" t="str">
        <f t="shared" si="25"/>
        <v/>
      </c>
      <c r="O78" s="96" t="str">
        <f t="shared" si="26"/>
        <v/>
      </c>
      <c r="P78" s="96" t="str">
        <f t="shared" si="27"/>
        <v/>
      </c>
      <c r="Q78" s="96" t="str">
        <f t="shared" si="28"/>
        <v/>
      </c>
      <c r="R78" s="92" t="str">
        <f t="shared" si="29"/>
        <v/>
      </c>
      <c r="S78" s="42" t="str">
        <f t="shared" si="30"/>
        <v/>
      </c>
      <c r="T78" s="176" t="str">
        <f>IF(L78="","",VLOOKUP(L78,classifications!C:K,9,FALSE))</f>
        <v/>
      </c>
      <c r="U78" s="177" t="str">
        <f t="shared" si="31"/>
        <v/>
      </c>
      <c r="V78" s="183" t="str">
        <f>IF(U78="","",IF($I$8="A",(RANK(U78,U$11:U$349)+COUNTIF(U$11:U78,U78)-1),(RANK(U78,U$11:U$349,1)+COUNTIF(U$11:U78,U78)-1)))</f>
        <v/>
      </c>
      <c r="W78" s="184"/>
      <c r="X78" s="5" t="str">
        <f>IF(L78="","",VLOOKUP($L78,classifications!$C:$J,6,FALSE))</f>
        <v/>
      </c>
      <c r="Y78" t="str">
        <f t="shared" si="32"/>
        <v/>
      </c>
      <c r="Z78" s="40" t="str">
        <f>IF(Y78="","",IF(I$8="A",(RANK(Y78,Y$11:Y$349,1)+COUNTIF(Y$11:Y78,Y78)-1),(RANK(Y78,Y$11:Y$349)+COUNTIF(Y$11:Y78,Y78)-1)))</f>
        <v/>
      </c>
      <c r="AA78" s="189" t="str">
        <f>IF(L78="","",VLOOKUP($L78,classifications!C:I,7,FALSE))</f>
        <v/>
      </c>
      <c r="AB78" s="183" t="str">
        <f t="shared" si="33"/>
        <v/>
      </c>
      <c r="AC78" s="183" t="str">
        <f>IF(AB78="","",IF($I$8="A",(RANK(AB78,AB$11:AB$349)+COUNTIF(AB$11:AB78,AB78)-1),(RANK(AB78,AB$11:AB$349,1)+COUNTIF(AB$11:AB78,AB78)-1)))</f>
        <v/>
      </c>
      <c r="AD78" s="183"/>
      <c r="AE78" s="49">
        <f>IF(I$8="A",(RANK(AG78,AG$11:AG$349,1)+COUNTIF(AG$11:AG78,AG78)-1),(RANK(AG78,AG$11:AG$349)+COUNTIF(AG$11:AG78,AG78)-1))</f>
        <v>68</v>
      </c>
      <c r="AF78" t="str">
        <f>VLOOKUP(Profile!$J$5,Families!$C:$R,6,FALSE)</f>
        <v>Herefordshire</v>
      </c>
      <c r="AG78" s="15">
        <f t="shared" si="34"/>
        <v>62.711864406779661</v>
      </c>
      <c r="AH78" s="50">
        <f t="shared" si="35"/>
        <v>68</v>
      </c>
      <c r="AI78" s="5" t="str">
        <f>IF(L78="","",VLOOKUP($L78,classifications!$C:$J,8,FALSE))</f>
        <v/>
      </c>
      <c r="AJ78" s="43" t="str">
        <f t="shared" si="36"/>
        <v/>
      </c>
      <c r="AK78" s="40" t="str">
        <f>IF(AJ78="","",IF(I$8="A",(RANK(AJ78,AJ$11:AJ$349,1)+COUNTIF(AJ$11:AJ78,AJ78)-1),(RANK(AJ78,AJ$11:AJ$349)+COUNTIF(AJ$11:AJ78,AJ78)-1)))</f>
        <v/>
      </c>
      <c r="AL78" s="3" t="str">
        <f t="shared" si="37"/>
        <v/>
      </c>
      <c r="AM78" t="str">
        <f t="shared" si="38"/>
        <v/>
      </c>
      <c r="AN78" t="str">
        <f t="shared" si="39"/>
        <v/>
      </c>
      <c r="AP78" s="5" t="str">
        <f>IF(L78="","",VLOOKUP($L78,classifications!$C:$E,3,FALSE))</f>
        <v/>
      </c>
      <c r="AQ78" s="43" t="str">
        <f t="shared" si="40"/>
        <v/>
      </c>
      <c r="AR78" s="40" t="str">
        <f>IF(AQ78="","",IF(I$8="A",(RANK(AQ78,AQ$11:AQ$349,1)+COUNTIF(AQ$11:AQ78,AQ78)-1),(RANK(AQ78,AQ$11:AQ$349)+COUNTIF(AQ$11:AQ78,AQ78)-1)))</f>
        <v/>
      </c>
      <c r="AS78" s="3" t="str">
        <f t="shared" si="41"/>
        <v/>
      </c>
      <c r="AT78" s="40" t="str">
        <f t="shared" si="42"/>
        <v/>
      </c>
      <c r="AU78" s="43" t="str">
        <f t="shared" si="43"/>
        <v/>
      </c>
      <c r="AX78">
        <f>HLOOKUP($AX$9&amp;$AX$10,Data!$A$1:$ZZ$1988,(MATCH($C78,Data!$A$1:$A$1988,0)),FALSE)</f>
        <v>85.714285714285708</v>
      </c>
    </row>
    <row r="79" spans="1:50">
      <c r="A79" s="59" t="str">
        <f>$D$1&amp;69</f>
        <v>UA69</v>
      </c>
      <c r="B79" s="60">
        <f>IF(ISERROR(VLOOKUP(A79,classifications!A:C,3,FALSE)),0,VLOOKUP(A79,classifications!A:C,3,FALSE))</f>
        <v>0</v>
      </c>
      <c r="C79" t="s">
        <v>306</v>
      </c>
      <c r="D79" t="str">
        <f>VLOOKUP($C79,classifications!$C:$J,4,FALSE)</f>
        <v>SC</v>
      </c>
      <c r="E79" t="str">
        <f>VLOOKUP(C79,classifications!C:K,9,FALSE)</f>
        <v>Sparse</v>
      </c>
      <c r="F79" t="e">
        <f t="shared" si="20"/>
        <v>#N/A</v>
      </c>
      <c r="G79" s="15"/>
      <c r="H79" s="42" t="str">
        <f t="shared" si="21"/>
        <v/>
      </c>
      <c r="I79" s="79" t="str">
        <f>IF(H79="","",IF($I$8="A",(RANK(H79,H$11:H$349,1)+COUNTIF(H$11:H79,H79)-1),(RANK(H79,H$11:H$349)+COUNTIF(H$11:H79,H79)-1)))</f>
        <v/>
      </c>
      <c r="J79" s="41"/>
      <c r="K79" s="36" t="str">
        <f t="shared" si="22"/>
        <v/>
      </c>
      <c r="L79" t="str">
        <f t="shared" si="23"/>
        <v/>
      </c>
      <c r="M79" s="117" t="str">
        <f t="shared" si="24"/>
        <v/>
      </c>
      <c r="N79" s="112" t="str">
        <f t="shared" si="25"/>
        <v/>
      </c>
      <c r="O79" s="96" t="str">
        <f t="shared" si="26"/>
        <v/>
      </c>
      <c r="P79" s="96" t="str">
        <f t="shared" si="27"/>
        <v/>
      </c>
      <c r="Q79" s="96" t="str">
        <f t="shared" si="28"/>
        <v/>
      </c>
      <c r="R79" s="92" t="str">
        <f t="shared" si="29"/>
        <v/>
      </c>
      <c r="S79" s="42" t="str">
        <f t="shared" si="30"/>
        <v/>
      </c>
      <c r="T79" s="176" t="str">
        <f>IF(L79="","",VLOOKUP(L79,classifications!C:K,9,FALSE))</f>
        <v/>
      </c>
      <c r="U79" s="177" t="str">
        <f t="shared" si="31"/>
        <v/>
      </c>
      <c r="V79" s="183" t="str">
        <f>IF(U79="","",IF($I$8="A",(RANK(U79,U$11:U$349)+COUNTIF(U$11:U79,U79)-1),(RANK(U79,U$11:U$349,1)+COUNTIF(U$11:U79,U79)-1)))</f>
        <v/>
      </c>
      <c r="W79" s="184"/>
      <c r="X79" s="5" t="str">
        <f>IF(L79="","",VLOOKUP($L79,classifications!$C:$J,6,FALSE))</f>
        <v/>
      </c>
      <c r="Y79" t="str">
        <f t="shared" si="32"/>
        <v/>
      </c>
      <c r="Z79" s="40" t="str">
        <f>IF(Y79="","",IF(I$8="A",(RANK(Y79,Y$11:Y$349,1)+COUNTIF(Y$11:Y79,Y79)-1),(RANK(Y79,Y$11:Y$349)+COUNTIF(Y$11:Y79,Y79)-1)))</f>
        <v/>
      </c>
      <c r="AA79" s="189" t="str">
        <f>IF(L79="","",VLOOKUP($L79,classifications!C:I,7,FALSE))</f>
        <v/>
      </c>
      <c r="AB79" s="183" t="str">
        <f t="shared" si="33"/>
        <v/>
      </c>
      <c r="AC79" s="183" t="str">
        <f>IF(AB79="","",IF($I$8="A",(RANK(AB79,AB$11:AB$349)+COUNTIF(AB$11:AB79,AB79)-1),(RANK(AB79,AB$11:AB$349,1)+COUNTIF(AB$11:AB79,AB79)-1)))</f>
        <v/>
      </c>
      <c r="AD79" s="183"/>
      <c r="AE79" s="49">
        <f>IF(I$8="A",(RANK(AG79,AG$11:AG$349,1)+COUNTIF(AG$11:AG79,AG79)-1),(RANK(AG79,AG$11:AG$349)+COUNTIF(AG$11:AG79,AG79)-1))</f>
        <v>69</v>
      </c>
      <c r="AF79" t="str">
        <f>VLOOKUP(Profile!$J$5,Families!$C:$R,6,FALSE)</f>
        <v>Herefordshire</v>
      </c>
      <c r="AG79" s="15">
        <f t="shared" si="34"/>
        <v>62.711864406779661</v>
      </c>
      <c r="AH79" s="50">
        <f t="shared" si="35"/>
        <v>69</v>
      </c>
      <c r="AI79" s="5" t="str">
        <f>IF(L79="","",VLOOKUP($L79,classifications!$C:$J,8,FALSE))</f>
        <v/>
      </c>
      <c r="AJ79" s="43" t="str">
        <f t="shared" si="36"/>
        <v/>
      </c>
      <c r="AK79" s="40" t="str">
        <f>IF(AJ79="","",IF(I$8="A",(RANK(AJ79,AJ$11:AJ$349,1)+COUNTIF(AJ$11:AJ79,AJ79)-1),(RANK(AJ79,AJ$11:AJ$349)+COUNTIF(AJ$11:AJ79,AJ79)-1)))</f>
        <v/>
      </c>
      <c r="AL79" s="3" t="str">
        <f t="shared" si="37"/>
        <v/>
      </c>
      <c r="AM79" t="str">
        <f t="shared" si="38"/>
        <v/>
      </c>
      <c r="AN79" t="str">
        <f t="shared" si="39"/>
        <v/>
      </c>
      <c r="AP79" s="5" t="str">
        <f>IF(L79="","",VLOOKUP($L79,classifications!$C:$E,3,FALSE))</f>
        <v/>
      </c>
      <c r="AQ79" s="43" t="str">
        <f t="shared" si="40"/>
        <v/>
      </c>
      <c r="AR79" s="40" t="str">
        <f>IF(AQ79="","",IF(I$8="A",(RANK(AQ79,AQ$11:AQ$349,1)+COUNTIF(AQ$11:AQ79,AQ79)-1),(RANK(AQ79,AQ$11:AQ$349)+COUNTIF(AQ$11:AQ79,AQ79)-1)))</f>
        <v/>
      </c>
      <c r="AS79" s="3" t="str">
        <f t="shared" si="41"/>
        <v/>
      </c>
      <c r="AT79" s="40" t="str">
        <f t="shared" si="42"/>
        <v/>
      </c>
      <c r="AU79" s="43" t="str">
        <f t="shared" si="43"/>
        <v/>
      </c>
      <c r="AX79" t="e">
        <f>HLOOKUP($AX$9&amp;$AX$10,Data!$A$1:$ZZ$1988,(MATCH($C79,Data!$A$1:$A$1988,0)),FALSE)</f>
        <v>#N/A</v>
      </c>
    </row>
    <row r="80" spans="1:50">
      <c r="A80" s="59" t="str">
        <f>$D$1&amp;70</f>
        <v>UA70</v>
      </c>
      <c r="B80" s="60">
        <f>IF(ISERROR(VLOOKUP(A80,classifications!A:C,3,FALSE)),0,VLOOKUP(A80,classifications!A:C,3,FALSE))</f>
        <v>0</v>
      </c>
      <c r="C80" t="s">
        <v>47</v>
      </c>
      <c r="D80" t="str">
        <f>VLOOKUP($C80,classifications!$C:$J,4,FALSE)</f>
        <v>SD</v>
      </c>
      <c r="E80">
        <f>VLOOKUP(C80,classifications!C:K,9,FALSE)</f>
        <v>0</v>
      </c>
      <c r="F80">
        <f t="shared" si="20"/>
        <v>52.941176470588239</v>
      </c>
      <c r="G80" s="15"/>
      <c r="H80" s="42" t="str">
        <f t="shared" si="21"/>
        <v/>
      </c>
      <c r="I80" s="79" t="str">
        <f>IF(H80="","",IF($I$8="A",(RANK(H80,H$11:H$349,1)+COUNTIF(H$11:H80,H80)-1),(RANK(H80,H$11:H$349)+COUNTIF(H$11:H80,H80)-1)))</f>
        <v/>
      </c>
      <c r="J80" s="41"/>
      <c r="K80" s="36" t="str">
        <f t="shared" si="22"/>
        <v/>
      </c>
      <c r="L80" t="str">
        <f t="shared" si="23"/>
        <v/>
      </c>
      <c r="M80" s="117" t="str">
        <f t="shared" si="24"/>
        <v/>
      </c>
      <c r="N80" s="112" t="str">
        <f t="shared" si="25"/>
        <v/>
      </c>
      <c r="O80" s="96" t="str">
        <f t="shared" si="26"/>
        <v/>
      </c>
      <c r="P80" s="96" t="str">
        <f t="shared" si="27"/>
        <v/>
      </c>
      <c r="Q80" s="96" t="str">
        <f t="shared" si="28"/>
        <v/>
      </c>
      <c r="R80" s="92" t="str">
        <f t="shared" si="29"/>
        <v/>
      </c>
      <c r="S80" s="42" t="str">
        <f t="shared" si="30"/>
        <v/>
      </c>
      <c r="T80" s="176" t="str">
        <f>IF(L80="","",VLOOKUP(L80,classifications!C:K,9,FALSE))</f>
        <v/>
      </c>
      <c r="U80" s="177" t="str">
        <f t="shared" si="31"/>
        <v/>
      </c>
      <c r="V80" s="183" t="str">
        <f>IF(U80="","",IF($I$8="A",(RANK(U80,U$11:U$349)+COUNTIF(U$11:U80,U80)-1),(RANK(U80,U$11:U$349,1)+COUNTIF(U$11:U80,U80)-1)))</f>
        <v/>
      </c>
      <c r="W80" s="184"/>
      <c r="X80" s="5" t="str">
        <f>IF(L80="","",VLOOKUP($L80,classifications!$C:$J,6,FALSE))</f>
        <v/>
      </c>
      <c r="Y80" t="str">
        <f t="shared" si="32"/>
        <v/>
      </c>
      <c r="Z80" s="40" t="str">
        <f>IF(Y80="","",IF(I$8="A",(RANK(Y80,Y$11:Y$349,1)+COUNTIF(Y$11:Y80,Y80)-1),(RANK(Y80,Y$11:Y$349)+COUNTIF(Y$11:Y80,Y80)-1)))</f>
        <v/>
      </c>
      <c r="AA80" s="189" t="str">
        <f>IF(L80="","",VLOOKUP($L80,classifications!C:I,7,FALSE))</f>
        <v/>
      </c>
      <c r="AB80" s="183" t="str">
        <f t="shared" si="33"/>
        <v/>
      </c>
      <c r="AC80" s="183" t="str">
        <f>IF(AB80="","",IF($I$8="A",(RANK(AB80,AB$11:AB$349)+COUNTIF(AB$11:AB80,AB80)-1),(RANK(AB80,AB$11:AB$349,1)+COUNTIF(AB$11:AB80,AB80)-1)))</f>
        <v/>
      </c>
      <c r="AD80" s="183"/>
      <c r="AE80" s="49">
        <f>IF(I$8="A",(RANK(AG80,AG$11:AG$349,1)+COUNTIF(AG$11:AG80,AG80)-1),(RANK(AG80,AG$11:AG$349)+COUNTIF(AG$11:AG80,AG80)-1))</f>
        <v>70</v>
      </c>
      <c r="AF80" t="str">
        <f>VLOOKUP(Profile!$J$5,Families!$C:$R,6,FALSE)</f>
        <v>Herefordshire</v>
      </c>
      <c r="AG80" s="15">
        <f t="shared" si="34"/>
        <v>62.711864406779661</v>
      </c>
      <c r="AH80" s="50">
        <f t="shared" si="35"/>
        <v>70</v>
      </c>
      <c r="AI80" s="5" t="str">
        <f>IF(L80="","",VLOOKUP($L80,classifications!$C:$J,8,FALSE))</f>
        <v/>
      </c>
      <c r="AJ80" s="43" t="str">
        <f t="shared" si="36"/>
        <v/>
      </c>
      <c r="AK80" s="40" t="str">
        <f>IF(AJ80="","",IF(I$8="A",(RANK(AJ80,AJ$11:AJ$349,1)+COUNTIF(AJ$11:AJ80,AJ80)-1),(RANK(AJ80,AJ$11:AJ$349)+COUNTIF(AJ$11:AJ80,AJ80)-1)))</f>
        <v/>
      </c>
      <c r="AL80" s="3" t="str">
        <f t="shared" si="37"/>
        <v/>
      </c>
      <c r="AM80" t="str">
        <f t="shared" si="38"/>
        <v/>
      </c>
      <c r="AN80" t="str">
        <f t="shared" si="39"/>
        <v/>
      </c>
      <c r="AP80" s="5" t="str">
        <f>IF(L80="","",VLOOKUP($L80,classifications!$C:$E,3,FALSE))</f>
        <v/>
      </c>
      <c r="AQ80" s="43" t="str">
        <f t="shared" si="40"/>
        <v/>
      </c>
      <c r="AR80" s="40" t="str">
        <f>IF(AQ80="","",IF(I$8="A",(RANK(AQ80,AQ$11:AQ$349,1)+COUNTIF(AQ$11:AQ80,AQ80)-1),(RANK(AQ80,AQ$11:AQ$349)+COUNTIF(AQ$11:AQ80,AQ80)-1)))</f>
        <v/>
      </c>
      <c r="AS80" s="3" t="str">
        <f t="shared" si="41"/>
        <v/>
      </c>
      <c r="AT80" s="40" t="str">
        <f t="shared" si="42"/>
        <v/>
      </c>
      <c r="AU80" s="43" t="str">
        <f t="shared" si="43"/>
        <v/>
      </c>
      <c r="AX80">
        <f>HLOOKUP($AX$9&amp;$AX$10,Data!$A$1:$ZZ$1988,(MATCH($C80,Data!$A$1:$A$1988,0)),FALSE)</f>
        <v>52.941176470588239</v>
      </c>
    </row>
    <row r="81" spans="1:50">
      <c r="A81" s="59" t="str">
        <f>$D$1&amp;71</f>
        <v>UA71</v>
      </c>
      <c r="B81" s="60">
        <f>IF(ISERROR(VLOOKUP(A81,classifications!A:C,3,FALSE)),0,VLOOKUP(A81,classifications!A:C,3,FALSE))</f>
        <v>0</v>
      </c>
      <c r="C81" t="s">
        <v>264</v>
      </c>
      <c r="D81" t="str">
        <f>VLOOKUP($C81,classifications!$C:$J,4,FALSE)</f>
        <v>UA</v>
      </c>
      <c r="E81">
        <f>VLOOKUP(C81,classifications!C:K,9,FALSE)</f>
        <v>0</v>
      </c>
      <c r="F81">
        <f t="shared" ref="F81:F144" si="44">HLOOKUP($D$6,AX$10:ZX$353,ROW()-9,FALSE)</f>
        <v>86.36363636363636</v>
      </c>
      <c r="G81" s="15"/>
      <c r="H81" s="42">
        <f t="shared" ref="H81:H144" si="45">IF(D81=$D$1,HLOOKUP($D$6,$AX$10:$ZZ$353,ROW()-9,FALSE),"")</f>
        <v>86.36363636363636</v>
      </c>
      <c r="I81" s="79">
        <f>IF(H81="","",IF($I$8="A",(RANK(H81,H$11:H$349,1)+COUNTIF(H$11:H81,H81)-1),(RANK(H81,H$11:H$349)+COUNTIF(H$11:H81,H81)-1)))</f>
        <v>40</v>
      </c>
      <c r="J81" s="41"/>
      <c r="K81" s="36" t="str">
        <f t="shared" ref="K81:K144" si="46">IF(K80="","",IF(K80+1&gt;(COUNT(H$11:H$349)),"",K80+1))</f>
        <v/>
      </c>
      <c r="L81" t="str">
        <f t="shared" ref="L81:L144" si="47">IF(K81="","",INDEX(C$11:C$349,MATCH(K81,I$11:I$349,0)))</f>
        <v/>
      </c>
      <c r="M81" s="117" t="str">
        <f t="shared" ref="M81:M144" si="48">IF(L81="","",IF(VLOOKUP(L81,C:D,2,FALSE)=$F$3,VLOOKUP(L81,C:H,6,FALSE),""))</f>
        <v/>
      </c>
      <c r="N81" s="112" t="str">
        <f t="shared" ref="N81:N144" si="49">IF(L81="","",IF($H$8="%%",M81*100,M81))</f>
        <v/>
      </c>
      <c r="O81" s="96" t="str">
        <f t="shared" ref="O81:O144" si="50">IF(I$8="A",IF(N81&gt;=$P$7,IF(N81&lt;=$O$10,N81,""),""),IF(N81&lt;=$P$7,IF(N81&gt;=$O$10,N81,""),""))</f>
        <v/>
      </c>
      <c r="P81" s="96" t="str">
        <f t="shared" ref="P81:P144" si="51">IF(I$8="A",IF(N81&gt;$O$10,IF(N81&lt;=$P$10,N81,""),""),IF(N81&lt;$O$10,IF(N81&gt;=$P$10,N81,""),""))</f>
        <v/>
      </c>
      <c r="Q81" s="96" t="str">
        <f t="shared" ref="Q81:Q144" si="52">IF(I$8="A",IF(N81&gt;$P$10,IF(N81&lt;=$Q$10,N81,""),""),IF(N81&lt;$P$10,IF(N81&gt;=$Q$10,N81,""),""))</f>
        <v/>
      </c>
      <c r="R81" s="92" t="str">
        <f t="shared" ref="R81:R144" si="53">IF(I$8="A",IF(N81&gt;$Q$10,N81,""),IF(N81&lt;$Q$10,N81,""))</f>
        <v/>
      </c>
      <c r="S81" s="42" t="str">
        <f t="shared" ref="S81:S144" si="54">IF(L81=D$3,"u","")</f>
        <v/>
      </c>
      <c r="T81" s="176" t="str">
        <f>IF(L81="","",VLOOKUP(L81,classifications!C:K,9,FALSE))</f>
        <v/>
      </c>
      <c r="U81" s="177" t="str">
        <f t="shared" ref="U81:U144" si="55">IF(T81="Sparse",M81,"")</f>
        <v/>
      </c>
      <c r="V81" s="183" t="str">
        <f>IF(U81="","",IF($I$8="A",(RANK(U81,U$11:U$349)+COUNTIF(U$11:U81,U81)-1),(RANK(U81,U$11:U$349,1)+COUNTIF(U$11:U81,U81)-1)))</f>
        <v/>
      </c>
      <c r="W81" s="184"/>
      <c r="X81" s="5" t="str">
        <f>IF(L81="","",VLOOKUP($L81,classifications!$C:$J,6,FALSE))</f>
        <v/>
      </c>
      <c r="Y81" t="str">
        <f t="shared" ref="Y81:Y144" si="56">IF($D$1="UA",IF(X81="Predominantly Rural ",M81,IF(X81="Predominantly Rural ",M81,IF(X81="Urban with Significant Rural",M81,""))),IF($D$1="SD",IF(X81=$H$3,M81,"")))</f>
        <v/>
      </c>
      <c r="Z81" s="40" t="str">
        <f>IF(Y81="","",IF(I$8="A",(RANK(Y81,Y$11:Y$349,1)+COUNTIF(Y$11:Y81,Y81)-1),(RANK(Y81,Y$11:Y$349)+COUNTIF(Y$11:Y81,Y81)-1)))</f>
        <v/>
      </c>
      <c r="AA81" s="189" t="str">
        <f>IF(L81="","",VLOOKUP($L81,classifications!C:I,7,FALSE))</f>
        <v/>
      </c>
      <c r="AB81" s="183" t="str">
        <f t="shared" ref="AB81:AB144" si="57">IF(AA81=$J$3,M81,"")</f>
        <v/>
      </c>
      <c r="AC81" s="183" t="str">
        <f>IF(AB81="","",IF($I$8="A",(RANK(AB81,AB$11:AB$349)+COUNTIF(AB$11:AB81,AB81)-1),(RANK(AB81,AB$11:AB$349,1)+COUNTIF(AB$11:AB81,AB81)-1)))</f>
        <v/>
      </c>
      <c r="AD81" s="183"/>
      <c r="AE81" s="49">
        <f>IF(I$8="A",(RANK(AG81,AG$11:AG$349,1)+COUNTIF(AG$11:AG81,AG81)-1),(RANK(AG81,AG$11:AG$349)+COUNTIF(AG$11:AG81,AG81)-1))</f>
        <v>71</v>
      </c>
      <c r="AF81" t="str">
        <f>VLOOKUP(Profile!$J$5,Families!$C:$R,6,FALSE)</f>
        <v>Herefordshire</v>
      </c>
      <c r="AG81" s="15">
        <f t="shared" ref="AG81:AG144" si="58">VLOOKUP(AF81,$C$11:$H$349,4,FALSE)</f>
        <v>62.711864406779661</v>
      </c>
      <c r="AH81" s="50">
        <f t="shared" ref="AH81:AH144" si="59">AE81</f>
        <v>71</v>
      </c>
      <c r="AI81" s="5" t="str">
        <f>IF(L81="","",VLOOKUP($L81,classifications!$C:$J,8,FALSE))</f>
        <v/>
      </c>
      <c r="AJ81" s="43" t="str">
        <f t="shared" ref="AJ81:AJ144" si="60">IF(AI81=$I$3,M81,"")</f>
        <v/>
      </c>
      <c r="AK81" s="40" t="str">
        <f>IF(AJ81="","",IF(I$8="A",(RANK(AJ81,AJ$11:AJ$349,1)+COUNTIF(AJ$11:AJ81,AJ81)-1),(RANK(AJ81,AJ$11:AJ$349)+COUNTIF(AJ$11:AJ81,AJ81)-1)))</f>
        <v/>
      </c>
      <c r="AL81" s="3" t="str">
        <f t="shared" ref="AL81:AL144" si="61">IF(AL80="","",IF(AL80+1&gt;(COUNT(AJ$11:AJ$349)),"",AL80+1))</f>
        <v/>
      </c>
      <c r="AM81" t="str">
        <f t="shared" ref="AM81:AM144" si="62">IF(ISNA(IF(AL81="","",INDEX(L$11:L$349,MATCH(AL81,AK$11:AK$349,0)))),"",(IF(AL81="","",INDEX(L$11:L$349,MATCH(AL81,AK$11:AK$349,0)))))</f>
        <v/>
      </c>
      <c r="AN81" t="str">
        <f t="shared" ref="AN81:AN144" si="63">(VLOOKUP(AM81,L:M,2,FALSE))</f>
        <v/>
      </c>
      <c r="AP81" s="5" t="str">
        <f>IF(L81="","",VLOOKUP($L81,classifications!$C:$E,3,FALSE))</f>
        <v/>
      </c>
      <c r="AQ81" s="43" t="str">
        <f t="shared" ref="AQ81:AQ144" si="64">IF(AP81=$G$3,$M81,"")</f>
        <v/>
      </c>
      <c r="AR81" s="40" t="str">
        <f>IF(AQ81="","",IF(I$8="A",(RANK(AQ81,AQ$11:AQ$349,1)+COUNTIF(AQ$11:AQ81,AQ81)-1),(RANK(AQ81,AQ$11:AQ$349)+COUNTIF(AQ$11:AQ81,AQ81)-1)))</f>
        <v/>
      </c>
      <c r="AS81" s="3" t="str">
        <f t="shared" ref="AS81:AS144" si="65">IF(AS80="","",IF(AS80+1&gt;(COUNT(AQ$11:AQ$349)),"",AS80+1))</f>
        <v/>
      </c>
      <c r="AT81" s="40" t="str">
        <f t="shared" ref="AT81:AT144" si="66">IF(AS81="","",INDEX(L$11:L$349,MATCH(AS81,AR$11:AR$349,0)))</f>
        <v/>
      </c>
      <c r="AU81" s="43" t="str">
        <f t="shared" ref="AU81:AU144" si="67">IF(AT81="","",VLOOKUP(AT81,L:M,2,FALSE))</f>
        <v/>
      </c>
      <c r="AX81">
        <f>HLOOKUP($AX$9&amp;$AX$10,Data!$A$1:$ZZ$1988,(MATCH($C81,Data!$A$1:$A$1988,0)),FALSE)</f>
        <v>86.36363636363636</v>
      </c>
    </row>
    <row r="82" spans="1:50">
      <c r="A82" s="59" t="str">
        <f>$D$1&amp;72</f>
        <v>UA72</v>
      </c>
      <c r="B82" s="60">
        <f>IF(ISERROR(VLOOKUP(A82,classifications!A:C,3,FALSE)),0,VLOOKUP(A82,classifications!A:C,3,FALSE))</f>
        <v>0</v>
      </c>
      <c r="C82" t="s">
        <v>48</v>
      </c>
      <c r="D82" t="str">
        <f>VLOOKUP($C82,classifications!$C:$J,4,FALSE)</f>
        <v>SD</v>
      </c>
      <c r="E82">
        <f>VLOOKUP(C82,classifications!C:K,9,FALSE)</f>
        <v>0</v>
      </c>
      <c r="F82">
        <f t="shared" si="44"/>
        <v>84.615384615384613</v>
      </c>
      <c r="G82" s="15"/>
      <c r="H82" s="42" t="str">
        <f t="shared" si="45"/>
        <v/>
      </c>
      <c r="I82" s="79" t="str">
        <f>IF(H82="","",IF($I$8="A",(RANK(H82,H$11:H$349,1)+COUNTIF(H$11:H82,H82)-1),(RANK(H82,H$11:H$349)+COUNTIF(H$11:H82,H82)-1)))</f>
        <v/>
      </c>
      <c r="J82" s="41"/>
      <c r="K82" s="36" t="str">
        <f t="shared" si="46"/>
        <v/>
      </c>
      <c r="L82" t="str">
        <f t="shared" si="47"/>
        <v/>
      </c>
      <c r="M82" s="117" t="str">
        <f t="shared" si="48"/>
        <v/>
      </c>
      <c r="N82" s="112" t="str">
        <f t="shared" si="49"/>
        <v/>
      </c>
      <c r="O82" s="96" t="str">
        <f t="shared" si="50"/>
        <v/>
      </c>
      <c r="P82" s="96" t="str">
        <f t="shared" si="51"/>
        <v/>
      </c>
      <c r="Q82" s="96" t="str">
        <f t="shared" si="52"/>
        <v/>
      </c>
      <c r="R82" s="92" t="str">
        <f t="shared" si="53"/>
        <v/>
      </c>
      <c r="S82" s="42" t="str">
        <f t="shared" si="54"/>
        <v/>
      </c>
      <c r="T82" s="176" t="str">
        <f>IF(L82="","",VLOOKUP(L82,classifications!C:K,9,FALSE))</f>
        <v/>
      </c>
      <c r="U82" s="177" t="str">
        <f t="shared" si="55"/>
        <v/>
      </c>
      <c r="V82" s="183" t="str">
        <f>IF(U82="","",IF($I$8="A",(RANK(U82,U$11:U$349)+COUNTIF(U$11:U82,U82)-1),(RANK(U82,U$11:U$349,1)+COUNTIF(U$11:U82,U82)-1)))</f>
        <v/>
      </c>
      <c r="W82" s="184"/>
      <c r="X82" s="5" t="str">
        <f>IF(L82="","",VLOOKUP($L82,classifications!$C:$J,6,FALSE))</f>
        <v/>
      </c>
      <c r="Y82" t="str">
        <f t="shared" si="56"/>
        <v/>
      </c>
      <c r="Z82" s="40" t="str">
        <f>IF(Y82="","",IF(I$8="A",(RANK(Y82,Y$11:Y$349,1)+COUNTIF(Y$11:Y82,Y82)-1),(RANK(Y82,Y$11:Y$349)+COUNTIF(Y$11:Y82,Y82)-1)))</f>
        <v/>
      </c>
      <c r="AA82" s="189" t="str">
        <f>IF(L82="","",VLOOKUP($L82,classifications!C:I,7,FALSE))</f>
        <v/>
      </c>
      <c r="AB82" s="183" t="str">
        <f t="shared" si="57"/>
        <v/>
      </c>
      <c r="AC82" s="183" t="str">
        <f>IF(AB82="","",IF($I$8="A",(RANK(AB82,AB$11:AB$349)+COUNTIF(AB$11:AB82,AB82)-1),(RANK(AB82,AB$11:AB$349,1)+COUNTIF(AB$11:AB82,AB82)-1)))</f>
        <v/>
      </c>
      <c r="AD82" s="183"/>
      <c r="AE82" s="49">
        <f>IF(I$8="A",(RANK(AG82,AG$11:AG$349,1)+COUNTIF(AG$11:AG82,AG82)-1),(RANK(AG82,AG$11:AG$349)+COUNTIF(AG$11:AG82,AG82)-1))</f>
        <v>72</v>
      </c>
      <c r="AF82" t="str">
        <f>VLOOKUP(Profile!$J$5,Families!$C:$R,6,FALSE)</f>
        <v>Herefordshire</v>
      </c>
      <c r="AG82" s="15">
        <f t="shared" si="58"/>
        <v>62.711864406779661</v>
      </c>
      <c r="AH82" s="50">
        <f t="shared" si="59"/>
        <v>72</v>
      </c>
      <c r="AI82" s="5" t="str">
        <f>IF(L82="","",VLOOKUP($L82,classifications!$C:$J,8,FALSE))</f>
        <v/>
      </c>
      <c r="AJ82" s="43" t="str">
        <f t="shared" si="60"/>
        <v/>
      </c>
      <c r="AK82" s="40" t="str">
        <f>IF(AJ82="","",IF(I$8="A",(RANK(AJ82,AJ$11:AJ$349,1)+COUNTIF(AJ$11:AJ82,AJ82)-1),(RANK(AJ82,AJ$11:AJ$349)+COUNTIF(AJ$11:AJ82,AJ82)-1)))</f>
        <v/>
      </c>
      <c r="AL82" s="3" t="str">
        <f t="shared" si="61"/>
        <v/>
      </c>
      <c r="AM82" t="str">
        <f t="shared" si="62"/>
        <v/>
      </c>
      <c r="AN82" t="str">
        <f t="shared" si="63"/>
        <v/>
      </c>
      <c r="AP82" s="5" t="str">
        <f>IF(L82="","",VLOOKUP($L82,classifications!$C:$E,3,FALSE))</f>
        <v/>
      </c>
      <c r="AQ82" s="43" t="str">
        <f t="shared" si="64"/>
        <v/>
      </c>
      <c r="AR82" s="40" t="str">
        <f>IF(AQ82="","",IF(I$8="A",(RANK(AQ82,AQ$11:AQ$349,1)+COUNTIF(AQ$11:AQ82,AQ82)-1),(RANK(AQ82,AQ$11:AQ$349)+COUNTIF(AQ$11:AQ82,AQ82)-1)))</f>
        <v/>
      </c>
      <c r="AS82" s="3" t="str">
        <f t="shared" si="65"/>
        <v/>
      </c>
      <c r="AT82" s="40" t="str">
        <f t="shared" si="66"/>
        <v/>
      </c>
      <c r="AU82" s="43" t="str">
        <f t="shared" si="67"/>
        <v/>
      </c>
      <c r="AX82">
        <f>HLOOKUP($AX$9&amp;$AX$10,Data!$A$1:$ZZ$1988,(MATCH($C82,Data!$A$1:$A$1988,0)),FALSE)</f>
        <v>84.615384615384613</v>
      </c>
    </row>
    <row r="83" spans="1:50">
      <c r="A83" s="59" t="str">
        <f>$D$1&amp;73</f>
        <v>UA73</v>
      </c>
      <c r="B83" s="60">
        <f>IF(ISERROR(VLOOKUP(A83,classifications!A:C,3,FALSE)),0,VLOOKUP(A83,classifications!A:C,3,FALSE))</f>
        <v>0</v>
      </c>
      <c r="C83" t="s">
        <v>265</v>
      </c>
      <c r="D83" t="str">
        <f>VLOOKUP($C83,classifications!$C:$J,4,FALSE)</f>
        <v>UA</v>
      </c>
      <c r="E83">
        <f>VLOOKUP(C83,classifications!C:K,9,FALSE)</f>
        <v>0</v>
      </c>
      <c r="F83">
        <f t="shared" si="44"/>
        <v>92.682926829268297</v>
      </c>
      <c r="G83" s="15"/>
      <c r="H83" s="42">
        <f t="shared" si="45"/>
        <v>92.682926829268297</v>
      </c>
      <c r="I83" s="79">
        <f>IF(H83="","",IF($I$8="A",(RANK(H83,H$11:H$349,1)+COUNTIF(H$11:H83,H83)-1),(RANK(H83,H$11:H$349)+COUNTIF(H$11:H83,H83)-1)))</f>
        <v>25</v>
      </c>
      <c r="J83" s="41"/>
      <c r="K83" s="36" t="str">
        <f t="shared" si="46"/>
        <v/>
      </c>
      <c r="L83" t="str">
        <f t="shared" si="47"/>
        <v/>
      </c>
      <c r="M83" s="117" t="str">
        <f t="shared" si="48"/>
        <v/>
      </c>
      <c r="N83" s="112" t="str">
        <f t="shared" si="49"/>
        <v/>
      </c>
      <c r="O83" s="96" t="str">
        <f t="shared" si="50"/>
        <v/>
      </c>
      <c r="P83" s="96" t="str">
        <f t="shared" si="51"/>
        <v/>
      </c>
      <c r="Q83" s="96" t="str">
        <f t="shared" si="52"/>
        <v/>
      </c>
      <c r="R83" s="92" t="str">
        <f t="shared" si="53"/>
        <v/>
      </c>
      <c r="S83" s="42" t="str">
        <f t="shared" si="54"/>
        <v/>
      </c>
      <c r="T83" s="176" t="str">
        <f>IF(L83="","",VLOOKUP(L83,classifications!C:K,9,FALSE))</f>
        <v/>
      </c>
      <c r="U83" s="177" t="str">
        <f t="shared" si="55"/>
        <v/>
      </c>
      <c r="V83" s="183" t="str">
        <f>IF(U83="","",IF($I$8="A",(RANK(U83,U$11:U$349)+COUNTIF(U$11:U83,U83)-1),(RANK(U83,U$11:U$349,1)+COUNTIF(U$11:U83,U83)-1)))</f>
        <v/>
      </c>
      <c r="W83" s="184"/>
      <c r="X83" s="5" t="str">
        <f>IF(L83="","",VLOOKUP($L83,classifications!$C:$J,6,FALSE))</f>
        <v/>
      </c>
      <c r="Y83" t="str">
        <f t="shared" si="56"/>
        <v/>
      </c>
      <c r="Z83" s="40" t="str">
        <f>IF(Y83="","",IF(I$8="A",(RANK(Y83,Y$11:Y$349,1)+COUNTIF(Y$11:Y83,Y83)-1),(RANK(Y83,Y$11:Y$349)+COUNTIF(Y$11:Y83,Y83)-1)))</f>
        <v/>
      </c>
      <c r="AA83" s="189" t="str">
        <f>IF(L83="","",VLOOKUP($L83,classifications!C:I,7,FALSE))</f>
        <v/>
      </c>
      <c r="AB83" s="183" t="str">
        <f t="shared" si="57"/>
        <v/>
      </c>
      <c r="AC83" s="183" t="str">
        <f>IF(AB83="","",IF($I$8="A",(RANK(AB83,AB$11:AB$349)+COUNTIF(AB$11:AB83,AB83)-1),(RANK(AB83,AB$11:AB$349,1)+COUNTIF(AB$11:AB83,AB83)-1)))</f>
        <v/>
      </c>
      <c r="AD83" s="183"/>
      <c r="AE83" s="49">
        <f>IF(I$8="A",(RANK(AG83,AG$11:AG$349,1)+COUNTIF(AG$11:AG83,AG83)-1),(RANK(AG83,AG$11:AG$349)+COUNTIF(AG$11:AG83,AG83)-1))</f>
        <v>73</v>
      </c>
      <c r="AF83" t="str">
        <f>VLOOKUP(Profile!$J$5,Families!$C:$R,6,FALSE)</f>
        <v>Herefordshire</v>
      </c>
      <c r="AG83" s="15">
        <f t="shared" si="58"/>
        <v>62.711864406779661</v>
      </c>
      <c r="AH83" s="50">
        <f t="shared" si="59"/>
        <v>73</v>
      </c>
      <c r="AI83" s="5" t="str">
        <f>IF(L83="","",VLOOKUP($L83,classifications!$C:$J,8,FALSE))</f>
        <v/>
      </c>
      <c r="AJ83" s="43" t="str">
        <f t="shared" si="60"/>
        <v/>
      </c>
      <c r="AK83" s="40" t="str">
        <f>IF(AJ83="","",IF(I$8="A",(RANK(AJ83,AJ$11:AJ$349,1)+COUNTIF(AJ$11:AJ83,AJ83)-1),(RANK(AJ83,AJ$11:AJ$349)+COUNTIF(AJ$11:AJ83,AJ83)-1)))</f>
        <v/>
      </c>
      <c r="AL83" s="3" t="str">
        <f t="shared" si="61"/>
        <v/>
      </c>
      <c r="AM83" t="str">
        <f t="shared" si="62"/>
        <v/>
      </c>
      <c r="AN83" t="str">
        <f t="shared" si="63"/>
        <v/>
      </c>
      <c r="AP83" s="5" t="str">
        <f>IF(L83="","",VLOOKUP($L83,classifications!$C:$E,3,FALSE))</f>
        <v/>
      </c>
      <c r="AQ83" s="43" t="str">
        <f t="shared" si="64"/>
        <v/>
      </c>
      <c r="AR83" s="40" t="str">
        <f>IF(AQ83="","",IF(I$8="A",(RANK(AQ83,AQ$11:AQ$349,1)+COUNTIF(AQ$11:AQ83,AQ83)-1),(RANK(AQ83,AQ$11:AQ$349)+COUNTIF(AQ$11:AQ83,AQ83)-1)))</f>
        <v/>
      </c>
      <c r="AS83" s="3" t="str">
        <f t="shared" si="65"/>
        <v/>
      </c>
      <c r="AT83" s="40" t="str">
        <f t="shared" si="66"/>
        <v/>
      </c>
      <c r="AU83" s="43" t="str">
        <f t="shared" si="67"/>
        <v/>
      </c>
      <c r="AX83">
        <f>HLOOKUP($AX$9&amp;$AX$10,Data!$A$1:$ZZ$1988,(MATCH($C83,Data!$A$1:$A$1988,0)),FALSE)</f>
        <v>92.682926829268297</v>
      </c>
    </row>
    <row r="84" spans="1:50">
      <c r="A84" s="59" t="str">
        <f>$D$1&amp;74</f>
        <v>UA74</v>
      </c>
      <c r="B84" s="60">
        <f>IF(ISERROR(VLOOKUP(A84,classifications!A:C,3,FALSE)),0,VLOOKUP(A84,classifications!A:C,3,FALSE))</f>
        <v>0</v>
      </c>
      <c r="C84" t="s">
        <v>307</v>
      </c>
      <c r="D84" t="str">
        <f>VLOOKUP($C84,classifications!$C:$J,4,FALSE)</f>
        <v>SC</v>
      </c>
      <c r="E84">
        <f>VLOOKUP(C84,classifications!C:K,9,FALSE)</f>
        <v>0</v>
      </c>
      <c r="F84" t="e">
        <f t="shared" si="44"/>
        <v>#N/A</v>
      </c>
      <c r="G84" s="15"/>
      <c r="H84" s="42" t="str">
        <f t="shared" si="45"/>
        <v/>
      </c>
      <c r="I84" s="79" t="str">
        <f>IF(H84="","",IF($I$8="A",(RANK(H84,H$11:H$349,1)+COUNTIF(H$11:H84,H84)-1),(RANK(H84,H$11:H$349)+COUNTIF(H$11:H84,H84)-1)))</f>
        <v/>
      </c>
      <c r="J84" s="41"/>
      <c r="K84" s="36" t="str">
        <f t="shared" si="46"/>
        <v/>
      </c>
      <c r="L84" t="str">
        <f t="shared" si="47"/>
        <v/>
      </c>
      <c r="M84" s="117" t="str">
        <f t="shared" si="48"/>
        <v/>
      </c>
      <c r="N84" s="112" t="str">
        <f t="shared" si="49"/>
        <v/>
      </c>
      <c r="O84" s="96" t="str">
        <f t="shared" si="50"/>
        <v/>
      </c>
      <c r="P84" s="96" t="str">
        <f t="shared" si="51"/>
        <v/>
      </c>
      <c r="Q84" s="96" t="str">
        <f t="shared" si="52"/>
        <v/>
      </c>
      <c r="R84" s="92" t="str">
        <f t="shared" si="53"/>
        <v/>
      </c>
      <c r="S84" s="42" t="str">
        <f t="shared" si="54"/>
        <v/>
      </c>
      <c r="T84" s="176" t="str">
        <f>IF(L84="","",VLOOKUP(L84,classifications!C:K,9,FALSE))</f>
        <v/>
      </c>
      <c r="U84" s="177" t="str">
        <f t="shared" si="55"/>
        <v/>
      </c>
      <c r="V84" s="183" t="str">
        <f>IF(U84="","",IF($I$8="A",(RANK(U84,U$11:U$349)+COUNTIF(U$11:U84,U84)-1),(RANK(U84,U$11:U$349,1)+COUNTIF(U$11:U84,U84)-1)))</f>
        <v/>
      </c>
      <c r="W84" s="184"/>
      <c r="X84" s="5" t="str">
        <f>IF(L84="","",VLOOKUP($L84,classifications!$C:$J,6,FALSE))</f>
        <v/>
      </c>
      <c r="Y84" t="str">
        <f t="shared" si="56"/>
        <v/>
      </c>
      <c r="Z84" s="40" t="str">
        <f>IF(Y84="","",IF(I$8="A",(RANK(Y84,Y$11:Y$349,1)+COUNTIF(Y$11:Y84,Y84)-1),(RANK(Y84,Y$11:Y$349)+COUNTIF(Y$11:Y84,Y84)-1)))</f>
        <v/>
      </c>
      <c r="AA84" s="189" t="str">
        <f>IF(L84="","",VLOOKUP($L84,classifications!C:I,7,FALSE))</f>
        <v/>
      </c>
      <c r="AB84" s="183" t="str">
        <f t="shared" si="57"/>
        <v/>
      </c>
      <c r="AC84" s="183" t="str">
        <f>IF(AB84="","",IF($I$8="A",(RANK(AB84,AB$11:AB$349)+COUNTIF(AB$11:AB84,AB84)-1),(RANK(AB84,AB$11:AB$349,1)+COUNTIF(AB$11:AB84,AB84)-1)))</f>
        <v/>
      </c>
      <c r="AD84" s="183"/>
      <c r="AE84" s="49">
        <f>IF(I$8="A",(RANK(AG84,AG$11:AG$349,1)+COUNTIF(AG$11:AG84,AG84)-1),(RANK(AG84,AG$11:AG$349)+COUNTIF(AG$11:AG84,AG84)-1))</f>
        <v>74</v>
      </c>
      <c r="AF84" t="str">
        <f>VLOOKUP(Profile!$J$5,Families!$C:$R,6,FALSE)</f>
        <v>Herefordshire</v>
      </c>
      <c r="AG84" s="15">
        <f t="shared" si="58"/>
        <v>62.711864406779661</v>
      </c>
      <c r="AH84" s="50">
        <f t="shared" si="59"/>
        <v>74</v>
      </c>
      <c r="AI84" s="5" t="str">
        <f>IF(L84="","",VLOOKUP($L84,classifications!$C:$J,8,FALSE))</f>
        <v/>
      </c>
      <c r="AJ84" s="43" t="str">
        <f t="shared" si="60"/>
        <v/>
      </c>
      <c r="AK84" s="40" t="str">
        <f>IF(AJ84="","",IF(I$8="A",(RANK(AJ84,AJ$11:AJ$349,1)+COUNTIF(AJ$11:AJ84,AJ84)-1),(RANK(AJ84,AJ$11:AJ$349)+COUNTIF(AJ$11:AJ84,AJ84)-1)))</f>
        <v/>
      </c>
      <c r="AL84" s="3" t="str">
        <f t="shared" si="61"/>
        <v/>
      </c>
      <c r="AM84" t="str">
        <f t="shared" si="62"/>
        <v/>
      </c>
      <c r="AN84" t="str">
        <f t="shared" si="63"/>
        <v/>
      </c>
      <c r="AP84" s="5" t="str">
        <f>IF(L84="","",VLOOKUP($L84,classifications!$C:$E,3,FALSE))</f>
        <v/>
      </c>
      <c r="AQ84" s="43" t="str">
        <f t="shared" si="64"/>
        <v/>
      </c>
      <c r="AR84" s="40" t="str">
        <f>IF(AQ84="","",IF(I$8="A",(RANK(AQ84,AQ$11:AQ$349,1)+COUNTIF(AQ$11:AQ84,AQ84)-1),(RANK(AQ84,AQ$11:AQ$349)+COUNTIF(AQ$11:AQ84,AQ84)-1)))</f>
        <v/>
      </c>
      <c r="AS84" s="3" t="str">
        <f t="shared" si="65"/>
        <v/>
      </c>
      <c r="AT84" s="40" t="str">
        <f t="shared" si="66"/>
        <v/>
      </c>
      <c r="AU84" s="43" t="str">
        <f t="shared" si="67"/>
        <v/>
      </c>
      <c r="AX84" t="e">
        <f>HLOOKUP($AX$9&amp;$AX$10,Data!$A$1:$ZZ$1988,(MATCH($C84,Data!$A$1:$A$1988,0)),FALSE)</f>
        <v>#N/A</v>
      </c>
    </row>
    <row r="85" spans="1:50">
      <c r="A85" s="59" t="str">
        <f>$D$1&amp;75</f>
        <v>UA75</v>
      </c>
      <c r="B85" s="60">
        <f>IF(ISERROR(VLOOKUP(A85,classifications!A:C,3,FALSE)),0,VLOOKUP(A85,classifications!A:C,3,FALSE))</f>
        <v>0</v>
      </c>
      <c r="C85" t="s">
        <v>50</v>
      </c>
      <c r="D85" t="str">
        <f>VLOOKUP($C85,classifications!$C:$J,4,FALSE)</f>
        <v>SD</v>
      </c>
      <c r="E85" t="str">
        <f>VLOOKUP(C85,classifications!C:K,9,FALSE)</f>
        <v>Sparse</v>
      </c>
      <c r="F85">
        <f t="shared" si="44"/>
        <v>95.833333333333343</v>
      </c>
      <c r="G85" s="15"/>
      <c r="H85" s="42" t="str">
        <f t="shared" si="45"/>
        <v/>
      </c>
      <c r="I85" s="79" t="str">
        <f>IF(H85="","",IF($I$8="A",(RANK(H85,H$11:H$349,1)+COUNTIF(H$11:H85,H85)-1),(RANK(H85,H$11:H$349)+COUNTIF(H$11:H85,H85)-1)))</f>
        <v/>
      </c>
      <c r="J85" s="41"/>
      <c r="K85" s="36" t="str">
        <f t="shared" si="46"/>
        <v/>
      </c>
      <c r="L85" t="str">
        <f t="shared" si="47"/>
        <v/>
      </c>
      <c r="M85" s="117" t="str">
        <f t="shared" si="48"/>
        <v/>
      </c>
      <c r="N85" s="112" t="str">
        <f t="shared" si="49"/>
        <v/>
      </c>
      <c r="O85" s="96" t="str">
        <f t="shared" si="50"/>
        <v/>
      </c>
      <c r="P85" s="96" t="str">
        <f t="shared" si="51"/>
        <v/>
      </c>
      <c r="Q85" s="96" t="str">
        <f t="shared" si="52"/>
        <v/>
      </c>
      <c r="R85" s="92" t="str">
        <f t="shared" si="53"/>
        <v/>
      </c>
      <c r="S85" s="42" t="str">
        <f t="shared" si="54"/>
        <v/>
      </c>
      <c r="T85" s="176" t="str">
        <f>IF(L85="","",VLOOKUP(L85,classifications!C:K,9,FALSE))</f>
        <v/>
      </c>
      <c r="U85" s="177" t="str">
        <f t="shared" si="55"/>
        <v/>
      </c>
      <c r="V85" s="183" t="str">
        <f>IF(U85="","",IF($I$8="A",(RANK(U85,U$11:U$349)+COUNTIF(U$11:U85,U85)-1),(RANK(U85,U$11:U$349,1)+COUNTIF(U$11:U85,U85)-1)))</f>
        <v/>
      </c>
      <c r="W85" s="184"/>
      <c r="X85" s="5" t="str">
        <f>IF(L85="","",VLOOKUP($L85,classifications!$C:$J,6,FALSE))</f>
        <v/>
      </c>
      <c r="Y85" t="str">
        <f t="shared" si="56"/>
        <v/>
      </c>
      <c r="Z85" s="40" t="str">
        <f>IF(Y85="","",IF(I$8="A",(RANK(Y85,Y$11:Y$349,1)+COUNTIF(Y$11:Y85,Y85)-1),(RANK(Y85,Y$11:Y$349)+COUNTIF(Y$11:Y85,Y85)-1)))</f>
        <v/>
      </c>
      <c r="AA85" s="189" t="str">
        <f>IF(L85="","",VLOOKUP($L85,classifications!C:I,7,FALSE))</f>
        <v/>
      </c>
      <c r="AB85" s="183" t="str">
        <f t="shared" si="57"/>
        <v/>
      </c>
      <c r="AC85" s="183" t="str">
        <f>IF(AB85="","",IF($I$8="A",(RANK(AB85,AB$11:AB$349)+COUNTIF(AB$11:AB85,AB85)-1),(RANK(AB85,AB$11:AB$349,1)+COUNTIF(AB$11:AB85,AB85)-1)))</f>
        <v/>
      </c>
      <c r="AD85" s="183"/>
      <c r="AE85" s="49">
        <f>IF(I$8="A",(RANK(AG85,AG$11:AG$349,1)+COUNTIF(AG$11:AG85,AG85)-1),(RANK(AG85,AG$11:AG$349)+COUNTIF(AG$11:AG85,AG85)-1))</f>
        <v>75</v>
      </c>
      <c r="AF85" t="str">
        <f>VLOOKUP(Profile!$J$5,Families!$C:$R,6,FALSE)</f>
        <v>Herefordshire</v>
      </c>
      <c r="AG85" s="15">
        <f t="shared" si="58"/>
        <v>62.711864406779661</v>
      </c>
      <c r="AH85" s="50">
        <f t="shared" si="59"/>
        <v>75</v>
      </c>
      <c r="AI85" s="5" t="str">
        <f>IF(L85="","",VLOOKUP($L85,classifications!$C:$J,8,FALSE))</f>
        <v/>
      </c>
      <c r="AJ85" s="43" t="str">
        <f t="shared" si="60"/>
        <v/>
      </c>
      <c r="AK85" s="40" t="str">
        <f>IF(AJ85="","",IF(I$8="A",(RANK(AJ85,AJ$11:AJ$349,1)+COUNTIF(AJ$11:AJ85,AJ85)-1),(RANK(AJ85,AJ$11:AJ$349)+COUNTIF(AJ$11:AJ85,AJ85)-1)))</f>
        <v/>
      </c>
      <c r="AL85" s="3" t="str">
        <f t="shared" si="61"/>
        <v/>
      </c>
      <c r="AM85" t="str">
        <f t="shared" si="62"/>
        <v/>
      </c>
      <c r="AN85" t="str">
        <f t="shared" si="63"/>
        <v/>
      </c>
      <c r="AP85" s="5" t="str">
        <f>IF(L85="","",VLOOKUP($L85,classifications!$C:$E,3,FALSE))</f>
        <v/>
      </c>
      <c r="AQ85" s="43" t="str">
        <f t="shared" si="64"/>
        <v/>
      </c>
      <c r="AR85" s="40" t="str">
        <f>IF(AQ85="","",IF(I$8="A",(RANK(AQ85,AQ$11:AQ$349,1)+COUNTIF(AQ$11:AQ85,AQ85)-1),(RANK(AQ85,AQ$11:AQ$349)+COUNTIF(AQ$11:AQ85,AQ85)-1)))</f>
        <v/>
      </c>
      <c r="AS85" s="3" t="str">
        <f t="shared" si="65"/>
        <v/>
      </c>
      <c r="AT85" s="40" t="str">
        <f t="shared" si="66"/>
        <v/>
      </c>
      <c r="AU85" s="43" t="str">
        <f t="shared" si="67"/>
        <v/>
      </c>
      <c r="AX85">
        <f>HLOOKUP($AX$9&amp;$AX$10,Data!$A$1:$ZZ$1988,(MATCH($C85,Data!$A$1:$A$1988,0)),FALSE)</f>
        <v>95.833333333333343</v>
      </c>
    </row>
    <row r="86" spans="1:50">
      <c r="A86" s="59" t="str">
        <f>$D$1&amp;76</f>
        <v>UA76</v>
      </c>
      <c r="B86" s="60">
        <f>IF(ISERROR(VLOOKUP(A86,classifications!A:C,3,FALSE)),0,VLOOKUP(A86,classifications!A:C,3,FALSE))</f>
        <v>0</v>
      </c>
      <c r="C86" t="s">
        <v>308</v>
      </c>
      <c r="D86" t="str">
        <f>VLOOKUP($C86,classifications!$C:$J,4,FALSE)</f>
        <v>SC</v>
      </c>
      <c r="E86" t="str">
        <f>VLOOKUP(C86,classifications!C:K,9,FALSE)</f>
        <v>Sparse</v>
      </c>
      <c r="F86" t="e">
        <f t="shared" si="44"/>
        <v>#N/A</v>
      </c>
      <c r="G86" s="15"/>
      <c r="H86" s="42" t="str">
        <f t="shared" si="45"/>
        <v/>
      </c>
      <c r="I86" s="79" t="str">
        <f>IF(H86="","",IF($I$8="A",(RANK(H86,H$11:H$349,1)+COUNTIF(H$11:H86,H86)-1),(RANK(H86,H$11:H$349)+COUNTIF(H$11:H86,H86)-1)))</f>
        <v/>
      </c>
      <c r="J86" s="41"/>
      <c r="K86" s="36" t="str">
        <f t="shared" si="46"/>
        <v/>
      </c>
      <c r="L86" t="str">
        <f t="shared" si="47"/>
        <v/>
      </c>
      <c r="M86" s="117" t="str">
        <f t="shared" si="48"/>
        <v/>
      </c>
      <c r="N86" s="112" t="str">
        <f t="shared" si="49"/>
        <v/>
      </c>
      <c r="O86" s="96" t="str">
        <f t="shared" si="50"/>
        <v/>
      </c>
      <c r="P86" s="96" t="str">
        <f t="shared" si="51"/>
        <v/>
      </c>
      <c r="Q86" s="96" t="str">
        <f t="shared" si="52"/>
        <v/>
      </c>
      <c r="R86" s="92" t="str">
        <f t="shared" si="53"/>
        <v/>
      </c>
      <c r="S86" s="42" t="str">
        <f t="shared" si="54"/>
        <v/>
      </c>
      <c r="T86" s="176" t="str">
        <f>IF(L86="","",VLOOKUP(L86,classifications!C:K,9,FALSE))</f>
        <v/>
      </c>
      <c r="U86" s="177" t="str">
        <f t="shared" si="55"/>
        <v/>
      </c>
      <c r="V86" s="183" t="str">
        <f>IF(U86="","",IF($I$8="A",(RANK(U86,U$11:U$349)+COUNTIF(U$11:U86,U86)-1),(RANK(U86,U$11:U$349,1)+COUNTIF(U$11:U86,U86)-1)))</f>
        <v/>
      </c>
      <c r="W86" s="184"/>
      <c r="X86" s="5" t="str">
        <f>IF(L86="","",VLOOKUP($L86,classifications!$C:$J,6,FALSE))</f>
        <v/>
      </c>
      <c r="Y86" t="str">
        <f t="shared" si="56"/>
        <v/>
      </c>
      <c r="Z86" s="40" t="str">
        <f>IF(Y86="","",IF(I$8="A",(RANK(Y86,Y$11:Y$349,1)+COUNTIF(Y$11:Y86,Y86)-1),(RANK(Y86,Y$11:Y$349)+COUNTIF(Y$11:Y86,Y86)-1)))</f>
        <v/>
      </c>
      <c r="AA86" s="189" t="str">
        <f>IF(L86="","",VLOOKUP($L86,classifications!C:I,7,FALSE))</f>
        <v/>
      </c>
      <c r="AB86" s="183" t="str">
        <f t="shared" si="57"/>
        <v/>
      </c>
      <c r="AC86" s="183" t="str">
        <f>IF(AB86="","",IF($I$8="A",(RANK(AB86,AB$11:AB$349)+COUNTIF(AB$11:AB86,AB86)-1),(RANK(AB86,AB$11:AB$349,1)+COUNTIF(AB$11:AB86,AB86)-1)))</f>
        <v/>
      </c>
      <c r="AD86" s="183"/>
      <c r="AE86" s="49">
        <f>IF(I$8="A",(RANK(AG86,AG$11:AG$349,1)+COUNTIF(AG$11:AG86,AG86)-1),(RANK(AG86,AG$11:AG$349)+COUNTIF(AG$11:AG86,AG86)-1))</f>
        <v>76</v>
      </c>
      <c r="AF86" t="str">
        <f>VLOOKUP(Profile!$J$5,Families!$C:$R,6,FALSE)</f>
        <v>Herefordshire</v>
      </c>
      <c r="AG86" s="15">
        <f t="shared" si="58"/>
        <v>62.711864406779661</v>
      </c>
      <c r="AH86" s="50">
        <f t="shared" si="59"/>
        <v>76</v>
      </c>
      <c r="AI86" s="5" t="str">
        <f>IF(L86="","",VLOOKUP($L86,classifications!$C:$J,8,FALSE))</f>
        <v/>
      </c>
      <c r="AJ86" s="43" t="str">
        <f t="shared" si="60"/>
        <v/>
      </c>
      <c r="AK86" s="40" t="str">
        <f>IF(AJ86="","",IF(I$8="A",(RANK(AJ86,AJ$11:AJ$349,1)+COUNTIF(AJ$11:AJ86,AJ86)-1),(RANK(AJ86,AJ$11:AJ$349)+COUNTIF(AJ$11:AJ86,AJ86)-1)))</f>
        <v/>
      </c>
      <c r="AL86" s="3" t="str">
        <f t="shared" si="61"/>
        <v/>
      </c>
      <c r="AM86" t="str">
        <f t="shared" si="62"/>
        <v/>
      </c>
      <c r="AN86" t="str">
        <f t="shared" si="63"/>
        <v/>
      </c>
      <c r="AP86" s="5" t="str">
        <f>IF(L86="","",VLOOKUP($L86,classifications!$C:$E,3,FALSE))</f>
        <v/>
      </c>
      <c r="AQ86" s="43" t="str">
        <f t="shared" si="64"/>
        <v/>
      </c>
      <c r="AR86" s="40" t="str">
        <f>IF(AQ86="","",IF(I$8="A",(RANK(AQ86,AQ$11:AQ$349,1)+COUNTIF(AQ$11:AQ86,AQ86)-1),(RANK(AQ86,AQ$11:AQ$349)+COUNTIF(AQ$11:AQ86,AQ86)-1)))</f>
        <v/>
      </c>
      <c r="AS86" s="3" t="str">
        <f t="shared" si="65"/>
        <v/>
      </c>
      <c r="AT86" s="40" t="str">
        <f t="shared" si="66"/>
        <v/>
      </c>
      <c r="AU86" s="43" t="str">
        <f t="shared" si="67"/>
        <v/>
      </c>
      <c r="AX86" t="e">
        <f>HLOOKUP($AX$9&amp;$AX$10,Data!$A$1:$ZZ$1988,(MATCH($C86,Data!$A$1:$A$1988,0)),FALSE)</f>
        <v>#N/A</v>
      </c>
    </row>
    <row r="87" spans="1:50">
      <c r="A87" s="59" t="str">
        <f>$D$1&amp;77</f>
        <v>UA77</v>
      </c>
      <c r="B87" s="60">
        <f>IF(ISERROR(VLOOKUP(A87,classifications!A:C,3,FALSE)),0,VLOOKUP(A87,classifications!A:C,3,FALSE))</f>
        <v>0</v>
      </c>
      <c r="C87" t="s">
        <v>229</v>
      </c>
      <c r="D87" t="str">
        <f>VLOOKUP($C87,classifications!$C:$J,4,FALSE)</f>
        <v>MD</v>
      </c>
      <c r="E87">
        <f>VLOOKUP(C87,classifications!C:K,9,FALSE)</f>
        <v>0</v>
      </c>
      <c r="F87">
        <f t="shared" si="44"/>
        <v>86.206896551724128</v>
      </c>
      <c r="G87" s="15"/>
      <c r="H87" s="42" t="str">
        <f t="shared" si="45"/>
        <v/>
      </c>
      <c r="I87" s="79" t="str">
        <f>IF(H87="","",IF($I$8="A",(RANK(H87,H$11:H$349,1)+COUNTIF(H$11:H87,H87)-1),(RANK(H87,H$11:H$349)+COUNTIF(H$11:H87,H87)-1)))</f>
        <v/>
      </c>
      <c r="J87" s="41"/>
      <c r="K87" s="36" t="str">
        <f t="shared" si="46"/>
        <v/>
      </c>
      <c r="L87" t="str">
        <f t="shared" si="47"/>
        <v/>
      </c>
      <c r="M87" s="117" t="str">
        <f t="shared" si="48"/>
        <v/>
      </c>
      <c r="N87" s="112" t="str">
        <f t="shared" si="49"/>
        <v/>
      </c>
      <c r="O87" s="96" t="str">
        <f t="shared" si="50"/>
        <v/>
      </c>
      <c r="P87" s="96" t="str">
        <f t="shared" si="51"/>
        <v/>
      </c>
      <c r="Q87" s="96" t="str">
        <f t="shared" si="52"/>
        <v/>
      </c>
      <c r="R87" s="92" t="str">
        <f t="shared" si="53"/>
        <v/>
      </c>
      <c r="S87" s="42" t="str">
        <f t="shared" si="54"/>
        <v/>
      </c>
      <c r="T87" s="176" t="str">
        <f>IF(L87="","",VLOOKUP(L87,classifications!C:K,9,FALSE))</f>
        <v/>
      </c>
      <c r="U87" s="177" t="str">
        <f t="shared" si="55"/>
        <v/>
      </c>
      <c r="V87" s="183" t="str">
        <f>IF(U87="","",IF($I$8="A",(RANK(U87,U$11:U$349)+COUNTIF(U$11:U87,U87)-1),(RANK(U87,U$11:U$349,1)+COUNTIF(U$11:U87,U87)-1)))</f>
        <v/>
      </c>
      <c r="W87" s="184"/>
      <c r="X87" s="5" t="str">
        <f>IF(L87="","",VLOOKUP($L87,classifications!$C:$J,6,FALSE))</f>
        <v/>
      </c>
      <c r="Y87" t="str">
        <f t="shared" si="56"/>
        <v/>
      </c>
      <c r="Z87" s="40" t="str">
        <f>IF(Y87="","",IF(I$8="A",(RANK(Y87,Y$11:Y$349,1)+COUNTIF(Y$11:Y87,Y87)-1),(RANK(Y87,Y$11:Y$349)+COUNTIF(Y$11:Y87,Y87)-1)))</f>
        <v/>
      </c>
      <c r="AA87" s="189" t="str">
        <f>IF(L87="","",VLOOKUP($L87,classifications!C:I,7,FALSE))</f>
        <v/>
      </c>
      <c r="AB87" s="183" t="str">
        <f t="shared" si="57"/>
        <v/>
      </c>
      <c r="AC87" s="183" t="str">
        <f>IF(AB87="","",IF($I$8="A",(RANK(AB87,AB$11:AB$349)+COUNTIF(AB$11:AB87,AB87)-1),(RANK(AB87,AB$11:AB$349,1)+COUNTIF(AB$11:AB87,AB87)-1)))</f>
        <v/>
      </c>
      <c r="AD87" s="183"/>
      <c r="AE87" s="49">
        <f>IF(I$8="A",(RANK(AG87,AG$11:AG$349,1)+COUNTIF(AG$11:AG87,AG87)-1),(RANK(AG87,AG$11:AG$349)+COUNTIF(AG$11:AG87,AG87)-1))</f>
        <v>77</v>
      </c>
      <c r="AF87" t="str">
        <f>VLOOKUP(Profile!$J$5,Families!$C:$R,6,FALSE)</f>
        <v>Herefordshire</v>
      </c>
      <c r="AG87" s="15">
        <f t="shared" si="58"/>
        <v>62.711864406779661</v>
      </c>
      <c r="AH87" s="50">
        <f t="shared" si="59"/>
        <v>77</v>
      </c>
      <c r="AI87" s="5" t="str">
        <f>IF(L87="","",VLOOKUP($L87,classifications!$C:$J,8,FALSE))</f>
        <v/>
      </c>
      <c r="AJ87" s="43" t="str">
        <f t="shared" si="60"/>
        <v/>
      </c>
      <c r="AK87" s="40" t="str">
        <f>IF(AJ87="","",IF(I$8="A",(RANK(AJ87,AJ$11:AJ$349,1)+COUNTIF(AJ$11:AJ87,AJ87)-1),(RANK(AJ87,AJ$11:AJ$349)+COUNTIF(AJ$11:AJ87,AJ87)-1)))</f>
        <v/>
      </c>
      <c r="AL87" s="3" t="str">
        <f t="shared" si="61"/>
        <v/>
      </c>
      <c r="AM87" t="str">
        <f t="shared" si="62"/>
        <v/>
      </c>
      <c r="AN87" t="str">
        <f t="shared" si="63"/>
        <v/>
      </c>
      <c r="AP87" s="5" t="str">
        <f>IF(L87="","",VLOOKUP($L87,classifications!$C:$E,3,FALSE))</f>
        <v/>
      </c>
      <c r="AQ87" s="43" t="str">
        <f t="shared" si="64"/>
        <v/>
      </c>
      <c r="AR87" s="40" t="str">
        <f>IF(AQ87="","",IF(I$8="A",(RANK(AQ87,AQ$11:AQ$349,1)+COUNTIF(AQ$11:AQ87,AQ87)-1),(RANK(AQ87,AQ$11:AQ$349)+COUNTIF(AQ$11:AQ87,AQ87)-1)))</f>
        <v/>
      </c>
      <c r="AS87" s="3" t="str">
        <f t="shared" si="65"/>
        <v/>
      </c>
      <c r="AT87" s="40" t="str">
        <f t="shared" si="66"/>
        <v/>
      </c>
      <c r="AU87" s="43" t="str">
        <f t="shared" si="67"/>
        <v/>
      </c>
      <c r="AX87">
        <f>HLOOKUP($AX$9&amp;$AX$10,Data!$A$1:$ZZ$1988,(MATCH($C87,Data!$A$1:$A$1988,0)),FALSE)</f>
        <v>86.206896551724128</v>
      </c>
    </row>
    <row r="88" spans="1:50">
      <c r="A88" s="59" t="str">
        <f>$D$1&amp;78</f>
        <v>UA78</v>
      </c>
      <c r="B88" s="60">
        <f>IF(ISERROR(VLOOKUP(A88,classifications!A:C,3,FALSE)),0,VLOOKUP(A88,classifications!A:C,3,FALSE))</f>
        <v>0</v>
      </c>
      <c r="C88" t="s">
        <v>309</v>
      </c>
      <c r="D88" t="str">
        <f>VLOOKUP($C88,classifications!$C:$J,4,FALSE)</f>
        <v>UA</v>
      </c>
      <c r="E88">
        <f>VLOOKUP(C88,classifications!C:K,9,FALSE)</f>
        <v>0</v>
      </c>
      <c r="F88">
        <f t="shared" si="44"/>
        <v>77.685950413223139</v>
      </c>
      <c r="G88" s="15"/>
      <c r="H88" s="42">
        <f t="shared" si="45"/>
        <v>77.685950413223139</v>
      </c>
      <c r="I88" s="79">
        <f>IF(H88="","",IF($I$8="A",(RANK(H88,H$11:H$349,1)+COUNTIF(H$11:H88,H88)-1),(RANK(H88,H$11:H$349)+COUNTIF(H$11:H88,H88)-1)))</f>
        <v>49</v>
      </c>
      <c r="J88" s="41"/>
      <c r="K88" s="36" t="str">
        <f t="shared" si="46"/>
        <v/>
      </c>
      <c r="L88" t="str">
        <f t="shared" si="47"/>
        <v/>
      </c>
      <c r="M88" s="117" t="str">
        <f t="shared" si="48"/>
        <v/>
      </c>
      <c r="N88" s="112" t="str">
        <f t="shared" si="49"/>
        <v/>
      </c>
      <c r="O88" s="96" t="str">
        <f t="shared" si="50"/>
        <v/>
      </c>
      <c r="P88" s="96" t="str">
        <f t="shared" si="51"/>
        <v/>
      </c>
      <c r="Q88" s="96" t="str">
        <f t="shared" si="52"/>
        <v/>
      </c>
      <c r="R88" s="92" t="str">
        <f t="shared" si="53"/>
        <v/>
      </c>
      <c r="S88" s="42" t="str">
        <f t="shared" si="54"/>
        <v/>
      </c>
      <c r="T88" s="176" t="str">
        <f>IF(L88="","",VLOOKUP(L88,classifications!C:K,9,FALSE))</f>
        <v/>
      </c>
      <c r="U88" s="177" t="str">
        <f t="shared" si="55"/>
        <v/>
      </c>
      <c r="V88" s="183" t="str">
        <f>IF(U88="","",IF($I$8="A",(RANK(U88,U$11:U$349)+COUNTIF(U$11:U88,U88)-1),(RANK(U88,U$11:U$349,1)+COUNTIF(U$11:U88,U88)-1)))</f>
        <v/>
      </c>
      <c r="W88" s="184"/>
      <c r="X88" s="5" t="str">
        <f>IF(L88="","",VLOOKUP($L88,classifications!$C:$J,6,FALSE))</f>
        <v/>
      </c>
      <c r="Y88" t="str">
        <f t="shared" si="56"/>
        <v/>
      </c>
      <c r="Z88" s="40" t="str">
        <f>IF(Y88="","",IF(I$8="A",(RANK(Y88,Y$11:Y$349,1)+COUNTIF(Y$11:Y88,Y88)-1),(RANK(Y88,Y$11:Y$349)+COUNTIF(Y$11:Y88,Y88)-1)))</f>
        <v/>
      </c>
      <c r="AA88" s="189" t="str">
        <f>IF(L88="","",VLOOKUP($L88,classifications!C:I,7,FALSE))</f>
        <v/>
      </c>
      <c r="AB88" s="183" t="str">
        <f t="shared" si="57"/>
        <v/>
      </c>
      <c r="AC88" s="183" t="str">
        <f>IF(AB88="","",IF($I$8="A",(RANK(AB88,AB$11:AB$349)+COUNTIF(AB$11:AB88,AB88)-1),(RANK(AB88,AB$11:AB$349,1)+COUNTIF(AB$11:AB88,AB88)-1)))</f>
        <v/>
      </c>
      <c r="AD88" s="183"/>
      <c r="AE88" s="49">
        <f>IF(I$8="A",(RANK(AG88,AG$11:AG$349,1)+COUNTIF(AG$11:AG88,AG88)-1),(RANK(AG88,AG$11:AG$349)+COUNTIF(AG$11:AG88,AG88)-1))</f>
        <v>78</v>
      </c>
      <c r="AF88" t="str">
        <f>VLOOKUP(Profile!$J$5,Families!$C:$R,6,FALSE)</f>
        <v>Herefordshire</v>
      </c>
      <c r="AG88" s="15">
        <f t="shared" si="58"/>
        <v>62.711864406779661</v>
      </c>
      <c r="AH88" s="50">
        <f t="shared" si="59"/>
        <v>78</v>
      </c>
      <c r="AI88" s="5" t="str">
        <f>IF(L88="","",VLOOKUP($L88,classifications!$C:$J,8,FALSE))</f>
        <v/>
      </c>
      <c r="AJ88" s="43" t="str">
        <f t="shared" si="60"/>
        <v/>
      </c>
      <c r="AK88" s="40" t="str">
        <f>IF(AJ88="","",IF(I$8="A",(RANK(AJ88,AJ$11:AJ$349,1)+COUNTIF(AJ$11:AJ88,AJ88)-1),(RANK(AJ88,AJ$11:AJ$349)+COUNTIF(AJ$11:AJ88,AJ88)-1)))</f>
        <v/>
      </c>
      <c r="AL88" s="3" t="str">
        <f t="shared" si="61"/>
        <v/>
      </c>
      <c r="AM88" t="str">
        <f t="shared" si="62"/>
        <v/>
      </c>
      <c r="AN88" t="str">
        <f t="shared" si="63"/>
        <v/>
      </c>
      <c r="AP88" s="5" t="str">
        <f>IF(L88="","",VLOOKUP($L88,classifications!$C:$E,3,FALSE))</f>
        <v/>
      </c>
      <c r="AQ88" s="43" t="str">
        <f t="shared" si="64"/>
        <v/>
      </c>
      <c r="AR88" s="40" t="str">
        <f>IF(AQ88="","",IF(I$8="A",(RANK(AQ88,AQ$11:AQ$349,1)+COUNTIF(AQ$11:AQ88,AQ88)-1),(RANK(AQ88,AQ$11:AQ$349)+COUNTIF(AQ$11:AQ88,AQ88)-1)))</f>
        <v/>
      </c>
      <c r="AS88" s="3" t="str">
        <f t="shared" si="65"/>
        <v/>
      </c>
      <c r="AT88" s="40" t="str">
        <f t="shared" si="66"/>
        <v/>
      </c>
      <c r="AU88" s="43" t="str">
        <f t="shared" si="67"/>
        <v/>
      </c>
      <c r="AX88">
        <f>HLOOKUP($AX$9&amp;$AX$10,Data!$A$1:$ZZ$1988,(MATCH($C88,Data!$A$1:$A$1988,0)),FALSE)</f>
        <v>77.685950413223139</v>
      </c>
    </row>
    <row r="89" spans="1:50">
      <c r="A89" s="59" t="str">
        <f>$D$1&amp;79</f>
        <v>UA79</v>
      </c>
      <c r="B89" s="60">
        <f>IF(ISERROR(VLOOKUP(A89,classifications!A:C,3,FALSE)),0,VLOOKUP(A89,classifications!A:C,3,FALSE))</f>
        <v>0</v>
      </c>
      <c r="C89" t="s">
        <v>51</v>
      </c>
      <c r="D89" t="str">
        <f>VLOOKUP($C89,classifications!$C:$J,4,FALSE)</f>
        <v>SD</v>
      </c>
      <c r="E89">
        <f>VLOOKUP(C89,classifications!C:K,9,FALSE)</f>
        <v>0</v>
      </c>
      <c r="F89">
        <f t="shared" si="44"/>
        <v>80.357142857142861</v>
      </c>
      <c r="G89" s="15"/>
      <c r="H89" s="42" t="str">
        <f t="shared" si="45"/>
        <v/>
      </c>
      <c r="I89" s="79" t="str">
        <f>IF(H89="","",IF($I$8="A",(RANK(H89,H$11:H$349,1)+COUNTIF(H$11:H89,H89)-1),(RANK(H89,H$11:H$349)+COUNTIF(H$11:H89,H89)-1)))</f>
        <v/>
      </c>
      <c r="J89" s="41"/>
      <c r="K89" s="36" t="str">
        <f t="shared" si="46"/>
        <v/>
      </c>
      <c r="L89" t="str">
        <f t="shared" si="47"/>
        <v/>
      </c>
      <c r="M89" s="117" t="str">
        <f t="shared" si="48"/>
        <v/>
      </c>
      <c r="N89" s="112" t="str">
        <f t="shared" si="49"/>
        <v/>
      </c>
      <c r="O89" s="96" t="str">
        <f t="shared" si="50"/>
        <v/>
      </c>
      <c r="P89" s="96" t="str">
        <f t="shared" si="51"/>
        <v/>
      </c>
      <c r="Q89" s="96" t="str">
        <f t="shared" si="52"/>
        <v/>
      </c>
      <c r="R89" s="92" t="str">
        <f t="shared" si="53"/>
        <v/>
      </c>
      <c r="S89" s="42" t="str">
        <f t="shared" si="54"/>
        <v/>
      </c>
      <c r="T89" s="176" t="str">
        <f>IF(L89="","",VLOOKUP(L89,classifications!C:K,9,FALSE))</f>
        <v/>
      </c>
      <c r="U89" s="177" t="str">
        <f t="shared" si="55"/>
        <v/>
      </c>
      <c r="V89" s="183" t="str">
        <f>IF(U89="","",IF($I$8="A",(RANK(U89,U$11:U$349)+COUNTIF(U$11:U89,U89)-1),(RANK(U89,U$11:U$349,1)+COUNTIF(U$11:U89,U89)-1)))</f>
        <v/>
      </c>
      <c r="W89" s="184"/>
      <c r="X89" s="5" t="str">
        <f>IF(L89="","",VLOOKUP($L89,classifications!$C:$J,6,FALSE))</f>
        <v/>
      </c>
      <c r="Y89" t="str">
        <f t="shared" si="56"/>
        <v/>
      </c>
      <c r="Z89" s="40" t="str">
        <f>IF(Y89="","",IF(I$8="A",(RANK(Y89,Y$11:Y$349,1)+COUNTIF(Y$11:Y89,Y89)-1),(RANK(Y89,Y$11:Y$349)+COUNTIF(Y$11:Y89,Y89)-1)))</f>
        <v/>
      </c>
      <c r="AA89" s="189" t="str">
        <f>IF(L89="","",VLOOKUP($L89,classifications!C:I,7,FALSE))</f>
        <v/>
      </c>
      <c r="AB89" s="183" t="str">
        <f t="shared" si="57"/>
        <v/>
      </c>
      <c r="AC89" s="183" t="str">
        <f>IF(AB89="","",IF($I$8="A",(RANK(AB89,AB$11:AB$349)+COUNTIF(AB$11:AB89,AB89)-1),(RANK(AB89,AB$11:AB$349,1)+COUNTIF(AB$11:AB89,AB89)-1)))</f>
        <v/>
      </c>
      <c r="AD89" s="183"/>
      <c r="AE89" s="49">
        <f>IF(I$8="A",(RANK(AG89,AG$11:AG$349,1)+COUNTIF(AG$11:AG89,AG89)-1),(RANK(AG89,AG$11:AG$349)+COUNTIF(AG$11:AG89,AG89)-1))</f>
        <v>79</v>
      </c>
      <c r="AF89" t="str">
        <f>VLOOKUP(Profile!$J$5,Families!$C:$R,6,FALSE)</f>
        <v>Herefordshire</v>
      </c>
      <c r="AG89" s="15">
        <f t="shared" si="58"/>
        <v>62.711864406779661</v>
      </c>
      <c r="AH89" s="50">
        <f t="shared" si="59"/>
        <v>79</v>
      </c>
      <c r="AI89" s="5" t="str">
        <f>IF(L89="","",VLOOKUP($L89,classifications!$C:$J,8,FALSE))</f>
        <v/>
      </c>
      <c r="AJ89" s="43" t="str">
        <f t="shared" si="60"/>
        <v/>
      </c>
      <c r="AK89" s="40" t="str">
        <f>IF(AJ89="","",IF(I$8="A",(RANK(AJ89,AJ$11:AJ$349,1)+COUNTIF(AJ$11:AJ89,AJ89)-1),(RANK(AJ89,AJ$11:AJ$349)+COUNTIF(AJ$11:AJ89,AJ89)-1)))</f>
        <v/>
      </c>
      <c r="AL89" s="3" t="str">
        <f t="shared" si="61"/>
        <v/>
      </c>
      <c r="AM89" t="str">
        <f t="shared" si="62"/>
        <v/>
      </c>
      <c r="AN89" t="str">
        <f t="shared" si="63"/>
        <v/>
      </c>
      <c r="AP89" s="5" t="str">
        <f>IF(L89="","",VLOOKUP($L89,classifications!$C:$E,3,FALSE))</f>
        <v/>
      </c>
      <c r="AQ89" s="43" t="str">
        <f t="shared" si="64"/>
        <v/>
      </c>
      <c r="AR89" s="40" t="str">
        <f>IF(AQ89="","",IF(I$8="A",(RANK(AQ89,AQ$11:AQ$349,1)+COUNTIF(AQ$11:AQ89,AQ89)-1),(RANK(AQ89,AQ$11:AQ$349)+COUNTIF(AQ$11:AQ89,AQ89)-1)))</f>
        <v/>
      </c>
      <c r="AS89" s="3" t="str">
        <f t="shared" si="65"/>
        <v/>
      </c>
      <c r="AT89" s="40" t="str">
        <f t="shared" si="66"/>
        <v/>
      </c>
      <c r="AU89" s="43" t="str">
        <f t="shared" si="67"/>
        <v/>
      </c>
      <c r="AX89">
        <f>HLOOKUP($AX$9&amp;$AX$10,Data!$A$1:$ZZ$1988,(MATCH($C89,Data!$A$1:$A$1988,0)),FALSE)</f>
        <v>80.357142857142861</v>
      </c>
    </row>
    <row r="90" spans="1:50">
      <c r="A90" s="59" t="str">
        <f>$D$1&amp;80</f>
        <v>UA80</v>
      </c>
      <c r="B90" s="60">
        <f>IF(ISERROR(VLOOKUP(A90,classifications!A:C,3,FALSE)),0,VLOOKUP(A90,classifications!A:C,3,FALSE))</f>
        <v>0</v>
      </c>
      <c r="C90" t="s">
        <v>230</v>
      </c>
      <c r="D90" t="str">
        <f>VLOOKUP($C90,classifications!$C:$J,4,FALSE)</f>
        <v>MD</v>
      </c>
      <c r="E90">
        <f>VLOOKUP(C90,classifications!C:K,9,FALSE)</f>
        <v>0</v>
      </c>
      <c r="F90">
        <f t="shared" si="44"/>
        <v>100</v>
      </c>
      <c r="G90" s="15"/>
      <c r="H90" s="42" t="str">
        <f t="shared" si="45"/>
        <v/>
      </c>
      <c r="I90" s="79" t="str">
        <f>IF(H90="","",IF($I$8="A",(RANK(H90,H$11:H$349,1)+COUNTIF(H$11:H90,H90)-1),(RANK(H90,H$11:H$349)+COUNTIF(H$11:H90,H90)-1)))</f>
        <v/>
      </c>
      <c r="J90" s="41"/>
      <c r="K90" s="36" t="str">
        <f t="shared" si="46"/>
        <v/>
      </c>
      <c r="L90" t="str">
        <f t="shared" si="47"/>
        <v/>
      </c>
      <c r="M90" s="117" t="str">
        <f t="shared" si="48"/>
        <v/>
      </c>
      <c r="N90" s="112" t="str">
        <f t="shared" si="49"/>
        <v/>
      </c>
      <c r="O90" s="96" t="str">
        <f t="shared" si="50"/>
        <v/>
      </c>
      <c r="P90" s="96" t="str">
        <f t="shared" si="51"/>
        <v/>
      </c>
      <c r="Q90" s="96" t="str">
        <f t="shared" si="52"/>
        <v/>
      </c>
      <c r="R90" s="92" t="str">
        <f t="shared" si="53"/>
        <v/>
      </c>
      <c r="S90" s="42" t="str">
        <f t="shared" si="54"/>
        <v/>
      </c>
      <c r="T90" s="176" t="str">
        <f>IF(L90="","",VLOOKUP(L90,classifications!C:K,9,FALSE))</f>
        <v/>
      </c>
      <c r="U90" s="177" t="str">
        <f t="shared" si="55"/>
        <v/>
      </c>
      <c r="V90" s="183" t="str">
        <f>IF(U90="","",IF($I$8="A",(RANK(U90,U$11:U$349)+COUNTIF(U$11:U90,U90)-1),(RANK(U90,U$11:U$349,1)+COUNTIF(U$11:U90,U90)-1)))</f>
        <v/>
      </c>
      <c r="W90" s="184"/>
      <c r="X90" s="5" t="str">
        <f>IF(L90="","",VLOOKUP($L90,classifications!$C:$J,6,FALSE))</f>
        <v/>
      </c>
      <c r="Y90" t="str">
        <f t="shared" si="56"/>
        <v/>
      </c>
      <c r="Z90" s="40" t="str">
        <f>IF(Y90="","",IF(I$8="A",(RANK(Y90,Y$11:Y$349,1)+COUNTIF(Y$11:Y90,Y90)-1),(RANK(Y90,Y$11:Y$349)+COUNTIF(Y$11:Y90,Y90)-1)))</f>
        <v/>
      </c>
      <c r="AA90" s="189" t="str">
        <f>IF(L90="","",VLOOKUP($L90,classifications!C:I,7,FALSE))</f>
        <v/>
      </c>
      <c r="AB90" s="183" t="str">
        <f t="shared" si="57"/>
        <v/>
      </c>
      <c r="AC90" s="183" t="str">
        <f>IF(AB90="","",IF($I$8="A",(RANK(AB90,AB$11:AB$349)+COUNTIF(AB$11:AB90,AB90)-1),(RANK(AB90,AB$11:AB$349,1)+COUNTIF(AB$11:AB90,AB90)-1)))</f>
        <v/>
      </c>
      <c r="AD90" s="183"/>
      <c r="AE90" s="49">
        <f>IF(I$8="A",(RANK(AG90,AG$11:AG$349,1)+COUNTIF(AG$11:AG90,AG90)-1),(RANK(AG90,AG$11:AG$349)+COUNTIF(AG$11:AG90,AG90)-1))</f>
        <v>80</v>
      </c>
      <c r="AF90" t="str">
        <f>VLOOKUP(Profile!$J$5,Families!$C:$R,6,FALSE)</f>
        <v>Herefordshire</v>
      </c>
      <c r="AG90" s="15">
        <f t="shared" si="58"/>
        <v>62.711864406779661</v>
      </c>
      <c r="AH90" s="50">
        <f t="shared" si="59"/>
        <v>80</v>
      </c>
      <c r="AI90" s="5" t="str">
        <f>IF(L90="","",VLOOKUP($L90,classifications!$C:$J,8,FALSE))</f>
        <v/>
      </c>
      <c r="AJ90" s="43" t="str">
        <f t="shared" si="60"/>
        <v/>
      </c>
      <c r="AK90" s="40" t="str">
        <f>IF(AJ90="","",IF(I$8="A",(RANK(AJ90,AJ$11:AJ$349,1)+COUNTIF(AJ$11:AJ90,AJ90)-1),(RANK(AJ90,AJ$11:AJ$349)+COUNTIF(AJ$11:AJ90,AJ90)-1)))</f>
        <v/>
      </c>
      <c r="AL90" s="3" t="str">
        <f t="shared" si="61"/>
        <v/>
      </c>
      <c r="AM90" t="str">
        <f t="shared" si="62"/>
        <v/>
      </c>
      <c r="AN90" t="str">
        <f t="shared" si="63"/>
        <v/>
      </c>
      <c r="AP90" s="5" t="str">
        <f>IF(L90="","",VLOOKUP($L90,classifications!$C:$E,3,FALSE))</f>
        <v/>
      </c>
      <c r="AQ90" s="43" t="str">
        <f t="shared" si="64"/>
        <v/>
      </c>
      <c r="AR90" s="40" t="str">
        <f>IF(AQ90="","",IF(I$8="A",(RANK(AQ90,AQ$11:AQ$349,1)+COUNTIF(AQ$11:AQ90,AQ90)-1),(RANK(AQ90,AQ$11:AQ$349)+COUNTIF(AQ$11:AQ90,AQ90)-1)))</f>
        <v/>
      </c>
      <c r="AS90" s="3" t="str">
        <f t="shared" si="65"/>
        <v/>
      </c>
      <c r="AT90" s="40" t="str">
        <f t="shared" si="66"/>
        <v/>
      </c>
      <c r="AU90" s="43" t="str">
        <f t="shared" si="67"/>
        <v/>
      </c>
      <c r="AX90">
        <f>HLOOKUP($AX$9&amp;$AX$10,Data!$A$1:$ZZ$1988,(MATCH($C90,Data!$A$1:$A$1988,0)),FALSE)</f>
        <v>100</v>
      </c>
    </row>
    <row r="91" spans="1:50">
      <c r="A91" s="59" t="str">
        <f>$D$1&amp;81</f>
        <v>UA81</v>
      </c>
      <c r="B91" s="60">
        <f>IF(ISERROR(VLOOKUP(A91,classifications!A:C,3,FALSE)),0,VLOOKUP(A91,classifications!A:C,3,FALSE))</f>
        <v>0</v>
      </c>
      <c r="C91" t="s">
        <v>266</v>
      </c>
      <c r="D91" t="str">
        <f>VLOOKUP($C91,classifications!$C:$J,4,FALSE)</f>
        <v>UA</v>
      </c>
      <c r="E91" t="str">
        <f>VLOOKUP(C91,classifications!C:K,9,FALSE)</f>
        <v>Sparse</v>
      </c>
      <c r="F91">
        <f t="shared" si="44"/>
        <v>87.5</v>
      </c>
      <c r="G91" s="15"/>
      <c r="H91" s="42">
        <f t="shared" si="45"/>
        <v>87.5</v>
      </c>
      <c r="I91" s="79">
        <f>IF(H91="","",IF($I$8="A",(RANK(H91,H$11:H$349,1)+COUNTIF(H$11:H91,H91)-1),(RANK(H91,H$11:H$349)+COUNTIF(H$11:H91,H91)-1)))</f>
        <v>34</v>
      </c>
      <c r="J91" s="41"/>
      <c r="K91" s="36" t="str">
        <f t="shared" si="46"/>
        <v/>
      </c>
      <c r="L91" t="str">
        <f t="shared" si="47"/>
        <v/>
      </c>
      <c r="M91" s="117" t="str">
        <f t="shared" si="48"/>
        <v/>
      </c>
      <c r="N91" s="112" t="str">
        <f t="shared" si="49"/>
        <v/>
      </c>
      <c r="O91" s="96" t="str">
        <f t="shared" si="50"/>
        <v/>
      </c>
      <c r="P91" s="96" t="str">
        <f t="shared" si="51"/>
        <v/>
      </c>
      <c r="Q91" s="96" t="str">
        <f t="shared" si="52"/>
        <v/>
      </c>
      <c r="R91" s="92" t="str">
        <f t="shared" si="53"/>
        <v/>
      </c>
      <c r="S91" s="42" t="str">
        <f t="shared" si="54"/>
        <v/>
      </c>
      <c r="T91" s="176" t="str">
        <f>IF(L91="","",VLOOKUP(L91,classifications!C:K,9,FALSE))</f>
        <v/>
      </c>
      <c r="U91" s="177" t="str">
        <f t="shared" si="55"/>
        <v/>
      </c>
      <c r="V91" s="183" t="str">
        <f>IF(U91="","",IF($I$8="A",(RANK(U91,U$11:U$349)+COUNTIF(U$11:U91,U91)-1),(RANK(U91,U$11:U$349,1)+COUNTIF(U$11:U91,U91)-1)))</f>
        <v/>
      </c>
      <c r="W91" s="184"/>
      <c r="X91" s="5" t="str">
        <f>IF(L91="","",VLOOKUP($L91,classifications!$C:$J,6,FALSE))</f>
        <v/>
      </c>
      <c r="Y91" t="str">
        <f t="shared" si="56"/>
        <v/>
      </c>
      <c r="Z91" s="40" t="str">
        <f>IF(Y91="","",IF(I$8="A",(RANK(Y91,Y$11:Y$349,1)+COUNTIF(Y$11:Y91,Y91)-1),(RANK(Y91,Y$11:Y$349)+COUNTIF(Y$11:Y91,Y91)-1)))</f>
        <v/>
      </c>
      <c r="AA91" s="189" t="str">
        <f>IF(L91="","",VLOOKUP($L91,classifications!C:I,7,FALSE))</f>
        <v/>
      </c>
      <c r="AB91" s="183" t="str">
        <f t="shared" si="57"/>
        <v/>
      </c>
      <c r="AC91" s="183" t="str">
        <f>IF(AB91="","",IF($I$8="A",(RANK(AB91,AB$11:AB$349)+COUNTIF(AB$11:AB91,AB91)-1),(RANK(AB91,AB$11:AB$349,1)+COUNTIF(AB$11:AB91,AB91)-1)))</f>
        <v/>
      </c>
      <c r="AD91" s="183"/>
      <c r="AE91" s="49">
        <f>IF(I$8="A",(RANK(AG91,AG$11:AG$349,1)+COUNTIF(AG$11:AG91,AG91)-1),(RANK(AG91,AG$11:AG$349)+COUNTIF(AG$11:AG91,AG91)-1))</f>
        <v>81</v>
      </c>
      <c r="AF91" t="str">
        <f>VLOOKUP(Profile!$J$5,Families!$C:$R,6,FALSE)</f>
        <v>Herefordshire</v>
      </c>
      <c r="AG91" s="15">
        <f t="shared" si="58"/>
        <v>62.711864406779661</v>
      </c>
      <c r="AH91" s="50">
        <f t="shared" si="59"/>
        <v>81</v>
      </c>
      <c r="AI91" s="5" t="str">
        <f>IF(L91="","",VLOOKUP($L91,classifications!$C:$J,8,FALSE))</f>
        <v/>
      </c>
      <c r="AJ91" s="43" t="str">
        <f t="shared" si="60"/>
        <v/>
      </c>
      <c r="AK91" s="40" t="str">
        <f>IF(AJ91="","",IF(I$8="A",(RANK(AJ91,AJ$11:AJ$349,1)+COUNTIF(AJ$11:AJ91,AJ91)-1),(RANK(AJ91,AJ$11:AJ$349)+COUNTIF(AJ$11:AJ91,AJ91)-1)))</f>
        <v/>
      </c>
      <c r="AL91" s="3" t="str">
        <f t="shared" si="61"/>
        <v/>
      </c>
      <c r="AM91" t="str">
        <f t="shared" si="62"/>
        <v/>
      </c>
      <c r="AN91" t="str">
        <f t="shared" si="63"/>
        <v/>
      </c>
      <c r="AP91" s="5" t="str">
        <f>IF(L91="","",VLOOKUP($L91,classifications!$C:$E,3,FALSE))</f>
        <v/>
      </c>
      <c r="AQ91" s="43" t="str">
        <f t="shared" si="64"/>
        <v/>
      </c>
      <c r="AR91" s="40" t="str">
        <f>IF(AQ91="","",IF(I$8="A",(RANK(AQ91,AQ$11:AQ$349,1)+COUNTIF(AQ$11:AQ91,AQ91)-1),(RANK(AQ91,AQ$11:AQ$349)+COUNTIF(AQ$11:AQ91,AQ91)-1)))</f>
        <v/>
      </c>
      <c r="AS91" s="3" t="str">
        <f t="shared" si="65"/>
        <v/>
      </c>
      <c r="AT91" s="40" t="str">
        <f t="shared" si="66"/>
        <v/>
      </c>
      <c r="AU91" s="43" t="str">
        <f t="shared" si="67"/>
        <v/>
      </c>
      <c r="AX91">
        <f>HLOOKUP($AX$9&amp;$AX$10,Data!$A$1:$ZZ$1988,(MATCH($C91,Data!$A$1:$A$1988,0)),FALSE)</f>
        <v>87.5</v>
      </c>
    </row>
    <row r="92" spans="1:50">
      <c r="A92" s="59" t="str">
        <f>$D$1&amp;82</f>
        <v>UA82</v>
      </c>
      <c r="B92" s="60">
        <f>IF(ISERROR(VLOOKUP(A92,classifications!A:C,3,FALSE)),0,VLOOKUP(A92,classifications!A:C,3,FALSE))</f>
        <v>0</v>
      </c>
      <c r="C92" t="s">
        <v>202</v>
      </c>
      <c r="D92" t="str">
        <f>VLOOKUP($C92,classifications!$C:$J,4,FALSE)</f>
        <v>L</v>
      </c>
      <c r="E92">
        <f>VLOOKUP(C92,classifications!C:K,9,FALSE)</f>
        <v>0</v>
      </c>
      <c r="F92">
        <f t="shared" si="44"/>
        <v>100</v>
      </c>
      <c r="G92" s="15"/>
      <c r="H92" s="42" t="str">
        <f t="shared" si="45"/>
        <v/>
      </c>
      <c r="I92" s="79" t="str">
        <f>IF(H92="","",IF($I$8="A",(RANK(H92,H$11:H$349,1)+COUNTIF(H$11:H92,H92)-1),(RANK(H92,H$11:H$349)+COUNTIF(H$11:H92,H92)-1)))</f>
        <v/>
      </c>
      <c r="J92" s="41"/>
      <c r="K92" s="36" t="str">
        <f t="shared" si="46"/>
        <v/>
      </c>
      <c r="L92" t="str">
        <f t="shared" si="47"/>
        <v/>
      </c>
      <c r="M92" s="117" t="str">
        <f t="shared" si="48"/>
        <v/>
      </c>
      <c r="N92" s="112" t="str">
        <f t="shared" si="49"/>
        <v/>
      </c>
      <c r="O92" s="96" t="str">
        <f t="shared" si="50"/>
        <v/>
      </c>
      <c r="P92" s="96" t="str">
        <f t="shared" si="51"/>
        <v/>
      </c>
      <c r="Q92" s="96" t="str">
        <f t="shared" si="52"/>
        <v/>
      </c>
      <c r="R92" s="92" t="str">
        <f t="shared" si="53"/>
        <v/>
      </c>
      <c r="S92" s="42" t="str">
        <f t="shared" si="54"/>
        <v/>
      </c>
      <c r="T92" s="176" t="str">
        <f>IF(L92="","",VLOOKUP(L92,classifications!C:K,9,FALSE))</f>
        <v/>
      </c>
      <c r="U92" s="177" t="str">
        <f t="shared" si="55"/>
        <v/>
      </c>
      <c r="V92" s="183" t="str">
        <f>IF(U92="","",IF($I$8="A",(RANK(U92,U$11:U$349)+COUNTIF(U$11:U92,U92)-1),(RANK(U92,U$11:U$349,1)+COUNTIF(U$11:U92,U92)-1)))</f>
        <v/>
      </c>
      <c r="W92" s="184"/>
      <c r="X92" s="5" t="str">
        <f>IF(L92="","",VLOOKUP($L92,classifications!$C:$J,6,FALSE))</f>
        <v/>
      </c>
      <c r="Y92" t="str">
        <f t="shared" si="56"/>
        <v/>
      </c>
      <c r="Z92" s="40" t="str">
        <f>IF(Y92="","",IF(I$8="A",(RANK(Y92,Y$11:Y$349,1)+COUNTIF(Y$11:Y92,Y92)-1),(RANK(Y92,Y$11:Y$349)+COUNTIF(Y$11:Y92,Y92)-1)))</f>
        <v/>
      </c>
      <c r="AA92" s="189" t="str">
        <f>IF(L92="","",VLOOKUP($L92,classifications!C:I,7,FALSE))</f>
        <v/>
      </c>
      <c r="AB92" s="183" t="str">
        <f t="shared" si="57"/>
        <v/>
      </c>
      <c r="AC92" s="183" t="str">
        <f>IF(AB92="","",IF($I$8="A",(RANK(AB92,AB$11:AB$349)+COUNTIF(AB$11:AB92,AB92)-1),(RANK(AB92,AB$11:AB$349,1)+COUNTIF(AB$11:AB92,AB92)-1)))</f>
        <v/>
      </c>
      <c r="AD92" s="183"/>
      <c r="AE92" s="49">
        <f>IF(I$8="A",(RANK(AG92,AG$11:AG$349,1)+COUNTIF(AG$11:AG92,AG92)-1),(RANK(AG92,AG$11:AG$349)+COUNTIF(AG$11:AG92,AG92)-1))</f>
        <v>82</v>
      </c>
      <c r="AF92" t="str">
        <f>VLOOKUP(Profile!$J$5,Families!$C:$R,6,FALSE)</f>
        <v>Herefordshire</v>
      </c>
      <c r="AG92" s="15">
        <f t="shared" si="58"/>
        <v>62.711864406779661</v>
      </c>
      <c r="AH92" s="50">
        <f t="shared" si="59"/>
        <v>82</v>
      </c>
      <c r="AI92" s="5" t="str">
        <f>IF(L92="","",VLOOKUP($L92,classifications!$C:$J,8,FALSE))</f>
        <v/>
      </c>
      <c r="AJ92" s="43" t="str">
        <f t="shared" si="60"/>
        <v/>
      </c>
      <c r="AK92" s="40" t="str">
        <f>IF(AJ92="","",IF(I$8="A",(RANK(AJ92,AJ$11:AJ$349,1)+COUNTIF(AJ$11:AJ92,AJ92)-1),(RANK(AJ92,AJ$11:AJ$349)+COUNTIF(AJ$11:AJ92,AJ92)-1)))</f>
        <v/>
      </c>
      <c r="AL92" s="3" t="str">
        <f t="shared" si="61"/>
        <v/>
      </c>
      <c r="AM92" t="str">
        <f t="shared" si="62"/>
        <v/>
      </c>
      <c r="AN92" t="str">
        <f t="shared" si="63"/>
        <v/>
      </c>
      <c r="AP92" s="5" t="str">
        <f>IF(L92="","",VLOOKUP($L92,classifications!$C:$E,3,FALSE))</f>
        <v/>
      </c>
      <c r="AQ92" s="43" t="str">
        <f t="shared" si="64"/>
        <v/>
      </c>
      <c r="AR92" s="40" t="str">
        <f>IF(AQ92="","",IF(I$8="A",(RANK(AQ92,AQ$11:AQ$349,1)+COUNTIF(AQ$11:AQ92,AQ92)-1),(RANK(AQ92,AQ$11:AQ$349)+COUNTIF(AQ$11:AQ92,AQ92)-1)))</f>
        <v/>
      </c>
      <c r="AS92" s="3" t="str">
        <f t="shared" si="65"/>
        <v/>
      </c>
      <c r="AT92" s="40" t="str">
        <f t="shared" si="66"/>
        <v/>
      </c>
      <c r="AU92" s="43" t="str">
        <f t="shared" si="67"/>
        <v/>
      </c>
      <c r="AX92">
        <f>HLOOKUP($AX$9&amp;$AX$10,Data!$A$1:$ZZ$1988,(MATCH($C92,Data!$A$1:$A$1988,0)),FALSE)</f>
        <v>100</v>
      </c>
    </row>
    <row r="93" spans="1:50">
      <c r="A93" s="59" t="str">
        <f>$D$1&amp;83</f>
        <v>UA83</v>
      </c>
      <c r="B93" s="60">
        <f>IF(ISERROR(VLOOKUP(A93,classifications!A:C,3,FALSE)),0,VLOOKUP(A93,classifications!A:C,3,FALSE))</f>
        <v>0</v>
      </c>
      <c r="C93" t="s">
        <v>52</v>
      </c>
      <c r="D93" t="str">
        <f>VLOOKUP($C93,classifications!$C:$J,4,FALSE)</f>
        <v>SD</v>
      </c>
      <c r="E93" t="str">
        <f>VLOOKUP(C93,classifications!C:K,9,FALSE)</f>
        <v>Sparse</v>
      </c>
      <c r="F93">
        <f t="shared" si="44"/>
        <v>100</v>
      </c>
      <c r="G93" s="15"/>
      <c r="H93" s="42" t="str">
        <f t="shared" si="45"/>
        <v/>
      </c>
      <c r="I93" s="79" t="str">
        <f>IF(H93="","",IF($I$8="A",(RANK(H93,H$11:H$349,1)+COUNTIF(H$11:H93,H93)-1),(RANK(H93,H$11:H$349)+COUNTIF(H$11:H93,H93)-1)))</f>
        <v/>
      </c>
      <c r="J93" s="41"/>
      <c r="K93" s="36" t="str">
        <f t="shared" si="46"/>
        <v/>
      </c>
      <c r="L93" t="str">
        <f t="shared" si="47"/>
        <v/>
      </c>
      <c r="M93" s="117" t="str">
        <f t="shared" si="48"/>
        <v/>
      </c>
      <c r="N93" s="112" t="str">
        <f t="shared" si="49"/>
        <v/>
      </c>
      <c r="O93" s="96" t="str">
        <f t="shared" si="50"/>
        <v/>
      </c>
      <c r="P93" s="96" t="str">
        <f t="shared" si="51"/>
        <v/>
      </c>
      <c r="Q93" s="96" t="str">
        <f t="shared" si="52"/>
        <v/>
      </c>
      <c r="R93" s="92" t="str">
        <f t="shared" si="53"/>
        <v/>
      </c>
      <c r="S93" s="42" t="str">
        <f t="shared" si="54"/>
        <v/>
      </c>
      <c r="T93" s="176" t="str">
        <f>IF(L93="","",VLOOKUP(L93,classifications!C:K,9,FALSE))</f>
        <v/>
      </c>
      <c r="U93" s="177" t="str">
        <f t="shared" si="55"/>
        <v/>
      </c>
      <c r="V93" s="183" t="str">
        <f>IF(U93="","",IF($I$8="A",(RANK(U93,U$11:U$349)+COUNTIF(U$11:U93,U93)-1),(RANK(U93,U$11:U$349,1)+COUNTIF(U$11:U93,U93)-1)))</f>
        <v/>
      </c>
      <c r="W93" s="184"/>
      <c r="X93" s="5" t="str">
        <f>IF(L93="","",VLOOKUP($L93,classifications!$C:$J,6,FALSE))</f>
        <v/>
      </c>
      <c r="Y93" t="str">
        <f t="shared" si="56"/>
        <v/>
      </c>
      <c r="Z93" s="40" t="str">
        <f>IF(Y93="","",IF(I$8="A",(RANK(Y93,Y$11:Y$349,1)+COUNTIF(Y$11:Y93,Y93)-1),(RANK(Y93,Y$11:Y$349)+COUNTIF(Y$11:Y93,Y93)-1)))</f>
        <v/>
      </c>
      <c r="AA93" s="189" t="str">
        <f>IF(L93="","",VLOOKUP($L93,classifications!C:I,7,FALSE))</f>
        <v/>
      </c>
      <c r="AB93" s="183" t="str">
        <f t="shared" si="57"/>
        <v/>
      </c>
      <c r="AC93" s="183" t="str">
        <f>IF(AB93="","",IF($I$8="A",(RANK(AB93,AB$11:AB$349)+COUNTIF(AB$11:AB93,AB93)-1),(RANK(AB93,AB$11:AB$349,1)+COUNTIF(AB$11:AB93,AB93)-1)))</f>
        <v/>
      </c>
      <c r="AD93" s="183"/>
      <c r="AE93" s="49">
        <f>IF(I$8="A",(RANK(AG93,AG$11:AG$349,1)+COUNTIF(AG$11:AG93,AG93)-1),(RANK(AG93,AG$11:AG$349)+COUNTIF(AG$11:AG93,AG93)-1))</f>
        <v>83</v>
      </c>
      <c r="AF93" t="str">
        <f>VLOOKUP(Profile!$J$5,Families!$C:$R,6,FALSE)</f>
        <v>Herefordshire</v>
      </c>
      <c r="AG93" s="15">
        <f t="shared" si="58"/>
        <v>62.711864406779661</v>
      </c>
      <c r="AH93" s="50">
        <f t="shared" si="59"/>
        <v>83</v>
      </c>
      <c r="AI93" s="5" t="str">
        <f>IF(L93="","",VLOOKUP($L93,classifications!$C:$J,8,FALSE))</f>
        <v/>
      </c>
      <c r="AJ93" s="43" t="str">
        <f t="shared" si="60"/>
        <v/>
      </c>
      <c r="AK93" s="40" t="str">
        <f>IF(AJ93="","",IF(I$8="A",(RANK(AJ93,AJ$11:AJ$349,1)+COUNTIF(AJ$11:AJ93,AJ93)-1),(RANK(AJ93,AJ$11:AJ$349)+COUNTIF(AJ$11:AJ93,AJ93)-1)))</f>
        <v/>
      </c>
      <c r="AL93" s="3" t="str">
        <f t="shared" si="61"/>
        <v/>
      </c>
      <c r="AM93" t="str">
        <f t="shared" si="62"/>
        <v/>
      </c>
      <c r="AN93" t="str">
        <f t="shared" si="63"/>
        <v/>
      </c>
      <c r="AP93" s="5" t="str">
        <f>IF(L93="","",VLOOKUP($L93,classifications!$C:$E,3,FALSE))</f>
        <v/>
      </c>
      <c r="AQ93" s="43" t="str">
        <f t="shared" si="64"/>
        <v/>
      </c>
      <c r="AR93" s="40" t="str">
        <f>IF(AQ93="","",IF(I$8="A",(RANK(AQ93,AQ$11:AQ$349,1)+COUNTIF(AQ$11:AQ93,AQ93)-1),(RANK(AQ93,AQ$11:AQ$349)+COUNTIF(AQ$11:AQ93,AQ93)-1)))</f>
        <v/>
      </c>
      <c r="AS93" s="3" t="str">
        <f t="shared" si="65"/>
        <v/>
      </c>
      <c r="AT93" s="40" t="str">
        <f t="shared" si="66"/>
        <v/>
      </c>
      <c r="AU93" s="43" t="str">
        <f t="shared" si="67"/>
        <v/>
      </c>
      <c r="AX93">
        <f>HLOOKUP($AX$9&amp;$AX$10,Data!$A$1:$ZZ$1988,(MATCH($C93,Data!$A$1:$A$1988,0)),FALSE)</f>
        <v>100</v>
      </c>
    </row>
    <row r="94" spans="1:50">
      <c r="A94" s="59" t="str">
        <f>$D$1&amp;84</f>
        <v>UA84</v>
      </c>
      <c r="B94" s="60">
        <f>IF(ISERROR(VLOOKUP(A94,classifications!A:C,3,FALSE)),0,VLOOKUP(A94,classifications!A:C,3,FALSE))</f>
        <v>0</v>
      </c>
      <c r="C94" t="s">
        <v>53</v>
      </c>
      <c r="D94" t="str">
        <f>VLOOKUP($C94,classifications!$C:$J,4,FALSE)</f>
        <v>SD</v>
      </c>
      <c r="E94" t="str">
        <f>VLOOKUP(C94,classifications!C:K,9,FALSE)</f>
        <v>Sparse</v>
      </c>
      <c r="F94">
        <f t="shared" si="44"/>
        <v>63.333333333333329</v>
      </c>
      <c r="G94" s="15"/>
      <c r="H94" s="42" t="str">
        <f t="shared" si="45"/>
        <v/>
      </c>
      <c r="I94" s="79" t="str">
        <f>IF(H94="","",IF($I$8="A",(RANK(H94,H$11:H$349,1)+COUNTIF(H$11:H94,H94)-1),(RANK(H94,H$11:H$349)+COUNTIF(H$11:H94,H94)-1)))</f>
        <v/>
      </c>
      <c r="J94" s="41"/>
      <c r="K94" s="36" t="str">
        <f t="shared" si="46"/>
        <v/>
      </c>
      <c r="L94" t="str">
        <f t="shared" si="47"/>
        <v/>
      </c>
      <c r="M94" s="117" t="str">
        <f t="shared" si="48"/>
        <v/>
      </c>
      <c r="N94" s="112" t="str">
        <f t="shared" si="49"/>
        <v/>
      </c>
      <c r="O94" s="96" t="str">
        <f t="shared" si="50"/>
        <v/>
      </c>
      <c r="P94" s="96" t="str">
        <f t="shared" si="51"/>
        <v/>
      </c>
      <c r="Q94" s="96" t="str">
        <f t="shared" si="52"/>
        <v/>
      </c>
      <c r="R94" s="92" t="str">
        <f t="shared" si="53"/>
        <v/>
      </c>
      <c r="S94" s="42" t="str">
        <f t="shared" si="54"/>
        <v/>
      </c>
      <c r="T94" s="176" t="str">
        <f>IF(L94="","",VLOOKUP(L94,classifications!C:K,9,FALSE))</f>
        <v/>
      </c>
      <c r="U94" s="177" t="str">
        <f t="shared" si="55"/>
        <v/>
      </c>
      <c r="V94" s="183" t="str">
        <f>IF(U94="","",IF($I$8="A",(RANK(U94,U$11:U$349)+COUNTIF(U$11:U94,U94)-1),(RANK(U94,U$11:U$349,1)+COUNTIF(U$11:U94,U94)-1)))</f>
        <v/>
      </c>
      <c r="W94" s="184"/>
      <c r="X94" s="5" t="str">
        <f>IF(L94="","",VLOOKUP($L94,classifications!$C:$J,6,FALSE))</f>
        <v/>
      </c>
      <c r="Y94" t="str">
        <f t="shared" si="56"/>
        <v/>
      </c>
      <c r="Z94" s="40" t="str">
        <f>IF(Y94="","",IF(I$8="A",(RANK(Y94,Y$11:Y$349,1)+COUNTIF(Y$11:Y94,Y94)-1),(RANK(Y94,Y$11:Y$349)+COUNTIF(Y$11:Y94,Y94)-1)))</f>
        <v/>
      </c>
      <c r="AA94" s="189" t="str">
        <f>IF(L94="","",VLOOKUP($L94,classifications!C:I,7,FALSE))</f>
        <v/>
      </c>
      <c r="AB94" s="183" t="str">
        <f t="shared" si="57"/>
        <v/>
      </c>
      <c r="AC94" s="183" t="str">
        <f>IF(AB94="","",IF($I$8="A",(RANK(AB94,AB$11:AB$349)+COUNTIF(AB$11:AB94,AB94)-1),(RANK(AB94,AB$11:AB$349,1)+COUNTIF(AB$11:AB94,AB94)-1)))</f>
        <v/>
      </c>
      <c r="AD94" s="183"/>
      <c r="AE94" s="49">
        <f>IF(I$8="A",(RANK(AG94,AG$11:AG$349,1)+COUNTIF(AG$11:AG94,AG94)-1),(RANK(AG94,AG$11:AG$349)+COUNTIF(AG$11:AG94,AG94)-1))</f>
        <v>84</v>
      </c>
      <c r="AF94" t="str">
        <f>VLOOKUP(Profile!$J$5,Families!$C:$R,6,FALSE)</f>
        <v>Herefordshire</v>
      </c>
      <c r="AG94" s="15">
        <f t="shared" si="58"/>
        <v>62.711864406779661</v>
      </c>
      <c r="AH94" s="50">
        <f t="shared" si="59"/>
        <v>84</v>
      </c>
      <c r="AI94" s="5" t="str">
        <f>IF(L94="","",VLOOKUP($L94,classifications!$C:$J,8,FALSE))</f>
        <v/>
      </c>
      <c r="AJ94" s="43" t="str">
        <f t="shared" si="60"/>
        <v/>
      </c>
      <c r="AK94" s="40" t="str">
        <f>IF(AJ94="","",IF(I$8="A",(RANK(AJ94,AJ$11:AJ$349,1)+COUNTIF(AJ$11:AJ94,AJ94)-1),(RANK(AJ94,AJ$11:AJ$349)+COUNTIF(AJ$11:AJ94,AJ94)-1)))</f>
        <v/>
      </c>
      <c r="AL94" s="3" t="str">
        <f t="shared" si="61"/>
        <v/>
      </c>
      <c r="AM94" t="str">
        <f t="shared" si="62"/>
        <v/>
      </c>
      <c r="AN94" t="str">
        <f t="shared" si="63"/>
        <v/>
      </c>
      <c r="AP94" s="5" t="str">
        <f>IF(L94="","",VLOOKUP($L94,classifications!$C:$E,3,FALSE))</f>
        <v/>
      </c>
      <c r="AQ94" s="43" t="str">
        <f t="shared" si="64"/>
        <v/>
      </c>
      <c r="AR94" s="40" t="str">
        <f>IF(AQ94="","",IF(I$8="A",(RANK(AQ94,AQ$11:AQ$349,1)+COUNTIF(AQ$11:AQ94,AQ94)-1),(RANK(AQ94,AQ$11:AQ$349)+COUNTIF(AQ$11:AQ94,AQ94)-1)))</f>
        <v/>
      </c>
      <c r="AS94" s="3" t="str">
        <f t="shared" si="65"/>
        <v/>
      </c>
      <c r="AT94" s="40" t="str">
        <f t="shared" si="66"/>
        <v/>
      </c>
      <c r="AU94" s="43" t="str">
        <f t="shared" si="67"/>
        <v/>
      </c>
      <c r="AX94">
        <f>HLOOKUP($AX$9&amp;$AX$10,Data!$A$1:$ZZ$1988,(MATCH($C94,Data!$A$1:$A$1988,0)),FALSE)</f>
        <v>63.333333333333329</v>
      </c>
    </row>
    <row r="95" spans="1:50">
      <c r="A95" s="59" t="str">
        <f>$D$1&amp;85</f>
        <v>UA85</v>
      </c>
      <c r="B95" s="60">
        <f>IF(ISERROR(VLOOKUP(A95,classifications!A:C,3,FALSE)),0,VLOOKUP(A95,classifications!A:C,3,FALSE))</f>
        <v>0</v>
      </c>
      <c r="C95" t="s">
        <v>55</v>
      </c>
      <c r="D95" t="str">
        <f>VLOOKUP($C95,classifications!$C:$J,4,FALSE)</f>
        <v>SD</v>
      </c>
      <c r="E95">
        <f>VLOOKUP(C95,classifications!C:K,9,FALSE)</f>
        <v>0</v>
      </c>
      <c r="F95">
        <f t="shared" si="44"/>
        <v>57.142857142857139</v>
      </c>
      <c r="G95" s="15"/>
      <c r="H95" s="42" t="str">
        <f t="shared" si="45"/>
        <v/>
      </c>
      <c r="I95" s="79" t="str">
        <f>IF(H95="","",IF($I$8="A",(RANK(H95,H$11:H$349,1)+COUNTIF(H$11:H95,H95)-1),(RANK(H95,H$11:H$349)+COUNTIF(H$11:H95,H95)-1)))</f>
        <v/>
      </c>
      <c r="J95" s="41"/>
      <c r="K95" s="36" t="str">
        <f t="shared" si="46"/>
        <v/>
      </c>
      <c r="L95" t="str">
        <f t="shared" si="47"/>
        <v/>
      </c>
      <c r="M95" s="117" t="str">
        <f t="shared" si="48"/>
        <v/>
      </c>
      <c r="N95" s="112" t="str">
        <f t="shared" si="49"/>
        <v/>
      </c>
      <c r="O95" s="96" t="str">
        <f t="shared" si="50"/>
        <v/>
      </c>
      <c r="P95" s="96" t="str">
        <f t="shared" si="51"/>
        <v/>
      </c>
      <c r="Q95" s="96" t="str">
        <f t="shared" si="52"/>
        <v/>
      </c>
      <c r="R95" s="92" t="str">
        <f t="shared" si="53"/>
        <v/>
      </c>
      <c r="S95" s="42" t="str">
        <f t="shared" si="54"/>
        <v/>
      </c>
      <c r="T95" s="176" t="str">
        <f>IF(L95="","",VLOOKUP(L95,classifications!C:K,9,FALSE))</f>
        <v/>
      </c>
      <c r="U95" s="177" t="str">
        <f t="shared" si="55"/>
        <v/>
      </c>
      <c r="V95" s="183" t="str">
        <f>IF(U95="","",IF($I$8="A",(RANK(U95,U$11:U$349)+COUNTIF(U$11:U95,U95)-1),(RANK(U95,U$11:U$349,1)+COUNTIF(U$11:U95,U95)-1)))</f>
        <v/>
      </c>
      <c r="W95" s="184"/>
      <c r="X95" s="5" t="str">
        <f>IF(L95="","",VLOOKUP($L95,classifications!$C:$J,6,FALSE))</f>
        <v/>
      </c>
      <c r="Y95" t="str">
        <f t="shared" si="56"/>
        <v/>
      </c>
      <c r="Z95" s="40" t="str">
        <f>IF(Y95="","",IF(I$8="A",(RANK(Y95,Y$11:Y$349,1)+COUNTIF(Y$11:Y95,Y95)-1),(RANK(Y95,Y$11:Y$349)+COUNTIF(Y$11:Y95,Y95)-1)))</f>
        <v/>
      </c>
      <c r="AA95" s="189" t="str">
        <f>IF(L95="","",VLOOKUP($L95,classifications!C:I,7,FALSE))</f>
        <v/>
      </c>
      <c r="AB95" s="183" t="str">
        <f t="shared" si="57"/>
        <v/>
      </c>
      <c r="AC95" s="183" t="str">
        <f>IF(AB95="","",IF($I$8="A",(RANK(AB95,AB$11:AB$349)+COUNTIF(AB$11:AB95,AB95)-1),(RANK(AB95,AB$11:AB$349,1)+COUNTIF(AB$11:AB95,AB95)-1)))</f>
        <v/>
      </c>
      <c r="AD95" s="183"/>
      <c r="AE95" s="49">
        <f>IF(I$8="A",(RANK(AG95,AG$11:AG$349,1)+COUNTIF(AG$11:AG95,AG95)-1),(RANK(AG95,AG$11:AG$349)+COUNTIF(AG$11:AG95,AG95)-1))</f>
        <v>85</v>
      </c>
      <c r="AF95" t="str">
        <f>VLOOKUP(Profile!$J$5,Families!$C:$R,6,FALSE)</f>
        <v>Herefordshire</v>
      </c>
      <c r="AG95" s="15">
        <f t="shared" si="58"/>
        <v>62.711864406779661</v>
      </c>
      <c r="AH95" s="50">
        <f t="shared" si="59"/>
        <v>85</v>
      </c>
      <c r="AI95" s="5" t="str">
        <f>IF(L95="","",VLOOKUP($L95,classifications!$C:$J,8,FALSE))</f>
        <v/>
      </c>
      <c r="AJ95" s="43" t="str">
        <f t="shared" si="60"/>
        <v/>
      </c>
      <c r="AK95" s="40" t="str">
        <f>IF(AJ95="","",IF(I$8="A",(RANK(AJ95,AJ$11:AJ$349,1)+COUNTIF(AJ$11:AJ95,AJ95)-1),(RANK(AJ95,AJ$11:AJ$349)+COUNTIF(AJ$11:AJ95,AJ95)-1)))</f>
        <v/>
      </c>
      <c r="AL95" s="3" t="str">
        <f t="shared" si="61"/>
        <v/>
      </c>
      <c r="AM95" t="str">
        <f t="shared" si="62"/>
        <v/>
      </c>
      <c r="AN95" t="str">
        <f t="shared" si="63"/>
        <v/>
      </c>
      <c r="AP95" s="5" t="str">
        <f>IF(L95="","",VLOOKUP($L95,classifications!$C:$E,3,FALSE))</f>
        <v/>
      </c>
      <c r="AQ95" s="43" t="str">
        <f t="shared" si="64"/>
        <v/>
      </c>
      <c r="AR95" s="40" t="str">
        <f>IF(AQ95="","",IF(I$8="A",(RANK(AQ95,AQ$11:AQ$349,1)+COUNTIF(AQ$11:AQ95,AQ95)-1),(RANK(AQ95,AQ$11:AQ$349)+COUNTIF(AQ$11:AQ95,AQ95)-1)))</f>
        <v/>
      </c>
      <c r="AS95" s="3" t="str">
        <f t="shared" si="65"/>
        <v/>
      </c>
      <c r="AT95" s="40" t="str">
        <f t="shared" si="66"/>
        <v/>
      </c>
      <c r="AU95" s="43" t="str">
        <f t="shared" si="67"/>
        <v/>
      </c>
      <c r="AX95">
        <f>HLOOKUP($AX$9&amp;$AX$10,Data!$A$1:$ZZ$1988,(MATCH($C95,Data!$A$1:$A$1988,0)),FALSE)</f>
        <v>57.142857142857139</v>
      </c>
    </row>
    <row r="96" spans="1:50">
      <c r="A96" s="59" t="str">
        <f>$D$1&amp;86</f>
        <v>UA86</v>
      </c>
      <c r="B96" s="60">
        <f>IF(ISERROR(VLOOKUP(A96,classifications!A:C,3,FALSE)),0,VLOOKUP(A96,classifications!A:C,3,FALSE))</f>
        <v>0</v>
      </c>
      <c r="C96" t="s">
        <v>56</v>
      </c>
      <c r="D96" t="str">
        <f>VLOOKUP($C96,classifications!$C:$J,4,FALSE)</f>
        <v>SD</v>
      </c>
      <c r="E96">
        <f>VLOOKUP(C96,classifications!C:K,9,FALSE)</f>
        <v>0</v>
      </c>
      <c r="F96">
        <f t="shared" si="44"/>
        <v>73.68421052631578</v>
      </c>
      <c r="G96" s="15"/>
      <c r="H96" s="42" t="str">
        <f t="shared" si="45"/>
        <v/>
      </c>
      <c r="I96" s="79" t="str">
        <f>IF(H96="","",IF($I$8="A",(RANK(H96,H$11:H$349,1)+COUNTIF(H$11:H96,H96)-1),(RANK(H96,H$11:H$349)+COUNTIF(H$11:H96,H96)-1)))</f>
        <v/>
      </c>
      <c r="J96" s="41"/>
      <c r="K96" s="36" t="str">
        <f t="shared" si="46"/>
        <v/>
      </c>
      <c r="L96" t="str">
        <f t="shared" si="47"/>
        <v/>
      </c>
      <c r="M96" s="117" t="str">
        <f t="shared" si="48"/>
        <v/>
      </c>
      <c r="N96" s="112" t="str">
        <f t="shared" si="49"/>
        <v/>
      </c>
      <c r="O96" s="96" t="str">
        <f t="shared" si="50"/>
        <v/>
      </c>
      <c r="P96" s="96" t="str">
        <f t="shared" si="51"/>
        <v/>
      </c>
      <c r="Q96" s="96" t="str">
        <f t="shared" si="52"/>
        <v/>
      </c>
      <c r="R96" s="92" t="str">
        <f t="shared" si="53"/>
        <v/>
      </c>
      <c r="S96" s="42" t="str">
        <f t="shared" si="54"/>
        <v/>
      </c>
      <c r="T96" s="176" t="str">
        <f>IF(L96="","",VLOOKUP(L96,classifications!C:K,9,FALSE))</f>
        <v/>
      </c>
      <c r="U96" s="177" t="str">
        <f t="shared" si="55"/>
        <v/>
      </c>
      <c r="V96" s="183" t="str">
        <f>IF(U96="","",IF($I$8="A",(RANK(U96,U$11:U$349)+COUNTIF(U$11:U96,U96)-1),(RANK(U96,U$11:U$349,1)+COUNTIF(U$11:U96,U96)-1)))</f>
        <v/>
      </c>
      <c r="W96" s="184"/>
      <c r="X96" s="5" t="str">
        <f>IF(L96="","",VLOOKUP($L96,classifications!$C:$J,6,FALSE))</f>
        <v/>
      </c>
      <c r="Y96" t="str">
        <f t="shared" si="56"/>
        <v/>
      </c>
      <c r="Z96" s="40" t="str">
        <f>IF(Y96="","",IF(I$8="A",(RANK(Y96,Y$11:Y$349,1)+COUNTIF(Y$11:Y96,Y96)-1),(RANK(Y96,Y$11:Y$349)+COUNTIF(Y$11:Y96,Y96)-1)))</f>
        <v/>
      </c>
      <c r="AA96" s="189" t="str">
        <f>IF(L96="","",VLOOKUP($L96,classifications!C:I,7,FALSE))</f>
        <v/>
      </c>
      <c r="AB96" s="183" t="str">
        <f t="shared" si="57"/>
        <v/>
      </c>
      <c r="AC96" s="183" t="str">
        <f>IF(AB96="","",IF($I$8="A",(RANK(AB96,AB$11:AB$349)+COUNTIF(AB$11:AB96,AB96)-1),(RANK(AB96,AB$11:AB$349,1)+COUNTIF(AB$11:AB96,AB96)-1)))</f>
        <v/>
      </c>
      <c r="AD96" s="183"/>
      <c r="AE96" s="49">
        <f>IF(I$8="A",(RANK(AG96,AG$11:AG$349,1)+COUNTIF(AG$11:AG96,AG96)-1),(RANK(AG96,AG$11:AG$349)+COUNTIF(AG$11:AG96,AG96)-1))</f>
        <v>86</v>
      </c>
      <c r="AF96" t="str">
        <f>VLOOKUP(Profile!$J$5,Families!$C:$R,6,FALSE)</f>
        <v>Herefordshire</v>
      </c>
      <c r="AG96" s="15">
        <f t="shared" si="58"/>
        <v>62.711864406779661</v>
      </c>
      <c r="AH96" s="50">
        <f t="shared" si="59"/>
        <v>86</v>
      </c>
      <c r="AI96" s="5" t="str">
        <f>IF(L96="","",VLOOKUP($L96,classifications!$C:$J,8,FALSE))</f>
        <v/>
      </c>
      <c r="AJ96" s="43" t="str">
        <f t="shared" si="60"/>
        <v/>
      </c>
      <c r="AK96" s="40" t="str">
        <f>IF(AJ96="","",IF(I$8="A",(RANK(AJ96,AJ$11:AJ$349,1)+COUNTIF(AJ$11:AJ96,AJ96)-1),(RANK(AJ96,AJ$11:AJ$349)+COUNTIF(AJ$11:AJ96,AJ96)-1)))</f>
        <v/>
      </c>
      <c r="AL96" s="3" t="str">
        <f t="shared" si="61"/>
        <v/>
      </c>
      <c r="AM96" t="str">
        <f t="shared" si="62"/>
        <v/>
      </c>
      <c r="AN96" t="str">
        <f t="shared" si="63"/>
        <v/>
      </c>
      <c r="AP96" s="5" t="str">
        <f>IF(L96="","",VLOOKUP($L96,classifications!$C:$E,3,FALSE))</f>
        <v/>
      </c>
      <c r="AQ96" s="43" t="str">
        <f t="shared" si="64"/>
        <v/>
      </c>
      <c r="AR96" s="40" t="str">
        <f>IF(AQ96="","",IF(I$8="A",(RANK(AQ96,AQ$11:AQ$349,1)+COUNTIF(AQ$11:AQ96,AQ96)-1),(RANK(AQ96,AQ$11:AQ$349)+COUNTIF(AQ$11:AQ96,AQ96)-1)))</f>
        <v/>
      </c>
      <c r="AS96" s="3" t="str">
        <f t="shared" si="65"/>
        <v/>
      </c>
      <c r="AT96" s="40" t="str">
        <f t="shared" si="66"/>
        <v/>
      </c>
      <c r="AU96" s="43" t="str">
        <f t="shared" si="67"/>
        <v/>
      </c>
      <c r="AX96">
        <f>HLOOKUP($AX$9&amp;$AX$10,Data!$A$1:$ZZ$1988,(MATCH($C96,Data!$A$1:$A$1988,0)),FALSE)</f>
        <v>73.68421052631578</v>
      </c>
    </row>
    <row r="97" spans="1:50">
      <c r="A97" s="59" t="str">
        <f>$D$1&amp;87</f>
        <v>UA87</v>
      </c>
      <c r="B97" s="60">
        <f>IF(ISERROR(VLOOKUP(A97,classifications!A:C,3,FALSE)),0,VLOOKUP(A97,classifications!A:C,3,FALSE))</f>
        <v>0</v>
      </c>
      <c r="C97" t="s">
        <v>57</v>
      </c>
      <c r="D97" t="str">
        <f>VLOOKUP($C97,classifications!$C:$J,4,FALSE)</f>
        <v>SD</v>
      </c>
      <c r="E97" t="str">
        <f>VLOOKUP(C97,classifications!C:K,9,FALSE)</f>
        <v>Sparse</v>
      </c>
      <c r="F97">
        <f t="shared" si="44"/>
        <v>61.627906976744185</v>
      </c>
      <c r="G97" s="15"/>
      <c r="H97" s="42" t="str">
        <f t="shared" si="45"/>
        <v/>
      </c>
      <c r="I97" s="79" t="str">
        <f>IF(H97="","",IF($I$8="A",(RANK(H97,H$11:H$349,1)+COUNTIF(H$11:H97,H97)-1),(RANK(H97,H$11:H$349)+COUNTIF(H$11:H97,H97)-1)))</f>
        <v/>
      </c>
      <c r="J97" s="41"/>
      <c r="K97" s="36" t="str">
        <f t="shared" si="46"/>
        <v/>
      </c>
      <c r="L97" t="str">
        <f t="shared" si="47"/>
        <v/>
      </c>
      <c r="M97" s="117" t="str">
        <f t="shared" si="48"/>
        <v/>
      </c>
      <c r="N97" s="112" t="str">
        <f t="shared" si="49"/>
        <v/>
      </c>
      <c r="O97" s="96" t="str">
        <f t="shared" si="50"/>
        <v/>
      </c>
      <c r="P97" s="96" t="str">
        <f t="shared" si="51"/>
        <v/>
      </c>
      <c r="Q97" s="96" t="str">
        <f t="shared" si="52"/>
        <v/>
      </c>
      <c r="R97" s="92" t="str">
        <f t="shared" si="53"/>
        <v/>
      </c>
      <c r="S97" s="42" t="str">
        <f t="shared" si="54"/>
        <v/>
      </c>
      <c r="T97" s="176" t="str">
        <f>IF(L97="","",VLOOKUP(L97,classifications!C:K,9,FALSE))</f>
        <v/>
      </c>
      <c r="U97" s="177" t="str">
        <f t="shared" si="55"/>
        <v/>
      </c>
      <c r="V97" s="183" t="str">
        <f>IF(U97="","",IF($I$8="A",(RANK(U97,U$11:U$349)+COUNTIF(U$11:U97,U97)-1),(RANK(U97,U$11:U$349,1)+COUNTIF(U$11:U97,U97)-1)))</f>
        <v/>
      </c>
      <c r="W97" s="184"/>
      <c r="X97" s="5" t="str">
        <f>IF(L97="","",VLOOKUP($L97,classifications!$C:$J,6,FALSE))</f>
        <v/>
      </c>
      <c r="Y97" t="str">
        <f t="shared" si="56"/>
        <v/>
      </c>
      <c r="Z97" s="40" t="str">
        <f>IF(Y97="","",IF(I$8="A",(RANK(Y97,Y$11:Y$349,1)+COUNTIF(Y$11:Y97,Y97)-1),(RANK(Y97,Y$11:Y$349)+COUNTIF(Y$11:Y97,Y97)-1)))</f>
        <v/>
      </c>
      <c r="AA97" s="189" t="str">
        <f>IF(L97="","",VLOOKUP($L97,classifications!C:I,7,FALSE))</f>
        <v/>
      </c>
      <c r="AB97" s="183" t="str">
        <f t="shared" si="57"/>
        <v/>
      </c>
      <c r="AC97" s="183" t="str">
        <f>IF(AB97="","",IF($I$8="A",(RANK(AB97,AB$11:AB$349)+COUNTIF(AB$11:AB97,AB97)-1),(RANK(AB97,AB$11:AB$349,1)+COUNTIF(AB$11:AB97,AB97)-1)))</f>
        <v/>
      </c>
      <c r="AD97" s="183"/>
      <c r="AE97" s="49">
        <f>IF(I$8="A",(RANK(AG97,AG$11:AG$349,1)+COUNTIF(AG$11:AG97,AG97)-1),(RANK(AG97,AG$11:AG$349)+COUNTIF(AG$11:AG97,AG97)-1))</f>
        <v>87</v>
      </c>
      <c r="AF97" t="str">
        <f>VLOOKUP(Profile!$J$5,Families!$C:$R,6,FALSE)</f>
        <v>Herefordshire</v>
      </c>
      <c r="AG97" s="15">
        <f t="shared" si="58"/>
        <v>62.711864406779661</v>
      </c>
      <c r="AH97" s="50">
        <f t="shared" si="59"/>
        <v>87</v>
      </c>
      <c r="AI97" s="5" t="str">
        <f>IF(L97="","",VLOOKUP($L97,classifications!$C:$J,8,FALSE))</f>
        <v/>
      </c>
      <c r="AJ97" s="43" t="str">
        <f t="shared" si="60"/>
        <v/>
      </c>
      <c r="AK97" s="40" t="str">
        <f>IF(AJ97="","",IF(I$8="A",(RANK(AJ97,AJ$11:AJ$349,1)+COUNTIF(AJ$11:AJ97,AJ97)-1),(RANK(AJ97,AJ$11:AJ$349)+COUNTIF(AJ$11:AJ97,AJ97)-1)))</f>
        <v/>
      </c>
      <c r="AL97" s="3" t="str">
        <f t="shared" si="61"/>
        <v/>
      </c>
      <c r="AM97" t="str">
        <f t="shared" si="62"/>
        <v/>
      </c>
      <c r="AN97" t="str">
        <f t="shared" si="63"/>
        <v/>
      </c>
      <c r="AP97" s="5" t="str">
        <f>IF(L97="","",VLOOKUP($L97,classifications!$C:$E,3,FALSE))</f>
        <v/>
      </c>
      <c r="AQ97" s="43" t="str">
        <f t="shared" si="64"/>
        <v/>
      </c>
      <c r="AR97" s="40" t="str">
        <f>IF(AQ97="","",IF(I$8="A",(RANK(AQ97,AQ$11:AQ$349,1)+COUNTIF(AQ$11:AQ97,AQ97)-1),(RANK(AQ97,AQ$11:AQ$349)+COUNTIF(AQ$11:AQ97,AQ97)-1)))</f>
        <v/>
      </c>
      <c r="AS97" s="3" t="str">
        <f t="shared" si="65"/>
        <v/>
      </c>
      <c r="AT97" s="40" t="str">
        <f t="shared" si="66"/>
        <v/>
      </c>
      <c r="AU97" s="43" t="str">
        <f t="shared" si="67"/>
        <v/>
      </c>
      <c r="AX97">
        <f>HLOOKUP($AX$9&amp;$AX$10,Data!$A$1:$ZZ$1988,(MATCH($C97,Data!$A$1:$A$1988,0)),FALSE)</f>
        <v>61.627906976744185</v>
      </c>
    </row>
    <row r="98" spans="1:50">
      <c r="A98" s="59" t="str">
        <f>$D$1&amp;88</f>
        <v>UA88</v>
      </c>
      <c r="B98" s="60">
        <f>IF(ISERROR(VLOOKUP(A98,classifications!A:C,3,FALSE)),0,VLOOKUP(A98,classifications!A:C,3,FALSE))</f>
        <v>0</v>
      </c>
      <c r="C98" t="s">
        <v>267</v>
      </c>
      <c r="D98" t="str">
        <f>VLOOKUP($C98,classifications!$C:$J,4,FALSE)</f>
        <v>UA</v>
      </c>
      <c r="E98" t="str">
        <f>VLOOKUP(C98,classifications!C:K,9,FALSE)</f>
        <v>Sparse</v>
      </c>
      <c r="F98">
        <f t="shared" si="44"/>
        <v>96.05263157894737</v>
      </c>
      <c r="G98" s="15"/>
      <c r="H98" s="42">
        <f t="shared" si="45"/>
        <v>96.05263157894737</v>
      </c>
      <c r="I98" s="79">
        <f>IF(H98="","",IF($I$8="A",(RANK(H98,H$11:H$349,1)+COUNTIF(H$11:H98,H98)-1),(RANK(H98,H$11:H$349)+COUNTIF(H$11:H98,H98)-1)))</f>
        <v>14</v>
      </c>
      <c r="J98" s="41"/>
      <c r="K98" s="36" t="str">
        <f t="shared" si="46"/>
        <v/>
      </c>
      <c r="L98" t="str">
        <f t="shared" si="47"/>
        <v/>
      </c>
      <c r="M98" s="117" t="str">
        <f t="shared" si="48"/>
        <v/>
      </c>
      <c r="N98" s="112" t="str">
        <f t="shared" si="49"/>
        <v/>
      </c>
      <c r="O98" s="96" t="str">
        <f t="shared" si="50"/>
        <v/>
      </c>
      <c r="P98" s="96" t="str">
        <f t="shared" si="51"/>
        <v/>
      </c>
      <c r="Q98" s="96" t="str">
        <f t="shared" si="52"/>
        <v/>
      </c>
      <c r="R98" s="92" t="str">
        <f t="shared" si="53"/>
        <v/>
      </c>
      <c r="S98" s="42" t="str">
        <f t="shared" si="54"/>
        <v/>
      </c>
      <c r="T98" s="176" t="str">
        <f>IF(L98="","",VLOOKUP(L98,classifications!C:K,9,FALSE))</f>
        <v/>
      </c>
      <c r="U98" s="177" t="str">
        <f t="shared" si="55"/>
        <v/>
      </c>
      <c r="V98" s="183" t="str">
        <f>IF(U98="","",IF($I$8="A",(RANK(U98,U$11:U$349)+COUNTIF(U$11:U98,U98)-1),(RANK(U98,U$11:U$349,1)+COUNTIF(U$11:U98,U98)-1)))</f>
        <v/>
      </c>
      <c r="W98" s="184"/>
      <c r="X98" s="5" t="str">
        <f>IF(L98="","",VLOOKUP($L98,classifications!$C:$J,6,FALSE))</f>
        <v/>
      </c>
      <c r="Y98" t="str">
        <f t="shared" si="56"/>
        <v/>
      </c>
      <c r="Z98" s="40" t="str">
        <f>IF(Y98="","",IF(I$8="A",(RANK(Y98,Y$11:Y$349,1)+COUNTIF(Y$11:Y98,Y98)-1),(RANK(Y98,Y$11:Y$349)+COUNTIF(Y$11:Y98,Y98)-1)))</f>
        <v/>
      </c>
      <c r="AA98" s="189" t="str">
        <f>IF(L98="","",VLOOKUP($L98,classifications!C:I,7,FALSE))</f>
        <v/>
      </c>
      <c r="AB98" s="183" t="str">
        <f t="shared" si="57"/>
        <v/>
      </c>
      <c r="AC98" s="183" t="str">
        <f>IF(AB98="","",IF($I$8="A",(RANK(AB98,AB$11:AB$349)+COUNTIF(AB$11:AB98,AB98)-1),(RANK(AB98,AB$11:AB$349,1)+COUNTIF(AB$11:AB98,AB98)-1)))</f>
        <v/>
      </c>
      <c r="AD98" s="183"/>
      <c r="AE98" s="49">
        <f>IF(I$8="A",(RANK(AG98,AG$11:AG$349,1)+COUNTIF(AG$11:AG98,AG98)-1),(RANK(AG98,AG$11:AG$349)+COUNTIF(AG$11:AG98,AG98)-1))</f>
        <v>88</v>
      </c>
      <c r="AF98" t="str">
        <f>VLOOKUP(Profile!$J$5,Families!$C:$R,6,FALSE)</f>
        <v>Herefordshire</v>
      </c>
      <c r="AG98" s="15">
        <f t="shared" si="58"/>
        <v>62.711864406779661</v>
      </c>
      <c r="AH98" s="50">
        <f t="shared" si="59"/>
        <v>88</v>
      </c>
      <c r="AI98" s="5" t="str">
        <f>IF(L98="","",VLOOKUP($L98,classifications!$C:$J,8,FALSE))</f>
        <v/>
      </c>
      <c r="AJ98" s="43" t="str">
        <f t="shared" si="60"/>
        <v/>
      </c>
      <c r="AK98" s="40" t="str">
        <f>IF(AJ98="","",IF(I$8="A",(RANK(AJ98,AJ$11:AJ$349,1)+COUNTIF(AJ$11:AJ98,AJ98)-1),(RANK(AJ98,AJ$11:AJ$349)+COUNTIF(AJ$11:AJ98,AJ98)-1)))</f>
        <v/>
      </c>
      <c r="AL98" s="3" t="str">
        <f t="shared" si="61"/>
        <v/>
      </c>
      <c r="AM98" t="str">
        <f t="shared" si="62"/>
        <v/>
      </c>
      <c r="AN98" t="str">
        <f t="shared" si="63"/>
        <v/>
      </c>
      <c r="AP98" s="5" t="str">
        <f>IF(L98="","",VLOOKUP($L98,classifications!$C:$E,3,FALSE))</f>
        <v/>
      </c>
      <c r="AQ98" s="43" t="str">
        <f t="shared" si="64"/>
        <v/>
      </c>
      <c r="AR98" s="40" t="str">
        <f>IF(AQ98="","",IF(I$8="A",(RANK(AQ98,AQ$11:AQ$349,1)+COUNTIF(AQ$11:AQ98,AQ98)-1),(RANK(AQ98,AQ$11:AQ$349)+COUNTIF(AQ$11:AQ98,AQ98)-1)))</f>
        <v/>
      </c>
      <c r="AS98" s="3" t="str">
        <f t="shared" si="65"/>
        <v/>
      </c>
      <c r="AT98" s="40" t="str">
        <f t="shared" si="66"/>
        <v/>
      </c>
      <c r="AU98" s="43" t="str">
        <f t="shared" si="67"/>
        <v/>
      </c>
      <c r="AX98">
        <f>HLOOKUP($AX$9&amp;$AX$10,Data!$A$1:$ZZ$1988,(MATCH($C98,Data!$A$1:$A$1988,0)),FALSE)</f>
        <v>96.05263157894737</v>
      </c>
    </row>
    <row r="99" spans="1:50">
      <c r="A99" s="59" t="str">
        <f>$D$1&amp;89</f>
        <v>UA89</v>
      </c>
      <c r="B99" s="60">
        <f>IF(ISERROR(VLOOKUP(A99,classifications!A:C,3,FALSE)),0,VLOOKUP(A99,classifications!A:C,3,FALSE))</f>
        <v>0</v>
      </c>
      <c r="C99" t="s">
        <v>59</v>
      </c>
      <c r="D99" t="str">
        <f>VLOOKUP($C99,classifications!$C:$J,4,FALSE)</f>
        <v>SD</v>
      </c>
      <c r="E99">
        <f>VLOOKUP(C99,classifications!C:K,9,FALSE)</f>
        <v>0</v>
      </c>
      <c r="F99">
        <f t="shared" si="44"/>
        <v>100</v>
      </c>
      <c r="G99" s="15"/>
      <c r="H99" s="42" t="str">
        <f t="shared" si="45"/>
        <v/>
      </c>
      <c r="I99" s="79" t="str">
        <f>IF(H99="","",IF($I$8="A",(RANK(H99,H$11:H$349,1)+COUNTIF(H$11:H99,H99)-1),(RANK(H99,H$11:H$349)+COUNTIF(H$11:H99,H99)-1)))</f>
        <v/>
      </c>
      <c r="J99" s="41"/>
      <c r="K99" s="36" t="str">
        <f t="shared" si="46"/>
        <v/>
      </c>
      <c r="L99" t="str">
        <f t="shared" si="47"/>
        <v/>
      </c>
      <c r="M99" s="117" t="str">
        <f t="shared" si="48"/>
        <v/>
      </c>
      <c r="N99" s="112" t="str">
        <f t="shared" si="49"/>
        <v/>
      </c>
      <c r="O99" s="96" t="str">
        <f t="shared" si="50"/>
        <v/>
      </c>
      <c r="P99" s="96" t="str">
        <f t="shared" si="51"/>
        <v/>
      </c>
      <c r="Q99" s="96" t="str">
        <f t="shared" si="52"/>
        <v/>
      </c>
      <c r="R99" s="92" t="str">
        <f t="shared" si="53"/>
        <v/>
      </c>
      <c r="S99" s="42" t="str">
        <f t="shared" si="54"/>
        <v/>
      </c>
      <c r="T99" s="176" t="str">
        <f>IF(L99="","",VLOOKUP(L99,classifications!C:K,9,FALSE))</f>
        <v/>
      </c>
      <c r="U99" s="177" t="str">
        <f t="shared" si="55"/>
        <v/>
      </c>
      <c r="V99" s="183" t="str">
        <f>IF(U99="","",IF($I$8="A",(RANK(U99,U$11:U$349)+COUNTIF(U$11:U99,U99)-1),(RANK(U99,U$11:U$349,1)+COUNTIF(U$11:U99,U99)-1)))</f>
        <v/>
      </c>
      <c r="W99" s="184"/>
      <c r="X99" s="5" t="str">
        <f>IF(L99="","",VLOOKUP($L99,classifications!$C:$J,6,FALSE))</f>
        <v/>
      </c>
      <c r="Y99" t="str">
        <f t="shared" si="56"/>
        <v/>
      </c>
      <c r="Z99" s="40" t="str">
        <f>IF(Y99="","",IF(I$8="A",(RANK(Y99,Y$11:Y$349,1)+COUNTIF(Y$11:Y99,Y99)-1),(RANK(Y99,Y$11:Y$349)+COUNTIF(Y$11:Y99,Y99)-1)))</f>
        <v/>
      </c>
      <c r="AA99" s="189" t="str">
        <f>IF(L99="","",VLOOKUP($L99,classifications!C:I,7,FALSE))</f>
        <v/>
      </c>
      <c r="AB99" s="183" t="str">
        <f t="shared" si="57"/>
        <v/>
      </c>
      <c r="AC99" s="183" t="str">
        <f>IF(AB99="","",IF($I$8="A",(RANK(AB99,AB$11:AB$349)+COUNTIF(AB$11:AB99,AB99)-1),(RANK(AB99,AB$11:AB$349,1)+COUNTIF(AB$11:AB99,AB99)-1)))</f>
        <v/>
      </c>
      <c r="AD99" s="183"/>
      <c r="AE99" s="49">
        <f>IF(I$8="A",(RANK(AG99,AG$11:AG$349,1)+COUNTIF(AG$11:AG99,AG99)-1),(RANK(AG99,AG$11:AG$349)+COUNTIF(AG$11:AG99,AG99)-1))</f>
        <v>89</v>
      </c>
      <c r="AF99" t="str">
        <f>VLOOKUP(Profile!$J$5,Families!$C:$R,6,FALSE)</f>
        <v>Herefordshire</v>
      </c>
      <c r="AG99" s="15">
        <f t="shared" si="58"/>
        <v>62.711864406779661</v>
      </c>
      <c r="AH99" s="50">
        <f t="shared" si="59"/>
        <v>89</v>
      </c>
      <c r="AI99" s="5" t="str">
        <f>IF(L99="","",VLOOKUP($L99,classifications!$C:$J,8,FALSE))</f>
        <v/>
      </c>
      <c r="AJ99" s="43" t="str">
        <f t="shared" si="60"/>
        <v/>
      </c>
      <c r="AK99" s="40" t="str">
        <f>IF(AJ99="","",IF(I$8="A",(RANK(AJ99,AJ$11:AJ$349,1)+COUNTIF(AJ$11:AJ99,AJ99)-1),(RANK(AJ99,AJ$11:AJ$349)+COUNTIF(AJ$11:AJ99,AJ99)-1)))</f>
        <v/>
      </c>
      <c r="AL99" s="3" t="str">
        <f t="shared" si="61"/>
        <v/>
      </c>
      <c r="AM99" t="str">
        <f t="shared" si="62"/>
        <v/>
      </c>
      <c r="AN99" t="str">
        <f t="shared" si="63"/>
        <v/>
      </c>
      <c r="AP99" s="5" t="str">
        <f>IF(L99="","",VLOOKUP($L99,classifications!$C:$E,3,FALSE))</f>
        <v/>
      </c>
      <c r="AQ99" s="43" t="str">
        <f t="shared" si="64"/>
        <v/>
      </c>
      <c r="AR99" s="40" t="str">
        <f>IF(AQ99="","",IF(I$8="A",(RANK(AQ99,AQ$11:AQ$349,1)+COUNTIF(AQ$11:AQ99,AQ99)-1),(RANK(AQ99,AQ$11:AQ$349)+COUNTIF(AQ$11:AQ99,AQ99)-1)))</f>
        <v/>
      </c>
      <c r="AS99" s="3" t="str">
        <f t="shared" si="65"/>
        <v/>
      </c>
      <c r="AT99" s="40" t="str">
        <f t="shared" si="66"/>
        <v/>
      </c>
      <c r="AU99" s="43" t="str">
        <f t="shared" si="67"/>
        <v/>
      </c>
      <c r="AX99">
        <f>HLOOKUP($AX$9&amp;$AX$10,Data!$A$1:$ZZ$1988,(MATCH($C99,Data!$A$1:$A$1988,0)),FALSE)</f>
        <v>100</v>
      </c>
    </row>
    <row r="100" spans="1:50">
      <c r="A100" s="59" t="str">
        <f>$D$1&amp;90</f>
        <v>UA90</v>
      </c>
      <c r="B100" s="60">
        <f>IF(ISERROR(VLOOKUP(A100,classifications!A:C,3,FALSE)),0,VLOOKUP(A100,classifications!A:C,3,FALSE))</f>
        <v>0</v>
      </c>
      <c r="C100" t="s">
        <v>898</v>
      </c>
      <c r="D100" t="str">
        <f>VLOOKUP($C100,classifications!$C:$J,4,FALSE)</f>
        <v>SD</v>
      </c>
      <c r="E100" t="str">
        <f>VLOOKUP(C100,classifications!C:K,9,FALSE)</f>
        <v>Sparse</v>
      </c>
      <c r="F100">
        <f t="shared" si="44"/>
        <v>88.679245283018872</v>
      </c>
      <c r="G100" s="15"/>
      <c r="H100" s="42" t="str">
        <f t="shared" si="45"/>
        <v/>
      </c>
      <c r="I100" s="79" t="str">
        <f>IF(H100="","",IF($I$8="A",(RANK(H100,H$11:H$349,1)+COUNTIF(H$11:H100,H100)-1),(RANK(H100,H$11:H$349)+COUNTIF(H$11:H100,H100)-1)))</f>
        <v/>
      </c>
      <c r="J100" s="41"/>
      <c r="K100" s="36" t="str">
        <f t="shared" si="46"/>
        <v/>
      </c>
      <c r="L100" t="str">
        <f t="shared" si="47"/>
        <v/>
      </c>
      <c r="M100" s="117" t="str">
        <f t="shared" si="48"/>
        <v/>
      </c>
      <c r="N100" s="112" t="str">
        <f t="shared" si="49"/>
        <v/>
      </c>
      <c r="O100" s="96" t="str">
        <f t="shared" si="50"/>
        <v/>
      </c>
      <c r="P100" s="96" t="str">
        <f t="shared" si="51"/>
        <v/>
      </c>
      <c r="Q100" s="96" t="str">
        <f t="shared" si="52"/>
        <v/>
      </c>
      <c r="R100" s="92" t="str">
        <f t="shared" si="53"/>
        <v/>
      </c>
      <c r="S100" s="42" t="str">
        <f t="shared" si="54"/>
        <v/>
      </c>
      <c r="T100" s="176" t="str">
        <f>IF(L100="","",VLOOKUP(L100,classifications!C:K,9,FALSE))</f>
        <v/>
      </c>
      <c r="U100" s="177" t="str">
        <f t="shared" si="55"/>
        <v/>
      </c>
      <c r="V100" s="183" t="str">
        <f>IF(U100="","",IF($I$8="A",(RANK(U100,U$11:U$349)+COUNTIF(U$11:U100,U100)-1),(RANK(U100,U$11:U$349,1)+COUNTIF(U$11:U100,U100)-1)))</f>
        <v/>
      </c>
      <c r="W100" s="184"/>
      <c r="X100" s="5" t="str">
        <f>IF(L100="","",VLOOKUP($L100,classifications!$C:$J,6,FALSE))</f>
        <v/>
      </c>
      <c r="Y100" t="str">
        <f t="shared" si="56"/>
        <v/>
      </c>
      <c r="Z100" s="40" t="str">
        <f>IF(Y100="","",IF(I$8="A",(RANK(Y100,Y$11:Y$349,1)+COUNTIF(Y$11:Y100,Y100)-1),(RANK(Y100,Y$11:Y$349)+COUNTIF(Y$11:Y100,Y100)-1)))</f>
        <v/>
      </c>
      <c r="AA100" s="189" t="str">
        <f>IF(L100="","",VLOOKUP($L100,classifications!C:I,7,FALSE))</f>
        <v/>
      </c>
      <c r="AB100" s="183" t="str">
        <f t="shared" si="57"/>
        <v/>
      </c>
      <c r="AC100" s="183" t="str">
        <f>IF(AB100="","",IF($I$8="A",(RANK(AB100,AB$11:AB$349)+COUNTIF(AB$11:AB100,AB100)-1),(RANK(AB100,AB$11:AB$349,1)+COUNTIF(AB$11:AB100,AB100)-1)))</f>
        <v/>
      </c>
      <c r="AD100" s="183"/>
      <c r="AE100" s="49">
        <f>IF(I$8="A",(RANK(AG100,AG$11:AG$349,1)+COUNTIF(AG$11:AG100,AG100)-1),(RANK(AG100,AG$11:AG$349)+COUNTIF(AG$11:AG100,AG100)-1))</f>
        <v>90</v>
      </c>
      <c r="AF100" t="str">
        <f>VLOOKUP(Profile!$J$5,Families!$C:$R,6,FALSE)</f>
        <v>Herefordshire</v>
      </c>
      <c r="AG100" s="15">
        <f t="shared" si="58"/>
        <v>62.711864406779661</v>
      </c>
      <c r="AH100" s="50">
        <f t="shared" si="59"/>
        <v>90</v>
      </c>
      <c r="AI100" s="5" t="str">
        <f>IF(L100="","",VLOOKUP($L100,classifications!$C:$J,8,FALSE))</f>
        <v/>
      </c>
      <c r="AJ100" s="43" t="str">
        <f t="shared" si="60"/>
        <v/>
      </c>
      <c r="AK100" s="40" t="str">
        <f>IF(AJ100="","",IF(I$8="A",(RANK(AJ100,AJ$11:AJ$349,1)+COUNTIF(AJ$11:AJ100,AJ100)-1),(RANK(AJ100,AJ$11:AJ$349)+COUNTIF(AJ$11:AJ100,AJ100)-1)))</f>
        <v/>
      </c>
      <c r="AL100" s="3" t="str">
        <f t="shared" si="61"/>
        <v/>
      </c>
      <c r="AM100" t="str">
        <f t="shared" si="62"/>
        <v/>
      </c>
      <c r="AN100" t="str">
        <f t="shared" si="63"/>
        <v/>
      </c>
      <c r="AP100" s="5" t="str">
        <f>IF(L100="","",VLOOKUP($L100,classifications!$C:$E,3,FALSE))</f>
        <v/>
      </c>
      <c r="AQ100" s="43" t="str">
        <f t="shared" si="64"/>
        <v/>
      </c>
      <c r="AR100" s="40" t="str">
        <f>IF(AQ100="","",IF(I$8="A",(RANK(AQ100,AQ$11:AQ$349,1)+COUNTIF(AQ$11:AQ100,AQ100)-1),(RANK(AQ100,AQ$11:AQ$349)+COUNTIF(AQ$11:AQ100,AQ100)-1)))</f>
        <v/>
      </c>
      <c r="AS100" s="3" t="str">
        <f t="shared" si="65"/>
        <v/>
      </c>
      <c r="AT100" s="40" t="str">
        <f t="shared" si="66"/>
        <v/>
      </c>
      <c r="AU100" s="43" t="str">
        <f t="shared" si="67"/>
        <v/>
      </c>
      <c r="AX100">
        <f>HLOOKUP($AX$9&amp;$AX$10,Data!$A$1:$ZZ$1988,(MATCH($C100,Data!$A$1:$A$1988,0)),FALSE)</f>
        <v>88.679245283018872</v>
      </c>
    </row>
    <row r="101" spans="1:50">
      <c r="A101" s="59" t="str">
        <f>$D$1&amp;91</f>
        <v>UA91</v>
      </c>
      <c r="B101" s="60">
        <f>IF(ISERROR(VLOOKUP(A101,classifications!A:C,3,FALSE)),0,VLOOKUP(A101,classifications!A:C,3,FALSE))</f>
        <v>0</v>
      </c>
      <c r="C101" t="s">
        <v>310</v>
      </c>
      <c r="D101" t="str">
        <f>VLOOKUP($C101,classifications!$C:$J,4,FALSE)</f>
        <v>SC</v>
      </c>
      <c r="E101">
        <f>VLOOKUP(C101,classifications!C:K,9,FALSE)</f>
        <v>0</v>
      </c>
      <c r="F101" t="e">
        <f t="shared" si="44"/>
        <v>#N/A</v>
      </c>
      <c r="G101" s="15"/>
      <c r="H101" s="42" t="str">
        <f t="shared" si="45"/>
        <v/>
      </c>
      <c r="I101" s="79" t="str">
        <f>IF(H101="","",IF($I$8="A",(RANK(H101,H$11:H$349,1)+COUNTIF(H$11:H101,H101)-1),(RANK(H101,H$11:H$349)+COUNTIF(H$11:H101,H101)-1)))</f>
        <v/>
      </c>
      <c r="J101" s="41"/>
      <c r="K101" s="36" t="str">
        <f t="shared" si="46"/>
        <v/>
      </c>
      <c r="L101" t="str">
        <f t="shared" si="47"/>
        <v/>
      </c>
      <c r="M101" s="117" t="str">
        <f t="shared" si="48"/>
        <v/>
      </c>
      <c r="N101" s="112" t="str">
        <f t="shared" si="49"/>
        <v/>
      </c>
      <c r="O101" s="96" t="str">
        <f t="shared" si="50"/>
        <v/>
      </c>
      <c r="P101" s="96" t="str">
        <f t="shared" si="51"/>
        <v/>
      </c>
      <c r="Q101" s="96" t="str">
        <f t="shared" si="52"/>
        <v/>
      </c>
      <c r="R101" s="92" t="str">
        <f t="shared" si="53"/>
        <v/>
      </c>
      <c r="S101" s="42" t="str">
        <f t="shared" si="54"/>
        <v/>
      </c>
      <c r="T101" s="176" t="str">
        <f>IF(L101="","",VLOOKUP(L101,classifications!C:K,9,FALSE))</f>
        <v/>
      </c>
      <c r="U101" s="177" t="str">
        <f t="shared" si="55"/>
        <v/>
      </c>
      <c r="V101" s="183" t="str">
        <f>IF(U101="","",IF($I$8="A",(RANK(U101,U$11:U$349)+COUNTIF(U$11:U101,U101)-1),(RANK(U101,U$11:U$349,1)+COUNTIF(U$11:U101,U101)-1)))</f>
        <v/>
      </c>
      <c r="W101" s="184"/>
      <c r="X101" s="5" t="str">
        <f>IF(L101="","",VLOOKUP($L101,classifications!$C:$J,6,FALSE))</f>
        <v/>
      </c>
      <c r="Y101" t="str">
        <f t="shared" si="56"/>
        <v/>
      </c>
      <c r="Z101" s="40" t="str">
        <f>IF(Y101="","",IF(I$8="A",(RANK(Y101,Y$11:Y$349,1)+COUNTIF(Y$11:Y101,Y101)-1),(RANK(Y101,Y$11:Y$349)+COUNTIF(Y$11:Y101,Y101)-1)))</f>
        <v/>
      </c>
      <c r="AA101" s="189" t="str">
        <f>IF(L101="","",VLOOKUP($L101,classifications!C:I,7,FALSE))</f>
        <v/>
      </c>
      <c r="AB101" s="183" t="str">
        <f t="shared" si="57"/>
        <v/>
      </c>
      <c r="AC101" s="183" t="str">
        <f>IF(AB101="","",IF($I$8="A",(RANK(AB101,AB$11:AB$349)+COUNTIF(AB$11:AB101,AB101)-1),(RANK(AB101,AB$11:AB$349,1)+COUNTIF(AB$11:AB101,AB101)-1)))</f>
        <v/>
      </c>
      <c r="AD101" s="183"/>
      <c r="AE101" s="49">
        <f>IF(I$8="A",(RANK(AG101,AG$11:AG$349,1)+COUNTIF(AG$11:AG101,AG101)-1),(RANK(AG101,AG$11:AG$349)+COUNTIF(AG$11:AG101,AG101)-1))</f>
        <v>91</v>
      </c>
      <c r="AF101" t="str">
        <f>VLOOKUP(Profile!$J$5,Families!$C:$R,6,FALSE)</f>
        <v>Herefordshire</v>
      </c>
      <c r="AG101" s="15">
        <f t="shared" si="58"/>
        <v>62.711864406779661</v>
      </c>
      <c r="AH101" s="50">
        <f t="shared" si="59"/>
        <v>91</v>
      </c>
      <c r="AI101" s="5" t="str">
        <f>IF(L101="","",VLOOKUP($L101,classifications!$C:$J,8,FALSE))</f>
        <v/>
      </c>
      <c r="AJ101" s="43" t="str">
        <f t="shared" si="60"/>
        <v/>
      </c>
      <c r="AK101" s="40" t="str">
        <f>IF(AJ101="","",IF(I$8="A",(RANK(AJ101,AJ$11:AJ$349,1)+COUNTIF(AJ$11:AJ101,AJ101)-1),(RANK(AJ101,AJ$11:AJ$349)+COUNTIF(AJ$11:AJ101,AJ101)-1)))</f>
        <v/>
      </c>
      <c r="AL101" s="3" t="str">
        <f t="shared" si="61"/>
        <v/>
      </c>
      <c r="AM101" t="str">
        <f t="shared" si="62"/>
        <v/>
      </c>
      <c r="AN101" t="str">
        <f t="shared" si="63"/>
        <v/>
      </c>
      <c r="AP101" s="5" t="str">
        <f>IF(L101="","",VLOOKUP($L101,classifications!$C:$E,3,FALSE))</f>
        <v/>
      </c>
      <c r="AQ101" s="43" t="str">
        <f t="shared" si="64"/>
        <v/>
      </c>
      <c r="AR101" s="40" t="str">
        <f>IF(AQ101="","",IF(I$8="A",(RANK(AQ101,AQ$11:AQ$349,1)+COUNTIF(AQ$11:AQ101,AQ101)-1),(RANK(AQ101,AQ$11:AQ$349)+COUNTIF(AQ$11:AQ101,AQ101)-1)))</f>
        <v/>
      </c>
      <c r="AS101" s="3" t="str">
        <f t="shared" si="65"/>
        <v/>
      </c>
      <c r="AT101" s="40" t="str">
        <f t="shared" si="66"/>
        <v/>
      </c>
      <c r="AU101" s="43" t="str">
        <f t="shared" si="67"/>
        <v/>
      </c>
      <c r="AX101" t="e">
        <f>HLOOKUP($AX$9&amp;$AX$10,Data!$A$1:$ZZ$1988,(MATCH($C101,Data!$A$1:$A$1988,0)),FALSE)</f>
        <v>#N/A</v>
      </c>
    </row>
    <row r="102" spans="1:50">
      <c r="A102" s="59" t="str">
        <f>$D$1&amp;92</f>
        <v>UA92</v>
      </c>
      <c r="B102" s="60">
        <f>IF(ISERROR(VLOOKUP(A102,classifications!A:C,3,FALSE)),0,VLOOKUP(A102,classifications!A:C,3,FALSE))</f>
        <v>0</v>
      </c>
      <c r="C102" t="s">
        <v>60</v>
      </c>
      <c r="D102" t="str">
        <f>VLOOKUP($C102,classifications!$C:$J,4,FALSE)</f>
        <v>SD</v>
      </c>
      <c r="E102">
        <f>VLOOKUP(C102,classifications!C:K,9,FALSE)</f>
        <v>0</v>
      </c>
      <c r="F102">
        <f t="shared" si="44"/>
        <v>78.94736842105263</v>
      </c>
      <c r="G102" s="15"/>
      <c r="H102" s="42" t="str">
        <f t="shared" si="45"/>
        <v/>
      </c>
      <c r="I102" s="79" t="str">
        <f>IF(H102="","",IF($I$8="A",(RANK(H102,H$11:H$349,1)+COUNTIF(H$11:H102,H102)-1),(RANK(H102,H$11:H$349)+COUNTIF(H$11:H102,H102)-1)))</f>
        <v/>
      </c>
      <c r="J102" s="41"/>
      <c r="K102" s="36" t="str">
        <f t="shared" si="46"/>
        <v/>
      </c>
      <c r="L102" t="str">
        <f t="shared" si="47"/>
        <v/>
      </c>
      <c r="M102" s="117" t="str">
        <f t="shared" si="48"/>
        <v/>
      </c>
      <c r="N102" s="112" t="str">
        <f t="shared" si="49"/>
        <v/>
      </c>
      <c r="O102" s="96" t="str">
        <f t="shared" si="50"/>
        <v/>
      </c>
      <c r="P102" s="96" t="str">
        <f t="shared" si="51"/>
        <v/>
      </c>
      <c r="Q102" s="96" t="str">
        <f t="shared" si="52"/>
        <v/>
      </c>
      <c r="R102" s="92" t="str">
        <f t="shared" si="53"/>
        <v/>
      </c>
      <c r="S102" s="42" t="str">
        <f t="shared" si="54"/>
        <v/>
      </c>
      <c r="T102" s="176" t="str">
        <f>IF(L102="","",VLOOKUP(L102,classifications!C:K,9,FALSE))</f>
        <v/>
      </c>
      <c r="U102" s="177" t="str">
        <f t="shared" si="55"/>
        <v/>
      </c>
      <c r="V102" s="183" t="str">
        <f>IF(U102="","",IF($I$8="A",(RANK(U102,U$11:U$349)+COUNTIF(U$11:U102,U102)-1),(RANK(U102,U$11:U$349,1)+COUNTIF(U$11:U102,U102)-1)))</f>
        <v/>
      </c>
      <c r="W102" s="184"/>
      <c r="X102" s="5" t="str">
        <f>IF(L102="","",VLOOKUP($L102,classifications!$C:$J,6,FALSE))</f>
        <v/>
      </c>
      <c r="Y102" t="str">
        <f t="shared" si="56"/>
        <v/>
      </c>
      <c r="Z102" s="40" t="str">
        <f>IF(Y102="","",IF(I$8="A",(RANK(Y102,Y$11:Y$349,1)+COUNTIF(Y$11:Y102,Y102)-1),(RANK(Y102,Y$11:Y$349)+COUNTIF(Y$11:Y102,Y102)-1)))</f>
        <v/>
      </c>
      <c r="AA102" s="189" t="str">
        <f>IF(L102="","",VLOOKUP($L102,classifications!C:I,7,FALSE))</f>
        <v/>
      </c>
      <c r="AB102" s="183" t="str">
        <f t="shared" si="57"/>
        <v/>
      </c>
      <c r="AC102" s="183" t="str">
        <f>IF(AB102="","",IF($I$8="A",(RANK(AB102,AB$11:AB$349)+COUNTIF(AB$11:AB102,AB102)-1),(RANK(AB102,AB$11:AB$349,1)+COUNTIF(AB$11:AB102,AB102)-1)))</f>
        <v/>
      </c>
      <c r="AD102" s="183"/>
      <c r="AE102" s="49">
        <f>IF(I$8="A",(RANK(AG102,AG$11:AG$349,1)+COUNTIF(AG$11:AG102,AG102)-1),(RANK(AG102,AG$11:AG$349)+COUNTIF(AG$11:AG102,AG102)-1))</f>
        <v>92</v>
      </c>
      <c r="AF102" t="str">
        <f>VLOOKUP(Profile!$J$5,Families!$C:$R,6,FALSE)</f>
        <v>Herefordshire</v>
      </c>
      <c r="AG102" s="15">
        <f t="shared" si="58"/>
        <v>62.711864406779661</v>
      </c>
      <c r="AH102" s="50">
        <f t="shared" si="59"/>
        <v>92</v>
      </c>
      <c r="AI102" s="5" t="str">
        <f>IF(L102="","",VLOOKUP($L102,classifications!$C:$J,8,FALSE))</f>
        <v/>
      </c>
      <c r="AJ102" s="43" t="str">
        <f t="shared" si="60"/>
        <v/>
      </c>
      <c r="AK102" s="40" t="str">
        <f>IF(AJ102="","",IF(I$8="A",(RANK(AJ102,AJ$11:AJ$349,1)+COUNTIF(AJ$11:AJ102,AJ102)-1),(RANK(AJ102,AJ$11:AJ$349)+COUNTIF(AJ$11:AJ102,AJ102)-1)))</f>
        <v/>
      </c>
      <c r="AL102" s="3" t="str">
        <f t="shared" si="61"/>
        <v/>
      </c>
      <c r="AM102" t="str">
        <f t="shared" si="62"/>
        <v/>
      </c>
      <c r="AN102" t="str">
        <f t="shared" si="63"/>
        <v/>
      </c>
      <c r="AP102" s="5" t="str">
        <f>IF(L102="","",VLOOKUP($L102,classifications!$C:$E,3,FALSE))</f>
        <v/>
      </c>
      <c r="AQ102" s="43" t="str">
        <f t="shared" si="64"/>
        <v/>
      </c>
      <c r="AR102" s="40" t="str">
        <f>IF(AQ102="","",IF(I$8="A",(RANK(AQ102,AQ$11:AQ$349,1)+COUNTIF(AQ$11:AQ102,AQ102)-1),(RANK(AQ102,AQ$11:AQ$349)+COUNTIF(AQ$11:AQ102,AQ102)-1)))</f>
        <v/>
      </c>
      <c r="AS102" s="3" t="str">
        <f t="shared" si="65"/>
        <v/>
      </c>
      <c r="AT102" s="40" t="str">
        <f t="shared" si="66"/>
        <v/>
      </c>
      <c r="AU102" s="43" t="str">
        <f t="shared" si="67"/>
        <v/>
      </c>
      <c r="AX102">
        <f>HLOOKUP($AX$9&amp;$AX$10,Data!$A$1:$ZZ$1988,(MATCH($C102,Data!$A$1:$A$1988,0)),FALSE)</f>
        <v>78.94736842105263</v>
      </c>
    </row>
    <row r="103" spans="1:50">
      <c r="A103" s="59" t="str">
        <f>$D$1&amp;93</f>
        <v>UA93</v>
      </c>
      <c r="B103" s="60">
        <f>IF(ISERROR(VLOOKUP(A103,classifications!A:C,3,FALSE)),0,VLOOKUP(A103,classifications!A:C,3,FALSE))</f>
        <v>0</v>
      </c>
      <c r="C103" t="s">
        <v>61</v>
      </c>
      <c r="D103" t="str">
        <f>VLOOKUP($C103,classifications!$C:$J,4,FALSE)</f>
        <v>SD</v>
      </c>
      <c r="E103">
        <f>VLOOKUP(C103,classifications!C:K,9,FALSE)</f>
        <v>0</v>
      </c>
      <c r="F103">
        <f t="shared" si="44"/>
        <v>100</v>
      </c>
      <c r="G103" s="15"/>
      <c r="H103" s="42" t="str">
        <f t="shared" si="45"/>
        <v/>
      </c>
      <c r="I103" s="79" t="str">
        <f>IF(H103="","",IF($I$8="A",(RANK(H103,H$11:H$349,1)+COUNTIF(H$11:H103,H103)-1),(RANK(H103,H$11:H$349)+COUNTIF(H$11:H103,H103)-1)))</f>
        <v/>
      </c>
      <c r="J103" s="41"/>
      <c r="K103" s="36" t="str">
        <f t="shared" si="46"/>
        <v/>
      </c>
      <c r="L103" t="str">
        <f t="shared" si="47"/>
        <v/>
      </c>
      <c r="M103" s="117" t="str">
        <f t="shared" si="48"/>
        <v/>
      </c>
      <c r="N103" s="112" t="str">
        <f t="shared" si="49"/>
        <v/>
      </c>
      <c r="O103" s="96" t="str">
        <f t="shared" si="50"/>
        <v/>
      </c>
      <c r="P103" s="96" t="str">
        <f t="shared" si="51"/>
        <v/>
      </c>
      <c r="Q103" s="96" t="str">
        <f t="shared" si="52"/>
        <v/>
      </c>
      <c r="R103" s="92" t="str">
        <f t="shared" si="53"/>
        <v/>
      </c>
      <c r="S103" s="42" t="str">
        <f t="shared" si="54"/>
        <v/>
      </c>
      <c r="T103" s="176" t="str">
        <f>IF(L103="","",VLOOKUP(L103,classifications!C:K,9,FALSE))</f>
        <v/>
      </c>
      <c r="U103" s="177" t="str">
        <f t="shared" si="55"/>
        <v/>
      </c>
      <c r="V103" s="183" t="str">
        <f>IF(U103="","",IF($I$8="A",(RANK(U103,U$11:U$349)+COUNTIF(U$11:U103,U103)-1),(RANK(U103,U$11:U$349,1)+COUNTIF(U$11:U103,U103)-1)))</f>
        <v/>
      </c>
      <c r="W103" s="184"/>
      <c r="X103" s="5" t="str">
        <f>IF(L103="","",VLOOKUP($L103,classifications!$C:$J,6,FALSE))</f>
        <v/>
      </c>
      <c r="Y103" t="str">
        <f t="shared" si="56"/>
        <v/>
      </c>
      <c r="Z103" s="40" t="str">
        <f>IF(Y103="","",IF(I$8="A",(RANK(Y103,Y$11:Y$349,1)+COUNTIF(Y$11:Y103,Y103)-1),(RANK(Y103,Y$11:Y$349)+COUNTIF(Y$11:Y103,Y103)-1)))</f>
        <v/>
      </c>
      <c r="AA103" s="189" t="str">
        <f>IF(L103="","",VLOOKUP($L103,classifications!C:I,7,FALSE))</f>
        <v/>
      </c>
      <c r="AB103" s="183" t="str">
        <f t="shared" si="57"/>
        <v/>
      </c>
      <c r="AC103" s="183" t="str">
        <f>IF(AB103="","",IF($I$8="A",(RANK(AB103,AB$11:AB$349)+COUNTIF(AB$11:AB103,AB103)-1),(RANK(AB103,AB$11:AB$349,1)+COUNTIF(AB$11:AB103,AB103)-1)))</f>
        <v/>
      </c>
      <c r="AD103" s="183"/>
      <c r="AE103" s="49">
        <f>IF(I$8="A",(RANK(AG103,AG$11:AG$349,1)+COUNTIF(AG$11:AG103,AG103)-1),(RANK(AG103,AG$11:AG$349)+COUNTIF(AG$11:AG103,AG103)-1))</f>
        <v>93</v>
      </c>
      <c r="AF103" t="str">
        <f>VLOOKUP(Profile!$J$5,Families!$C:$R,6,FALSE)</f>
        <v>Herefordshire</v>
      </c>
      <c r="AG103" s="15">
        <f t="shared" si="58"/>
        <v>62.711864406779661</v>
      </c>
      <c r="AH103" s="50">
        <f t="shared" si="59"/>
        <v>93</v>
      </c>
      <c r="AI103" s="5" t="str">
        <f>IF(L103="","",VLOOKUP($L103,classifications!$C:$J,8,FALSE))</f>
        <v/>
      </c>
      <c r="AJ103" s="43" t="str">
        <f t="shared" si="60"/>
        <v/>
      </c>
      <c r="AK103" s="40" t="str">
        <f>IF(AJ103="","",IF(I$8="A",(RANK(AJ103,AJ$11:AJ$349,1)+COUNTIF(AJ$11:AJ103,AJ103)-1),(RANK(AJ103,AJ$11:AJ$349)+COUNTIF(AJ$11:AJ103,AJ103)-1)))</f>
        <v/>
      </c>
      <c r="AL103" s="3" t="str">
        <f t="shared" si="61"/>
        <v/>
      </c>
      <c r="AM103" t="str">
        <f t="shared" si="62"/>
        <v/>
      </c>
      <c r="AN103" t="str">
        <f t="shared" si="63"/>
        <v/>
      </c>
      <c r="AP103" s="5" t="str">
        <f>IF(L103="","",VLOOKUP($L103,classifications!$C:$E,3,FALSE))</f>
        <v/>
      </c>
      <c r="AQ103" s="43" t="str">
        <f t="shared" si="64"/>
        <v/>
      </c>
      <c r="AR103" s="40" t="str">
        <f>IF(AQ103="","",IF(I$8="A",(RANK(AQ103,AQ$11:AQ$349,1)+COUNTIF(AQ$11:AQ103,AQ103)-1),(RANK(AQ103,AQ$11:AQ$349)+COUNTIF(AQ$11:AQ103,AQ103)-1)))</f>
        <v/>
      </c>
      <c r="AS103" s="3" t="str">
        <f t="shared" si="65"/>
        <v/>
      </c>
      <c r="AT103" s="40" t="str">
        <f t="shared" si="66"/>
        <v/>
      </c>
      <c r="AU103" s="43" t="str">
        <f t="shared" si="67"/>
        <v/>
      </c>
      <c r="AX103">
        <f>HLOOKUP($AX$9&amp;$AX$10,Data!$A$1:$ZZ$1988,(MATCH($C103,Data!$A$1:$A$1988,0)),FALSE)</f>
        <v>100</v>
      </c>
    </row>
    <row r="104" spans="1:50">
      <c r="A104" s="59" t="str">
        <f>$D$1&amp;94</f>
        <v>UA94</v>
      </c>
      <c r="B104" s="60">
        <f>IF(ISERROR(VLOOKUP(A104,classifications!A:C,3,FALSE)),0,VLOOKUP(A104,classifications!A:C,3,FALSE))</f>
        <v>0</v>
      </c>
      <c r="C104" t="s">
        <v>62</v>
      </c>
      <c r="D104" t="str">
        <f>VLOOKUP($C104,classifications!$C:$J,4,FALSE)</f>
        <v>SD</v>
      </c>
      <c r="E104" t="str">
        <f>VLOOKUP(C104,classifications!C:K,9,FALSE)</f>
        <v>Sparse</v>
      </c>
      <c r="F104">
        <f t="shared" si="44"/>
        <v>76.470588235294116</v>
      </c>
      <c r="G104" s="15"/>
      <c r="H104" s="42" t="str">
        <f t="shared" si="45"/>
        <v/>
      </c>
      <c r="I104" s="79" t="str">
        <f>IF(H104="","",IF($I$8="A",(RANK(H104,H$11:H$349,1)+COUNTIF(H$11:H104,H104)-1),(RANK(H104,H$11:H$349)+COUNTIF(H$11:H104,H104)-1)))</f>
        <v/>
      </c>
      <c r="J104" s="41"/>
      <c r="K104" s="36" t="str">
        <f t="shared" si="46"/>
        <v/>
      </c>
      <c r="L104" t="str">
        <f t="shared" si="47"/>
        <v/>
      </c>
      <c r="M104" s="117" t="str">
        <f t="shared" si="48"/>
        <v/>
      </c>
      <c r="N104" s="112" t="str">
        <f t="shared" si="49"/>
        <v/>
      </c>
      <c r="O104" s="96" t="str">
        <f t="shared" si="50"/>
        <v/>
      </c>
      <c r="P104" s="96" t="str">
        <f t="shared" si="51"/>
        <v/>
      </c>
      <c r="Q104" s="96" t="str">
        <f t="shared" si="52"/>
        <v/>
      </c>
      <c r="R104" s="92" t="str">
        <f t="shared" si="53"/>
        <v/>
      </c>
      <c r="S104" s="42" t="str">
        <f t="shared" si="54"/>
        <v/>
      </c>
      <c r="T104" s="176" t="str">
        <f>IF(L104="","",VLOOKUP(L104,classifications!C:K,9,FALSE))</f>
        <v/>
      </c>
      <c r="U104" s="177" t="str">
        <f t="shared" si="55"/>
        <v/>
      </c>
      <c r="V104" s="183" t="str">
        <f>IF(U104="","",IF($I$8="A",(RANK(U104,U$11:U$349)+COUNTIF(U$11:U104,U104)-1),(RANK(U104,U$11:U$349,1)+COUNTIF(U$11:U104,U104)-1)))</f>
        <v/>
      </c>
      <c r="W104" s="184"/>
      <c r="X104" s="5" t="str">
        <f>IF(L104="","",VLOOKUP($L104,classifications!$C:$J,6,FALSE))</f>
        <v/>
      </c>
      <c r="Y104" t="str">
        <f t="shared" si="56"/>
        <v/>
      </c>
      <c r="Z104" s="40" t="str">
        <f>IF(Y104="","",IF(I$8="A",(RANK(Y104,Y$11:Y$349,1)+COUNTIF(Y$11:Y104,Y104)-1),(RANK(Y104,Y$11:Y$349)+COUNTIF(Y$11:Y104,Y104)-1)))</f>
        <v/>
      </c>
      <c r="AA104" s="189" t="str">
        <f>IF(L104="","",VLOOKUP($L104,classifications!C:I,7,FALSE))</f>
        <v/>
      </c>
      <c r="AB104" s="183" t="str">
        <f t="shared" si="57"/>
        <v/>
      </c>
      <c r="AC104" s="183" t="str">
        <f>IF(AB104="","",IF($I$8="A",(RANK(AB104,AB$11:AB$349)+COUNTIF(AB$11:AB104,AB104)-1),(RANK(AB104,AB$11:AB$349,1)+COUNTIF(AB$11:AB104,AB104)-1)))</f>
        <v/>
      </c>
      <c r="AD104" s="183"/>
      <c r="AE104" s="49">
        <f>IF(I$8="A",(RANK(AG104,AG$11:AG$349,1)+COUNTIF(AG$11:AG104,AG104)-1),(RANK(AG104,AG$11:AG$349)+COUNTIF(AG$11:AG104,AG104)-1))</f>
        <v>94</v>
      </c>
      <c r="AF104" t="str">
        <f>VLOOKUP(Profile!$J$5,Families!$C:$R,6,FALSE)</f>
        <v>Herefordshire</v>
      </c>
      <c r="AG104" s="15">
        <f t="shared" si="58"/>
        <v>62.711864406779661</v>
      </c>
      <c r="AH104" s="50">
        <f t="shared" si="59"/>
        <v>94</v>
      </c>
      <c r="AI104" s="5" t="str">
        <f>IF(L104="","",VLOOKUP($L104,classifications!$C:$J,8,FALSE))</f>
        <v/>
      </c>
      <c r="AJ104" s="43" t="str">
        <f t="shared" si="60"/>
        <v/>
      </c>
      <c r="AK104" s="40" t="str">
        <f>IF(AJ104="","",IF(I$8="A",(RANK(AJ104,AJ$11:AJ$349,1)+COUNTIF(AJ$11:AJ104,AJ104)-1),(RANK(AJ104,AJ$11:AJ$349)+COUNTIF(AJ$11:AJ104,AJ104)-1)))</f>
        <v/>
      </c>
      <c r="AL104" s="3" t="str">
        <f t="shared" si="61"/>
        <v/>
      </c>
      <c r="AM104" t="str">
        <f t="shared" si="62"/>
        <v/>
      </c>
      <c r="AN104" t="str">
        <f t="shared" si="63"/>
        <v/>
      </c>
      <c r="AP104" s="5" t="str">
        <f>IF(L104="","",VLOOKUP($L104,classifications!$C:$E,3,FALSE))</f>
        <v/>
      </c>
      <c r="AQ104" s="43" t="str">
        <f t="shared" si="64"/>
        <v/>
      </c>
      <c r="AR104" s="40" t="str">
        <f>IF(AQ104="","",IF(I$8="A",(RANK(AQ104,AQ$11:AQ$349,1)+COUNTIF(AQ$11:AQ104,AQ104)-1),(RANK(AQ104,AQ$11:AQ$349)+COUNTIF(AQ$11:AQ104,AQ104)-1)))</f>
        <v/>
      </c>
      <c r="AS104" s="3" t="str">
        <f t="shared" si="65"/>
        <v/>
      </c>
      <c r="AT104" s="40" t="str">
        <f t="shared" si="66"/>
        <v/>
      </c>
      <c r="AU104" s="43" t="str">
        <f t="shared" si="67"/>
        <v/>
      </c>
      <c r="AX104">
        <f>HLOOKUP($AX$9&amp;$AX$10,Data!$A$1:$ZZ$1988,(MATCH($C104,Data!$A$1:$A$1988,0)),FALSE)</f>
        <v>76.470588235294116</v>
      </c>
    </row>
    <row r="105" spans="1:50">
      <c r="A105" s="59" t="str">
        <f>$D$1&amp;95</f>
        <v>UA95</v>
      </c>
      <c r="B105" s="60">
        <f>IF(ISERROR(VLOOKUP(A105,classifications!A:C,3,FALSE)),0,VLOOKUP(A105,classifications!A:C,3,FALSE))</f>
        <v>0</v>
      </c>
      <c r="C105" t="s">
        <v>63</v>
      </c>
      <c r="D105" t="str">
        <f>VLOOKUP($C105,classifications!$C:$J,4,FALSE)</f>
        <v>SD</v>
      </c>
      <c r="E105">
        <f>VLOOKUP(C105,classifications!C:K,9,FALSE)</f>
        <v>0</v>
      </c>
      <c r="F105">
        <f t="shared" si="44"/>
        <v>80.701754385964904</v>
      </c>
      <c r="G105" s="15"/>
      <c r="H105" s="42" t="str">
        <f t="shared" si="45"/>
        <v/>
      </c>
      <c r="I105" s="79" t="str">
        <f>IF(H105="","",IF($I$8="A",(RANK(H105,H$11:H$349,1)+COUNTIF(H$11:H105,H105)-1),(RANK(H105,H$11:H$349)+COUNTIF(H$11:H105,H105)-1)))</f>
        <v/>
      </c>
      <c r="J105" s="41"/>
      <c r="K105" s="36" t="str">
        <f t="shared" si="46"/>
        <v/>
      </c>
      <c r="L105" t="str">
        <f t="shared" si="47"/>
        <v/>
      </c>
      <c r="M105" s="117" t="str">
        <f t="shared" si="48"/>
        <v/>
      </c>
      <c r="N105" s="112" t="str">
        <f t="shared" si="49"/>
        <v/>
      </c>
      <c r="O105" s="96" t="str">
        <f t="shared" si="50"/>
        <v/>
      </c>
      <c r="P105" s="96" t="str">
        <f t="shared" si="51"/>
        <v/>
      </c>
      <c r="Q105" s="96" t="str">
        <f t="shared" si="52"/>
        <v/>
      </c>
      <c r="R105" s="92" t="str">
        <f t="shared" si="53"/>
        <v/>
      </c>
      <c r="S105" s="42" t="str">
        <f t="shared" si="54"/>
        <v/>
      </c>
      <c r="T105" s="176" t="str">
        <f>IF(L105="","",VLOOKUP(L105,classifications!C:K,9,FALSE))</f>
        <v/>
      </c>
      <c r="U105" s="177" t="str">
        <f t="shared" si="55"/>
        <v/>
      </c>
      <c r="V105" s="183" t="str">
        <f>IF(U105="","",IF($I$8="A",(RANK(U105,U$11:U$349)+COUNTIF(U$11:U105,U105)-1),(RANK(U105,U$11:U$349,1)+COUNTIF(U$11:U105,U105)-1)))</f>
        <v/>
      </c>
      <c r="W105" s="184"/>
      <c r="X105" s="5" t="str">
        <f>IF(L105="","",VLOOKUP($L105,classifications!$C:$J,6,FALSE))</f>
        <v/>
      </c>
      <c r="Y105" t="str">
        <f t="shared" si="56"/>
        <v/>
      </c>
      <c r="Z105" s="40" t="str">
        <f>IF(Y105="","",IF(I$8="A",(RANK(Y105,Y$11:Y$349,1)+COUNTIF(Y$11:Y105,Y105)-1),(RANK(Y105,Y$11:Y$349)+COUNTIF(Y$11:Y105,Y105)-1)))</f>
        <v/>
      </c>
      <c r="AA105" s="189" t="str">
        <f>IF(L105="","",VLOOKUP($L105,classifications!C:I,7,FALSE))</f>
        <v/>
      </c>
      <c r="AB105" s="183" t="str">
        <f t="shared" si="57"/>
        <v/>
      </c>
      <c r="AC105" s="183" t="str">
        <f>IF(AB105="","",IF($I$8="A",(RANK(AB105,AB$11:AB$349)+COUNTIF(AB$11:AB105,AB105)-1),(RANK(AB105,AB$11:AB$349,1)+COUNTIF(AB$11:AB105,AB105)-1)))</f>
        <v/>
      </c>
      <c r="AD105" s="183"/>
      <c r="AE105" s="49">
        <f>IF(I$8="A",(RANK(AG105,AG$11:AG$349,1)+COUNTIF(AG$11:AG105,AG105)-1),(RANK(AG105,AG$11:AG$349)+COUNTIF(AG$11:AG105,AG105)-1))</f>
        <v>95</v>
      </c>
      <c r="AF105" t="str">
        <f>VLOOKUP(Profile!$J$5,Families!$C:$R,6,FALSE)</f>
        <v>Herefordshire</v>
      </c>
      <c r="AG105" s="15">
        <f t="shared" si="58"/>
        <v>62.711864406779661</v>
      </c>
      <c r="AH105" s="50">
        <f t="shared" si="59"/>
        <v>95</v>
      </c>
      <c r="AI105" s="5" t="str">
        <f>IF(L105="","",VLOOKUP($L105,classifications!$C:$J,8,FALSE))</f>
        <v/>
      </c>
      <c r="AJ105" s="43" t="str">
        <f t="shared" si="60"/>
        <v/>
      </c>
      <c r="AK105" s="40" t="str">
        <f>IF(AJ105="","",IF(I$8="A",(RANK(AJ105,AJ$11:AJ$349,1)+COUNTIF(AJ$11:AJ105,AJ105)-1),(RANK(AJ105,AJ$11:AJ$349)+COUNTIF(AJ$11:AJ105,AJ105)-1)))</f>
        <v/>
      </c>
      <c r="AL105" s="3" t="str">
        <f t="shared" si="61"/>
        <v/>
      </c>
      <c r="AM105" t="str">
        <f t="shared" si="62"/>
        <v/>
      </c>
      <c r="AN105" t="str">
        <f t="shared" si="63"/>
        <v/>
      </c>
      <c r="AP105" s="5" t="str">
        <f>IF(L105="","",VLOOKUP($L105,classifications!$C:$E,3,FALSE))</f>
        <v/>
      </c>
      <c r="AQ105" s="43" t="str">
        <f t="shared" si="64"/>
        <v/>
      </c>
      <c r="AR105" s="40" t="str">
        <f>IF(AQ105="","",IF(I$8="A",(RANK(AQ105,AQ$11:AQ$349,1)+COUNTIF(AQ$11:AQ105,AQ105)-1),(RANK(AQ105,AQ$11:AQ$349)+COUNTIF(AQ$11:AQ105,AQ105)-1)))</f>
        <v/>
      </c>
      <c r="AS105" s="3" t="str">
        <f t="shared" si="65"/>
        <v/>
      </c>
      <c r="AT105" s="40" t="str">
        <f t="shared" si="66"/>
        <v/>
      </c>
      <c r="AU105" s="43" t="str">
        <f t="shared" si="67"/>
        <v/>
      </c>
      <c r="AX105">
        <f>HLOOKUP($AX$9&amp;$AX$10,Data!$A$1:$ZZ$1988,(MATCH($C105,Data!$A$1:$A$1988,0)),FALSE)</f>
        <v>80.701754385964904</v>
      </c>
    </row>
    <row r="106" spans="1:50">
      <c r="A106" s="59" t="str">
        <f>$D$1&amp;96</f>
        <v>UA96</v>
      </c>
      <c r="B106" s="60">
        <f>IF(ISERROR(VLOOKUP(A106,classifications!A:C,3,FALSE)),0,VLOOKUP(A106,classifications!A:C,3,FALSE))</f>
        <v>0</v>
      </c>
      <c r="C106" t="s">
        <v>203</v>
      </c>
      <c r="D106" t="str">
        <f>VLOOKUP($C106,classifications!$C:$J,4,FALSE)</f>
        <v>L</v>
      </c>
      <c r="E106">
        <f>VLOOKUP(C106,classifications!C:K,9,FALSE)</f>
        <v>0</v>
      </c>
      <c r="F106">
        <f t="shared" si="44"/>
        <v>85.714285714285708</v>
      </c>
      <c r="G106" s="15"/>
      <c r="H106" s="42" t="str">
        <f t="shared" si="45"/>
        <v/>
      </c>
      <c r="I106" s="79" t="str">
        <f>IF(H106="","",IF($I$8="A",(RANK(H106,H$11:H$349,1)+COUNTIF(H$11:H106,H106)-1),(RANK(H106,H$11:H$349)+COUNTIF(H$11:H106,H106)-1)))</f>
        <v/>
      </c>
      <c r="J106" s="41"/>
      <c r="K106" s="36" t="str">
        <f t="shared" si="46"/>
        <v/>
      </c>
      <c r="L106" t="str">
        <f t="shared" si="47"/>
        <v/>
      </c>
      <c r="M106" s="117" t="str">
        <f t="shared" si="48"/>
        <v/>
      </c>
      <c r="N106" s="112" t="str">
        <f t="shared" si="49"/>
        <v/>
      </c>
      <c r="O106" s="96" t="str">
        <f t="shared" si="50"/>
        <v/>
      </c>
      <c r="P106" s="96" t="str">
        <f t="shared" si="51"/>
        <v/>
      </c>
      <c r="Q106" s="96" t="str">
        <f t="shared" si="52"/>
        <v/>
      </c>
      <c r="R106" s="92" t="str">
        <f t="shared" si="53"/>
        <v/>
      </c>
      <c r="S106" s="42" t="str">
        <f t="shared" si="54"/>
        <v/>
      </c>
      <c r="T106" s="176" t="str">
        <f>IF(L106="","",VLOOKUP(L106,classifications!C:K,9,FALSE))</f>
        <v/>
      </c>
      <c r="U106" s="177" t="str">
        <f t="shared" si="55"/>
        <v/>
      </c>
      <c r="V106" s="183" t="str">
        <f>IF(U106="","",IF($I$8="A",(RANK(U106,U$11:U$349)+COUNTIF(U$11:U106,U106)-1),(RANK(U106,U$11:U$349,1)+COUNTIF(U$11:U106,U106)-1)))</f>
        <v/>
      </c>
      <c r="W106" s="184"/>
      <c r="X106" s="5" t="str">
        <f>IF(L106="","",VLOOKUP($L106,classifications!$C:$J,6,FALSE))</f>
        <v/>
      </c>
      <c r="Y106" t="str">
        <f t="shared" si="56"/>
        <v/>
      </c>
      <c r="Z106" s="40" t="str">
        <f>IF(Y106="","",IF(I$8="A",(RANK(Y106,Y$11:Y$349,1)+COUNTIF(Y$11:Y106,Y106)-1),(RANK(Y106,Y$11:Y$349)+COUNTIF(Y$11:Y106,Y106)-1)))</f>
        <v/>
      </c>
      <c r="AA106" s="189" t="str">
        <f>IF(L106="","",VLOOKUP($L106,classifications!C:I,7,FALSE))</f>
        <v/>
      </c>
      <c r="AB106" s="183" t="str">
        <f t="shared" si="57"/>
        <v/>
      </c>
      <c r="AC106" s="183" t="str">
        <f>IF(AB106="","",IF($I$8="A",(RANK(AB106,AB$11:AB$349)+COUNTIF(AB$11:AB106,AB106)-1),(RANK(AB106,AB$11:AB$349,1)+COUNTIF(AB$11:AB106,AB106)-1)))</f>
        <v/>
      </c>
      <c r="AD106" s="183"/>
      <c r="AE106" s="49">
        <f>IF(I$8="A",(RANK(AG106,AG$11:AG$349,1)+COUNTIF(AG$11:AG106,AG106)-1),(RANK(AG106,AG$11:AG$349)+COUNTIF(AG$11:AG106,AG106)-1))</f>
        <v>96</v>
      </c>
      <c r="AF106" t="str">
        <f>VLOOKUP(Profile!$J$5,Families!$C:$R,6,FALSE)</f>
        <v>Herefordshire</v>
      </c>
      <c r="AG106" s="15">
        <f t="shared" si="58"/>
        <v>62.711864406779661</v>
      </c>
      <c r="AH106" s="50">
        <f t="shared" si="59"/>
        <v>96</v>
      </c>
      <c r="AI106" s="5" t="str">
        <f>IF(L106="","",VLOOKUP($L106,classifications!$C:$J,8,FALSE))</f>
        <v/>
      </c>
      <c r="AJ106" s="43" t="str">
        <f t="shared" si="60"/>
        <v/>
      </c>
      <c r="AK106" s="40" t="str">
        <f>IF(AJ106="","",IF(I$8="A",(RANK(AJ106,AJ$11:AJ$349,1)+COUNTIF(AJ$11:AJ106,AJ106)-1),(RANK(AJ106,AJ$11:AJ$349)+COUNTIF(AJ$11:AJ106,AJ106)-1)))</f>
        <v/>
      </c>
      <c r="AL106" s="3" t="str">
        <f t="shared" si="61"/>
        <v/>
      </c>
      <c r="AM106" t="str">
        <f t="shared" si="62"/>
        <v/>
      </c>
      <c r="AN106" t="str">
        <f t="shared" si="63"/>
        <v/>
      </c>
      <c r="AP106" s="5" t="str">
        <f>IF(L106="","",VLOOKUP($L106,classifications!$C:$E,3,FALSE))</f>
        <v/>
      </c>
      <c r="AQ106" s="43" t="str">
        <f t="shared" si="64"/>
        <v/>
      </c>
      <c r="AR106" s="40" t="str">
        <f>IF(AQ106="","",IF(I$8="A",(RANK(AQ106,AQ$11:AQ$349,1)+COUNTIF(AQ$11:AQ106,AQ106)-1),(RANK(AQ106,AQ$11:AQ$349)+COUNTIF(AQ$11:AQ106,AQ106)-1)))</f>
        <v/>
      </c>
      <c r="AS106" s="3" t="str">
        <f t="shared" si="65"/>
        <v/>
      </c>
      <c r="AT106" s="40" t="str">
        <f t="shared" si="66"/>
        <v/>
      </c>
      <c r="AU106" s="43" t="str">
        <f t="shared" si="67"/>
        <v/>
      </c>
      <c r="AX106">
        <f>HLOOKUP($AX$9&amp;$AX$10,Data!$A$1:$ZZ$1988,(MATCH($C106,Data!$A$1:$A$1988,0)),FALSE)</f>
        <v>85.714285714285708</v>
      </c>
    </row>
    <row r="107" spans="1:50">
      <c r="A107" s="59" t="str">
        <f>$D$1&amp;97</f>
        <v>UA97</v>
      </c>
      <c r="B107" s="60">
        <f>IF(ISERROR(VLOOKUP(A107,classifications!A:C,3,FALSE)),0,VLOOKUP(A107,classifications!A:C,3,FALSE))</f>
        <v>0</v>
      </c>
      <c r="C107" t="s">
        <v>64</v>
      </c>
      <c r="D107" t="str">
        <f>VLOOKUP($C107,classifications!$C:$J,4,FALSE)</f>
        <v>SD</v>
      </c>
      <c r="E107">
        <f>VLOOKUP(C107,classifications!C:K,9,FALSE)</f>
        <v>0</v>
      </c>
      <c r="F107">
        <f t="shared" si="44"/>
        <v>93.103448275862064</v>
      </c>
      <c r="G107" s="15"/>
      <c r="H107" s="42" t="str">
        <f t="shared" si="45"/>
        <v/>
      </c>
      <c r="I107" s="79" t="str">
        <f>IF(H107="","",IF($I$8="A",(RANK(H107,H$11:H$349,1)+COUNTIF(H$11:H107,H107)-1),(RANK(H107,H$11:H$349)+COUNTIF(H$11:H107,H107)-1)))</f>
        <v/>
      </c>
      <c r="J107" s="41"/>
      <c r="K107" s="36" t="str">
        <f t="shared" si="46"/>
        <v/>
      </c>
      <c r="L107" t="str">
        <f t="shared" si="47"/>
        <v/>
      </c>
      <c r="M107" s="117" t="str">
        <f t="shared" si="48"/>
        <v/>
      </c>
      <c r="N107" s="112" t="str">
        <f t="shared" si="49"/>
        <v/>
      </c>
      <c r="O107" s="96" t="str">
        <f t="shared" si="50"/>
        <v/>
      </c>
      <c r="P107" s="96" t="str">
        <f t="shared" si="51"/>
        <v/>
      </c>
      <c r="Q107" s="96" t="str">
        <f t="shared" si="52"/>
        <v/>
      </c>
      <c r="R107" s="92" t="str">
        <f t="shared" si="53"/>
        <v/>
      </c>
      <c r="S107" s="42" t="str">
        <f t="shared" si="54"/>
        <v/>
      </c>
      <c r="T107" s="176" t="str">
        <f>IF(L107="","",VLOOKUP(L107,classifications!C:K,9,FALSE))</f>
        <v/>
      </c>
      <c r="U107" s="177" t="str">
        <f t="shared" si="55"/>
        <v/>
      </c>
      <c r="V107" s="183" t="str">
        <f>IF(U107="","",IF($I$8="A",(RANK(U107,U$11:U$349)+COUNTIF(U$11:U107,U107)-1),(RANK(U107,U$11:U$349,1)+COUNTIF(U$11:U107,U107)-1)))</f>
        <v/>
      </c>
      <c r="W107" s="184"/>
      <c r="X107" s="5" t="str">
        <f>IF(L107="","",VLOOKUP($L107,classifications!$C:$J,6,FALSE))</f>
        <v/>
      </c>
      <c r="Y107" t="str">
        <f t="shared" si="56"/>
        <v/>
      </c>
      <c r="Z107" s="40" t="str">
        <f>IF(Y107="","",IF(I$8="A",(RANK(Y107,Y$11:Y$349,1)+COUNTIF(Y$11:Y107,Y107)-1),(RANK(Y107,Y$11:Y$349)+COUNTIF(Y$11:Y107,Y107)-1)))</f>
        <v/>
      </c>
      <c r="AA107" s="189" t="str">
        <f>IF(L107="","",VLOOKUP($L107,classifications!C:I,7,FALSE))</f>
        <v/>
      </c>
      <c r="AB107" s="183" t="str">
        <f t="shared" si="57"/>
        <v/>
      </c>
      <c r="AC107" s="183" t="str">
        <f>IF(AB107="","",IF($I$8="A",(RANK(AB107,AB$11:AB$349)+COUNTIF(AB$11:AB107,AB107)-1),(RANK(AB107,AB$11:AB$349,1)+COUNTIF(AB$11:AB107,AB107)-1)))</f>
        <v/>
      </c>
      <c r="AD107" s="183"/>
      <c r="AE107" s="49">
        <f>IF(I$8="A",(RANK(AG107,AG$11:AG$349,1)+COUNTIF(AG$11:AG107,AG107)-1),(RANK(AG107,AG$11:AG$349)+COUNTIF(AG$11:AG107,AG107)-1))</f>
        <v>97</v>
      </c>
      <c r="AF107" t="str">
        <f>VLOOKUP(Profile!$J$5,Families!$C:$R,6,FALSE)</f>
        <v>Herefordshire</v>
      </c>
      <c r="AG107" s="15">
        <f t="shared" si="58"/>
        <v>62.711864406779661</v>
      </c>
      <c r="AH107" s="50">
        <f t="shared" si="59"/>
        <v>97</v>
      </c>
      <c r="AI107" s="5" t="str">
        <f>IF(L107="","",VLOOKUP($L107,classifications!$C:$J,8,FALSE))</f>
        <v/>
      </c>
      <c r="AJ107" s="43" t="str">
        <f t="shared" si="60"/>
        <v/>
      </c>
      <c r="AK107" s="40" t="str">
        <f>IF(AJ107="","",IF(I$8="A",(RANK(AJ107,AJ$11:AJ$349,1)+COUNTIF(AJ$11:AJ107,AJ107)-1),(RANK(AJ107,AJ$11:AJ$349)+COUNTIF(AJ$11:AJ107,AJ107)-1)))</f>
        <v/>
      </c>
      <c r="AL107" s="3" t="str">
        <f t="shared" si="61"/>
        <v/>
      </c>
      <c r="AM107" t="str">
        <f t="shared" si="62"/>
        <v/>
      </c>
      <c r="AN107" t="str">
        <f t="shared" si="63"/>
        <v/>
      </c>
      <c r="AP107" s="5" t="str">
        <f>IF(L107="","",VLOOKUP($L107,classifications!$C:$E,3,FALSE))</f>
        <v/>
      </c>
      <c r="AQ107" s="43" t="str">
        <f t="shared" si="64"/>
        <v/>
      </c>
      <c r="AR107" s="40" t="str">
        <f>IF(AQ107="","",IF(I$8="A",(RANK(AQ107,AQ$11:AQ$349,1)+COUNTIF(AQ$11:AQ107,AQ107)-1),(RANK(AQ107,AQ$11:AQ$349)+COUNTIF(AQ$11:AQ107,AQ107)-1)))</f>
        <v/>
      </c>
      <c r="AS107" s="3" t="str">
        <f t="shared" si="65"/>
        <v/>
      </c>
      <c r="AT107" s="40" t="str">
        <f t="shared" si="66"/>
        <v/>
      </c>
      <c r="AU107" s="43" t="str">
        <f t="shared" si="67"/>
        <v/>
      </c>
      <c r="AX107">
        <f>HLOOKUP($AX$9&amp;$AX$10,Data!$A$1:$ZZ$1988,(MATCH($C107,Data!$A$1:$A$1988,0)),FALSE)</f>
        <v>93.103448275862064</v>
      </c>
    </row>
    <row r="108" spans="1:50">
      <c r="A108" s="59" t="str">
        <f>$D$1&amp;98</f>
        <v>UA98</v>
      </c>
      <c r="B108" s="60">
        <f>IF(ISERROR(VLOOKUP(A108,classifications!A:C,3,FALSE)),0,VLOOKUP(A108,classifications!A:C,3,FALSE))</f>
        <v>0</v>
      </c>
      <c r="C108" t="s">
        <v>343</v>
      </c>
      <c r="D108" t="str">
        <f>VLOOKUP($C108,classifications!$C:$J,4,FALSE)</f>
        <v>SD</v>
      </c>
      <c r="E108">
        <f>VLOOKUP(C108,classifications!C:K,9,FALSE)</f>
        <v>0</v>
      </c>
      <c r="F108">
        <f t="shared" si="44"/>
        <v>94.117647058823522</v>
      </c>
      <c r="G108" s="15"/>
      <c r="H108" s="42" t="str">
        <f t="shared" si="45"/>
        <v/>
      </c>
      <c r="I108" s="79" t="str">
        <f>IF(H108="","",IF($I$8="A",(RANK(H108,H$11:H$349,1)+COUNTIF(H$11:H108,H108)-1),(RANK(H108,H$11:H$349)+COUNTIF(H$11:H108,H108)-1)))</f>
        <v/>
      </c>
      <c r="J108" s="41"/>
      <c r="K108" s="36" t="str">
        <f t="shared" si="46"/>
        <v/>
      </c>
      <c r="L108" t="str">
        <f t="shared" si="47"/>
        <v/>
      </c>
      <c r="M108" s="117" t="str">
        <f t="shared" si="48"/>
        <v/>
      </c>
      <c r="N108" s="112" t="str">
        <f t="shared" si="49"/>
        <v/>
      </c>
      <c r="O108" s="96" t="str">
        <f t="shared" si="50"/>
        <v/>
      </c>
      <c r="P108" s="96" t="str">
        <f t="shared" si="51"/>
        <v/>
      </c>
      <c r="Q108" s="96" t="str">
        <f t="shared" si="52"/>
        <v/>
      </c>
      <c r="R108" s="92" t="str">
        <f t="shared" si="53"/>
        <v/>
      </c>
      <c r="S108" s="42" t="str">
        <f t="shared" si="54"/>
        <v/>
      </c>
      <c r="T108" s="176" t="str">
        <f>IF(L108="","",VLOOKUP(L108,classifications!C:K,9,FALSE))</f>
        <v/>
      </c>
      <c r="U108" s="177" t="str">
        <f t="shared" si="55"/>
        <v/>
      </c>
      <c r="V108" s="183" t="str">
        <f>IF(U108="","",IF($I$8="A",(RANK(U108,U$11:U$349)+COUNTIF(U$11:U108,U108)-1),(RANK(U108,U$11:U$349,1)+COUNTIF(U$11:U108,U108)-1)))</f>
        <v/>
      </c>
      <c r="W108" s="184"/>
      <c r="X108" s="5" t="str">
        <f>IF(L108="","",VLOOKUP($L108,classifications!$C:$J,6,FALSE))</f>
        <v/>
      </c>
      <c r="Y108" t="str">
        <f t="shared" si="56"/>
        <v/>
      </c>
      <c r="Z108" s="40" t="str">
        <f>IF(Y108="","",IF(I$8="A",(RANK(Y108,Y$11:Y$349,1)+COUNTIF(Y$11:Y108,Y108)-1),(RANK(Y108,Y$11:Y$349)+COUNTIF(Y$11:Y108,Y108)-1)))</f>
        <v/>
      </c>
      <c r="AA108" s="189" t="str">
        <f>IF(L108="","",VLOOKUP($L108,classifications!C:I,7,FALSE))</f>
        <v/>
      </c>
      <c r="AB108" s="183" t="str">
        <f t="shared" si="57"/>
        <v/>
      </c>
      <c r="AC108" s="183" t="str">
        <f>IF(AB108="","",IF($I$8="A",(RANK(AB108,AB$11:AB$349)+COUNTIF(AB$11:AB108,AB108)-1),(RANK(AB108,AB$11:AB$349,1)+COUNTIF(AB$11:AB108,AB108)-1)))</f>
        <v/>
      </c>
      <c r="AD108" s="183"/>
      <c r="AE108" s="49">
        <f>IF(I$8="A",(RANK(AG108,AG$11:AG$349,1)+COUNTIF(AG$11:AG108,AG108)-1),(RANK(AG108,AG$11:AG$349)+COUNTIF(AG$11:AG108,AG108)-1))</f>
        <v>98</v>
      </c>
      <c r="AF108" t="str">
        <f>VLOOKUP(Profile!$J$5,Families!$C:$R,6,FALSE)</f>
        <v>Herefordshire</v>
      </c>
      <c r="AG108" s="15">
        <f t="shared" si="58"/>
        <v>62.711864406779661</v>
      </c>
      <c r="AH108" s="50">
        <f t="shared" si="59"/>
        <v>98</v>
      </c>
      <c r="AI108" s="5" t="str">
        <f>IF(L108="","",VLOOKUP($L108,classifications!$C:$J,8,FALSE))</f>
        <v/>
      </c>
      <c r="AJ108" s="43" t="str">
        <f t="shared" si="60"/>
        <v/>
      </c>
      <c r="AK108" s="40" t="str">
        <f>IF(AJ108="","",IF(I$8="A",(RANK(AJ108,AJ$11:AJ$349,1)+COUNTIF(AJ$11:AJ108,AJ108)-1),(RANK(AJ108,AJ$11:AJ$349)+COUNTIF(AJ$11:AJ108,AJ108)-1)))</f>
        <v/>
      </c>
      <c r="AL108" s="3" t="str">
        <f t="shared" si="61"/>
        <v/>
      </c>
      <c r="AM108" t="str">
        <f t="shared" si="62"/>
        <v/>
      </c>
      <c r="AN108" t="str">
        <f t="shared" si="63"/>
        <v/>
      </c>
      <c r="AP108" s="5" t="str">
        <f>IF(L108="","",VLOOKUP($L108,classifications!$C:$E,3,FALSE))</f>
        <v/>
      </c>
      <c r="AQ108" s="43" t="str">
        <f t="shared" si="64"/>
        <v/>
      </c>
      <c r="AR108" s="40" t="str">
        <f>IF(AQ108="","",IF(I$8="A",(RANK(AQ108,AQ$11:AQ$349,1)+COUNTIF(AQ$11:AQ108,AQ108)-1),(RANK(AQ108,AQ$11:AQ$349)+COUNTIF(AQ$11:AQ108,AQ108)-1)))</f>
        <v/>
      </c>
      <c r="AS108" s="3" t="str">
        <f t="shared" si="65"/>
        <v/>
      </c>
      <c r="AT108" s="40" t="str">
        <f t="shared" si="66"/>
        <v/>
      </c>
      <c r="AU108" s="43" t="str">
        <f t="shared" si="67"/>
        <v/>
      </c>
      <c r="AX108">
        <f>HLOOKUP($AX$9&amp;$AX$10,Data!$A$1:$ZZ$1988,(MATCH($C108,Data!$A$1:$A$1988,0)),FALSE)</f>
        <v>94.117647058823522</v>
      </c>
    </row>
    <row r="109" spans="1:50">
      <c r="A109" s="59" t="str">
        <f>$D$1&amp;99</f>
        <v>UA99</v>
      </c>
      <c r="B109" s="60">
        <f>IF(ISERROR(VLOOKUP(A109,classifications!A:C,3,FALSE)),0,VLOOKUP(A109,classifications!A:C,3,FALSE))</f>
        <v>0</v>
      </c>
      <c r="C109" t="s">
        <v>65</v>
      </c>
      <c r="D109" t="str">
        <f>VLOOKUP($C109,classifications!$C:$J,4,FALSE)</f>
        <v>SD</v>
      </c>
      <c r="E109">
        <f>VLOOKUP(C109,classifications!C:K,9,FALSE)</f>
        <v>0</v>
      </c>
      <c r="F109">
        <f t="shared" si="44"/>
        <v>55.555555555555557</v>
      </c>
      <c r="G109" s="15"/>
      <c r="H109" s="42" t="str">
        <f t="shared" si="45"/>
        <v/>
      </c>
      <c r="I109" s="79" t="str">
        <f>IF(H109="","",IF($I$8="A",(RANK(H109,H$11:H$349,1)+COUNTIF(H$11:H109,H109)-1),(RANK(H109,H$11:H$349)+COUNTIF(H$11:H109,H109)-1)))</f>
        <v/>
      </c>
      <c r="J109" s="41"/>
      <c r="K109" s="36" t="str">
        <f t="shared" si="46"/>
        <v/>
      </c>
      <c r="L109" t="str">
        <f t="shared" si="47"/>
        <v/>
      </c>
      <c r="M109" s="117" t="str">
        <f t="shared" si="48"/>
        <v/>
      </c>
      <c r="N109" s="112" t="str">
        <f t="shared" si="49"/>
        <v/>
      </c>
      <c r="O109" s="96" t="str">
        <f t="shared" si="50"/>
        <v/>
      </c>
      <c r="P109" s="96" t="str">
        <f t="shared" si="51"/>
        <v/>
      </c>
      <c r="Q109" s="96" t="str">
        <f t="shared" si="52"/>
        <v/>
      </c>
      <c r="R109" s="92" t="str">
        <f t="shared" si="53"/>
        <v/>
      </c>
      <c r="S109" s="42" t="str">
        <f t="shared" si="54"/>
        <v/>
      </c>
      <c r="T109" s="176" t="str">
        <f>IF(L109="","",VLOOKUP(L109,classifications!C:K,9,FALSE))</f>
        <v/>
      </c>
      <c r="U109" s="177" t="str">
        <f t="shared" si="55"/>
        <v/>
      </c>
      <c r="V109" s="183" t="str">
        <f>IF(U109="","",IF($I$8="A",(RANK(U109,U$11:U$349)+COUNTIF(U$11:U109,U109)-1),(RANK(U109,U$11:U$349,1)+COUNTIF(U$11:U109,U109)-1)))</f>
        <v/>
      </c>
      <c r="W109" s="184"/>
      <c r="X109" s="5" t="str">
        <f>IF(L109="","",VLOOKUP($L109,classifications!$C:$J,6,FALSE))</f>
        <v/>
      </c>
      <c r="Y109" t="str">
        <f t="shared" si="56"/>
        <v/>
      </c>
      <c r="Z109" s="40" t="str">
        <f>IF(Y109="","",IF(I$8="A",(RANK(Y109,Y$11:Y$349,1)+COUNTIF(Y$11:Y109,Y109)-1),(RANK(Y109,Y$11:Y$349)+COUNTIF(Y$11:Y109,Y109)-1)))</f>
        <v/>
      </c>
      <c r="AA109" s="189" t="str">
        <f>IF(L109="","",VLOOKUP($L109,classifications!C:I,7,FALSE))</f>
        <v/>
      </c>
      <c r="AB109" s="183" t="str">
        <f t="shared" si="57"/>
        <v/>
      </c>
      <c r="AC109" s="183" t="str">
        <f>IF(AB109="","",IF($I$8="A",(RANK(AB109,AB$11:AB$349)+COUNTIF(AB$11:AB109,AB109)-1),(RANK(AB109,AB$11:AB$349,1)+COUNTIF(AB$11:AB109,AB109)-1)))</f>
        <v/>
      </c>
      <c r="AD109" s="183"/>
      <c r="AE109" s="49">
        <f>IF(I$8="A",(RANK(AG109,AG$11:AG$349,1)+COUNTIF(AG$11:AG109,AG109)-1),(RANK(AG109,AG$11:AG$349)+COUNTIF(AG$11:AG109,AG109)-1))</f>
        <v>99</v>
      </c>
      <c r="AF109" t="str">
        <f>VLOOKUP(Profile!$J$5,Families!$C:$R,6,FALSE)</f>
        <v>Herefordshire</v>
      </c>
      <c r="AG109" s="15">
        <f t="shared" si="58"/>
        <v>62.711864406779661</v>
      </c>
      <c r="AH109" s="50">
        <f t="shared" si="59"/>
        <v>99</v>
      </c>
      <c r="AI109" s="5" t="str">
        <f>IF(L109="","",VLOOKUP($L109,classifications!$C:$J,8,FALSE))</f>
        <v/>
      </c>
      <c r="AJ109" s="43" t="str">
        <f t="shared" si="60"/>
        <v/>
      </c>
      <c r="AK109" s="40" t="str">
        <f>IF(AJ109="","",IF(I$8="A",(RANK(AJ109,AJ$11:AJ$349,1)+COUNTIF(AJ$11:AJ109,AJ109)-1),(RANK(AJ109,AJ$11:AJ$349)+COUNTIF(AJ$11:AJ109,AJ109)-1)))</f>
        <v/>
      </c>
      <c r="AL109" s="3" t="str">
        <f t="shared" si="61"/>
        <v/>
      </c>
      <c r="AM109" t="str">
        <f t="shared" si="62"/>
        <v/>
      </c>
      <c r="AN109" t="str">
        <f t="shared" si="63"/>
        <v/>
      </c>
      <c r="AP109" s="5" t="str">
        <f>IF(L109="","",VLOOKUP($L109,classifications!$C:$E,3,FALSE))</f>
        <v/>
      </c>
      <c r="AQ109" s="43" t="str">
        <f t="shared" si="64"/>
        <v/>
      </c>
      <c r="AR109" s="40" t="str">
        <f>IF(AQ109="","",IF(I$8="A",(RANK(AQ109,AQ$11:AQ$349,1)+COUNTIF(AQ$11:AQ109,AQ109)-1),(RANK(AQ109,AQ$11:AQ$349)+COUNTIF(AQ$11:AQ109,AQ109)-1)))</f>
        <v/>
      </c>
      <c r="AS109" s="3" t="str">
        <f t="shared" si="65"/>
        <v/>
      </c>
      <c r="AT109" s="40" t="str">
        <f t="shared" si="66"/>
        <v/>
      </c>
      <c r="AU109" s="43" t="str">
        <f t="shared" si="67"/>
        <v/>
      </c>
      <c r="AX109">
        <f>HLOOKUP($AX$9&amp;$AX$10,Data!$A$1:$ZZ$1988,(MATCH($C109,Data!$A$1:$A$1988,0)),FALSE)</f>
        <v>55.555555555555557</v>
      </c>
    </row>
    <row r="110" spans="1:50">
      <c r="A110" s="59" t="str">
        <f>$D$1&amp;100</f>
        <v>UA100</v>
      </c>
      <c r="B110" s="60">
        <f>IF(ISERROR(VLOOKUP(A110,classifications!A:C,3,FALSE)),0,VLOOKUP(A110,classifications!A:C,3,FALSE))</f>
        <v>0</v>
      </c>
      <c r="C110" t="s">
        <v>311</v>
      </c>
      <c r="D110" t="str">
        <f>VLOOKUP($C110,classifications!$C:$J,4,FALSE)</f>
        <v>SC</v>
      </c>
      <c r="E110">
        <f>VLOOKUP(C110,classifications!C:K,9,FALSE)</f>
        <v>0</v>
      </c>
      <c r="F110" t="e">
        <f t="shared" si="44"/>
        <v>#N/A</v>
      </c>
      <c r="G110" s="15"/>
      <c r="H110" s="42" t="str">
        <f t="shared" si="45"/>
        <v/>
      </c>
      <c r="I110" s="79" t="str">
        <f>IF(H110="","",IF($I$8="A",(RANK(H110,H$11:H$349,1)+COUNTIF(H$11:H110,H110)-1),(RANK(H110,H$11:H$349)+COUNTIF(H$11:H110,H110)-1)))</f>
        <v/>
      </c>
      <c r="J110" s="41"/>
      <c r="K110" s="36" t="str">
        <f t="shared" si="46"/>
        <v/>
      </c>
      <c r="L110" t="str">
        <f t="shared" si="47"/>
        <v/>
      </c>
      <c r="M110" s="117" t="str">
        <f t="shared" si="48"/>
        <v/>
      </c>
      <c r="N110" s="112" t="str">
        <f t="shared" si="49"/>
        <v/>
      </c>
      <c r="O110" s="96" t="str">
        <f t="shared" si="50"/>
        <v/>
      </c>
      <c r="P110" s="96" t="str">
        <f t="shared" si="51"/>
        <v/>
      </c>
      <c r="Q110" s="96" t="str">
        <f t="shared" si="52"/>
        <v/>
      </c>
      <c r="R110" s="92" t="str">
        <f t="shared" si="53"/>
        <v/>
      </c>
      <c r="S110" s="42" t="str">
        <f t="shared" si="54"/>
        <v/>
      </c>
      <c r="T110" s="176" t="str">
        <f>IF(L110="","",VLOOKUP(L110,classifications!C:K,9,FALSE))</f>
        <v/>
      </c>
      <c r="U110" s="177" t="str">
        <f t="shared" si="55"/>
        <v/>
      </c>
      <c r="V110" s="183" t="str">
        <f>IF(U110="","",IF($I$8="A",(RANK(U110,U$11:U$349)+COUNTIF(U$11:U110,U110)-1),(RANK(U110,U$11:U$349,1)+COUNTIF(U$11:U110,U110)-1)))</f>
        <v/>
      </c>
      <c r="W110" s="184"/>
      <c r="X110" s="5" t="str">
        <f>IF(L110="","",VLOOKUP($L110,classifications!$C:$J,6,FALSE))</f>
        <v/>
      </c>
      <c r="Y110" t="str">
        <f t="shared" si="56"/>
        <v/>
      </c>
      <c r="Z110" s="40" t="str">
        <f>IF(Y110="","",IF(I$8="A",(RANK(Y110,Y$11:Y$349,1)+COUNTIF(Y$11:Y110,Y110)-1),(RANK(Y110,Y$11:Y$349)+COUNTIF(Y$11:Y110,Y110)-1)))</f>
        <v/>
      </c>
      <c r="AA110" s="189" t="str">
        <f>IF(L110="","",VLOOKUP($L110,classifications!C:I,7,FALSE))</f>
        <v/>
      </c>
      <c r="AB110" s="183" t="str">
        <f t="shared" si="57"/>
        <v/>
      </c>
      <c r="AC110" s="183" t="str">
        <f>IF(AB110="","",IF($I$8="A",(RANK(AB110,AB$11:AB$349)+COUNTIF(AB$11:AB110,AB110)-1),(RANK(AB110,AB$11:AB$349,1)+COUNTIF(AB$11:AB110,AB110)-1)))</f>
        <v/>
      </c>
      <c r="AD110" s="183"/>
      <c r="AE110" s="49">
        <f>IF(I$8="A",(RANK(AG110,AG$11:AG$349,1)+COUNTIF(AG$11:AG110,AG110)-1),(RANK(AG110,AG$11:AG$349)+COUNTIF(AG$11:AG110,AG110)-1))</f>
        <v>100</v>
      </c>
      <c r="AF110" t="str">
        <f>VLOOKUP(Profile!$J$5,Families!$C:$R,6,FALSE)</f>
        <v>Herefordshire</v>
      </c>
      <c r="AG110" s="15">
        <f t="shared" si="58"/>
        <v>62.711864406779661</v>
      </c>
      <c r="AH110" s="50">
        <f t="shared" si="59"/>
        <v>100</v>
      </c>
      <c r="AI110" s="5" t="str">
        <f>IF(L110="","",VLOOKUP($L110,classifications!$C:$J,8,FALSE))</f>
        <v/>
      </c>
      <c r="AJ110" s="43" t="str">
        <f t="shared" si="60"/>
        <v/>
      </c>
      <c r="AK110" s="40" t="str">
        <f>IF(AJ110="","",IF(I$8="A",(RANK(AJ110,AJ$11:AJ$349,1)+COUNTIF(AJ$11:AJ110,AJ110)-1),(RANK(AJ110,AJ$11:AJ$349)+COUNTIF(AJ$11:AJ110,AJ110)-1)))</f>
        <v/>
      </c>
      <c r="AL110" s="3" t="str">
        <f t="shared" si="61"/>
        <v/>
      </c>
      <c r="AM110" t="str">
        <f t="shared" si="62"/>
        <v/>
      </c>
      <c r="AN110" t="str">
        <f t="shared" si="63"/>
        <v/>
      </c>
      <c r="AP110" s="5" t="str">
        <f>IF(L110="","",VLOOKUP($L110,classifications!$C:$E,3,FALSE))</f>
        <v/>
      </c>
      <c r="AQ110" s="43" t="str">
        <f t="shared" si="64"/>
        <v/>
      </c>
      <c r="AR110" s="40" t="str">
        <f>IF(AQ110="","",IF(I$8="A",(RANK(AQ110,AQ$11:AQ$349,1)+COUNTIF(AQ$11:AQ110,AQ110)-1),(RANK(AQ110,AQ$11:AQ$349)+COUNTIF(AQ$11:AQ110,AQ110)-1)))</f>
        <v/>
      </c>
      <c r="AS110" s="3" t="str">
        <f t="shared" si="65"/>
        <v/>
      </c>
      <c r="AT110" s="40" t="str">
        <f t="shared" si="66"/>
        <v/>
      </c>
      <c r="AU110" s="43" t="str">
        <f t="shared" si="67"/>
        <v/>
      </c>
      <c r="AX110" t="e">
        <f>HLOOKUP($AX$9&amp;$AX$10,Data!$A$1:$ZZ$1988,(MATCH($C110,Data!$A$1:$A$1988,0)),FALSE)</f>
        <v>#N/A</v>
      </c>
    </row>
    <row r="111" spans="1:50">
      <c r="A111" s="59" t="str">
        <f>$D$1&amp;101</f>
        <v>UA101</v>
      </c>
      <c r="B111" s="60">
        <f>IF(ISERROR(VLOOKUP(A111,classifications!A:C,3,FALSE)),0,VLOOKUP(A111,classifications!A:C,3,FALSE))</f>
        <v>0</v>
      </c>
      <c r="C111" t="s">
        <v>66</v>
      </c>
      <c r="D111" t="str">
        <f>VLOOKUP($C111,classifications!$C:$J,4,FALSE)</f>
        <v>SD</v>
      </c>
      <c r="E111">
        <f>VLOOKUP(C111,classifications!C:K,9,FALSE)</f>
        <v>0</v>
      </c>
      <c r="F111">
        <f t="shared" si="44"/>
        <v>57.692307692307686</v>
      </c>
      <c r="G111" s="15"/>
      <c r="H111" s="42" t="str">
        <f t="shared" si="45"/>
        <v/>
      </c>
      <c r="I111" s="79" t="str">
        <f>IF(H111="","",IF($I$8="A",(RANK(H111,H$11:H$349,1)+COUNTIF(H$11:H111,H111)-1),(RANK(H111,H$11:H$349)+COUNTIF(H$11:H111,H111)-1)))</f>
        <v/>
      </c>
      <c r="J111" s="41"/>
      <c r="K111" s="36" t="str">
        <f t="shared" si="46"/>
        <v/>
      </c>
      <c r="L111" t="str">
        <f t="shared" si="47"/>
        <v/>
      </c>
      <c r="M111" s="117" t="str">
        <f t="shared" si="48"/>
        <v/>
      </c>
      <c r="N111" s="112" t="str">
        <f t="shared" si="49"/>
        <v/>
      </c>
      <c r="O111" s="96" t="str">
        <f t="shared" si="50"/>
        <v/>
      </c>
      <c r="P111" s="96" t="str">
        <f t="shared" si="51"/>
        <v/>
      </c>
      <c r="Q111" s="96" t="str">
        <f t="shared" si="52"/>
        <v/>
      </c>
      <c r="R111" s="92" t="str">
        <f t="shared" si="53"/>
        <v/>
      </c>
      <c r="S111" s="42" t="str">
        <f t="shared" si="54"/>
        <v/>
      </c>
      <c r="T111" s="176" t="str">
        <f>IF(L111="","",VLOOKUP(L111,classifications!C:K,9,FALSE))</f>
        <v/>
      </c>
      <c r="U111" s="177" t="str">
        <f t="shared" si="55"/>
        <v/>
      </c>
      <c r="V111" s="183" t="str">
        <f>IF(U111="","",IF($I$8="A",(RANK(U111,U$11:U$349)+COUNTIF(U$11:U111,U111)-1),(RANK(U111,U$11:U$349,1)+COUNTIF(U$11:U111,U111)-1)))</f>
        <v/>
      </c>
      <c r="W111" s="184"/>
      <c r="X111" s="5" t="str">
        <f>IF(L111="","",VLOOKUP($L111,classifications!$C:$J,6,FALSE))</f>
        <v/>
      </c>
      <c r="Y111" t="str">
        <f t="shared" si="56"/>
        <v/>
      </c>
      <c r="Z111" s="40" t="str">
        <f>IF(Y111="","",IF(I$8="A",(RANK(Y111,Y$11:Y$349,1)+COUNTIF(Y$11:Y111,Y111)-1),(RANK(Y111,Y$11:Y$349)+COUNTIF(Y$11:Y111,Y111)-1)))</f>
        <v/>
      </c>
      <c r="AA111" s="189" t="str">
        <f>IF(L111="","",VLOOKUP($L111,classifications!C:I,7,FALSE))</f>
        <v/>
      </c>
      <c r="AB111" s="183" t="str">
        <f t="shared" si="57"/>
        <v/>
      </c>
      <c r="AC111" s="183" t="str">
        <f>IF(AB111="","",IF($I$8="A",(RANK(AB111,AB$11:AB$349)+COUNTIF(AB$11:AB111,AB111)-1),(RANK(AB111,AB$11:AB$349,1)+COUNTIF(AB$11:AB111,AB111)-1)))</f>
        <v/>
      </c>
      <c r="AD111" s="183"/>
      <c r="AE111" s="49">
        <f>IF(I$8="A",(RANK(AG111,AG$11:AG$349,1)+COUNTIF(AG$11:AG111,AG111)-1),(RANK(AG111,AG$11:AG$349)+COUNTIF(AG$11:AG111,AG111)-1))</f>
        <v>101</v>
      </c>
      <c r="AF111" t="str">
        <f>VLOOKUP(Profile!$J$5,Families!$C:$R,6,FALSE)</f>
        <v>Herefordshire</v>
      </c>
      <c r="AG111" s="15">
        <f t="shared" si="58"/>
        <v>62.711864406779661</v>
      </c>
      <c r="AH111" s="50">
        <f t="shared" si="59"/>
        <v>101</v>
      </c>
      <c r="AI111" s="5" t="str">
        <f>IF(L111="","",VLOOKUP($L111,classifications!$C:$J,8,FALSE))</f>
        <v/>
      </c>
      <c r="AJ111" s="43" t="str">
        <f t="shared" si="60"/>
        <v/>
      </c>
      <c r="AK111" s="40" t="str">
        <f>IF(AJ111="","",IF(I$8="A",(RANK(AJ111,AJ$11:AJ$349,1)+COUNTIF(AJ$11:AJ111,AJ111)-1),(RANK(AJ111,AJ$11:AJ$349)+COUNTIF(AJ$11:AJ111,AJ111)-1)))</f>
        <v/>
      </c>
      <c r="AL111" s="3" t="str">
        <f t="shared" si="61"/>
        <v/>
      </c>
      <c r="AM111" t="str">
        <f t="shared" si="62"/>
        <v/>
      </c>
      <c r="AN111" t="str">
        <f t="shared" si="63"/>
        <v/>
      </c>
      <c r="AP111" s="5" t="str">
        <f>IF(L111="","",VLOOKUP($L111,classifications!$C:$E,3,FALSE))</f>
        <v/>
      </c>
      <c r="AQ111" s="43" t="str">
        <f t="shared" si="64"/>
        <v/>
      </c>
      <c r="AR111" s="40" t="str">
        <f>IF(AQ111="","",IF(I$8="A",(RANK(AQ111,AQ$11:AQ$349,1)+COUNTIF(AQ$11:AQ111,AQ111)-1),(RANK(AQ111,AQ$11:AQ$349)+COUNTIF(AQ$11:AQ111,AQ111)-1)))</f>
        <v/>
      </c>
      <c r="AS111" s="3" t="str">
        <f t="shared" si="65"/>
        <v/>
      </c>
      <c r="AT111" s="40" t="str">
        <f t="shared" si="66"/>
        <v/>
      </c>
      <c r="AU111" s="43" t="str">
        <f t="shared" si="67"/>
        <v/>
      </c>
      <c r="AX111">
        <f>HLOOKUP($AX$9&amp;$AX$10,Data!$A$1:$ZZ$1988,(MATCH($C111,Data!$A$1:$A$1988,0)),FALSE)</f>
        <v>57.692307692307686</v>
      </c>
    </row>
    <row r="112" spans="1:50">
      <c r="A112" s="59" t="str">
        <f>$D$1&amp;102</f>
        <v>UA102</v>
      </c>
      <c r="B112" s="60">
        <f>IF(ISERROR(VLOOKUP(A112,classifications!A:C,3,FALSE)),0,VLOOKUP(A112,classifications!A:C,3,FALSE))</f>
        <v>0</v>
      </c>
      <c r="C112" t="s">
        <v>67</v>
      </c>
      <c r="D112" t="str">
        <f>VLOOKUP($C112,classifications!$C:$J,4,FALSE)</f>
        <v>SD</v>
      </c>
      <c r="E112">
        <f>VLOOKUP(C112,classifications!C:K,9,FALSE)</f>
        <v>0</v>
      </c>
      <c r="F112">
        <f t="shared" si="44"/>
        <v>94.444444444444443</v>
      </c>
      <c r="G112" s="15"/>
      <c r="H112" s="42" t="str">
        <f t="shared" si="45"/>
        <v/>
      </c>
      <c r="I112" s="79" t="str">
        <f>IF(H112="","",IF($I$8="A",(RANK(H112,H$11:H$349,1)+COUNTIF(H$11:H112,H112)-1),(RANK(H112,H$11:H$349)+COUNTIF(H$11:H112,H112)-1)))</f>
        <v/>
      </c>
      <c r="J112" s="41"/>
      <c r="K112" s="36" t="str">
        <f t="shared" si="46"/>
        <v/>
      </c>
      <c r="L112" t="str">
        <f t="shared" si="47"/>
        <v/>
      </c>
      <c r="M112" s="117" t="str">
        <f t="shared" si="48"/>
        <v/>
      </c>
      <c r="N112" s="112" t="str">
        <f t="shared" si="49"/>
        <v/>
      </c>
      <c r="O112" s="96" t="str">
        <f t="shared" si="50"/>
        <v/>
      </c>
      <c r="P112" s="96" t="str">
        <f t="shared" si="51"/>
        <v/>
      </c>
      <c r="Q112" s="96" t="str">
        <f t="shared" si="52"/>
        <v/>
      </c>
      <c r="R112" s="92" t="str">
        <f t="shared" si="53"/>
        <v/>
      </c>
      <c r="S112" s="42" t="str">
        <f t="shared" si="54"/>
        <v/>
      </c>
      <c r="T112" s="176" t="str">
        <f>IF(L112="","",VLOOKUP(L112,classifications!C:K,9,FALSE))</f>
        <v/>
      </c>
      <c r="U112" s="177" t="str">
        <f t="shared" si="55"/>
        <v/>
      </c>
      <c r="V112" s="183" t="str">
        <f>IF(U112="","",IF($I$8="A",(RANK(U112,U$11:U$349)+COUNTIF(U$11:U112,U112)-1),(RANK(U112,U$11:U$349,1)+COUNTIF(U$11:U112,U112)-1)))</f>
        <v/>
      </c>
      <c r="W112" s="184"/>
      <c r="X112" s="5" t="str">
        <f>IF(L112="","",VLOOKUP($L112,classifications!$C:$J,6,FALSE))</f>
        <v/>
      </c>
      <c r="Y112" t="str">
        <f t="shared" si="56"/>
        <v/>
      </c>
      <c r="Z112" s="40" t="str">
        <f>IF(Y112="","",IF(I$8="A",(RANK(Y112,Y$11:Y$349,1)+COUNTIF(Y$11:Y112,Y112)-1),(RANK(Y112,Y$11:Y$349)+COUNTIF(Y$11:Y112,Y112)-1)))</f>
        <v/>
      </c>
      <c r="AA112" s="189" t="str">
        <f>IF(L112="","",VLOOKUP($L112,classifications!C:I,7,FALSE))</f>
        <v/>
      </c>
      <c r="AB112" s="183" t="str">
        <f t="shared" si="57"/>
        <v/>
      </c>
      <c r="AC112" s="183" t="str">
        <f>IF(AB112="","",IF($I$8="A",(RANK(AB112,AB$11:AB$349)+COUNTIF(AB$11:AB112,AB112)-1),(RANK(AB112,AB$11:AB$349,1)+COUNTIF(AB$11:AB112,AB112)-1)))</f>
        <v/>
      </c>
      <c r="AD112" s="183"/>
      <c r="AE112" s="49">
        <f>IF(I$8="A",(RANK(AG112,AG$11:AG$349,1)+COUNTIF(AG$11:AG112,AG112)-1),(RANK(AG112,AG$11:AG$349)+COUNTIF(AG$11:AG112,AG112)-1))</f>
        <v>102</v>
      </c>
      <c r="AF112" t="str">
        <f>VLOOKUP(Profile!$J$5,Families!$C:$R,6,FALSE)</f>
        <v>Herefordshire</v>
      </c>
      <c r="AG112" s="15">
        <f t="shared" si="58"/>
        <v>62.711864406779661</v>
      </c>
      <c r="AH112" s="50">
        <f t="shared" si="59"/>
        <v>102</v>
      </c>
      <c r="AI112" s="5" t="str">
        <f>IF(L112="","",VLOOKUP($L112,classifications!$C:$J,8,FALSE))</f>
        <v/>
      </c>
      <c r="AJ112" s="43" t="str">
        <f t="shared" si="60"/>
        <v/>
      </c>
      <c r="AK112" s="40" t="str">
        <f>IF(AJ112="","",IF(I$8="A",(RANK(AJ112,AJ$11:AJ$349,1)+COUNTIF(AJ$11:AJ112,AJ112)-1),(RANK(AJ112,AJ$11:AJ$349)+COUNTIF(AJ$11:AJ112,AJ112)-1)))</f>
        <v/>
      </c>
      <c r="AL112" s="3" t="str">
        <f t="shared" si="61"/>
        <v/>
      </c>
      <c r="AM112" t="str">
        <f t="shared" si="62"/>
        <v/>
      </c>
      <c r="AN112" t="str">
        <f t="shared" si="63"/>
        <v/>
      </c>
      <c r="AP112" s="5" t="str">
        <f>IF(L112="","",VLOOKUP($L112,classifications!$C:$E,3,FALSE))</f>
        <v/>
      </c>
      <c r="AQ112" s="43" t="str">
        <f t="shared" si="64"/>
        <v/>
      </c>
      <c r="AR112" s="40" t="str">
        <f>IF(AQ112="","",IF(I$8="A",(RANK(AQ112,AQ$11:AQ$349,1)+COUNTIF(AQ$11:AQ112,AQ112)-1),(RANK(AQ112,AQ$11:AQ$349)+COUNTIF(AQ$11:AQ112,AQ112)-1)))</f>
        <v/>
      </c>
      <c r="AS112" s="3" t="str">
        <f t="shared" si="65"/>
        <v/>
      </c>
      <c r="AT112" s="40" t="str">
        <f t="shared" si="66"/>
        <v/>
      </c>
      <c r="AU112" s="43" t="str">
        <f t="shared" si="67"/>
        <v/>
      </c>
      <c r="AX112">
        <f>HLOOKUP($AX$9&amp;$AX$10,Data!$A$1:$ZZ$1988,(MATCH($C112,Data!$A$1:$A$1988,0)),FALSE)</f>
        <v>94.444444444444443</v>
      </c>
    </row>
    <row r="113" spans="1:50">
      <c r="A113" s="59" t="str">
        <f>$D$1&amp;103</f>
        <v>UA103</v>
      </c>
      <c r="B113" s="60">
        <f>IF(ISERROR(VLOOKUP(A113,classifications!A:C,3,FALSE)),0,VLOOKUP(A113,classifications!A:C,3,FALSE))</f>
        <v>0</v>
      </c>
      <c r="C113" t="s">
        <v>68</v>
      </c>
      <c r="D113" t="str">
        <f>VLOOKUP($C113,classifications!$C:$J,4,FALSE)</f>
        <v>SD</v>
      </c>
      <c r="E113">
        <f>VLOOKUP(C113,classifications!C:K,9,FALSE)</f>
        <v>0</v>
      </c>
      <c r="F113">
        <f t="shared" si="44"/>
        <v>75</v>
      </c>
      <c r="G113" s="15"/>
      <c r="H113" s="42" t="str">
        <f t="shared" si="45"/>
        <v/>
      </c>
      <c r="I113" s="79" t="str">
        <f>IF(H113="","",IF($I$8="A",(RANK(H113,H$11:H$349,1)+COUNTIF(H$11:H113,H113)-1),(RANK(H113,H$11:H$349)+COUNTIF(H$11:H113,H113)-1)))</f>
        <v/>
      </c>
      <c r="J113" s="41"/>
      <c r="K113" s="36" t="str">
        <f t="shared" si="46"/>
        <v/>
      </c>
      <c r="L113" t="str">
        <f t="shared" si="47"/>
        <v/>
      </c>
      <c r="M113" s="117" t="str">
        <f t="shared" si="48"/>
        <v/>
      </c>
      <c r="N113" s="112" t="str">
        <f t="shared" si="49"/>
        <v/>
      </c>
      <c r="O113" s="96" t="str">
        <f t="shared" si="50"/>
        <v/>
      </c>
      <c r="P113" s="96" t="str">
        <f t="shared" si="51"/>
        <v/>
      </c>
      <c r="Q113" s="96" t="str">
        <f t="shared" si="52"/>
        <v/>
      </c>
      <c r="R113" s="92" t="str">
        <f t="shared" si="53"/>
        <v/>
      </c>
      <c r="S113" s="42" t="str">
        <f t="shared" si="54"/>
        <v/>
      </c>
      <c r="T113" s="176" t="str">
        <f>IF(L113="","",VLOOKUP(L113,classifications!C:K,9,FALSE))</f>
        <v/>
      </c>
      <c r="U113" s="177" t="str">
        <f t="shared" si="55"/>
        <v/>
      </c>
      <c r="V113" s="183" t="str">
        <f>IF(U113="","",IF($I$8="A",(RANK(U113,U$11:U$349)+COUNTIF(U$11:U113,U113)-1),(RANK(U113,U$11:U$349,1)+COUNTIF(U$11:U113,U113)-1)))</f>
        <v/>
      </c>
      <c r="W113" s="184"/>
      <c r="X113" s="5" t="str">
        <f>IF(L113="","",VLOOKUP($L113,classifications!$C:$J,6,FALSE))</f>
        <v/>
      </c>
      <c r="Y113" t="str">
        <f t="shared" si="56"/>
        <v/>
      </c>
      <c r="Z113" s="40" t="str">
        <f>IF(Y113="","",IF(I$8="A",(RANK(Y113,Y$11:Y$349,1)+COUNTIF(Y$11:Y113,Y113)-1),(RANK(Y113,Y$11:Y$349)+COUNTIF(Y$11:Y113,Y113)-1)))</f>
        <v/>
      </c>
      <c r="AA113" s="189" t="str">
        <f>IF(L113="","",VLOOKUP($L113,classifications!C:I,7,FALSE))</f>
        <v/>
      </c>
      <c r="AB113" s="183" t="str">
        <f t="shared" si="57"/>
        <v/>
      </c>
      <c r="AC113" s="183" t="str">
        <f>IF(AB113="","",IF($I$8="A",(RANK(AB113,AB$11:AB$349)+COUNTIF(AB$11:AB113,AB113)-1),(RANK(AB113,AB$11:AB$349,1)+COUNTIF(AB$11:AB113,AB113)-1)))</f>
        <v/>
      </c>
      <c r="AD113" s="183"/>
      <c r="AE113" s="49">
        <f>IF(I$8="A",(RANK(AG113,AG$11:AG$349,1)+COUNTIF(AG$11:AG113,AG113)-1),(RANK(AG113,AG$11:AG$349)+COUNTIF(AG$11:AG113,AG113)-1))</f>
        <v>103</v>
      </c>
      <c r="AF113" t="str">
        <f>VLOOKUP(Profile!$J$5,Families!$C:$R,6,FALSE)</f>
        <v>Herefordshire</v>
      </c>
      <c r="AG113" s="15">
        <f t="shared" si="58"/>
        <v>62.711864406779661</v>
      </c>
      <c r="AH113" s="50">
        <f t="shared" si="59"/>
        <v>103</v>
      </c>
      <c r="AI113" s="5" t="str">
        <f>IF(L113="","",VLOOKUP($L113,classifications!$C:$J,8,FALSE))</f>
        <v/>
      </c>
      <c r="AJ113" s="43" t="str">
        <f t="shared" si="60"/>
        <v/>
      </c>
      <c r="AK113" s="40" t="str">
        <f>IF(AJ113="","",IF(I$8="A",(RANK(AJ113,AJ$11:AJ$349,1)+COUNTIF(AJ$11:AJ113,AJ113)-1),(RANK(AJ113,AJ$11:AJ$349)+COUNTIF(AJ$11:AJ113,AJ113)-1)))</f>
        <v/>
      </c>
      <c r="AL113" s="3" t="str">
        <f t="shared" si="61"/>
        <v/>
      </c>
      <c r="AM113" t="str">
        <f t="shared" si="62"/>
        <v/>
      </c>
      <c r="AN113" t="str">
        <f t="shared" si="63"/>
        <v/>
      </c>
      <c r="AP113" s="5" t="str">
        <f>IF(L113="","",VLOOKUP($L113,classifications!$C:$E,3,FALSE))</f>
        <v/>
      </c>
      <c r="AQ113" s="43" t="str">
        <f t="shared" si="64"/>
        <v/>
      </c>
      <c r="AR113" s="40" t="str">
        <f>IF(AQ113="","",IF(I$8="A",(RANK(AQ113,AQ$11:AQ$349,1)+COUNTIF(AQ$11:AQ113,AQ113)-1),(RANK(AQ113,AQ$11:AQ$349)+COUNTIF(AQ$11:AQ113,AQ113)-1)))</f>
        <v/>
      </c>
      <c r="AS113" s="3" t="str">
        <f t="shared" si="65"/>
        <v/>
      </c>
      <c r="AT113" s="40" t="str">
        <f t="shared" si="66"/>
        <v/>
      </c>
      <c r="AU113" s="43" t="str">
        <f t="shared" si="67"/>
        <v/>
      </c>
      <c r="AX113">
        <f>HLOOKUP($AX$9&amp;$AX$10,Data!$A$1:$ZZ$1988,(MATCH($C113,Data!$A$1:$A$1988,0)),FALSE)</f>
        <v>75</v>
      </c>
    </row>
    <row r="114" spans="1:50">
      <c r="A114" s="59" t="str">
        <f>$D$1&amp;104</f>
        <v>UA104</v>
      </c>
      <c r="B114" s="60">
        <f>IF(ISERROR(VLOOKUP(A114,classifications!A:C,3,FALSE)),0,VLOOKUP(A114,classifications!A:C,3,FALSE))</f>
        <v>0</v>
      </c>
      <c r="C114" t="s">
        <v>893</v>
      </c>
      <c r="D114" t="str">
        <f>VLOOKUP($C114,classifications!$C:$J,4,FALSE)</f>
        <v>SD</v>
      </c>
      <c r="E114">
        <f>VLOOKUP(C114,classifications!C:K,9,FALSE)</f>
        <v>0</v>
      </c>
      <c r="F114">
        <f t="shared" si="44"/>
        <v>87.5</v>
      </c>
      <c r="G114" s="15"/>
      <c r="H114" s="42" t="str">
        <f t="shared" si="45"/>
        <v/>
      </c>
      <c r="I114" s="79" t="str">
        <f>IF(H114="","",IF($I$8="A",(RANK(H114,H$11:H$349,1)+COUNTIF(H$11:H114,H114)-1),(RANK(H114,H$11:H$349)+COUNTIF(H$11:H114,H114)-1)))</f>
        <v/>
      </c>
      <c r="J114" s="41"/>
      <c r="K114" s="36" t="str">
        <f t="shared" si="46"/>
        <v/>
      </c>
      <c r="L114" t="str">
        <f t="shared" si="47"/>
        <v/>
      </c>
      <c r="M114" s="117" t="str">
        <f t="shared" si="48"/>
        <v/>
      </c>
      <c r="N114" s="112" t="str">
        <f t="shared" si="49"/>
        <v/>
      </c>
      <c r="O114" s="96" t="str">
        <f t="shared" si="50"/>
        <v/>
      </c>
      <c r="P114" s="96" t="str">
        <f t="shared" si="51"/>
        <v/>
      </c>
      <c r="Q114" s="96" t="str">
        <f t="shared" si="52"/>
        <v/>
      </c>
      <c r="R114" s="92" t="str">
        <f t="shared" si="53"/>
        <v/>
      </c>
      <c r="S114" s="42" t="str">
        <f t="shared" si="54"/>
        <v/>
      </c>
      <c r="T114" s="176" t="str">
        <f>IF(L114="","",VLOOKUP(L114,classifications!C:K,9,FALSE))</f>
        <v/>
      </c>
      <c r="U114" s="177" t="str">
        <f t="shared" si="55"/>
        <v/>
      </c>
      <c r="V114" s="183" t="str">
        <f>IF(U114="","",IF($I$8="A",(RANK(U114,U$11:U$349)+COUNTIF(U$11:U114,U114)-1),(RANK(U114,U$11:U$349,1)+COUNTIF(U$11:U114,U114)-1)))</f>
        <v/>
      </c>
      <c r="W114" s="184"/>
      <c r="X114" s="5" t="str">
        <f>IF(L114="","",VLOOKUP($L114,classifications!$C:$J,6,FALSE))</f>
        <v/>
      </c>
      <c r="Y114" t="str">
        <f t="shared" si="56"/>
        <v/>
      </c>
      <c r="Z114" s="40" t="str">
        <f>IF(Y114="","",IF(I$8="A",(RANK(Y114,Y$11:Y$349,1)+COUNTIF(Y$11:Y114,Y114)-1),(RANK(Y114,Y$11:Y$349)+COUNTIF(Y$11:Y114,Y114)-1)))</f>
        <v/>
      </c>
      <c r="AA114" s="189" t="str">
        <f>IF(L114="","",VLOOKUP($L114,classifications!C:I,7,FALSE))</f>
        <v/>
      </c>
      <c r="AB114" s="183" t="str">
        <f t="shared" si="57"/>
        <v/>
      </c>
      <c r="AC114" s="183" t="str">
        <f>IF(AB114="","",IF($I$8="A",(RANK(AB114,AB$11:AB$349)+COUNTIF(AB$11:AB114,AB114)-1),(RANK(AB114,AB$11:AB$349,1)+COUNTIF(AB$11:AB114,AB114)-1)))</f>
        <v/>
      </c>
      <c r="AD114" s="183"/>
      <c r="AE114" s="49">
        <f>IF(I$8="A",(RANK(AG114,AG$11:AG$349,1)+COUNTIF(AG$11:AG114,AG114)-1),(RANK(AG114,AG$11:AG$349)+COUNTIF(AG$11:AG114,AG114)-1))</f>
        <v>104</v>
      </c>
      <c r="AF114" t="str">
        <f>VLOOKUP(Profile!$J$5,Families!$C:$R,6,FALSE)</f>
        <v>Herefordshire</v>
      </c>
      <c r="AG114" s="15">
        <f t="shared" si="58"/>
        <v>62.711864406779661</v>
      </c>
      <c r="AH114" s="50">
        <f t="shared" si="59"/>
        <v>104</v>
      </c>
      <c r="AI114" s="5" t="str">
        <f>IF(L114="","",VLOOKUP($L114,classifications!$C:$J,8,FALSE))</f>
        <v/>
      </c>
      <c r="AJ114" s="43" t="str">
        <f t="shared" si="60"/>
        <v/>
      </c>
      <c r="AK114" s="40" t="str">
        <f>IF(AJ114="","",IF(I$8="A",(RANK(AJ114,AJ$11:AJ$349,1)+COUNTIF(AJ$11:AJ114,AJ114)-1),(RANK(AJ114,AJ$11:AJ$349)+COUNTIF(AJ$11:AJ114,AJ114)-1)))</f>
        <v/>
      </c>
      <c r="AL114" s="3" t="str">
        <f t="shared" si="61"/>
        <v/>
      </c>
      <c r="AM114" t="str">
        <f t="shared" si="62"/>
        <v/>
      </c>
      <c r="AN114" t="str">
        <f t="shared" si="63"/>
        <v/>
      </c>
      <c r="AP114" s="5" t="str">
        <f>IF(L114="","",VLOOKUP($L114,classifications!$C:$E,3,FALSE))</f>
        <v/>
      </c>
      <c r="AQ114" s="43" t="str">
        <f t="shared" si="64"/>
        <v/>
      </c>
      <c r="AR114" s="40" t="str">
        <f>IF(AQ114="","",IF(I$8="A",(RANK(AQ114,AQ$11:AQ$349,1)+COUNTIF(AQ$11:AQ114,AQ114)-1),(RANK(AQ114,AQ$11:AQ$349)+COUNTIF(AQ$11:AQ114,AQ114)-1)))</f>
        <v/>
      </c>
      <c r="AS114" s="3" t="str">
        <f t="shared" si="65"/>
        <v/>
      </c>
      <c r="AT114" s="40" t="str">
        <f t="shared" si="66"/>
        <v/>
      </c>
      <c r="AU114" s="43" t="str">
        <f t="shared" si="67"/>
        <v/>
      </c>
      <c r="AX114">
        <f>HLOOKUP($AX$9&amp;$AX$10,Data!$A$1:$ZZ$1988,(MATCH($C114,Data!$A$1:$A$1988,0)),FALSE)</f>
        <v>87.5</v>
      </c>
    </row>
    <row r="115" spans="1:50">
      <c r="A115" s="59" t="str">
        <f>$D$1&amp;105</f>
        <v>UA105</v>
      </c>
      <c r="B115" s="60">
        <f>IF(ISERROR(VLOOKUP(A115,classifications!A:C,3,FALSE)),0,VLOOKUP(A115,classifications!A:C,3,FALSE))</f>
        <v>0</v>
      </c>
      <c r="C115" t="s">
        <v>70</v>
      </c>
      <c r="D115" t="str">
        <f>VLOOKUP($C115,classifications!$C:$J,4,FALSE)</f>
        <v>SD</v>
      </c>
      <c r="E115" t="str">
        <f>VLOOKUP(C115,classifications!C:K,9,FALSE)</f>
        <v>Sparse</v>
      </c>
      <c r="F115">
        <f t="shared" si="44"/>
        <v>92</v>
      </c>
      <c r="G115" s="15"/>
      <c r="H115" s="42" t="str">
        <f t="shared" si="45"/>
        <v/>
      </c>
      <c r="I115" s="79" t="str">
        <f>IF(H115="","",IF($I$8="A",(RANK(H115,H$11:H$349,1)+COUNTIF(H$11:H115,H115)-1),(RANK(H115,H$11:H$349)+COUNTIF(H$11:H115,H115)-1)))</f>
        <v/>
      </c>
      <c r="J115" s="41"/>
      <c r="K115" s="36" t="str">
        <f t="shared" si="46"/>
        <v/>
      </c>
      <c r="L115" t="str">
        <f t="shared" si="47"/>
        <v/>
      </c>
      <c r="M115" s="117" t="str">
        <f t="shared" si="48"/>
        <v/>
      </c>
      <c r="N115" s="112" t="str">
        <f t="shared" si="49"/>
        <v/>
      </c>
      <c r="O115" s="96" t="str">
        <f t="shared" si="50"/>
        <v/>
      </c>
      <c r="P115" s="96" t="str">
        <f t="shared" si="51"/>
        <v/>
      </c>
      <c r="Q115" s="96" t="str">
        <f t="shared" si="52"/>
        <v/>
      </c>
      <c r="R115" s="92" t="str">
        <f t="shared" si="53"/>
        <v/>
      </c>
      <c r="S115" s="42" t="str">
        <f t="shared" si="54"/>
        <v/>
      </c>
      <c r="T115" s="176" t="str">
        <f>IF(L115="","",VLOOKUP(L115,classifications!C:K,9,FALSE))</f>
        <v/>
      </c>
      <c r="U115" s="177" t="str">
        <f t="shared" si="55"/>
        <v/>
      </c>
      <c r="V115" s="183" t="str">
        <f>IF(U115="","",IF($I$8="A",(RANK(U115,U$11:U$349)+COUNTIF(U$11:U115,U115)-1),(RANK(U115,U$11:U$349,1)+COUNTIF(U$11:U115,U115)-1)))</f>
        <v/>
      </c>
      <c r="W115" s="184"/>
      <c r="X115" s="5" t="str">
        <f>IF(L115="","",VLOOKUP($L115,classifications!$C:$J,6,FALSE))</f>
        <v/>
      </c>
      <c r="Y115" t="str">
        <f t="shared" si="56"/>
        <v/>
      </c>
      <c r="Z115" s="40" t="str">
        <f>IF(Y115="","",IF(I$8="A",(RANK(Y115,Y$11:Y$349,1)+COUNTIF(Y$11:Y115,Y115)-1),(RANK(Y115,Y$11:Y$349)+COUNTIF(Y$11:Y115,Y115)-1)))</f>
        <v/>
      </c>
      <c r="AA115" s="189" t="str">
        <f>IF(L115="","",VLOOKUP($L115,classifications!C:I,7,FALSE))</f>
        <v/>
      </c>
      <c r="AB115" s="183" t="str">
        <f t="shared" si="57"/>
        <v/>
      </c>
      <c r="AC115" s="183" t="str">
        <f>IF(AB115="","",IF($I$8="A",(RANK(AB115,AB$11:AB$349)+COUNTIF(AB$11:AB115,AB115)-1),(RANK(AB115,AB$11:AB$349,1)+COUNTIF(AB$11:AB115,AB115)-1)))</f>
        <v/>
      </c>
      <c r="AD115" s="183"/>
      <c r="AE115" s="49">
        <f>IF(I$8="A",(RANK(AG115,AG$11:AG$349,1)+COUNTIF(AG$11:AG115,AG115)-1),(RANK(AG115,AG$11:AG$349)+COUNTIF(AG$11:AG115,AG115)-1))</f>
        <v>105</v>
      </c>
      <c r="AF115" t="str">
        <f>VLOOKUP(Profile!$J$5,Families!$C:$R,6,FALSE)</f>
        <v>Herefordshire</v>
      </c>
      <c r="AG115" s="15">
        <f t="shared" si="58"/>
        <v>62.711864406779661</v>
      </c>
      <c r="AH115" s="50">
        <f t="shared" si="59"/>
        <v>105</v>
      </c>
      <c r="AI115" s="5" t="str">
        <f>IF(L115="","",VLOOKUP($L115,classifications!$C:$J,8,FALSE))</f>
        <v/>
      </c>
      <c r="AJ115" s="43" t="str">
        <f t="shared" si="60"/>
        <v/>
      </c>
      <c r="AK115" s="40" t="str">
        <f>IF(AJ115="","",IF(I$8="A",(RANK(AJ115,AJ$11:AJ$349,1)+COUNTIF(AJ$11:AJ115,AJ115)-1),(RANK(AJ115,AJ$11:AJ$349)+COUNTIF(AJ$11:AJ115,AJ115)-1)))</f>
        <v/>
      </c>
      <c r="AL115" s="3" t="str">
        <f t="shared" si="61"/>
        <v/>
      </c>
      <c r="AM115" t="str">
        <f t="shared" si="62"/>
        <v/>
      </c>
      <c r="AN115" t="str">
        <f t="shared" si="63"/>
        <v/>
      </c>
      <c r="AP115" s="5" t="str">
        <f>IF(L115="","",VLOOKUP($L115,classifications!$C:$E,3,FALSE))</f>
        <v/>
      </c>
      <c r="AQ115" s="43" t="str">
        <f t="shared" si="64"/>
        <v/>
      </c>
      <c r="AR115" s="40" t="str">
        <f>IF(AQ115="","",IF(I$8="A",(RANK(AQ115,AQ$11:AQ$349,1)+COUNTIF(AQ$11:AQ115,AQ115)-1),(RANK(AQ115,AQ$11:AQ$349)+COUNTIF(AQ$11:AQ115,AQ115)-1)))</f>
        <v/>
      </c>
      <c r="AS115" s="3" t="str">
        <f t="shared" si="65"/>
        <v/>
      </c>
      <c r="AT115" s="40" t="str">
        <f t="shared" si="66"/>
        <v/>
      </c>
      <c r="AU115" s="43" t="str">
        <f t="shared" si="67"/>
        <v/>
      </c>
      <c r="AX115">
        <f>HLOOKUP($AX$9&amp;$AX$10,Data!$A$1:$ZZ$1988,(MATCH($C115,Data!$A$1:$A$1988,0)),FALSE)</f>
        <v>92</v>
      </c>
    </row>
    <row r="116" spans="1:50">
      <c r="A116" s="59" t="str">
        <f>$D$1&amp;106</f>
        <v>UA106</v>
      </c>
      <c r="B116" s="60">
        <f>IF(ISERROR(VLOOKUP(A116,classifications!A:C,3,FALSE)),0,VLOOKUP(A116,classifications!A:C,3,FALSE))</f>
        <v>0</v>
      </c>
      <c r="C116" t="s">
        <v>71</v>
      </c>
      <c r="D116" t="str">
        <f>VLOOKUP($C116,classifications!$C:$J,4,FALSE)</f>
        <v>SD</v>
      </c>
      <c r="E116">
        <f>VLOOKUP(C116,classifications!C:K,9,FALSE)</f>
        <v>0</v>
      </c>
      <c r="F116">
        <f t="shared" si="44"/>
        <v>100</v>
      </c>
      <c r="G116" s="15"/>
      <c r="H116" s="42" t="str">
        <f t="shared" si="45"/>
        <v/>
      </c>
      <c r="I116" s="79" t="str">
        <f>IF(H116="","",IF($I$8="A",(RANK(H116,H$11:H$349,1)+COUNTIF(H$11:H116,H116)-1),(RANK(H116,H$11:H$349)+COUNTIF(H$11:H116,H116)-1)))</f>
        <v/>
      </c>
      <c r="J116" s="41"/>
      <c r="K116" s="36" t="str">
        <f t="shared" si="46"/>
        <v/>
      </c>
      <c r="L116" t="str">
        <f t="shared" si="47"/>
        <v/>
      </c>
      <c r="M116" s="117" t="str">
        <f t="shared" si="48"/>
        <v/>
      </c>
      <c r="N116" s="112" t="str">
        <f t="shared" si="49"/>
        <v/>
      </c>
      <c r="O116" s="96" t="str">
        <f t="shared" si="50"/>
        <v/>
      </c>
      <c r="P116" s="96" t="str">
        <f t="shared" si="51"/>
        <v/>
      </c>
      <c r="Q116" s="96" t="str">
        <f t="shared" si="52"/>
        <v/>
      </c>
      <c r="R116" s="92" t="str">
        <f t="shared" si="53"/>
        <v/>
      </c>
      <c r="S116" s="42" t="str">
        <f t="shared" si="54"/>
        <v/>
      </c>
      <c r="T116" s="176" t="str">
        <f>IF(L116="","",VLOOKUP(L116,classifications!C:K,9,FALSE))</f>
        <v/>
      </c>
      <c r="U116" s="177" t="str">
        <f t="shared" si="55"/>
        <v/>
      </c>
      <c r="V116" s="183" t="str">
        <f>IF(U116="","",IF($I$8="A",(RANK(U116,U$11:U$349)+COUNTIF(U$11:U116,U116)-1),(RANK(U116,U$11:U$349,1)+COUNTIF(U$11:U116,U116)-1)))</f>
        <v/>
      </c>
      <c r="W116" s="184"/>
      <c r="X116" s="5" t="str">
        <f>IF(L116="","",VLOOKUP($L116,classifications!$C:$J,6,FALSE))</f>
        <v/>
      </c>
      <c r="Y116" t="str">
        <f t="shared" si="56"/>
        <v/>
      </c>
      <c r="Z116" s="40" t="str">
        <f>IF(Y116="","",IF(I$8="A",(RANK(Y116,Y$11:Y$349,1)+COUNTIF(Y$11:Y116,Y116)-1),(RANK(Y116,Y$11:Y$349)+COUNTIF(Y$11:Y116,Y116)-1)))</f>
        <v/>
      </c>
      <c r="AA116" s="189" t="str">
        <f>IF(L116="","",VLOOKUP($L116,classifications!C:I,7,FALSE))</f>
        <v/>
      </c>
      <c r="AB116" s="183" t="str">
        <f t="shared" si="57"/>
        <v/>
      </c>
      <c r="AC116" s="183" t="str">
        <f>IF(AB116="","",IF($I$8="A",(RANK(AB116,AB$11:AB$349)+COUNTIF(AB$11:AB116,AB116)-1),(RANK(AB116,AB$11:AB$349,1)+COUNTIF(AB$11:AB116,AB116)-1)))</f>
        <v/>
      </c>
      <c r="AD116" s="183"/>
      <c r="AE116" s="49">
        <f>IF(I$8="A",(RANK(AG116,AG$11:AG$349,1)+COUNTIF(AG$11:AG116,AG116)-1),(RANK(AG116,AG$11:AG$349)+COUNTIF(AG$11:AG116,AG116)-1))</f>
        <v>106</v>
      </c>
      <c r="AF116" t="str">
        <f>VLOOKUP(Profile!$J$5,Families!$C:$R,6,FALSE)</f>
        <v>Herefordshire</v>
      </c>
      <c r="AG116" s="15">
        <f t="shared" si="58"/>
        <v>62.711864406779661</v>
      </c>
      <c r="AH116" s="50">
        <f t="shared" si="59"/>
        <v>106</v>
      </c>
      <c r="AI116" s="5" t="str">
        <f>IF(L116="","",VLOOKUP($L116,classifications!$C:$J,8,FALSE))</f>
        <v/>
      </c>
      <c r="AJ116" s="43" t="str">
        <f t="shared" si="60"/>
        <v/>
      </c>
      <c r="AK116" s="40" t="str">
        <f>IF(AJ116="","",IF(I$8="A",(RANK(AJ116,AJ$11:AJ$349,1)+COUNTIF(AJ$11:AJ116,AJ116)-1),(RANK(AJ116,AJ$11:AJ$349)+COUNTIF(AJ$11:AJ116,AJ116)-1)))</f>
        <v/>
      </c>
      <c r="AL116" s="3" t="str">
        <f t="shared" si="61"/>
        <v/>
      </c>
      <c r="AM116" t="str">
        <f t="shared" si="62"/>
        <v/>
      </c>
      <c r="AN116" t="str">
        <f t="shared" si="63"/>
        <v/>
      </c>
      <c r="AP116" s="5" t="str">
        <f>IF(L116="","",VLOOKUP($L116,classifications!$C:$E,3,FALSE))</f>
        <v/>
      </c>
      <c r="AQ116" s="43" t="str">
        <f t="shared" si="64"/>
        <v/>
      </c>
      <c r="AR116" s="40" t="str">
        <f>IF(AQ116="","",IF(I$8="A",(RANK(AQ116,AQ$11:AQ$349,1)+COUNTIF(AQ$11:AQ116,AQ116)-1),(RANK(AQ116,AQ$11:AQ$349)+COUNTIF(AQ$11:AQ116,AQ116)-1)))</f>
        <v/>
      </c>
      <c r="AS116" s="3" t="str">
        <f t="shared" si="65"/>
        <v/>
      </c>
      <c r="AT116" s="40" t="str">
        <f t="shared" si="66"/>
        <v/>
      </c>
      <c r="AU116" s="43" t="str">
        <f t="shared" si="67"/>
        <v/>
      </c>
      <c r="AX116">
        <f>HLOOKUP($AX$9&amp;$AX$10,Data!$A$1:$ZZ$1988,(MATCH($C116,Data!$A$1:$A$1988,0)),FALSE)</f>
        <v>100</v>
      </c>
    </row>
    <row r="117" spans="1:50">
      <c r="A117" s="59" t="str">
        <f>$D$1&amp;107</f>
        <v>UA107</v>
      </c>
      <c r="B117" s="60">
        <f>IF(ISERROR(VLOOKUP(A117,classifications!A:C,3,FALSE)),0,VLOOKUP(A117,classifications!A:C,3,FALSE))</f>
        <v>0</v>
      </c>
      <c r="C117" t="s">
        <v>231</v>
      </c>
      <c r="D117" t="str">
        <f>VLOOKUP($C117,classifications!$C:$J,4,FALSE)</f>
        <v>MD</v>
      </c>
      <c r="E117">
        <f>VLOOKUP(C117,classifications!C:K,9,FALSE)</f>
        <v>0</v>
      </c>
      <c r="F117">
        <f t="shared" si="44"/>
        <v>100</v>
      </c>
      <c r="G117" s="15"/>
      <c r="H117" s="42" t="str">
        <f t="shared" si="45"/>
        <v/>
      </c>
      <c r="I117" s="79" t="str">
        <f>IF(H117="","",IF($I$8="A",(RANK(H117,H$11:H$349,1)+COUNTIF(H$11:H117,H117)-1),(RANK(H117,H$11:H$349)+COUNTIF(H$11:H117,H117)-1)))</f>
        <v/>
      </c>
      <c r="J117" s="41"/>
      <c r="K117" s="36" t="str">
        <f t="shared" si="46"/>
        <v/>
      </c>
      <c r="L117" t="str">
        <f t="shared" si="47"/>
        <v/>
      </c>
      <c r="M117" s="117" t="str">
        <f t="shared" si="48"/>
        <v/>
      </c>
      <c r="N117" s="112" t="str">
        <f t="shared" si="49"/>
        <v/>
      </c>
      <c r="O117" s="96" t="str">
        <f t="shared" si="50"/>
        <v/>
      </c>
      <c r="P117" s="96" t="str">
        <f t="shared" si="51"/>
        <v/>
      </c>
      <c r="Q117" s="96" t="str">
        <f t="shared" si="52"/>
        <v/>
      </c>
      <c r="R117" s="92" t="str">
        <f t="shared" si="53"/>
        <v/>
      </c>
      <c r="S117" s="42" t="str">
        <f t="shared" si="54"/>
        <v/>
      </c>
      <c r="T117" s="176" t="str">
        <f>IF(L117="","",VLOOKUP(L117,classifications!C:K,9,FALSE))</f>
        <v/>
      </c>
      <c r="U117" s="177" t="str">
        <f t="shared" si="55"/>
        <v/>
      </c>
      <c r="V117" s="183" t="str">
        <f>IF(U117="","",IF($I$8="A",(RANK(U117,U$11:U$349)+COUNTIF(U$11:U117,U117)-1),(RANK(U117,U$11:U$349,1)+COUNTIF(U$11:U117,U117)-1)))</f>
        <v/>
      </c>
      <c r="W117" s="184"/>
      <c r="X117" s="5" t="str">
        <f>IF(L117="","",VLOOKUP($L117,classifications!$C:$J,6,FALSE))</f>
        <v/>
      </c>
      <c r="Y117" t="str">
        <f t="shared" si="56"/>
        <v/>
      </c>
      <c r="Z117" s="40" t="str">
        <f>IF(Y117="","",IF(I$8="A",(RANK(Y117,Y$11:Y$349,1)+COUNTIF(Y$11:Y117,Y117)-1),(RANK(Y117,Y$11:Y$349)+COUNTIF(Y$11:Y117,Y117)-1)))</f>
        <v/>
      </c>
      <c r="AA117" s="189" t="str">
        <f>IF(L117="","",VLOOKUP($L117,classifications!C:I,7,FALSE))</f>
        <v/>
      </c>
      <c r="AB117" s="183" t="str">
        <f t="shared" si="57"/>
        <v/>
      </c>
      <c r="AC117" s="183" t="str">
        <f>IF(AB117="","",IF($I$8="A",(RANK(AB117,AB$11:AB$349)+COUNTIF(AB$11:AB117,AB117)-1),(RANK(AB117,AB$11:AB$349,1)+COUNTIF(AB$11:AB117,AB117)-1)))</f>
        <v/>
      </c>
      <c r="AD117" s="183"/>
      <c r="AE117" s="49">
        <f>IF(I$8="A",(RANK(AG117,AG$11:AG$349,1)+COUNTIF(AG$11:AG117,AG117)-1),(RANK(AG117,AG$11:AG$349)+COUNTIF(AG$11:AG117,AG117)-1))</f>
        <v>107</v>
      </c>
      <c r="AF117" t="str">
        <f>VLOOKUP(Profile!$J$5,Families!$C:$R,6,FALSE)</f>
        <v>Herefordshire</v>
      </c>
      <c r="AG117" s="15">
        <f t="shared" si="58"/>
        <v>62.711864406779661</v>
      </c>
      <c r="AH117" s="50">
        <f t="shared" si="59"/>
        <v>107</v>
      </c>
      <c r="AI117" s="5" t="str">
        <f>IF(L117="","",VLOOKUP($L117,classifications!$C:$J,8,FALSE))</f>
        <v/>
      </c>
      <c r="AJ117" s="43" t="str">
        <f t="shared" si="60"/>
        <v/>
      </c>
      <c r="AK117" s="40" t="str">
        <f>IF(AJ117="","",IF(I$8="A",(RANK(AJ117,AJ$11:AJ$349,1)+COUNTIF(AJ$11:AJ117,AJ117)-1),(RANK(AJ117,AJ$11:AJ$349)+COUNTIF(AJ$11:AJ117,AJ117)-1)))</f>
        <v/>
      </c>
      <c r="AL117" s="3" t="str">
        <f t="shared" si="61"/>
        <v/>
      </c>
      <c r="AM117" t="str">
        <f t="shared" si="62"/>
        <v/>
      </c>
      <c r="AN117" t="str">
        <f t="shared" si="63"/>
        <v/>
      </c>
      <c r="AP117" s="5" t="str">
        <f>IF(L117="","",VLOOKUP($L117,classifications!$C:$E,3,FALSE))</f>
        <v/>
      </c>
      <c r="AQ117" s="43" t="str">
        <f t="shared" si="64"/>
        <v/>
      </c>
      <c r="AR117" s="40" t="str">
        <f>IF(AQ117="","",IF(I$8="A",(RANK(AQ117,AQ$11:AQ$349,1)+COUNTIF(AQ$11:AQ117,AQ117)-1),(RANK(AQ117,AQ$11:AQ$349)+COUNTIF(AQ$11:AQ117,AQ117)-1)))</f>
        <v/>
      </c>
      <c r="AS117" s="3" t="str">
        <f t="shared" si="65"/>
        <v/>
      </c>
      <c r="AT117" s="40" t="str">
        <f t="shared" si="66"/>
        <v/>
      </c>
      <c r="AU117" s="43" t="str">
        <f t="shared" si="67"/>
        <v/>
      </c>
      <c r="AX117">
        <f>HLOOKUP($AX$9&amp;$AX$10,Data!$A$1:$ZZ$1988,(MATCH($C117,Data!$A$1:$A$1988,0)),FALSE)</f>
        <v>100</v>
      </c>
    </row>
    <row r="118" spans="1:50">
      <c r="A118" s="59" t="str">
        <f>$D$1&amp;108</f>
        <v>UA108</v>
      </c>
      <c r="B118" s="60">
        <f>IF(ISERROR(VLOOKUP(A118,classifications!A:C,3,FALSE)),0,VLOOKUP(A118,classifications!A:C,3,FALSE))</f>
        <v>0</v>
      </c>
      <c r="C118" t="s">
        <v>72</v>
      </c>
      <c r="D118" t="str">
        <f>VLOOKUP($C118,classifications!$C:$J,4,FALSE)</f>
        <v>SD</v>
      </c>
      <c r="E118">
        <f>VLOOKUP(C118,classifications!C:K,9,FALSE)</f>
        <v>0</v>
      </c>
      <c r="F118">
        <f t="shared" si="44"/>
        <v>100</v>
      </c>
      <c r="G118" s="15"/>
      <c r="H118" s="42" t="str">
        <f t="shared" si="45"/>
        <v/>
      </c>
      <c r="I118" s="79" t="str">
        <f>IF(H118="","",IF($I$8="A",(RANK(H118,H$11:H$349,1)+COUNTIF(H$11:H118,H118)-1),(RANK(H118,H$11:H$349)+COUNTIF(H$11:H118,H118)-1)))</f>
        <v/>
      </c>
      <c r="J118" s="41"/>
      <c r="K118" s="36" t="str">
        <f t="shared" si="46"/>
        <v/>
      </c>
      <c r="L118" t="str">
        <f t="shared" si="47"/>
        <v/>
      </c>
      <c r="M118" s="117" t="str">
        <f t="shared" si="48"/>
        <v/>
      </c>
      <c r="N118" s="112" t="str">
        <f t="shared" si="49"/>
        <v/>
      </c>
      <c r="O118" s="96" t="str">
        <f t="shared" si="50"/>
        <v/>
      </c>
      <c r="P118" s="96" t="str">
        <f t="shared" si="51"/>
        <v/>
      </c>
      <c r="Q118" s="96" t="str">
        <f t="shared" si="52"/>
        <v/>
      </c>
      <c r="R118" s="92" t="str">
        <f t="shared" si="53"/>
        <v/>
      </c>
      <c r="S118" s="42" t="str">
        <f t="shared" si="54"/>
        <v/>
      </c>
      <c r="T118" s="176" t="str">
        <f>IF(L118="","",VLOOKUP(L118,classifications!C:K,9,FALSE))</f>
        <v/>
      </c>
      <c r="U118" s="177" t="str">
        <f t="shared" si="55"/>
        <v/>
      </c>
      <c r="V118" s="183" t="str">
        <f>IF(U118="","",IF($I$8="A",(RANK(U118,U$11:U$349)+COUNTIF(U$11:U118,U118)-1),(RANK(U118,U$11:U$349,1)+COUNTIF(U$11:U118,U118)-1)))</f>
        <v/>
      </c>
      <c r="W118" s="184"/>
      <c r="X118" s="5" t="str">
        <f>IF(L118="","",VLOOKUP($L118,classifications!$C:$J,6,FALSE))</f>
        <v/>
      </c>
      <c r="Y118" t="str">
        <f t="shared" si="56"/>
        <v/>
      </c>
      <c r="Z118" s="40" t="str">
        <f>IF(Y118="","",IF(I$8="A",(RANK(Y118,Y$11:Y$349,1)+COUNTIF(Y$11:Y118,Y118)-1),(RANK(Y118,Y$11:Y$349)+COUNTIF(Y$11:Y118,Y118)-1)))</f>
        <v/>
      </c>
      <c r="AA118" s="189" t="str">
        <f>IF(L118="","",VLOOKUP($L118,classifications!C:I,7,FALSE))</f>
        <v/>
      </c>
      <c r="AB118" s="183" t="str">
        <f t="shared" si="57"/>
        <v/>
      </c>
      <c r="AC118" s="183" t="str">
        <f>IF(AB118="","",IF($I$8="A",(RANK(AB118,AB$11:AB$349)+COUNTIF(AB$11:AB118,AB118)-1),(RANK(AB118,AB$11:AB$349,1)+COUNTIF(AB$11:AB118,AB118)-1)))</f>
        <v/>
      </c>
      <c r="AD118" s="183"/>
      <c r="AE118" s="49">
        <f>IF(I$8="A",(RANK(AG118,AG$11:AG$349,1)+COUNTIF(AG$11:AG118,AG118)-1),(RANK(AG118,AG$11:AG$349)+COUNTIF(AG$11:AG118,AG118)-1))</f>
        <v>108</v>
      </c>
      <c r="AF118" t="str">
        <f>VLOOKUP(Profile!$J$5,Families!$C:$R,6,FALSE)</f>
        <v>Herefordshire</v>
      </c>
      <c r="AG118" s="15">
        <f t="shared" si="58"/>
        <v>62.711864406779661</v>
      </c>
      <c r="AH118" s="50">
        <f t="shared" si="59"/>
        <v>108</v>
      </c>
      <c r="AI118" s="5" t="str">
        <f>IF(L118="","",VLOOKUP($L118,classifications!$C:$J,8,FALSE))</f>
        <v/>
      </c>
      <c r="AJ118" s="43" t="str">
        <f t="shared" si="60"/>
        <v/>
      </c>
      <c r="AK118" s="40" t="str">
        <f>IF(AJ118="","",IF(I$8="A",(RANK(AJ118,AJ$11:AJ$349,1)+COUNTIF(AJ$11:AJ118,AJ118)-1),(RANK(AJ118,AJ$11:AJ$349)+COUNTIF(AJ$11:AJ118,AJ118)-1)))</f>
        <v/>
      </c>
      <c r="AL118" s="3" t="str">
        <f t="shared" si="61"/>
        <v/>
      </c>
      <c r="AM118" t="str">
        <f t="shared" si="62"/>
        <v/>
      </c>
      <c r="AN118" t="str">
        <f t="shared" si="63"/>
        <v/>
      </c>
      <c r="AP118" s="5" t="str">
        <f>IF(L118="","",VLOOKUP($L118,classifications!$C:$E,3,FALSE))</f>
        <v/>
      </c>
      <c r="AQ118" s="43" t="str">
        <f t="shared" si="64"/>
        <v/>
      </c>
      <c r="AR118" s="40" t="str">
        <f>IF(AQ118="","",IF(I$8="A",(RANK(AQ118,AQ$11:AQ$349,1)+COUNTIF(AQ$11:AQ118,AQ118)-1),(RANK(AQ118,AQ$11:AQ$349)+COUNTIF(AQ$11:AQ118,AQ118)-1)))</f>
        <v/>
      </c>
      <c r="AS118" s="3" t="str">
        <f t="shared" si="65"/>
        <v/>
      </c>
      <c r="AT118" s="40" t="str">
        <f t="shared" si="66"/>
        <v/>
      </c>
      <c r="AU118" s="43" t="str">
        <f t="shared" si="67"/>
        <v/>
      </c>
      <c r="AX118">
        <f>HLOOKUP($AX$9&amp;$AX$10,Data!$A$1:$ZZ$1988,(MATCH($C118,Data!$A$1:$A$1988,0)),FALSE)</f>
        <v>100</v>
      </c>
    </row>
    <row r="119" spans="1:50">
      <c r="A119" s="59" t="str">
        <f>$D$1&amp;109</f>
        <v>UA109</v>
      </c>
      <c r="B119" s="60">
        <f>IF(ISERROR(VLOOKUP(A119,classifications!A:C,3,FALSE)),0,VLOOKUP(A119,classifications!A:C,3,FALSE))</f>
        <v>0</v>
      </c>
      <c r="C119" t="s">
        <v>73</v>
      </c>
      <c r="D119" t="str">
        <f>VLOOKUP($C119,classifications!$C:$J,4,FALSE)</f>
        <v>SD</v>
      </c>
      <c r="E119">
        <f>VLOOKUP(C119,classifications!C:K,9,FALSE)</f>
        <v>0</v>
      </c>
      <c r="F119">
        <f t="shared" si="44"/>
        <v>100</v>
      </c>
      <c r="G119" s="15"/>
      <c r="H119" s="42" t="str">
        <f t="shared" si="45"/>
        <v/>
      </c>
      <c r="I119" s="79" t="str">
        <f>IF(H119="","",IF($I$8="A",(RANK(H119,H$11:H$349,1)+COUNTIF(H$11:H119,H119)-1),(RANK(H119,H$11:H$349)+COUNTIF(H$11:H119,H119)-1)))</f>
        <v/>
      </c>
      <c r="J119" s="41"/>
      <c r="K119" s="36" t="str">
        <f t="shared" si="46"/>
        <v/>
      </c>
      <c r="L119" t="str">
        <f t="shared" si="47"/>
        <v/>
      </c>
      <c r="M119" s="117" t="str">
        <f t="shared" si="48"/>
        <v/>
      </c>
      <c r="N119" s="112" t="str">
        <f t="shared" si="49"/>
        <v/>
      </c>
      <c r="O119" s="96" t="str">
        <f t="shared" si="50"/>
        <v/>
      </c>
      <c r="P119" s="96" t="str">
        <f t="shared" si="51"/>
        <v/>
      </c>
      <c r="Q119" s="96" t="str">
        <f t="shared" si="52"/>
        <v/>
      </c>
      <c r="R119" s="92" t="str">
        <f t="shared" si="53"/>
        <v/>
      </c>
      <c r="S119" s="42" t="str">
        <f t="shared" si="54"/>
        <v/>
      </c>
      <c r="T119" s="176" t="str">
        <f>IF(L119="","",VLOOKUP(L119,classifications!C:K,9,FALSE))</f>
        <v/>
      </c>
      <c r="U119" s="177" t="str">
        <f t="shared" si="55"/>
        <v/>
      </c>
      <c r="V119" s="183" t="str">
        <f>IF(U119="","",IF($I$8="A",(RANK(U119,U$11:U$349)+COUNTIF(U$11:U119,U119)-1),(RANK(U119,U$11:U$349,1)+COUNTIF(U$11:U119,U119)-1)))</f>
        <v/>
      </c>
      <c r="W119" s="184"/>
      <c r="X119" s="5" t="str">
        <f>IF(L119="","",VLOOKUP($L119,classifications!$C:$J,6,FALSE))</f>
        <v/>
      </c>
      <c r="Y119" t="str">
        <f t="shared" si="56"/>
        <v/>
      </c>
      <c r="Z119" s="40" t="str">
        <f>IF(Y119="","",IF(I$8="A",(RANK(Y119,Y$11:Y$349,1)+COUNTIF(Y$11:Y119,Y119)-1),(RANK(Y119,Y$11:Y$349)+COUNTIF(Y$11:Y119,Y119)-1)))</f>
        <v/>
      </c>
      <c r="AA119" s="189" t="str">
        <f>IF(L119="","",VLOOKUP($L119,classifications!C:I,7,FALSE))</f>
        <v/>
      </c>
      <c r="AB119" s="183" t="str">
        <f t="shared" si="57"/>
        <v/>
      </c>
      <c r="AC119" s="183" t="str">
        <f>IF(AB119="","",IF($I$8="A",(RANK(AB119,AB$11:AB$349)+COUNTIF(AB$11:AB119,AB119)-1),(RANK(AB119,AB$11:AB$349,1)+COUNTIF(AB$11:AB119,AB119)-1)))</f>
        <v/>
      </c>
      <c r="AD119" s="183"/>
      <c r="AE119" s="49">
        <f>IF(I$8="A",(RANK(AG119,AG$11:AG$349,1)+COUNTIF(AG$11:AG119,AG119)-1),(RANK(AG119,AG$11:AG$349)+COUNTIF(AG$11:AG119,AG119)-1))</f>
        <v>109</v>
      </c>
      <c r="AF119" t="str">
        <f>VLOOKUP(Profile!$J$5,Families!$C:$R,6,FALSE)</f>
        <v>Herefordshire</v>
      </c>
      <c r="AG119" s="15">
        <f t="shared" si="58"/>
        <v>62.711864406779661</v>
      </c>
      <c r="AH119" s="50">
        <f t="shared" si="59"/>
        <v>109</v>
      </c>
      <c r="AI119" s="5" t="str">
        <f>IF(L119="","",VLOOKUP($L119,classifications!$C:$J,8,FALSE))</f>
        <v/>
      </c>
      <c r="AJ119" s="43" t="str">
        <f t="shared" si="60"/>
        <v/>
      </c>
      <c r="AK119" s="40" t="str">
        <f>IF(AJ119="","",IF(I$8="A",(RANK(AJ119,AJ$11:AJ$349,1)+COUNTIF(AJ$11:AJ119,AJ119)-1),(RANK(AJ119,AJ$11:AJ$349)+COUNTIF(AJ$11:AJ119,AJ119)-1)))</f>
        <v/>
      </c>
      <c r="AL119" s="3" t="str">
        <f t="shared" si="61"/>
        <v/>
      </c>
      <c r="AM119" t="str">
        <f t="shared" si="62"/>
        <v/>
      </c>
      <c r="AN119" t="str">
        <f t="shared" si="63"/>
        <v/>
      </c>
      <c r="AP119" s="5" t="str">
        <f>IF(L119="","",VLOOKUP($L119,classifications!$C:$E,3,FALSE))</f>
        <v/>
      </c>
      <c r="AQ119" s="43" t="str">
        <f t="shared" si="64"/>
        <v/>
      </c>
      <c r="AR119" s="40" t="str">
        <f>IF(AQ119="","",IF(I$8="A",(RANK(AQ119,AQ$11:AQ$349,1)+COUNTIF(AQ$11:AQ119,AQ119)-1),(RANK(AQ119,AQ$11:AQ$349)+COUNTIF(AQ$11:AQ119,AQ119)-1)))</f>
        <v/>
      </c>
      <c r="AS119" s="3" t="str">
        <f t="shared" si="65"/>
        <v/>
      </c>
      <c r="AT119" s="40" t="str">
        <f t="shared" si="66"/>
        <v/>
      </c>
      <c r="AU119" s="43" t="str">
        <f t="shared" si="67"/>
        <v/>
      </c>
      <c r="AX119">
        <f>HLOOKUP($AX$9&amp;$AX$10,Data!$A$1:$ZZ$1988,(MATCH($C119,Data!$A$1:$A$1988,0)),FALSE)</f>
        <v>100</v>
      </c>
    </row>
    <row r="120" spans="1:50">
      <c r="A120" s="59" t="str">
        <f>$D$1&amp;110</f>
        <v>UA110</v>
      </c>
      <c r="B120" s="60">
        <f>IF(ISERROR(VLOOKUP(A120,classifications!A:C,3,FALSE)),0,VLOOKUP(A120,classifications!A:C,3,FALSE))</f>
        <v>0</v>
      </c>
      <c r="C120" t="s">
        <v>312</v>
      </c>
      <c r="D120" t="str">
        <f>VLOOKUP($C120,classifications!$C:$J,4,FALSE)</f>
        <v>SC</v>
      </c>
      <c r="E120">
        <f>VLOOKUP(C120,classifications!C:K,9,FALSE)</f>
        <v>0</v>
      </c>
      <c r="F120" t="e">
        <f t="shared" si="44"/>
        <v>#N/A</v>
      </c>
      <c r="G120" s="15"/>
      <c r="H120" s="42" t="str">
        <f t="shared" si="45"/>
        <v/>
      </c>
      <c r="I120" s="79" t="str">
        <f>IF(H120="","",IF($I$8="A",(RANK(H120,H$11:H$349,1)+COUNTIF(H$11:H120,H120)-1),(RANK(H120,H$11:H$349)+COUNTIF(H$11:H120,H120)-1)))</f>
        <v/>
      </c>
      <c r="J120" s="41"/>
      <c r="K120" s="36" t="str">
        <f t="shared" si="46"/>
        <v/>
      </c>
      <c r="L120" t="str">
        <f t="shared" si="47"/>
        <v/>
      </c>
      <c r="M120" s="117" t="str">
        <f t="shared" si="48"/>
        <v/>
      </c>
      <c r="N120" s="112" t="str">
        <f t="shared" si="49"/>
        <v/>
      </c>
      <c r="O120" s="96" t="str">
        <f t="shared" si="50"/>
        <v/>
      </c>
      <c r="P120" s="96" t="str">
        <f t="shared" si="51"/>
        <v/>
      </c>
      <c r="Q120" s="96" t="str">
        <f t="shared" si="52"/>
        <v/>
      </c>
      <c r="R120" s="92" t="str">
        <f t="shared" si="53"/>
        <v/>
      </c>
      <c r="S120" s="42" t="str">
        <f t="shared" si="54"/>
        <v/>
      </c>
      <c r="T120" s="176" t="str">
        <f>IF(L120="","",VLOOKUP(L120,classifications!C:K,9,FALSE))</f>
        <v/>
      </c>
      <c r="U120" s="177" t="str">
        <f t="shared" si="55"/>
        <v/>
      </c>
      <c r="V120" s="183" t="str">
        <f>IF(U120="","",IF($I$8="A",(RANK(U120,U$11:U$349)+COUNTIF(U$11:U120,U120)-1),(RANK(U120,U$11:U$349,1)+COUNTIF(U$11:U120,U120)-1)))</f>
        <v/>
      </c>
      <c r="W120" s="184"/>
      <c r="X120" s="5" t="str">
        <f>IF(L120="","",VLOOKUP($L120,classifications!$C:$J,6,FALSE))</f>
        <v/>
      </c>
      <c r="Y120" t="str">
        <f t="shared" si="56"/>
        <v/>
      </c>
      <c r="Z120" s="40" t="str">
        <f>IF(Y120="","",IF(I$8="A",(RANK(Y120,Y$11:Y$349,1)+COUNTIF(Y$11:Y120,Y120)-1),(RANK(Y120,Y$11:Y$349)+COUNTIF(Y$11:Y120,Y120)-1)))</f>
        <v/>
      </c>
      <c r="AA120" s="189" t="str">
        <f>IF(L120="","",VLOOKUP($L120,classifications!C:I,7,FALSE))</f>
        <v/>
      </c>
      <c r="AB120" s="183" t="str">
        <f t="shared" si="57"/>
        <v/>
      </c>
      <c r="AC120" s="183" t="str">
        <f>IF(AB120="","",IF($I$8="A",(RANK(AB120,AB$11:AB$349)+COUNTIF(AB$11:AB120,AB120)-1),(RANK(AB120,AB$11:AB$349,1)+COUNTIF(AB$11:AB120,AB120)-1)))</f>
        <v/>
      </c>
      <c r="AD120" s="183"/>
      <c r="AE120" s="49">
        <f>IF(I$8="A",(RANK(AG120,AG$11:AG$349,1)+COUNTIF(AG$11:AG120,AG120)-1),(RANK(AG120,AG$11:AG$349)+COUNTIF(AG$11:AG120,AG120)-1))</f>
        <v>110</v>
      </c>
      <c r="AF120" t="str">
        <f>VLOOKUP(Profile!$J$5,Families!$C:$R,6,FALSE)</f>
        <v>Herefordshire</v>
      </c>
      <c r="AG120" s="15">
        <f t="shared" si="58"/>
        <v>62.711864406779661</v>
      </c>
      <c r="AH120" s="50">
        <f t="shared" si="59"/>
        <v>110</v>
      </c>
      <c r="AI120" s="5" t="str">
        <f>IF(L120="","",VLOOKUP($L120,classifications!$C:$J,8,FALSE))</f>
        <v/>
      </c>
      <c r="AJ120" s="43" t="str">
        <f t="shared" si="60"/>
        <v/>
      </c>
      <c r="AK120" s="40" t="str">
        <f>IF(AJ120="","",IF(I$8="A",(RANK(AJ120,AJ$11:AJ$349,1)+COUNTIF(AJ$11:AJ120,AJ120)-1),(RANK(AJ120,AJ$11:AJ$349)+COUNTIF(AJ$11:AJ120,AJ120)-1)))</f>
        <v/>
      </c>
      <c r="AL120" s="3" t="str">
        <f t="shared" si="61"/>
        <v/>
      </c>
      <c r="AM120" t="str">
        <f t="shared" si="62"/>
        <v/>
      </c>
      <c r="AN120" t="str">
        <f t="shared" si="63"/>
        <v/>
      </c>
      <c r="AP120" s="5" t="str">
        <f>IF(L120="","",VLOOKUP($L120,classifications!$C:$E,3,FALSE))</f>
        <v/>
      </c>
      <c r="AQ120" s="43" t="str">
        <f t="shared" si="64"/>
        <v/>
      </c>
      <c r="AR120" s="40" t="str">
        <f>IF(AQ120="","",IF(I$8="A",(RANK(AQ120,AQ$11:AQ$349,1)+COUNTIF(AQ$11:AQ120,AQ120)-1),(RANK(AQ120,AQ$11:AQ$349)+COUNTIF(AQ$11:AQ120,AQ120)-1)))</f>
        <v/>
      </c>
      <c r="AS120" s="3" t="str">
        <f t="shared" si="65"/>
        <v/>
      </c>
      <c r="AT120" s="40" t="str">
        <f t="shared" si="66"/>
        <v/>
      </c>
      <c r="AU120" s="43" t="str">
        <f t="shared" si="67"/>
        <v/>
      </c>
      <c r="AX120" t="e">
        <f>HLOOKUP($AX$9&amp;$AX$10,Data!$A$1:$ZZ$1988,(MATCH($C120,Data!$A$1:$A$1988,0)),FALSE)</f>
        <v>#N/A</v>
      </c>
    </row>
    <row r="121" spans="1:50">
      <c r="A121" s="59" t="str">
        <f>$D$1&amp;111</f>
        <v>UA111</v>
      </c>
      <c r="B121" s="60">
        <f>IF(ISERROR(VLOOKUP(A121,classifications!A:C,3,FALSE)),0,VLOOKUP(A121,classifications!A:C,3,FALSE))</f>
        <v>0</v>
      </c>
      <c r="C121" t="s">
        <v>74</v>
      </c>
      <c r="D121" t="str">
        <f>VLOOKUP($C121,classifications!$C:$J,4,FALSE)</f>
        <v>SD</v>
      </c>
      <c r="E121">
        <f>VLOOKUP(C121,classifications!C:K,9,FALSE)</f>
        <v>0</v>
      </c>
      <c r="F121">
        <f t="shared" si="44"/>
        <v>80</v>
      </c>
      <c r="G121" s="15"/>
      <c r="H121" s="42" t="str">
        <f t="shared" si="45"/>
        <v/>
      </c>
      <c r="I121" s="79" t="str">
        <f>IF(H121="","",IF($I$8="A",(RANK(H121,H$11:H$349,1)+COUNTIF(H$11:H121,H121)-1),(RANK(H121,H$11:H$349)+COUNTIF(H$11:H121,H121)-1)))</f>
        <v/>
      </c>
      <c r="J121" s="41"/>
      <c r="K121" s="36" t="str">
        <f t="shared" si="46"/>
        <v/>
      </c>
      <c r="L121" t="str">
        <f t="shared" si="47"/>
        <v/>
      </c>
      <c r="M121" s="117" t="str">
        <f t="shared" si="48"/>
        <v/>
      </c>
      <c r="N121" s="112" t="str">
        <f t="shared" si="49"/>
        <v/>
      </c>
      <c r="O121" s="96" t="str">
        <f t="shared" si="50"/>
        <v/>
      </c>
      <c r="P121" s="96" t="str">
        <f t="shared" si="51"/>
        <v/>
      </c>
      <c r="Q121" s="96" t="str">
        <f t="shared" si="52"/>
        <v/>
      </c>
      <c r="R121" s="92" t="str">
        <f t="shared" si="53"/>
        <v/>
      </c>
      <c r="S121" s="42" t="str">
        <f t="shared" si="54"/>
        <v/>
      </c>
      <c r="T121" s="176" t="str">
        <f>IF(L121="","",VLOOKUP(L121,classifications!C:K,9,FALSE))</f>
        <v/>
      </c>
      <c r="U121" s="177" t="str">
        <f t="shared" si="55"/>
        <v/>
      </c>
      <c r="V121" s="183" t="str">
        <f>IF(U121="","",IF($I$8="A",(RANK(U121,U$11:U$349)+COUNTIF(U$11:U121,U121)-1),(RANK(U121,U$11:U$349,1)+COUNTIF(U$11:U121,U121)-1)))</f>
        <v/>
      </c>
      <c r="W121" s="184"/>
      <c r="X121" s="5" t="str">
        <f>IF(L121="","",VLOOKUP($L121,classifications!$C:$J,6,FALSE))</f>
        <v/>
      </c>
      <c r="Y121" t="str">
        <f t="shared" si="56"/>
        <v/>
      </c>
      <c r="Z121" s="40" t="str">
        <f>IF(Y121="","",IF(I$8="A",(RANK(Y121,Y$11:Y$349,1)+COUNTIF(Y$11:Y121,Y121)-1),(RANK(Y121,Y$11:Y$349)+COUNTIF(Y$11:Y121,Y121)-1)))</f>
        <v/>
      </c>
      <c r="AA121" s="189" t="str">
        <f>IF(L121="","",VLOOKUP($L121,classifications!C:I,7,FALSE))</f>
        <v/>
      </c>
      <c r="AB121" s="183" t="str">
        <f t="shared" si="57"/>
        <v/>
      </c>
      <c r="AC121" s="183" t="str">
        <f>IF(AB121="","",IF($I$8="A",(RANK(AB121,AB$11:AB$349)+COUNTIF(AB$11:AB121,AB121)-1),(RANK(AB121,AB$11:AB$349,1)+COUNTIF(AB$11:AB121,AB121)-1)))</f>
        <v/>
      </c>
      <c r="AD121" s="183"/>
      <c r="AE121" s="49">
        <f>IF(I$8="A",(RANK(AG121,AG$11:AG$349,1)+COUNTIF(AG$11:AG121,AG121)-1),(RANK(AG121,AG$11:AG$349)+COUNTIF(AG$11:AG121,AG121)-1))</f>
        <v>111</v>
      </c>
      <c r="AF121" t="str">
        <f>VLOOKUP(Profile!$J$5,Families!$C:$R,6,FALSE)</f>
        <v>Herefordshire</v>
      </c>
      <c r="AG121" s="15">
        <f t="shared" si="58"/>
        <v>62.711864406779661</v>
      </c>
      <c r="AH121" s="50">
        <f t="shared" si="59"/>
        <v>111</v>
      </c>
      <c r="AI121" s="5" t="str">
        <f>IF(L121="","",VLOOKUP($L121,classifications!$C:$J,8,FALSE))</f>
        <v/>
      </c>
      <c r="AJ121" s="43" t="str">
        <f t="shared" si="60"/>
        <v/>
      </c>
      <c r="AK121" s="40" t="str">
        <f>IF(AJ121="","",IF(I$8="A",(RANK(AJ121,AJ$11:AJ$349,1)+COUNTIF(AJ$11:AJ121,AJ121)-1),(RANK(AJ121,AJ$11:AJ$349)+COUNTIF(AJ$11:AJ121,AJ121)-1)))</f>
        <v/>
      </c>
      <c r="AL121" s="3" t="str">
        <f t="shared" si="61"/>
        <v/>
      </c>
      <c r="AM121" t="str">
        <f t="shared" si="62"/>
        <v/>
      </c>
      <c r="AN121" t="str">
        <f t="shared" si="63"/>
        <v/>
      </c>
      <c r="AP121" s="5" t="str">
        <f>IF(L121="","",VLOOKUP($L121,classifications!$C:$E,3,FALSE))</f>
        <v/>
      </c>
      <c r="AQ121" s="43" t="str">
        <f t="shared" si="64"/>
        <v/>
      </c>
      <c r="AR121" s="40" t="str">
        <f>IF(AQ121="","",IF(I$8="A",(RANK(AQ121,AQ$11:AQ$349,1)+COUNTIF(AQ$11:AQ121,AQ121)-1),(RANK(AQ121,AQ$11:AQ$349)+COUNTIF(AQ$11:AQ121,AQ121)-1)))</f>
        <v/>
      </c>
      <c r="AS121" s="3" t="str">
        <f t="shared" si="65"/>
        <v/>
      </c>
      <c r="AT121" s="40" t="str">
        <f t="shared" si="66"/>
        <v/>
      </c>
      <c r="AU121" s="43" t="str">
        <f t="shared" si="67"/>
        <v/>
      </c>
      <c r="AX121">
        <f>HLOOKUP($AX$9&amp;$AX$10,Data!$A$1:$ZZ$1988,(MATCH($C121,Data!$A$1:$A$1988,0)),FALSE)</f>
        <v>80</v>
      </c>
    </row>
    <row r="122" spans="1:50">
      <c r="A122" s="59" t="str">
        <f>$D$1&amp;112</f>
        <v>UA112</v>
      </c>
      <c r="B122" s="60">
        <f>IF(ISERROR(VLOOKUP(A122,classifications!A:C,3,FALSE)),0,VLOOKUP(A122,classifications!A:C,3,FALSE))</f>
        <v>0</v>
      </c>
      <c r="C122" t="s">
        <v>75</v>
      </c>
      <c r="D122" t="str">
        <f>VLOOKUP($C122,classifications!$C:$J,4,FALSE)</f>
        <v>SD</v>
      </c>
      <c r="E122">
        <f>VLOOKUP(C122,classifications!C:K,9,FALSE)</f>
        <v>0</v>
      </c>
      <c r="F122">
        <f t="shared" si="44"/>
        <v>100</v>
      </c>
      <c r="G122" s="15"/>
      <c r="H122" s="42" t="str">
        <f t="shared" si="45"/>
        <v/>
      </c>
      <c r="I122" s="79" t="str">
        <f>IF(H122="","",IF($I$8="A",(RANK(H122,H$11:H$349,1)+COUNTIF(H$11:H122,H122)-1),(RANK(H122,H$11:H$349)+COUNTIF(H$11:H122,H122)-1)))</f>
        <v/>
      </c>
      <c r="J122" s="41"/>
      <c r="K122" s="36" t="str">
        <f t="shared" si="46"/>
        <v/>
      </c>
      <c r="L122" t="str">
        <f t="shared" si="47"/>
        <v/>
      </c>
      <c r="M122" s="117" t="str">
        <f t="shared" si="48"/>
        <v/>
      </c>
      <c r="N122" s="112" t="str">
        <f t="shared" si="49"/>
        <v/>
      </c>
      <c r="O122" s="96" t="str">
        <f t="shared" si="50"/>
        <v/>
      </c>
      <c r="P122" s="96" t="str">
        <f t="shared" si="51"/>
        <v/>
      </c>
      <c r="Q122" s="96" t="str">
        <f t="shared" si="52"/>
        <v/>
      </c>
      <c r="R122" s="92" t="str">
        <f t="shared" si="53"/>
        <v/>
      </c>
      <c r="S122" s="42" t="str">
        <f t="shared" si="54"/>
        <v/>
      </c>
      <c r="T122" s="176" t="str">
        <f>IF(L122="","",VLOOKUP(L122,classifications!C:K,9,FALSE))</f>
        <v/>
      </c>
      <c r="U122" s="177" t="str">
        <f t="shared" si="55"/>
        <v/>
      </c>
      <c r="V122" s="183" t="str">
        <f>IF(U122="","",IF($I$8="A",(RANK(U122,U$11:U$349)+COUNTIF(U$11:U122,U122)-1),(RANK(U122,U$11:U$349,1)+COUNTIF(U$11:U122,U122)-1)))</f>
        <v/>
      </c>
      <c r="W122" s="184"/>
      <c r="X122" s="5" t="str">
        <f>IF(L122="","",VLOOKUP($L122,classifications!$C:$J,6,FALSE))</f>
        <v/>
      </c>
      <c r="Y122" t="str">
        <f t="shared" si="56"/>
        <v/>
      </c>
      <c r="Z122" s="40" t="str">
        <f>IF(Y122="","",IF(I$8="A",(RANK(Y122,Y$11:Y$349,1)+COUNTIF(Y$11:Y122,Y122)-1),(RANK(Y122,Y$11:Y$349)+COUNTIF(Y$11:Y122,Y122)-1)))</f>
        <v/>
      </c>
      <c r="AA122" s="189" t="str">
        <f>IF(L122="","",VLOOKUP($L122,classifications!C:I,7,FALSE))</f>
        <v/>
      </c>
      <c r="AB122" s="183" t="str">
        <f t="shared" si="57"/>
        <v/>
      </c>
      <c r="AC122" s="183" t="str">
        <f>IF(AB122="","",IF($I$8="A",(RANK(AB122,AB$11:AB$349)+COUNTIF(AB$11:AB122,AB122)-1),(RANK(AB122,AB$11:AB$349,1)+COUNTIF(AB$11:AB122,AB122)-1)))</f>
        <v/>
      </c>
      <c r="AD122" s="183"/>
      <c r="AE122" s="49">
        <f>IF(I$8="A",(RANK(AG122,AG$11:AG$349,1)+COUNTIF(AG$11:AG122,AG122)-1),(RANK(AG122,AG$11:AG$349)+COUNTIF(AG$11:AG122,AG122)-1))</f>
        <v>112</v>
      </c>
      <c r="AF122" t="str">
        <f>VLOOKUP(Profile!$J$5,Families!$C:$R,6,FALSE)</f>
        <v>Herefordshire</v>
      </c>
      <c r="AG122" s="15">
        <f t="shared" si="58"/>
        <v>62.711864406779661</v>
      </c>
      <c r="AH122" s="50">
        <f t="shared" si="59"/>
        <v>112</v>
      </c>
      <c r="AI122" s="5" t="str">
        <f>IF(L122="","",VLOOKUP($L122,classifications!$C:$J,8,FALSE))</f>
        <v/>
      </c>
      <c r="AJ122" s="43" t="str">
        <f t="shared" si="60"/>
        <v/>
      </c>
      <c r="AK122" s="40" t="str">
        <f>IF(AJ122="","",IF(I$8="A",(RANK(AJ122,AJ$11:AJ$349,1)+COUNTIF(AJ$11:AJ122,AJ122)-1),(RANK(AJ122,AJ$11:AJ$349)+COUNTIF(AJ$11:AJ122,AJ122)-1)))</f>
        <v/>
      </c>
      <c r="AL122" s="3" t="str">
        <f t="shared" si="61"/>
        <v/>
      </c>
      <c r="AM122" t="str">
        <f t="shared" si="62"/>
        <v/>
      </c>
      <c r="AN122" t="str">
        <f t="shared" si="63"/>
        <v/>
      </c>
      <c r="AP122" s="5" t="str">
        <f>IF(L122="","",VLOOKUP($L122,classifications!$C:$E,3,FALSE))</f>
        <v/>
      </c>
      <c r="AQ122" s="43" t="str">
        <f t="shared" si="64"/>
        <v/>
      </c>
      <c r="AR122" s="40" t="str">
        <f>IF(AQ122="","",IF(I$8="A",(RANK(AQ122,AQ$11:AQ$349,1)+COUNTIF(AQ$11:AQ122,AQ122)-1),(RANK(AQ122,AQ$11:AQ$349)+COUNTIF(AQ$11:AQ122,AQ122)-1)))</f>
        <v/>
      </c>
      <c r="AS122" s="3" t="str">
        <f t="shared" si="65"/>
        <v/>
      </c>
      <c r="AT122" s="40" t="str">
        <f t="shared" si="66"/>
        <v/>
      </c>
      <c r="AU122" s="43" t="str">
        <f t="shared" si="67"/>
        <v/>
      </c>
      <c r="AX122">
        <f>HLOOKUP($AX$9&amp;$AX$10,Data!$A$1:$ZZ$1988,(MATCH($C122,Data!$A$1:$A$1988,0)),FALSE)</f>
        <v>100</v>
      </c>
    </row>
    <row r="123" spans="1:50">
      <c r="A123" s="59" t="str">
        <f>$D$1&amp;113</f>
        <v>UA113</v>
      </c>
      <c r="B123" s="60">
        <f>IF(ISERROR(VLOOKUP(A123,classifications!A:C,3,FALSE)),0,VLOOKUP(A123,classifications!A:C,3,FALSE))</f>
        <v>0</v>
      </c>
      <c r="C123" t="s">
        <v>76</v>
      </c>
      <c r="D123" t="str">
        <f>VLOOKUP($C123,classifications!$C:$J,4,FALSE)</f>
        <v>SD</v>
      </c>
      <c r="E123">
        <f>VLOOKUP(C123,classifications!C:K,9,FALSE)</f>
        <v>0</v>
      </c>
      <c r="F123">
        <f t="shared" si="44"/>
        <v>91.666666666666657</v>
      </c>
      <c r="G123" s="15"/>
      <c r="H123" s="42" t="str">
        <f t="shared" si="45"/>
        <v/>
      </c>
      <c r="I123" s="79" t="str">
        <f>IF(H123="","",IF($I$8="A",(RANK(H123,H$11:H$349,1)+COUNTIF(H$11:H123,H123)-1),(RANK(H123,H$11:H$349)+COUNTIF(H$11:H123,H123)-1)))</f>
        <v/>
      </c>
      <c r="J123" s="41"/>
      <c r="K123" s="36" t="str">
        <f t="shared" si="46"/>
        <v/>
      </c>
      <c r="L123" t="str">
        <f t="shared" si="47"/>
        <v/>
      </c>
      <c r="M123" s="117" t="str">
        <f t="shared" si="48"/>
        <v/>
      </c>
      <c r="N123" s="112" t="str">
        <f t="shared" si="49"/>
        <v/>
      </c>
      <c r="O123" s="96" t="str">
        <f t="shared" si="50"/>
        <v/>
      </c>
      <c r="P123" s="96" t="str">
        <f t="shared" si="51"/>
        <v/>
      </c>
      <c r="Q123" s="96" t="str">
        <f t="shared" si="52"/>
        <v/>
      </c>
      <c r="R123" s="92" t="str">
        <f t="shared" si="53"/>
        <v/>
      </c>
      <c r="S123" s="42" t="str">
        <f t="shared" si="54"/>
        <v/>
      </c>
      <c r="T123" s="176" t="str">
        <f>IF(L123="","",VLOOKUP(L123,classifications!C:K,9,FALSE))</f>
        <v/>
      </c>
      <c r="U123" s="177" t="str">
        <f t="shared" si="55"/>
        <v/>
      </c>
      <c r="V123" s="183" t="str">
        <f>IF(U123="","",IF($I$8="A",(RANK(U123,U$11:U$349)+COUNTIF(U$11:U123,U123)-1),(RANK(U123,U$11:U$349,1)+COUNTIF(U$11:U123,U123)-1)))</f>
        <v/>
      </c>
      <c r="W123" s="184"/>
      <c r="X123" s="5" t="str">
        <f>IF(L123="","",VLOOKUP($L123,classifications!$C:$J,6,FALSE))</f>
        <v/>
      </c>
      <c r="Y123" t="str">
        <f t="shared" si="56"/>
        <v/>
      </c>
      <c r="Z123" s="40" t="str">
        <f>IF(Y123="","",IF(I$8="A",(RANK(Y123,Y$11:Y$349,1)+COUNTIF(Y$11:Y123,Y123)-1),(RANK(Y123,Y$11:Y$349)+COUNTIF(Y$11:Y123,Y123)-1)))</f>
        <v/>
      </c>
      <c r="AA123" s="189" t="str">
        <f>IF(L123="","",VLOOKUP($L123,classifications!C:I,7,FALSE))</f>
        <v/>
      </c>
      <c r="AB123" s="183" t="str">
        <f t="shared" si="57"/>
        <v/>
      </c>
      <c r="AC123" s="183" t="str">
        <f>IF(AB123="","",IF($I$8="A",(RANK(AB123,AB$11:AB$349)+COUNTIF(AB$11:AB123,AB123)-1),(RANK(AB123,AB$11:AB$349,1)+COUNTIF(AB$11:AB123,AB123)-1)))</f>
        <v/>
      </c>
      <c r="AD123" s="183"/>
      <c r="AE123" s="49">
        <f>IF(I$8="A",(RANK(AG123,AG$11:AG$349,1)+COUNTIF(AG$11:AG123,AG123)-1),(RANK(AG123,AG$11:AG$349)+COUNTIF(AG$11:AG123,AG123)-1))</f>
        <v>113</v>
      </c>
      <c r="AF123" t="str">
        <f>VLOOKUP(Profile!$J$5,Families!$C:$R,6,FALSE)</f>
        <v>Herefordshire</v>
      </c>
      <c r="AG123" s="15">
        <f t="shared" si="58"/>
        <v>62.711864406779661</v>
      </c>
      <c r="AH123" s="50">
        <f t="shared" si="59"/>
        <v>113</v>
      </c>
      <c r="AI123" s="5" t="str">
        <f>IF(L123="","",VLOOKUP($L123,classifications!$C:$J,8,FALSE))</f>
        <v/>
      </c>
      <c r="AJ123" s="43" t="str">
        <f t="shared" si="60"/>
        <v/>
      </c>
      <c r="AK123" s="40" t="str">
        <f>IF(AJ123="","",IF(I$8="A",(RANK(AJ123,AJ$11:AJ$349,1)+COUNTIF(AJ$11:AJ123,AJ123)-1),(RANK(AJ123,AJ$11:AJ$349)+COUNTIF(AJ$11:AJ123,AJ123)-1)))</f>
        <v/>
      </c>
      <c r="AL123" s="3" t="str">
        <f t="shared" si="61"/>
        <v/>
      </c>
      <c r="AM123" t="str">
        <f t="shared" si="62"/>
        <v/>
      </c>
      <c r="AN123" t="str">
        <f t="shared" si="63"/>
        <v/>
      </c>
      <c r="AP123" s="5" t="str">
        <f>IF(L123="","",VLOOKUP($L123,classifications!$C:$E,3,FALSE))</f>
        <v/>
      </c>
      <c r="AQ123" s="43" t="str">
        <f t="shared" si="64"/>
        <v/>
      </c>
      <c r="AR123" s="40" t="str">
        <f>IF(AQ123="","",IF(I$8="A",(RANK(AQ123,AQ$11:AQ$349,1)+COUNTIF(AQ$11:AQ123,AQ123)-1),(RANK(AQ123,AQ$11:AQ$349)+COUNTIF(AQ$11:AQ123,AQ123)-1)))</f>
        <v/>
      </c>
      <c r="AS123" s="3" t="str">
        <f t="shared" si="65"/>
        <v/>
      </c>
      <c r="AT123" s="40" t="str">
        <f t="shared" si="66"/>
        <v/>
      </c>
      <c r="AU123" s="43" t="str">
        <f t="shared" si="67"/>
        <v/>
      </c>
      <c r="AX123">
        <f>HLOOKUP($AX$9&amp;$AX$10,Data!$A$1:$ZZ$1988,(MATCH($C123,Data!$A$1:$A$1988,0)),FALSE)</f>
        <v>91.666666666666657</v>
      </c>
    </row>
    <row r="124" spans="1:50">
      <c r="A124" s="59" t="str">
        <f>$D$1&amp;114</f>
        <v>UA114</v>
      </c>
      <c r="B124" s="60">
        <f>IF(ISERROR(VLOOKUP(A124,classifications!A:C,3,FALSE)),0,VLOOKUP(A124,classifications!A:C,3,FALSE))</f>
        <v>0</v>
      </c>
      <c r="C124" t="s">
        <v>204</v>
      </c>
      <c r="D124" t="str">
        <f>VLOOKUP($C124,classifications!$C:$J,4,FALSE)</f>
        <v>L</v>
      </c>
      <c r="E124">
        <f>VLOOKUP(C124,classifications!C:K,9,FALSE)</f>
        <v>0</v>
      </c>
      <c r="F124">
        <f t="shared" si="44"/>
        <v>100</v>
      </c>
      <c r="G124" s="15"/>
      <c r="H124" s="42" t="str">
        <f t="shared" si="45"/>
        <v/>
      </c>
      <c r="I124" s="79" t="str">
        <f>IF(H124="","",IF($I$8="A",(RANK(H124,H$11:H$349,1)+COUNTIF(H$11:H124,H124)-1),(RANK(H124,H$11:H$349)+COUNTIF(H$11:H124,H124)-1)))</f>
        <v/>
      </c>
      <c r="J124" s="41"/>
      <c r="K124" s="36" t="str">
        <f t="shared" si="46"/>
        <v/>
      </c>
      <c r="L124" t="str">
        <f t="shared" si="47"/>
        <v/>
      </c>
      <c r="M124" s="117" t="str">
        <f t="shared" si="48"/>
        <v/>
      </c>
      <c r="N124" s="112" t="str">
        <f t="shared" si="49"/>
        <v/>
      </c>
      <c r="O124" s="96" t="str">
        <f t="shared" si="50"/>
        <v/>
      </c>
      <c r="P124" s="96" t="str">
        <f t="shared" si="51"/>
        <v/>
      </c>
      <c r="Q124" s="96" t="str">
        <f t="shared" si="52"/>
        <v/>
      </c>
      <c r="R124" s="92" t="str">
        <f t="shared" si="53"/>
        <v/>
      </c>
      <c r="S124" s="42" t="str">
        <f t="shared" si="54"/>
        <v/>
      </c>
      <c r="T124" s="176" t="str">
        <f>IF(L124="","",VLOOKUP(L124,classifications!C:K,9,FALSE))</f>
        <v/>
      </c>
      <c r="U124" s="177" t="str">
        <f t="shared" si="55"/>
        <v/>
      </c>
      <c r="V124" s="183" t="str">
        <f>IF(U124="","",IF($I$8="A",(RANK(U124,U$11:U$349)+COUNTIF(U$11:U124,U124)-1),(RANK(U124,U$11:U$349,1)+COUNTIF(U$11:U124,U124)-1)))</f>
        <v/>
      </c>
      <c r="W124" s="184"/>
      <c r="X124" s="5" t="str">
        <f>IF(L124="","",VLOOKUP($L124,classifications!$C:$J,6,FALSE))</f>
        <v/>
      </c>
      <c r="Y124" t="str">
        <f t="shared" si="56"/>
        <v/>
      </c>
      <c r="Z124" s="40" t="str">
        <f>IF(Y124="","",IF(I$8="A",(RANK(Y124,Y$11:Y$349,1)+COUNTIF(Y$11:Y124,Y124)-1),(RANK(Y124,Y$11:Y$349)+COUNTIF(Y$11:Y124,Y124)-1)))</f>
        <v/>
      </c>
      <c r="AA124" s="189" t="str">
        <f>IF(L124="","",VLOOKUP($L124,classifications!C:I,7,FALSE))</f>
        <v/>
      </c>
      <c r="AB124" s="183" t="str">
        <f t="shared" si="57"/>
        <v/>
      </c>
      <c r="AC124" s="183" t="str">
        <f>IF(AB124="","",IF($I$8="A",(RANK(AB124,AB$11:AB$349)+COUNTIF(AB$11:AB124,AB124)-1),(RANK(AB124,AB$11:AB$349,1)+COUNTIF(AB$11:AB124,AB124)-1)))</f>
        <v/>
      </c>
      <c r="AD124" s="183"/>
      <c r="AE124" s="49">
        <f>IF(I$8="A",(RANK(AG124,AG$11:AG$349,1)+COUNTIF(AG$11:AG124,AG124)-1),(RANK(AG124,AG$11:AG$349)+COUNTIF(AG$11:AG124,AG124)-1))</f>
        <v>114</v>
      </c>
      <c r="AF124" t="str">
        <f>VLOOKUP(Profile!$J$5,Families!$C:$R,6,FALSE)</f>
        <v>Herefordshire</v>
      </c>
      <c r="AG124" s="15">
        <f t="shared" si="58"/>
        <v>62.711864406779661</v>
      </c>
      <c r="AH124" s="50">
        <f t="shared" si="59"/>
        <v>114</v>
      </c>
      <c r="AI124" s="5" t="str">
        <f>IF(L124="","",VLOOKUP($L124,classifications!$C:$J,8,FALSE))</f>
        <v/>
      </c>
      <c r="AJ124" s="43" t="str">
        <f t="shared" si="60"/>
        <v/>
      </c>
      <c r="AK124" s="40" t="str">
        <f>IF(AJ124="","",IF(I$8="A",(RANK(AJ124,AJ$11:AJ$349,1)+COUNTIF(AJ$11:AJ124,AJ124)-1),(RANK(AJ124,AJ$11:AJ$349)+COUNTIF(AJ$11:AJ124,AJ124)-1)))</f>
        <v/>
      </c>
      <c r="AL124" s="3" t="str">
        <f t="shared" si="61"/>
        <v/>
      </c>
      <c r="AM124" t="str">
        <f t="shared" si="62"/>
        <v/>
      </c>
      <c r="AN124" t="str">
        <f t="shared" si="63"/>
        <v/>
      </c>
      <c r="AP124" s="5" t="str">
        <f>IF(L124="","",VLOOKUP($L124,classifications!$C:$E,3,FALSE))</f>
        <v/>
      </c>
      <c r="AQ124" s="43" t="str">
        <f t="shared" si="64"/>
        <v/>
      </c>
      <c r="AR124" s="40" t="str">
        <f>IF(AQ124="","",IF(I$8="A",(RANK(AQ124,AQ$11:AQ$349,1)+COUNTIF(AQ$11:AQ124,AQ124)-1),(RANK(AQ124,AQ$11:AQ$349)+COUNTIF(AQ$11:AQ124,AQ124)-1)))</f>
        <v/>
      </c>
      <c r="AS124" s="3" t="str">
        <f t="shared" si="65"/>
        <v/>
      </c>
      <c r="AT124" s="40" t="str">
        <f t="shared" si="66"/>
        <v/>
      </c>
      <c r="AU124" s="43" t="str">
        <f t="shared" si="67"/>
        <v/>
      </c>
      <c r="AX124">
        <f>HLOOKUP($AX$9&amp;$AX$10,Data!$A$1:$ZZ$1988,(MATCH($C124,Data!$A$1:$A$1988,0)),FALSE)</f>
        <v>100</v>
      </c>
    </row>
    <row r="125" spans="1:50">
      <c r="A125" s="59" t="str">
        <f>$D$1&amp;115</f>
        <v>UA115</v>
      </c>
      <c r="B125" s="60">
        <f>IF(ISERROR(VLOOKUP(A125,classifications!A:C,3,FALSE)),0,VLOOKUP(A125,classifications!A:C,3,FALSE))</f>
        <v>0</v>
      </c>
      <c r="C125" t="s">
        <v>77</v>
      </c>
      <c r="D125" t="str">
        <f>VLOOKUP($C125,classifications!$C:$J,4,FALSE)</f>
        <v>SD</v>
      </c>
      <c r="E125">
        <f>VLOOKUP(C125,classifications!C:K,9,FALSE)</f>
        <v>0</v>
      </c>
      <c r="F125">
        <f t="shared" si="44"/>
        <v>81.395348837209298</v>
      </c>
      <c r="G125" s="15"/>
      <c r="H125" s="42" t="str">
        <f t="shared" si="45"/>
        <v/>
      </c>
      <c r="I125" s="79" t="str">
        <f>IF(H125="","",IF($I$8="A",(RANK(H125,H$11:H$349,1)+COUNTIF(H$11:H125,H125)-1),(RANK(H125,H$11:H$349)+COUNTIF(H$11:H125,H125)-1)))</f>
        <v/>
      </c>
      <c r="J125" s="41"/>
      <c r="K125" s="36" t="str">
        <f t="shared" si="46"/>
        <v/>
      </c>
      <c r="L125" t="str">
        <f t="shared" si="47"/>
        <v/>
      </c>
      <c r="M125" s="117" t="str">
        <f t="shared" si="48"/>
        <v/>
      </c>
      <c r="N125" s="112" t="str">
        <f t="shared" si="49"/>
        <v/>
      </c>
      <c r="O125" s="96" t="str">
        <f t="shared" si="50"/>
        <v/>
      </c>
      <c r="P125" s="96" t="str">
        <f t="shared" si="51"/>
        <v/>
      </c>
      <c r="Q125" s="96" t="str">
        <f t="shared" si="52"/>
        <v/>
      </c>
      <c r="R125" s="92" t="str">
        <f t="shared" si="53"/>
        <v/>
      </c>
      <c r="S125" s="42" t="str">
        <f t="shared" si="54"/>
        <v/>
      </c>
      <c r="T125" s="176" t="str">
        <f>IF(L125="","",VLOOKUP(L125,classifications!C:K,9,FALSE))</f>
        <v/>
      </c>
      <c r="U125" s="177" t="str">
        <f t="shared" si="55"/>
        <v/>
      </c>
      <c r="V125" s="183" t="str">
        <f>IF(U125="","",IF($I$8="A",(RANK(U125,U$11:U$349)+COUNTIF(U$11:U125,U125)-1),(RANK(U125,U$11:U$349,1)+COUNTIF(U$11:U125,U125)-1)))</f>
        <v/>
      </c>
      <c r="W125" s="184"/>
      <c r="X125" s="5" t="str">
        <f>IF(L125="","",VLOOKUP($L125,classifications!$C:$J,6,FALSE))</f>
        <v/>
      </c>
      <c r="Y125" t="str">
        <f t="shared" si="56"/>
        <v/>
      </c>
      <c r="Z125" s="40" t="str">
        <f>IF(Y125="","",IF(I$8="A",(RANK(Y125,Y$11:Y$349,1)+COUNTIF(Y$11:Y125,Y125)-1),(RANK(Y125,Y$11:Y$349)+COUNTIF(Y$11:Y125,Y125)-1)))</f>
        <v/>
      </c>
      <c r="AA125" s="189" t="str">
        <f>IF(L125="","",VLOOKUP($L125,classifications!C:I,7,FALSE))</f>
        <v/>
      </c>
      <c r="AB125" s="183" t="str">
        <f t="shared" si="57"/>
        <v/>
      </c>
      <c r="AC125" s="183" t="str">
        <f>IF(AB125="","",IF($I$8="A",(RANK(AB125,AB$11:AB$349)+COUNTIF(AB$11:AB125,AB125)-1),(RANK(AB125,AB$11:AB$349,1)+COUNTIF(AB$11:AB125,AB125)-1)))</f>
        <v/>
      </c>
      <c r="AD125" s="183"/>
      <c r="AE125" s="49">
        <f>IF(I$8="A",(RANK(AG125,AG$11:AG$349,1)+COUNTIF(AG$11:AG125,AG125)-1),(RANK(AG125,AG$11:AG$349)+COUNTIF(AG$11:AG125,AG125)-1))</f>
        <v>115</v>
      </c>
      <c r="AF125" t="str">
        <f>VLOOKUP(Profile!$J$5,Families!$C:$R,6,FALSE)</f>
        <v>Herefordshire</v>
      </c>
      <c r="AG125" s="15">
        <f t="shared" si="58"/>
        <v>62.711864406779661</v>
      </c>
      <c r="AH125" s="50">
        <f t="shared" si="59"/>
        <v>115</v>
      </c>
      <c r="AI125" s="5" t="str">
        <f>IF(L125="","",VLOOKUP($L125,classifications!$C:$J,8,FALSE))</f>
        <v/>
      </c>
      <c r="AJ125" s="43" t="str">
        <f t="shared" si="60"/>
        <v/>
      </c>
      <c r="AK125" s="40" t="str">
        <f>IF(AJ125="","",IF(I$8="A",(RANK(AJ125,AJ$11:AJ$349,1)+COUNTIF(AJ$11:AJ125,AJ125)-1),(RANK(AJ125,AJ$11:AJ$349)+COUNTIF(AJ$11:AJ125,AJ125)-1)))</f>
        <v/>
      </c>
      <c r="AL125" s="3" t="str">
        <f t="shared" si="61"/>
        <v/>
      </c>
      <c r="AM125" t="str">
        <f t="shared" si="62"/>
        <v/>
      </c>
      <c r="AN125" t="str">
        <f t="shared" si="63"/>
        <v/>
      </c>
      <c r="AP125" s="5" t="str">
        <f>IF(L125="","",VLOOKUP($L125,classifications!$C:$E,3,FALSE))</f>
        <v/>
      </c>
      <c r="AQ125" s="43" t="str">
        <f t="shared" si="64"/>
        <v/>
      </c>
      <c r="AR125" s="40" t="str">
        <f>IF(AQ125="","",IF(I$8="A",(RANK(AQ125,AQ$11:AQ$349,1)+COUNTIF(AQ$11:AQ125,AQ125)-1),(RANK(AQ125,AQ$11:AQ$349)+COUNTIF(AQ$11:AQ125,AQ125)-1)))</f>
        <v/>
      </c>
      <c r="AS125" s="3" t="str">
        <f t="shared" si="65"/>
        <v/>
      </c>
      <c r="AT125" s="40" t="str">
        <f t="shared" si="66"/>
        <v/>
      </c>
      <c r="AU125" s="43" t="str">
        <f t="shared" si="67"/>
        <v/>
      </c>
      <c r="AX125">
        <f>HLOOKUP($AX$9&amp;$AX$10,Data!$A$1:$ZZ$1988,(MATCH($C125,Data!$A$1:$A$1988,0)),FALSE)</f>
        <v>81.395348837209298</v>
      </c>
    </row>
    <row r="126" spans="1:50">
      <c r="A126" s="59" t="str">
        <f>$D$1&amp;116</f>
        <v>UA116</v>
      </c>
      <c r="B126" s="60">
        <f>IF(ISERROR(VLOOKUP(A126,classifications!A:C,3,FALSE)),0,VLOOKUP(A126,classifications!A:C,3,FALSE))</f>
        <v>0</v>
      </c>
      <c r="C126" t="s">
        <v>205</v>
      </c>
      <c r="D126" t="str">
        <f>VLOOKUP($C126,classifications!$C:$J,4,FALSE)</f>
        <v>L</v>
      </c>
      <c r="E126">
        <f>VLOOKUP(C126,classifications!C:K,9,FALSE)</f>
        <v>0</v>
      </c>
      <c r="F126">
        <f t="shared" si="44"/>
        <v>92.307692307692307</v>
      </c>
      <c r="G126" s="15"/>
      <c r="H126" s="42" t="str">
        <f t="shared" si="45"/>
        <v/>
      </c>
      <c r="I126" s="79" t="str">
        <f>IF(H126="","",IF($I$8="A",(RANK(H126,H$11:H$349,1)+COUNTIF(H$11:H126,H126)-1),(RANK(H126,H$11:H$349)+COUNTIF(H$11:H126,H126)-1)))</f>
        <v/>
      </c>
      <c r="J126" s="41"/>
      <c r="K126" s="36" t="str">
        <f t="shared" si="46"/>
        <v/>
      </c>
      <c r="L126" t="str">
        <f t="shared" si="47"/>
        <v/>
      </c>
      <c r="M126" s="117" t="str">
        <f t="shared" si="48"/>
        <v/>
      </c>
      <c r="N126" s="112" t="str">
        <f t="shared" si="49"/>
        <v/>
      </c>
      <c r="O126" s="96" t="str">
        <f t="shared" si="50"/>
        <v/>
      </c>
      <c r="P126" s="96" t="str">
        <f t="shared" si="51"/>
        <v/>
      </c>
      <c r="Q126" s="96" t="str">
        <f t="shared" si="52"/>
        <v/>
      </c>
      <c r="R126" s="92" t="str">
        <f t="shared" si="53"/>
        <v/>
      </c>
      <c r="S126" s="42" t="str">
        <f t="shared" si="54"/>
        <v/>
      </c>
      <c r="T126" s="176" t="str">
        <f>IF(L126="","",VLOOKUP(L126,classifications!C:K,9,FALSE))</f>
        <v/>
      </c>
      <c r="U126" s="177" t="str">
        <f t="shared" si="55"/>
        <v/>
      </c>
      <c r="V126" s="183" t="str">
        <f>IF(U126="","",IF($I$8="A",(RANK(U126,U$11:U$349)+COUNTIF(U$11:U126,U126)-1),(RANK(U126,U$11:U$349,1)+COUNTIF(U$11:U126,U126)-1)))</f>
        <v/>
      </c>
      <c r="W126" s="184"/>
      <c r="X126" s="5" t="str">
        <f>IF(L126="","",VLOOKUP($L126,classifications!$C:$J,6,FALSE))</f>
        <v/>
      </c>
      <c r="Y126" t="str">
        <f t="shared" si="56"/>
        <v/>
      </c>
      <c r="Z126" s="40" t="str">
        <f>IF(Y126="","",IF(I$8="A",(RANK(Y126,Y$11:Y$349,1)+COUNTIF(Y$11:Y126,Y126)-1),(RANK(Y126,Y$11:Y$349)+COUNTIF(Y$11:Y126,Y126)-1)))</f>
        <v/>
      </c>
      <c r="AA126" s="189" t="str">
        <f>IF(L126="","",VLOOKUP($L126,classifications!C:I,7,FALSE))</f>
        <v/>
      </c>
      <c r="AB126" s="183" t="str">
        <f t="shared" si="57"/>
        <v/>
      </c>
      <c r="AC126" s="183" t="str">
        <f>IF(AB126="","",IF($I$8="A",(RANK(AB126,AB$11:AB$349)+COUNTIF(AB$11:AB126,AB126)-1),(RANK(AB126,AB$11:AB$349,1)+COUNTIF(AB$11:AB126,AB126)-1)))</f>
        <v/>
      </c>
      <c r="AD126" s="183"/>
      <c r="AE126" s="49">
        <f>IF(I$8="A",(RANK(AG126,AG$11:AG$349,1)+COUNTIF(AG$11:AG126,AG126)-1),(RANK(AG126,AG$11:AG$349)+COUNTIF(AG$11:AG126,AG126)-1))</f>
        <v>116</v>
      </c>
      <c r="AF126" t="str">
        <f>VLOOKUP(Profile!$J$5,Families!$C:$R,6,FALSE)</f>
        <v>Herefordshire</v>
      </c>
      <c r="AG126" s="15">
        <f t="shared" si="58"/>
        <v>62.711864406779661</v>
      </c>
      <c r="AH126" s="50">
        <f t="shared" si="59"/>
        <v>116</v>
      </c>
      <c r="AI126" s="5" t="str">
        <f>IF(L126="","",VLOOKUP($L126,classifications!$C:$J,8,FALSE))</f>
        <v/>
      </c>
      <c r="AJ126" s="43" t="str">
        <f t="shared" si="60"/>
        <v/>
      </c>
      <c r="AK126" s="40" t="str">
        <f>IF(AJ126="","",IF(I$8="A",(RANK(AJ126,AJ$11:AJ$349,1)+COUNTIF(AJ$11:AJ126,AJ126)-1),(RANK(AJ126,AJ$11:AJ$349)+COUNTIF(AJ$11:AJ126,AJ126)-1)))</f>
        <v/>
      </c>
      <c r="AL126" s="3" t="str">
        <f t="shared" si="61"/>
        <v/>
      </c>
      <c r="AM126" t="str">
        <f t="shared" si="62"/>
        <v/>
      </c>
      <c r="AN126" t="str">
        <f t="shared" si="63"/>
        <v/>
      </c>
      <c r="AP126" s="5" t="str">
        <f>IF(L126="","",VLOOKUP($L126,classifications!$C:$E,3,FALSE))</f>
        <v/>
      </c>
      <c r="AQ126" s="43" t="str">
        <f t="shared" si="64"/>
        <v/>
      </c>
      <c r="AR126" s="40" t="str">
        <f>IF(AQ126="","",IF(I$8="A",(RANK(AQ126,AQ$11:AQ$349,1)+COUNTIF(AQ$11:AQ126,AQ126)-1),(RANK(AQ126,AQ$11:AQ$349)+COUNTIF(AQ$11:AQ126,AQ126)-1)))</f>
        <v/>
      </c>
      <c r="AS126" s="3" t="str">
        <f t="shared" si="65"/>
        <v/>
      </c>
      <c r="AT126" s="40" t="str">
        <f t="shared" si="66"/>
        <v/>
      </c>
      <c r="AU126" s="43" t="str">
        <f t="shared" si="67"/>
        <v/>
      </c>
      <c r="AX126">
        <f>HLOOKUP($AX$9&amp;$AX$10,Data!$A$1:$ZZ$1988,(MATCH($C126,Data!$A$1:$A$1988,0)),FALSE)</f>
        <v>92.307692307692307</v>
      </c>
    </row>
    <row r="127" spans="1:50">
      <c r="A127" s="59" t="str">
        <f>$D$1&amp;117</f>
        <v>UA117</v>
      </c>
      <c r="B127" s="60">
        <f>IF(ISERROR(VLOOKUP(A127,classifications!A:C,3,FALSE)),0,VLOOKUP(A127,classifications!A:C,3,FALSE))</f>
        <v>0</v>
      </c>
      <c r="C127" t="s">
        <v>268</v>
      </c>
      <c r="D127" t="str">
        <f>VLOOKUP($C127,classifications!$C:$J,4,FALSE)</f>
        <v>UA</v>
      </c>
      <c r="E127">
        <f>VLOOKUP(C127,classifications!C:K,9,FALSE)</f>
        <v>0</v>
      </c>
      <c r="F127">
        <f t="shared" si="44"/>
        <v>69.696969696969703</v>
      </c>
      <c r="G127" s="15"/>
      <c r="H127" s="42">
        <f t="shared" si="45"/>
        <v>69.696969696969703</v>
      </c>
      <c r="I127" s="79">
        <f>IF(H127="","",IF($I$8="A",(RANK(H127,H$11:H$349,1)+COUNTIF(H$11:H127,H127)-1),(RANK(H127,H$11:H$349)+COUNTIF(H$11:H127,H127)-1)))</f>
        <v>53</v>
      </c>
      <c r="J127" s="41"/>
      <c r="K127" s="36" t="str">
        <f t="shared" si="46"/>
        <v/>
      </c>
      <c r="L127" t="str">
        <f t="shared" si="47"/>
        <v/>
      </c>
      <c r="M127" s="117" t="str">
        <f t="shared" si="48"/>
        <v/>
      </c>
      <c r="N127" s="112" t="str">
        <f t="shared" si="49"/>
        <v/>
      </c>
      <c r="O127" s="96" t="str">
        <f t="shared" si="50"/>
        <v/>
      </c>
      <c r="P127" s="96" t="str">
        <f t="shared" si="51"/>
        <v/>
      </c>
      <c r="Q127" s="96" t="str">
        <f t="shared" si="52"/>
        <v/>
      </c>
      <c r="R127" s="92" t="str">
        <f t="shared" si="53"/>
        <v/>
      </c>
      <c r="S127" s="42" t="str">
        <f t="shared" si="54"/>
        <v/>
      </c>
      <c r="T127" s="176" t="str">
        <f>IF(L127="","",VLOOKUP(L127,classifications!C:K,9,FALSE))</f>
        <v/>
      </c>
      <c r="U127" s="177" t="str">
        <f t="shared" si="55"/>
        <v/>
      </c>
      <c r="V127" s="183" t="str">
        <f>IF(U127="","",IF($I$8="A",(RANK(U127,U$11:U$349)+COUNTIF(U$11:U127,U127)-1),(RANK(U127,U$11:U$349,1)+COUNTIF(U$11:U127,U127)-1)))</f>
        <v/>
      </c>
      <c r="W127" s="184"/>
      <c r="X127" s="5" t="str">
        <f>IF(L127="","",VLOOKUP($L127,classifications!$C:$J,6,FALSE))</f>
        <v/>
      </c>
      <c r="Y127" t="str">
        <f t="shared" si="56"/>
        <v/>
      </c>
      <c r="Z127" s="40" t="str">
        <f>IF(Y127="","",IF(I$8="A",(RANK(Y127,Y$11:Y$349,1)+COUNTIF(Y$11:Y127,Y127)-1),(RANK(Y127,Y$11:Y$349)+COUNTIF(Y$11:Y127,Y127)-1)))</f>
        <v/>
      </c>
      <c r="AA127" s="189" t="str">
        <f>IF(L127="","",VLOOKUP($L127,classifications!C:I,7,FALSE))</f>
        <v/>
      </c>
      <c r="AB127" s="183" t="str">
        <f t="shared" si="57"/>
        <v/>
      </c>
      <c r="AC127" s="183" t="str">
        <f>IF(AB127="","",IF($I$8="A",(RANK(AB127,AB$11:AB$349)+COUNTIF(AB$11:AB127,AB127)-1),(RANK(AB127,AB$11:AB$349,1)+COUNTIF(AB$11:AB127,AB127)-1)))</f>
        <v/>
      </c>
      <c r="AD127" s="183"/>
      <c r="AE127" s="49">
        <f>IF(I$8="A",(RANK(AG127,AG$11:AG$349,1)+COUNTIF(AG$11:AG127,AG127)-1),(RANK(AG127,AG$11:AG$349)+COUNTIF(AG$11:AG127,AG127)-1))</f>
        <v>117</v>
      </c>
      <c r="AF127" t="str">
        <f>VLOOKUP(Profile!$J$5,Families!$C:$R,6,FALSE)</f>
        <v>Herefordshire</v>
      </c>
      <c r="AG127" s="15">
        <f t="shared" si="58"/>
        <v>62.711864406779661</v>
      </c>
      <c r="AH127" s="50">
        <f t="shared" si="59"/>
        <v>117</v>
      </c>
      <c r="AI127" s="5" t="str">
        <f>IF(L127="","",VLOOKUP($L127,classifications!$C:$J,8,FALSE))</f>
        <v/>
      </c>
      <c r="AJ127" s="43" t="str">
        <f t="shared" si="60"/>
        <v/>
      </c>
      <c r="AK127" s="40" t="str">
        <f>IF(AJ127="","",IF(I$8="A",(RANK(AJ127,AJ$11:AJ$349,1)+COUNTIF(AJ$11:AJ127,AJ127)-1),(RANK(AJ127,AJ$11:AJ$349)+COUNTIF(AJ$11:AJ127,AJ127)-1)))</f>
        <v/>
      </c>
      <c r="AL127" s="3" t="str">
        <f t="shared" si="61"/>
        <v/>
      </c>
      <c r="AM127" t="str">
        <f t="shared" si="62"/>
        <v/>
      </c>
      <c r="AN127" t="str">
        <f t="shared" si="63"/>
        <v/>
      </c>
      <c r="AP127" s="5" t="str">
        <f>IF(L127="","",VLOOKUP($L127,classifications!$C:$E,3,FALSE))</f>
        <v/>
      </c>
      <c r="AQ127" s="43" t="str">
        <f t="shared" si="64"/>
        <v/>
      </c>
      <c r="AR127" s="40" t="str">
        <f>IF(AQ127="","",IF(I$8="A",(RANK(AQ127,AQ$11:AQ$349,1)+COUNTIF(AQ$11:AQ127,AQ127)-1),(RANK(AQ127,AQ$11:AQ$349)+COUNTIF(AQ$11:AQ127,AQ127)-1)))</f>
        <v/>
      </c>
      <c r="AS127" s="3" t="str">
        <f t="shared" si="65"/>
        <v/>
      </c>
      <c r="AT127" s="40" t="str">
        <f t="shared" si="66"/>
        <v/>
      </c>
      <c r="AU127" s="43" t="str">
        <f t="shared" si="67"/>
        <v/>
      </c>
      <c r="AX127">
        <f>HLOOKUP($AX$9&amp;$AX$10,Data!$A$1:$ZZ$1988,(MATCH($C127,Data!$A$1:$A$1988,0)),FALSE)</f>
        <v>69.696969696969703</v>
      </c>
    </row>
    <row r="128" spans="1:50">
      <c r="A128" s="59" t="str">
        <f>$D$1&amp;118</f>
        <v>UA118</v>
      </c>
      <c r="B128" s="60">
        <f>IF(ISERROR(VLOOKUP(A128,classifications!A:C,3,FALSE)),0,VLOOKUP(A128,classifications!A:C,3,FALSE))</f>
        <v>0</v>
      </c>
      <c r="C128" t="s">
        <v>78</v>
      </c>
      <c r="D128" t="str">
        <f>VLOOKUP($C128,classifications!$C:$J,4,FALSE)</f>
        <v>SD</v>
      </c>
      <c r="E128" t="str">
        <f>VLOOKUP(C128,classifications!C:K,9,FALSE)</f>
        <v>Sparse</v>
      </c>
      <c r="F128">
        <f t="shared" si="44"/>
        <v>86.111111111111114</v>
      </c>
      <c r="G128" s="15"/>
      <c r="H128" s="42" t="str">
        <f t="shared" si="45"/>
        <v/>
      </c>
      <c r="I128" s="79" t="str">
        <f>IF(H128="","",IF($I$8="A",(RANK(H128,H$11:H$349,1)+COUNTIF(H$11:H128,H128)-1),(RANK(H128,H$11:H$349)+COUNTIF(H$11:H128,H128)-1)))</f>
        <v/>
      </c>
      <c r="J128" s="41"/>
      <c r="K128" s="36" t="str">
        <f t="shared" si="46"/>
        <v/>
      </c>
      <c r="L128" t="str">
        <f t="shared" si="47"/>
        <v/>
      </c>
      <c r="M128" s="117" t="str">
        <f t="shared" si="48"/>
        <v/>
      </c>
      <c r="N128" s="112" t="str">
        <f t="shared" si="49"/>
        <v/>
      </c>
      <c r="O128" s="96" t="str">
        <f t="shared" si="50"/>
        <v/>
      </c>
      <c r="P128" s="96" t="str">
        <f t="shared" si="51"/>
        <v/>
      </c>
      <c r="Q128" s="96" t="str">
        <f t="shared" si="52"/>
        <v/>
      </c>
      <c r="R128" s="92" t="str">
        <f t="shared" si="53"/>
        <v/>
      </c>
      <c r="S128" s="42" t="str">
        <f t="shared" si="54"/>
        <v/>
      </c>
      <c r="T128" s="176" t="str">
        <f>IF(L128="","",VLOOKUP(L128,classifications!C:K,9,FALSE))</f>
        <v/>
      </c>
      <c r="U128" s="177" t="str">
        <f t="shared" si="55"/>
        <v/>
      </c>
      <c r="V128" s="183" t="str">
        <f>IF(U128="","",IF($I$8="A",(RANK(U128,U$11:U$349)+COUNTIF(U$11:U128,U128)-1),(RANK(U128,U$11:U$349,1)+COUNTIF(U$11:U128,U128)-1)))</f>
        <v/>
      </c>
      <c r="W128" s="184"/>
      <c r="X128" s="5" t="str">
        <f>IF(L128="","",VLOOKUP($L128,classifications!$C:$J,6,FALSE))</f>
        <v/>
      </c>
      <c r="Y128" t="str">
        <f t="shared" si="56"/>
        <v/>
      </c>
      <c r="Z128" s="40" t="str">
        <f>IF(Y128="","",IF(I$8="A",(RANK(Y128,Y$11:Y$349,1)+COUNTIF(Y$11:Y128,Y128)-1),(RANK(Y128,Y$11:Y$349)+COUNTIF(Y$11:Y128,Y128)-1)))</f>
        <v/>
      </c>
      <c r="AA128" s="189" t="str">
        <f>IF(L128="","",VLOOKUP($L128,classifications!C:I,7,FALSE))</f>
        <v/>
      </c>
      <c r="AB128" s="183" t="str">
        <f t="shared" si="57"/>
        <v/>
      </c>
      <c r="AC128" s="183" t="str">
        <f>IF(AB128="","",IF($I$8="A",(RANK(AB128,AB$11:AB$349)+COUNTIF(AB$11:AB128,AB128)-1),(RANK(AB128,AB$11:AB$349,1)+COUNTIF(AB$11:AB128,AB128)-1)))</f>
        <v/>
      </c>
      <c r="AD128" s="183"/>
      <c r="AE128" s="49">
        <f>IF(I$8="A",(RANK(AG128,AG$11:AG$349,1)+COUNTIF(AG$11:AG128,AG128)-1),(RANK(AG128,AG$11:AG$349)+COUNTIF(AG$11:AG128,AG128)-1))</f>
        <v>118</v>
      </c>
      <c r="AF128" t="str">
        <f>VLOOKUP(Profile!$J$5,Families!$C:$R,6,FALSE)</f>
        <v>Herefordshire</v>
      </c>
      <c r="AG128" s="15">
        <f t="shared" si="58"/>
        <v>62.711864406779661</v>
      </c>
      <c r="AH128" s="50">
        <f t="shared" si="59"/>
        <v>118</v>
      </c>
      <c r="AI128" s="5" t="str">
        <f>IF(L128="","",VLOOKUP($L128,classifications!$C:$J,8,FALSE))</f>
        <v/>
      </c>
      <c r="AJ128" s="43" t="str">
        <f t="shared" si="60"/>
        <v/>
      </c>
      <c r="AK128" s="40" t="str">
        <f>IF(AJ128="","",IF(I$8="A",(RANK(AJ128,AJ$11:AJ$349,1)+COUNTIF(AJ$11:AJ128,AJ128)-1),(RANK(AJ128,AJ$11:AJ$349)+COUNTIF(AJ$11:AJ128,AJ128)-1)))</f>
        <v/>
      </c>
      <c r="AL128" s="3" t="str">
        <f t="shared" si="61"/>
        <v/>
      </c>
      <c r="AM128" t="str">
        <f t="shared" si="62"/>
        <v/>
      </c>
      <c r="AN128" t="str">
        <f t="shared" si="63"/>
        <v/>
      </c>
      <c r="AP128" s="5" t="str">
        <f>IF(L128="","",VLOOKUP($L128,classifications!$C:$E,3,FALSE))</f>
        <v/>
      </c>
      <c r="AQ128" s="43" t="str">
        <f t="shared" si="64"/>
        <v/>
      </c>
      <c r="AR128" s="40" t="str">
        <f>IF(AQ128="","",IF(I$8="A",(RANK(AQ128,AQ$11:AQ$349,1)+COUNTIF(AQ$11:AQ128,AQ128)-1),(RANK(AQ128,AQ$11:AQ$349)+COUNTIF(AQ$11:AQ128,AQ128)-1)))</f>
        <v/>
      </c>
      <c r="AS128" s="3" t="str">
        <f t="shared" si="65"/>
        <v/>
      </c>
      <c r="AT128" s="40" t="str">
        <f t="shared" si="66"/>
        <v/>
      </c>
      <c r="AU128" s="43" t="str">
        <f t="shared" si="67"/>
        <v/>
      </c>
      <c r="AX128">
        <f>HLOOKUP($AX$9&amp;$AX$10,Data!$A$1:$ZZ$1988,(MATCH($C128,Data!$A$1:$A$1988,0)),FALSE)</f>
        <v>86.111111111111114</v>
      </c>
    </row>
    <row r="129" spans="1:50">
      <c r="A129" s="59" t="str">
        <f>$D$1&amp;119</f>
        <v>UA119</v>
      </c>
      <c r="B129" s="60">
        <f>IF(ISERROR(VLOOKUP(A129,classifications!A:C,3,FALSE)),0,VLOOKUP(A129,classifications!A:C,3,FALSE))</f>
        <v>0</v>
      </c>
      <c r="C129" t="s">
        <v>336</v>
      </c>
      <c r="D129" t="str">
        <f>VLOOKUP($C129,classifications!$C:$J,4,FALSE)</f>
        <v>L</v>
      </c>
      <c r="E129">
        <f>VLOOKUP(C129,classifications!C:K,9,FALSE)</f>
        <v>0</v>
      </c>
      <c r="F129">
        <f t="shared" si="44"/>
        <v>100</v>
      </c>
      <c r="G129" s="15"/>
      <c r="H129" s="42" t="str">
        <f t="shared" si="45"/>
        <v/>
      </c>
      <c r="I129" s="79" t="str">
        <f>IF(H129="","",IF($I$8="A",(RANK(H129,H$11:H$349,1)+COUNTIF(H$11:H129,H129)-1),(RANK(H129,H$11:H$349)+COUNTIF(H$11:H129,H129)-1)))</f>
        <v/>
      </c>
      <c r="J129" s="41"/>
      <c r="K129" s="36" t="str">
        <f t="shared" si="46"/>
        <v/>
      </c>
      <c r="L129" t="str">
        <f t="shared" si="47"/>
        <v/>
      </c>
      <c r="M129" s="117" t="str">
        <f t="shared" si="48"/>
        <v/>
      </c>
      <c r="N129" s="112" t="str">
        <f t="shared" si="49"/>
        <v/>
      </c>
      <c r="O129" s="96" t="str">
        <f t="shared" si="50"/>
        <v/>
      </c>
      <c r="P129" s="96" t="str">
        <f t="shared" si="51"/>
        <v/>
      </c>
      <c r="Q129" s="96" t="str">
        <f t="shared" si="52"/>
        <v/>
      </c>
      <c r="R129" s="92" t="str">
        <f t="shared" si="53"/>
        <v/>
      </c>
      <c r="S129" s="42" t="str">
        <f t="shared" si="54"/>
        <v/>
      </c>
      <c r="T129" s="176" t="str">
        <f>IF(L129="","",VLOOKUP(L129,classifications!C:K,9,FALSE))</f>
        <v/>
      </c>
      <c r="U129" s="177" t="str">
        <f t="shared" si="55"/>
        <v/>
      </c>
      <c r="V129" s="183" t="str">
        <f>IF(U129="","",IF($I$8="A",(RANK(U129,U$11:U$349)+COUNTIF(U$11:U129,U129)-1),(RANK(U129,U$11:U$349,1)+COUNTIF(U$11:U129,U129)-1)))</f>
        <v/>
      </c>
      <c r="W129" s="184"/>
      <c r="X129" s="5" t="str">
        <f>IF(L129="","",VLOOKUP($L129,classifications!$C:$J,6,FALSE))</f>
        <v/>
      </c>
      <c r="Y129" t="str">
        <f t="shared" si="56"/>
        <v/>
      </c>
      <c r="Z129" s="40" t="str">
        <f>IF(Y129="","",IF(I$8="A",(RANK(Y129,Y$11:Y$349,1)+COUNTIF(Y$11:Y129,Y129)-1),(RANK(Y129,Y$11:Y$349)+COUNTIF(Y$11:Y129,Y129)-1)))</f>
        <v/>
      </c>
      <c r="AA129" s="189" t="str">
        <f>IF(L129="","",VLOOKUP($L129,classifications!C:I,7,FALSE))</f>
        <v/>
      </c>
      <c r="AB129" s="183" t="str">
        <f t="shared" si="57"/>
        <v/>
      </c>
      <c r="AC129" s="183" t="str">
        <f>IF(AB129="","",IF($I$8="A",(RANK(AB129,AB$11:AB$349)+COUNTIF(AB$11:AB129,AB129)-1),(RANK(AB129,AB$11:AB$349,1)+COUNTIF(AB$11:AB129,AB129)-1)))</f>
        <v/>
      </c>
      <c r="AD129" s="183"/>
      <c r="AE129" s="49">
        <f>IF(I$8="A",(RANK(AG129,AG$11:AG$349,1)+COUNTIF(AG$11:AG129,AG129)-1),(RANK(AG129,AG$11:AG$349)+COUNTIF(AG$11:AG129,AG129)-1))</f>
        <v>119</v>
      </c>
      <c r="AF129" t="str">
        <f>VLOOKUP(Profile!$J$5,Families!$C:$R,6,FALSE)</f>
        <v>Herefordshire</v>
      </c>
      <c r="AG129" s="15">
        <f t="shared" si="58"/>
        <v>62.711864406779661</v>
      </c>
      <c r="AH129" s="50">
        <f t="shared" si="59"/>
        <v>119</v>
      </c>
      <c r="AI129" s="5" t="str">
        <f>IF(L129="","",VLOOKUP($L129,classifications!$C:$J,8,FALSE))</f>
        <v/>
      </c>
      <c r="AJ129" s="43" t="str">
        <f t="shared" si="60"/>
        <v/>
      </c>
      <c r="AK129" s="40" t="str">
        <f>IF(AJ129="","",IF(I$8="A",(RANK(AJ129,AJ$11:AJ$349,1)+COUNTIF(AJ$11:AJ129,AJ129)-1),(RANK(AJ129,AJ$11:AJ$349)+COUNTIF(AJ$11:AJ129,AJ129)-1)))</f>
        <v/>
      </c>
      <c r="AL129" s="3" t="str">
        <f t="shared" si="61"/>
        <v/>
      </c>
      <c r="AM129" t="str">
        <f t="shared" si="62"/>
        <v/>
      </c>
      <c r="AN129" t="str">
        <f t="shared" si="63"/>
        <v/>
      </c>
      <c r="AP129" s="5" t="str">
        <f>IF(L129="","",VLOOKUP($L129,classifications!$C:$E,3,FALSE))</f>
        <v/>
      </c>
      <c r="AQ129" s="43" t="str">
        <f t="shared" si="64"/>
        <v/>
      </c>
      <c r="AR129" s="40" t="str">
        <f>IF(AQ129="","",IF(I$8="A",(RANK(AQ129,AQ$11:AQ$349,1)+COUNTIF(AQ$11:AQ129,AQ129)-1),(RANK(AQ129,AQ$11:AQ$349)+COUNTIF(AQ$11:AQ129,AQ129)-1)))</f>
        <v/>
      </c>
      <c r="AS129" s="3" t="str">
        <f t="shared" si="65"/>
        <v/>
      </c>
      <c r="AT129" s="40" t="str">
        <f t="shared" si="66"/>
        <v/>
      </c>
      <c r="AU129" s="43" t="str">
        <f t="shared" si="67"/>
        <v/>
      </c>
      <c r="AX129">
        <f>HLOOKUP($AX$9&amp;$AX$10,Data!$A$1:$ZZ$1988,(MATCH($C129,Data!$A$1:$A$1988,0)),FALSE)</f>
        <v>100</v>
      </c>
    </row>
    <row r="130" spans="1:50">
      <c r="A130" s="59" t="str">
        <f>$D$1&amp;120</f>
        <v>UA120</v>
      </c>
      <c r="B130" s="60">
        <f>IF(ISERROR(VLOOKUP(A130,classifications!A:C,3,FALSE)),0,VLOOKUP(A130,classifications!A:C,3,FALSE))</f>
        <v>0</v>
      </c>
      <c r="C130" t="s">
        <v>313</v>
      </c>
      <c r="D130" t="str">
        <f>VLOOKUP($C130,classifications!$C:$J,4,FALSE)</f>
        <v>SC</v>
      </c>
      <c r="E130" t="str">
        <f>VLOOKUP(C130,classifications!C:K,9,FALSE)</f>
        <v>Sparse</v>
      </c>
      <c r="F130" t="e">
        <f t="shared" si="44"/>
        <v>#N/A</v>
      </c>
      <c r="G130" s="15"/>
      <c r="H130" s="42" t="str">
        <f t="shared" si="45"/>
        <v/>
      </c>
      <c r="I130" s="79" t="str">
        <f>IF(H130="","",IF($I$8="A",(RANK(H130,H$11:H$349,1)+COUNTIF(H$11:H130,H130)-1),(RANK(H130,H$11:H$349)+COUNTIF(H$11:H130,H130)-1)))</f>
        <v/>
      </c>
      <c r="J130" s="41"/>
      <c r="K130" s="36" t="str">
        <f t="shared" si="46"/>
        <v/>
      </c>
      <c r="L130" t="str">
        <f t="shared" si="47"/>
        <v/>
      </c>
      <c r="M130" s="117" t="str">
        <f t="shared" si="48"/>
        <v/>
      </c>
      <c r="N130" s="112" t="str">
        <f t="shared" si="49"/>
        <v/>
      </c>
      <c r="O130" s="96" t="str">
        <f t="shared" si="50"/>
        <v/>
      </c>
      <c r="P130" s="96" t="str">
        <f t="shared" si="51"/>
        <v/>
      </c>
      <c r="Q130" s="96" t="str">
        <f t="shared" si="52"/>
        <v/>
      </c>
      <c r="R130" s="92" t="str">
        <f t="shared" si="53"/>
        <v/>
      </c>
      <c r="S130" s="42" t="str">
        <f t="shared" si="54"/>
        <v/>
      </c>
      <c r="T130" s="176" t="str">
        <f>IF(L130="","",VLOOKUP(L130,classifications!C:K,9,FALSE))</f>
        <v/>
      </c>
      <c r="U130" s="177" t="str">
        <f t="shared" si="55"/>
        <v/>
      </c>
      <c r="V130" s="183" t="str">
        <f>IF(U130="","",IF($I$8="A",(RANK(U130,U$11:U$349)+COUNTIF(U$11:U130,U130)-1),(RANK(U130,U$11:U$349,1)+COUNTIF(U$11:U130,U130)-1)))</f>
        <v/>
      </c>
      <c r="W130" s="184"/>
      <c r="X130" s="5" t="str">
        <f>IF(L130="","",VLOOKUP($L130,classifications!$C:$J,6,FALSE))</f>
        <v/>
      </c>
      <c r="Y130" t="str">
        <f t="shared" si="56"/>
        <v/>
      </c>
      <c r="Z130" s="40" t="str">
        <f>IF(Y130="","",IF(I$8="A",(RANK(Y130,Y$11:Y$349,1)+COUNTIF(Y$11:Y130,Y130)-1),(RANK(Y130,Y$11:Y$349)+COUNTIF(Y$11:Y130,Y130)-1)))</f>
        <v/>
      </c>
      <c r="AA130" s="189" t="str">
        <f>IF(L130="","",VLOOKUP($L130,classifications!C:I,7,FALSE))</f>
        <v/>
      </c>
      <c r="AB130" s="183" t="str">
        <f t="shared" si="57"/>
        <v/>
      </c>
      <c r="AC130" s="183" t="str">
        <f>IF(AB130="","",IF($I$8="A",(RANK(AB130,AB$11:AB$349)+COUNTIF(AB$11:AB130,AB130)-1),(RANK(AB130,AB$11:AB$349,1)+COUNTIF(AB$11:AB130,AB130)-1)))</f>
        <v/>
      </c>
      <c r="AD130" s="183"/>
      <c r="AE130" s="49">
        <f>IF(I$8="A",(RANK(AG130,AG$11:AG$349,1)+COUNTIF(AG$11:AG130,AG130)-1),(RANK(AG130,AG$11:AG$349)+COUNTIF(AG$11:AG130,AG130)-1))</f>
        <v>120</v>
      </c>
      <c r="AF130" t="str">
        <f>VLOOKUP(Profile!$J$5,Families!$C:$R,6,FALSE)</f>
        <v>Herefordshire</v>
      </c>
      <c r="AG130" s="15">
        <f t="shared" si="58"/>
        <v>62.711864406779661</v>
      </c>
      <c r="AH130" s="50">
        <f t="shared" si="59"/>
        <v>120</v>
      </c>
      <c r="AI130" s="5" t="str">
        <f>IF(L130="","",VLOOKUP($L130,classifications!$C:$J,8,FALSE))</f>
        <v/>
      </c>
      <c r="AJ130" s="43" t="str">
        <f t="shared" si="60"/>
        <v/>
      </c>
      <c r="AK130" s="40" t="str">
        <f>IF(AJ130="","",IF(I$8="A",(RANK(AJ130,AJ$11:AJ$349,1)+COUNTIF(AJ$11:AJ130,AJ130)-1),(RANK(AJ130,AJ$11:AJ$349)+COUNTIF(AJ$11:AJ130,AJ130)-1)))</f>
        <v/>
      </c>
      <c r="AL130" s="3" t="str">
        <f t="shared" si="61"/>
        <v/>
      </c>
      <c r="AM130" t="str">
        <f t="shared" si="62"/>
        <v/>
      </c>
      <c r="AN130" t="str">
        <f t="shared" si="63"/>
        <v/>
      </c>
      <c r="AP130" s="5" t="str">
        <f>IF(L130="","",VLOOKUP($L130,classifications!$C:$E,3,FALSE))</f>
        <v/>
      </c>
      <c r="AQ130" s="43" t="str">
        <f t="shared" si="64"/>
        <v/>
      </c>
      <c r="AR130" s="40" t="str">
        <f>IF(AQ130="","",IF(I$8="A",(RANK(AQ130,AQ$11:AQ$349,1)+COUNTIF(AQ$11:AQ130,AQ130)-1),(RANK(AQ130,AQ$11:AQ$349)+COUNTIF(AQ$11:AQ130,AQ130)-1)))</f>
        <v/>
      </c>
      <c r="AS130" s="3" t="str">
        <f t="shared" si="65"/>
        <v/>
      </c>
      <c r="AT130" s="40" t="str">
        <f t="shared" si="66"/>
        <v/>
      </c>
      <c r="AU130" s="43" t="str">
        <f t="shared" si="67"/>
        <v/>
      </c>
      <c r="AX130" t="e">
        <f>HLOOKUP($AX$9&amp;$AX$10,Data!$A$1:$ZZ$1988,(MATCH($C130,Data!$A$1:$A$1988,0)),FALSE)</f>
        <v>#N/A</v>
      </c>
    </row>
    <row r="131" spans="1:50">
      <c r="A131" s="59" t="str">
        <f>$D$1&amp;121</f>
        <v>UA121</v>
      </c>
      <c r="B131" s="60">
        <f>IF(ISERROR(VLOOKUP(A131,classifications!A:C,3,FALSE)),0,VLOOKUP(A131,classifications!A:C,3,FALSE))</f>
        <v>0</v>
      </c>
      <c r="C131" t="s">
        <v>79</v>
      </c>
      <c r="D131" t="str">
        <f>VLOOKUP($C131,classifications!$C:$J,4,FALSE)</f>
        <v>SD</v>
      </c>
      <c r="E131" t="str">
        <f>VLOOKUP(C131,classifications!C:K,9,FALSE)</f>
        <v>Sparse</v>
      </c>
      <c r="F131">
        <f t="shared" si="44"/>
        <v>63.414634146341463</v>
      </c>
      <c r="G131" s="15"/>
      <c r="H131" s="42" t="str">
        <f t="shared" si="45"/>
        <v/>
      </c>
      <c r="I131" s="79" t="str">
        <f>IF(H131="","",IF($I$8="A",(RANK(H131,H$11:H$349,1)+COUNTIF(H$11:H131,H131)-1),(RANK(H131,H$11:H$349)+COUNTIF(H$11:H131,H131)-1)))</f>
        <v/>
      </c>
      <c r="J131" s="41"/>
      <c r="K131" s="36" t="str">
        <f t="shared" si="46"/>
        <v/>
      </c>
      <c r="L131" t="str">
        <f t="shared" si="47"/>
        <v/>
      </c>
      <c r="M131" s="117" t="str">
        <f t="shared" si="48"/>
        <v/>
      </c>
      <c r="N131" s="112" t="str">
        <f t="shared" si="49"/>
        <v/>
      </c>
      <c r="O131" s="96" t="str">
        <f t="shared" si="50"/>
        <v/>
      </c>
      <c r="P131" s="96" t="str">
        <f t="shared" si="51"/>
        <v/>
      </c>
      <c r="Q131" s="96" t="str">
        <f t="shared" si="52"/>
        <v/>
      </c>
      <c r="R131" s="92" t="str">
        <f t="shared" si="53"/>
        <v/>
      </c>
      <c r="S131" s="42" t="str">
        <f t="shared" si="54"/>
        <v/>
      </c>
      <c r="T131" s="176" t="str">
        <f>IF(L131="","",VLOOKUP(L131,classifications!C:K,9,FALSE))</f>
        <v/>
      </c>
      <c r="U131" s="177" t="str">
        <f t="shared" si="55"/>
        <v/>
      </c>
      <c r="V131" s="183" t="str">
        <f>IF(U131="","",IF($I$8="A",(RANK(U131,U$11:U$349)+COUNTIF(U$11:U131,U131)-1),(RANK(U131,U$11:U$349,1)+COUNTIF(U$11:U131,U131)-1)))</f>
        <v/>
      </c>
      <c r="W131" s="184"/>
      <c r="X131" s="5" t="str">
        <f>IF(L131="","",VLOOKUP($L131,classifications!$C:$J,6,FALSE))</f>
        <v/>
      </c>
      <c r="Y131" t="str">
        <f t="shared" si="56"/>
        <v/>
      </c>
      <c r="Z131" s="40" t="str">
        <f>IF(Y131="","",IF(I$8="A",(RANK(Y131,Y$11:Y$349,1)+COUNTIF(Y$11:Y131,Y131)-1),(RANK(Y131,Y$11:Y$349)+COUNTIF(Y$11:Y131,Y131)-1)))</f>
        <v/>
      </c>
      <c r="AA131" s="189" t="str">
        <f>IF(L131="","",VLOOKUP($L131,classifications!C:I,7,FALSE))</f>
        <v/>
      </c>
      <c r="AB131" s="183" t="str">
        <f t="shared" si="57"/>
        <v/>
      </c>
      <c r="AC131" s="183" t="str">
        <f>IF(AB131="","",IF($I$8="A",(RANK(AB131,AB$11:AB$349)+COUNTIF(AB$11:AB131,AB131)-1),(RANK(AB131,AB$11:AB$349,1)+COUNTIF(AB$11:AB131,AB131)-1)))</f>
        <v/>
      </c>
      <c r="AD131" s="183"/>
      <c r="AE131" s="49">
        <f>IF(I$8="A",(RANK(AG131,AG$11:AG$349,1)+COUNTIF(AG$11:AG131,AG131)-1),(RANK(AG131,AG$11:AG$349)+COUNTIF(AG$11:AG131,AG131)-1))</f>
        <v>121</v>
      </c>
      <c r="AF131" t="str">
        <f>VLOOKUP(Profile!$J$5,Families!$C:$R,6,FALSE)</f>
        <v>Herefordshire</v>
      </c>
      <c r="AG131" s="15">
        <f t="shared" si="58"/>
        <v>62.711864406779661</v>
      </c>
      <c r="AH131" s="50">
        <f t="shared" si="59"/>
        <v>121</v>
      </c>
      <c r="AI131" s="5" t="str">
        <f>IF(L131="","",VLOOKUP($L131,classifications!$C:$J,8,FALSE))</f>
        <v/>
      </c>
      <c r="AJ131" s="43" t="str">
        <f t="shared" si="60"/>
        <v/>
      </c>
      <c r="AK131" s="40" t="str">
        <f>IF(AJ131="","",IF(I$8="A",(RANK(AJ131,AJ$11:AJ$349,1)+COUNTIF(AJ$11:AJ131,AJ131)-1),(RANK(AJ131,AJ$11:AJ$349)+COUNTIF(AJ$11:AJ131,AJ131)-1)))</f>
        <v/>
      </c>
      <c r="AL131" s="3" t="str">
        <f t="shared" si="61"/>
        <v/>
      </c>
      <c r="AM131" t="str">
        <f t="shared" si="62"/>
        <v/>
      </c>
      <c r="AN131" t="str">
        <f t="shared" si="63"/>
        <v/>
      </c>
      <c r="AP131" s="5" t="str">
        <f>IF(L131="","",VLOOKUP($L131,classifications!$C:$E,3,FALSE))</f>
        <v/>
      </c>
      <c r="AQ131" s="43" t="str">
        <f t="shared" si="64"/>
        <v/>
      </c>
      <c r="AR131" s="40" t="str">
        <f>IF(AQ131="","",IF(I$8="A",(RANK(AQ131,AQ$11:AQ$349,1)+COUNTIF(AQ$11:AQ131,AQ131)-1),(RANK(AQ131,AQ$11:AQ$349)+COUNTIF(AQ$11:AQ131,AQ131)-1)))</f>
        <v/>
      </c>
      <c r="AS131" s="3" t="str">
        <f t="shared" si="65"/>
        <v/>
      </c>
      <c r="AT131" s="40" t="str">
        <f t="shared" si="66"/>
        <v/>
      </c>
      <c r="AU131" s="43" t="str">
        <f t="shared" si="67"/>
        <v/>
      </c>
      <c r="AX131">
        <f>HLOOKUP($AX$9&amp;$AX$10,Data!$A$1:$ZZ$1988,(MATCH($C131,Data!$A$1:$A$1988,0)),FALSE)</f>
        <v>63.414634146341463</v>
      </c>
    </row>
    <row r="132" spans="1:50">
      <c r="A132" s="59" t="str">
        <f>$D$1&amp;122</f>
        <v>UA122</v>
      </c>
      <c r="B132" s="60">
        <f>IF(ISERROR(VLOOKUP(A132,classifications!A:C,3,FALSE)),0,VLOOKUP(A132,classifications!A:C,3,FALSE))</f>
        <v>0</v>
      </c>
      <c r="C132" t="s">
        <v>206</v>
      </c>
      <c r="D132" t="str">
        <f>VLOOKUP($C132,classifications!$C:$J,4,FALSE)</f>
        <v>L</v>
      </c>
      <c r="E132">
        <f>VLOOKUP(C132,classifications!C:K,9,FALSE)</f>
        <v>0</v>
      </c>
      <c r="F132">
        <f t="shared" si="44"/>
        <v>100</v>
      </c>
      <c r="G132" s="15"/>
      <c r="H132" s="42" t="str">
        <f t="shared" si="45"/>
        <v/>
      </c>
      <c r="I132" s="79" t="str">
        <f>IF(H132="","",IF($I$8="A",(RANK(H132,H$11:H$349,1)+COUNTIF(H$11:H132,H132)-1),(RANK(H132,H$11:H$349)+COUNTIF(H$11:H132,H132)-1)))</f>
        <v/>
      </c>
      <c r="J132" s="41"/>
      <c r="K132" s="36" t="str">
        <f t="shared" si="46"/>
        <v/>
      </c>
      <c r="L132" t="str">
        <f t="shared" si="47"/>
        <v/>
      </c>
      <c r="M132" s="117" t="str">
        <f t="shared" si="48"/>
        <v/>
      </c>
      <c r="N132" s="112" t="str">
        <f t="shared" si="49"/>
        <v/>
      </c>
      <c r="O132" s="96" t="str">
        <f t="shared" si="50"/>
        <v/>
      </c>
      <c r="P132" s="96" t="str">
        <f t="shared" si="51"/>
        <v/>
      </c>
      <c r="Q132" s="96" t="str">
        <f t="shared" si="52"/>
        <v/>
      </c>
      <c r="R132" s="92" t="str">
        <f t="shared" si="53"/>
        <v/>
      </c>
      <c r="S132" s="42" t="str">
        <f t="shared" si="54"/>
        <v/>
      </c>
      <c r="T132" s="176" t="str">
        <f>IF(L132="","",VLOOKUP(L132,classifications!C:K,9,FALSE))</f>
        <v/>
      </c>
      <c r="U132" s="177" t="str">
        <f t="shared" si="55"/>
        <v/>
      </c>
      <c r="V132" s="183" t="str">
        <f>IF(U132="","",IF($I$8="A",(RANK(U132,U$11:U$349)+COUNTIF(U$11:U132,U132)-1),(RANK(U132,U$11:U$349,1)+COUNTIF(U$11:U132,U132)-1)))</f>
        <v/>
      </c>
      <c r="W132" s="184"/>
      <c r="X132" s="5" t="str">
        <f>IF(L132="","",VLOOKUP($L132,classifications!$C:$J,6,FALSE))</f>
        <v/>
      </c>
      <c r="Y132" t="str">
        <f t="shared" si="56"/>
        <v/>
      </c>
      <c r="Z132" s="40" t="str">
        <f>IF(Y132="","",IF(I$8="A",(RANK(Y132,Y$11:Y$349,1)+COUNTIF(Y$11:Y132,Y132)-1),(RANK(Y132,Y$11:Y$349)+COUNTIF(Y$11:Y132,Y132)-1)))</f>
        <v/>
      </c>
      <c r="AA132" s="189" t="str">
        <f>IF(L132="","",VLOOKUP($L132,classifications!C:I,7,FALSE))</f>
        <v/>
      </c>
      <c r="AB132" s="183" t="str">
        <f t="shared" si="57"/>
        <v/>
      </c>
      <c r="AC132" s="183" t="str">
        <f>IF(AB132="","",IF($I$8="A",(RANK(AB132,AB$11:AB$349)+COUNTIF(AB$11:AB132,AB132)-1),(RANK(AB132,AB$11:AB$349,1)+COUNTIF(AB$11:AB132,AB132)-1)))</f>
        <v/>
      </c>
      <c r="AD132" s="183"/>
      <c r="AE132" s="49">
        <f>IF(I$8="A",(RANK(AG132,AG$11:AG$349,1)+COUNTIF(AG$11:AG132,AG132)-1),(RANK(AG132,AG$11:AG$349)+COUNTIF(AG$11:AG132,AG132)-1))</f>
        <v>122</v>
      </c>
      <c r="AF132" t="str">
        <f>VLOOKUP(Profile!$J$5,Families!$C:$R,6,FALSE)</f>
        <v>Herefordshire</v>
      </c>
      <c r="AG132" s="15">
        <f t="shared" si="58"/>
        <v>62.711864406779661</v>
      </c>
      <c r="AH132" s="50">
        <f t="shared" si="59"/>
        <v>122</v>
      </c>
      <c r="AI132" s="5" t="str">
        <f>IF(L132="","",VLOOKUP($L132,classifications!$C:$J,8,FALSE))</f>
        <v/>
      </c>
      <c r="AJ132" s="43" t="str">
        <f t="shared" si="60"/>
        <v/>
      </c>
      <c r="AK132" s="40" t="str">
        <f>IF(AJ132="","",IF(I$8="A",(RANK(AJ132,AJ$11:AJ$349,1)+COUNTIF(AJ$11:AJ132,AJ132)-1),(RANK(AJ132,AJ$11:AJ$349)+COUNTIF(AJ$11:AJ132,AJ132)-1)))</f>
        <v/>
      </c>
      <c r="AL132" s="3" t="str">
        <f t="shared" si="61"/>
        <v/>
      </c>
      <c r="AM132" t="str">
        <f t="shared" si="62"/>
        <v/>
      </c>
      <c r="AN132" t="str">
        <f t="shared" si="63"/>
        <v/>
      </c>
      <c r="AP132" s="5" t="str">
        <f>IF(L132="","",VLOOKUP($L132,classifications!$C:$E,3,FALSE))</f>
        <v/>
      </c>
      <c r="AQ132" s="43" t="str">
        <f t="shared" si="64"/>
        <v/>
      </c>
      <c r="AR132" s="40" t="str">
        <f>IF(AQ132="","",IF(I$8="A",(RANK(AQ132,AQ$11:AQ$349,1)+COUNTIF(AQ$11:AQ132,AQ132)-1),(RANK(AQ132,AQ$11:AQ$349)+COUNTIF(AQ$11:AQ132,AQ132)-1)))</f>
        <v/>
      </c>
      <c r="AS132" s="3" t="str">
        <f t="shared" si="65"/>
        <v/>
      </c>
      <c r="AT132" s="40" t="str">
        <f t="shared" si="66"/>
        <v/>
      </c>
      <c r="AU132" s="43" t="str">
        <f t="shared" si="67"/>
        <v/>
      </c>
      <c r="AX132">
        <f>HLOOKUP($AX$9&amp;$AX$10,Data!$A$1:$ZZ$1988,(MATCH($C132,Data!$A$1:$A$1988,0)),FALSE)</f>
        <v>100</v>
      </c>
    </row>
    <row r="133" spans="1:50">
      <c r="A133" s="59" t="str">
        <f>$D$1&amp;123</f>
        <v>UA123</v>
      </c>
      <c r="B133" s="60">
        <f>IF(ISERROR(VLOOKUP(A133,classifications!A:C,3,FALSE)),0,VLOOKUP(A133,classifications!A:C,3,FALSE))</f>
        <v>0</v>
      </c>
      <c r="C133" t="s">
        <v>80</v>
      </c>
      <c r="D133" t="str">
        <f>VLOOKUP($C133,classifications!$C:$J,4,FALSE)</f>
        <v>SD</v>
      </c>
      <c r="E133">
        <f>VLOOKUP(C133,classifications!C:K,9,FALSE)</f>
        <v>0</v>
      </c>
      <c r="F133">
        <f t="shared" si="44"/>
        <v>92.307692307692307</v>
      </c>
      <c r="G133" s="15"/>
      <c r="H133" s="42" t="str">
        <f t="shared" si="45"/>
        <v/>
      </c>
      <c r="I133" s="79" t="str">
        <f>IF(H133="","",IF($I$8="A",(RANK(H133,H$11:H$349,1)+COUNTIF(H$11:H133,H133)-1),(RANK(H133,H$11:H$349)+COUNTIF(H$11:H133,H133)-1)))</f>
        <v/>
      </c>
      <c r="J133" s="41"/>
      <c r="K133" s="36" t="str">
        <f t="shared" si="46"/>
        <v/>
      </c>
      <c r="L133" t="str">
        <f t="shared" si="47"/>
        <v/>
      </c>
      <c r="M133" s="117" t="str">
        <f t="shared" si="48"/>
        <v/>
      </c>
      <c r="N133" s="112" t="str">
        <f t="shared" si="49"/>
        <v/>
      </c>
      <c r="O133" s="96" t="str">
        <f t="shared" si="50"/>
        <v/>
      </c>
      <c r="P133" s="96" t="str">
        <f t="shared" si="51"/>
        <v/>
      </c>
      <c r="Q133" s="96" t="str">
        <f t="shared" si="52"/>
        <v/>
      </c>
      <c r="R133" s="92" t="str">
        <f t="shared" si="53"/>
        <v/>
      </c>
      <c r="S133" s="42" t="str">
        <f t="shared" si="54"/>
        <v/>
      </c>
      <c r="T133" s="176" t="str">
        <f>IF(L133="","",VLOOKUP(L133,classifications!C:K,9,FALSE))</f>
        <v/>
      </c>
      <c r="U133" s="177" t="str">
        <f t="shared" si="55"/>
        <v/>
      </c>
      <c r="V133" s="183" t="str">
        <f>IF(U133="","",IF($I$8="A",(RANK(U133,U$11:U$349)+COUNTIF(U$11:U133,U133)-1),(RANK(U133,U$11:U$349,1)+COUNTIF(U$11:U133,U133)-1)))</f>
        <v/>
      </c>
      <c r="W133" s="184"/>
      <c r="X133" s="5" t="str">
        <f>IF(L133="","",VLOOKUP($L133,classifications!$C:$J,6,FALSE))</f>
        <v/>
      </c>
      <c r="Y133" t="str">
        <f t="shared" si="56"/>
        <v/>
      </c>
      <c r="Z133" s="40" t="str">
        <f>IF(Y133="","",IF(I$8="A",(RANK(Y133,Y$11:Y$349,1)+COUNTIF(Y$11:Y133,Y133)-1),(RANK(Y133,Y$11:Y$349)+COUNTIF(Y$11:Y133,Y133)-1)))</f>
        <v/>
      </c>
      <c r="AA133" s="189" t="str">
        <f>IF(L133="","",VLOOKUP($L133,classifications!C:I,7,FALSE))</f>
        <v/>
      </c>
      <c r="AB133" s="183" t="str">
        <f t="shared" si="57"/>
        <v/>
      </c>
      <c r="AC133" s="183" t="str">
        <f>IF(AB133="","",IF($I$8="A",(RANK(AB133,AB$11:AB$349)+COUNTIF(AB$11:AB133,AB133)-1),(RANK(AB133,AB$11:AB$349,1)+COUNTIF(AB$11:AB133,AB133)-1)))</f>
        <v/>
      </c>
      <c r="AD133" s="183"/>
      <c r="AE133" s="49">
        <f>IF(I$8="A",(RANK(AG133,AG$11:AG$349,1)+COUNTIF(AG$11:AG133,AG133)-1),(RANK(AG133,AG$11:AG$349)+COUNTIF(AG$11:AG133,AG133)-1))</f>
        <v>123</v>
      </c>
      <c r="AF133" t="str">
        <f>VLOOKUP(Profile!$J$5,Families!$C:$R,6,FALSE)</f>
        <v>Herefordshire</v>
      </c>
      <c r="AG133" s="15">
        <f t="shared" si="58"/>
        <v>62.711864406779661</v>
      </c>
      <c r="AH133" s="50">
        <f t="shared" si="59"/>
        <v>123</v>
      </c>
      <c r="AI133" s="5" t="str">
        <f>IF(L133="","",VLOOKUP($L133,classifications!$C:$J,8,FALSE))</f>
        <v/>
      </c>
      <c r="AJ133" s="43" t="str">
        <f t="shared" si="60"/>
        <v/>
      </c>
      <c r="AK133" s="40" t="str">
        <f>IF(AJ133="","",IF(I$8="A",(RANK(AJ133,AJ$11:AJ$349,1)+COUNTIF(AJ$11:AJ133,AJ133)-1),(RANK(AJ133,AJ$11:AJ$349)+COUNTIF(AJ$11:AJ133,AJ133)-1)))</f>
        <v/>
      </c>
      <c r="AL133" s="3" t="str">
        <f t="shared" si="61"/>
        <v/>
      </c>
      <c r="AM133" t="str">
        <f t="shared" si="62"/>
        <v/>
      </c>
      <c r="AN133" t="str">
        <f t="shared" si="63"/>
        <v/>
      </c>
      <c r="AP133" s="5" t="str">
        <f>IF(L133="","",VLOOKUP($L133,classifications!$C:$E,3,FALSE))</f>
        <v/>
      </c>
      <c r="AQ133" s="43" t="str">
        <f t="shared" si="64"/>
        <v/>
      </c>
      <c r="AR133" s="40" t="str">
        <f>IF(AQ133="","",IF(I$8="A",(RANK(AQ133,AQ$11:AQ$349,1)+COUNTIF(AQ$11:AQ133,AQ133)-1),(RANK(AQ133,AQ$11:AQ$349)+COUNTIF(AQ$11:AQ133,AQ133)-1)))</f>
        <v/>
      </c>
      <c r="AS133" s="3" t="str">
        <f t="shared" si="65"/>
        <v/>
      </c>
      <c r="AT133" s="40" t="str">
        <f t="shared" si="66"/>
        <v/>
      </c>
      <c r="AU133" s="43" t="str">
        <f t="shared" si="67"/>
        <v/>
      </c>
      <c r="AX133">
        <f>HLOOKUP($AX$9&amp;$AX$10,Data!$A$1:$ZZ$1988,(MATCH($C133,Data!$A$1:$A$1988,0)),FALSE)</f>
        <v>92.307692307692307</v>
      </c>
    </row>
    <row r="134" spans="1:50">
      <c r="A134" s="59" t="str">
        <f>$D$1&amp;124</f>
        <v>UA124</v>
      </c>
      <c r="B134" s="60">
        <f>IF(ISERROR(VLOOKUP(A134,classifications!A:C,3,FALSE)),0,VLOOKUP(A134,classifications!A:C,3,FALSE))</f>
        <v>0</v>
      </c>
      <c r="C134" t="s">
        <v>81</v>
      </c>
      <c r="D134" t="str">
        <f>VLOOKUP($C134,classifications!$C:$J,4,FALSE)</f>
        <v>SD</v>
      </c>
      <c r="E134" t="str">
        <f>VLOOKUP(C134,classifications!C:K,9,FALSE)</f>
        <v>Sparse</v>
      </c>
      <c r="F134">
        <f t="shared" si="44"/>
        <v>79.411764705882348</v>
      </c>
      <c r="G134" s="15"/>
      <c r="H134" s="42" t="str">
        <f t="shared" si="45"/>
        <v/>
      </c>
      <c r="I134" s="79" t="str">
        <f>IF(H134="","",IF($I$8="A",(RANK(H134,H$11:H$349,1)+COUNTIF(H$11:H134,H134)-1),(RANK(H134,H$11:H$349)+COUNTIF(H$11:H134,H134)-1)))</f>
        <v/>
      </c>
      <c r="J134" s="41"/>
      <c r="K134" s="36" t="str">
        <f t="shared" si="46"/>
        <v/>
      </c>
      <c r="L134" t="str">
        <f t="shared" si="47"/>
        <v/>
      </c>
      <c r="M134" s="117" t="str">
        <f t="shared" si="48"/>
        <v/>
      </c>
      <c r="N134" s="112" t="str">
        <f t="shared" si="49"/>
        <v/>
      </c>
      <c r="O134" s="96" t="str">
        <f t="shared" si="50"/>
        <v/>
      </c>
      <c r="P134" s="96" t="str">
        <f t="shared" si="51"/>
        <v/>
      </c>
      <c r="Q134" s="96" t="str">
        <f t="shared" si="52"/>
        <v/>
      </c>
      <c r="R134" s="92" t="str">
        <f t="shared" si="53"/>
        <v/>
      </c>
      <c r="S134" s="42" t="str">
        <f t="shared" si="54"/>
        <v/>
      </c>
      <c r="T134" s="176" t="str">
        <f>IF(L134="","",VLOOKUP(L134,classifications!C:K,9,FALSE))</f>
        <v/>
      </c>
      <c r="U134" s="177" t="str">
        <f t="shared" si="55"/>
        <v/>
      </c>
      <c r="V134" s="183" t="str">
        <f>IF(U134="","",IF($I$8="A",(RANK(U134,U$11:U$349)+COUNTIF(U$11:U134,U134)-1),(RANK(U134,U$11:U$349,1)+COUNTIF(U$11:U134,U134)-1)))</f>
        <v/>
      </c>
      <c r="W134" s="184"/>
      <c r="X134" s="5" t="str">
        <f>IF(L134="","",VLOOKUP($L134,classifications!$C:$J,6,FALSE))</f>
        <v/>
      </c>
      <c r="Y134" t="str">
        <f t="shared" si="56"/>
        <v/>
      </c>
      <c r="Z134" s="40" t="str">
        <f>IF(Y134="","",IF(I$8="A",(RANK(Y134,Y$11:Y$349,1)+COUNTIF(Y$11:Y134,Y134)-1),(RANK(Y134,Y$11:Y$349)+COUNTIF(Y$11:Y134,Y134)-1)))</f>
        <v/>
      </c>
      <c r="AA134" s="189" t="str">
        <f>IF(L134="","",VLOOKUP($L134,classifications!C:I,7,FALSE))</f>
        <v/>
      </c>
      <c r="AB134" s="183" t="str">
        <f t="shared" si="57"/>
        <v/>
      </c>
      <c r="AC134" s="183" t="str">
        <f>IF(AB134="","",IF($I$8="A",(RANK(AB134,AB$11:AB$349)+COUNTIF(AB$11:AB134,AB134)-1),(RANK(AB134,AB$11:AB$349,1)+COUNTIF(AB$11:AB134,AB134)-1)))</f>
        <v/>
      </c>
      <c r="AD134" s="183"/>
      <c r="AE134" s="49">
        <f>IF(I$8="A",(RANK(AG134,AG$11:AG$349,1)+COUNTIF(AG$11:AG134,AG134)-1),(RANK(AG134,AG$11:AG$349)+COUNTIF(AG$11:AG134,AG134)-1))</f>
        <v>124</v>
      </c>
      <c r="AF134" t="str">
        <f>VLOOKUP(Profile!$J$5,Families!$C:$R,6,FALSE)</f>
        <v>Herefordshire</v>
      </c>
      <c r="AG134" s="15">
        <f t="shared" si="58"/>
        <v>62.711864406779661</v>
      </c>
      <c r="AH134" s="50">
        <f t="shared" si="59"/>
        <v>124</v>
      </c>
      <c r="AI134" s="5" t="str">
        <f>IF(L134="","",VLOOKUP($L134,classifications!$C:$J,8,FALSE))</f>
        <v/>
      </c>
      <c r="AJ134" s="43" t="str">
        <f t="shared" si="60"/>
        <v/>
      </c>
      <c r="AK134" s="40" t="str">
        <f>IF(AJ134="","",IF(I$8="A",(RANK(AJ134,AJ$11:AJ$349,1)+COUNTIF(AJ$11:AJ134,AJ134)-1),(RANK(AJ134,AJ$11:AJ$349)+COUNTIF(AJ$11:AJ134,AJ134)-1)))</f>
        <v/>
      </c>
      <c r="AL134" s="3" t="str">
        <f t="shared" si="61"/>
        <v/>
      </c>
      <c r="AM134" t="str">
        <f t="shared" si="62"/>
        <v/>
      </c>
      <c r="AN134" t="str">
        <f t="shared" si="63"/>
        <v/>
      </c>
      <c r="AP134" s="5" t="str">
        <f>IF(L134="","",VLOOKUP($L134,classifications!$C:$E,3,FALSE))</f>
        <v/>
      </c>
      <c r="AQ134" s="43" t="str">
        <f t="shared" si="64"/>
        <v/>
      </c>
      <c r="AR134" s="40" t="str">
        <f>IF(AQ134="","",IF(I$8="A",(RANK(AQ134,AQ$11:AQ$349,1)+COUNTIF(AQ$11:AQ134,AQ134)-1),(RANK(AQ134,AQ$11:AQ$349)+COUNTIF(AQ$11:AQ134,AQ134)-1)))</f>
        <v/>
      </c>
      <c r="AS134" s="3" t="str">
        <f t="shared" si="65"/>
        <v/>
      </c>
      <c r="AT134" s="40" t="str">
        <f t="shared" si="66"/>
        <v/>
      </c>
      <c r="AU134" s="43" t="str">
        <f t="shared" si="67"/>
        <v/>
      </c>
      <c r="AX134">
        <f>HLOOKUP($AX$9&amp;$AX$10,Data!$A$1:$ZZ$1988,(MATCH($C134,Data!$A$1:$A$1988,0)),FALSE)</f>
        <v>79.411764705882348</v>
      </c>
    </row>
    <row r="135" spans="1:50">
      <c r="A135" s="59" t="str">
        <f>$D$1&amp;125</f>
        <v>UA125</v>
      </c>
      <c r="B135" s="60">
        <f>IF(ISERROR(VLOOKUP(A135,classifications!A:C,3,FALSE)),0,VLOOKUP(A135,classifications!A:C,3,FALSE))</f>
        <v>0</v>
      </c>
      <c r="C135" t="s">
        <v>207</v>
      </c>
      <c r="D135" t="str">
        <f>VLOOKUP($C135,classifications!$C:$J,4,FALSE)</f>
        <v>L</v>
      </c>
      <c r="E135">
        <f>VLOOKUP(C135,classifications!C:K,9,FALSE)</f>
        <v>0</v>
      </c>
      <c r="F135">
        <f t="shared" si="44"/>
        <v>76.470588235294116</v>
      </c>
      <c r="G135" s="15"/>
      <c r="H135" s="42" t="str">
        <f t="shared" si="45"/>
        <v/>
      </c>
      <c r="I135" s="79" t="str">
        <f>IF(H135="","",IF($I$8="A",(RANK(H135,H$11:H$349,1)+COUNTIF(H$11:H135,H135)-1),(RANK(H135,H$11:H$349)+COUNTIF(H$11:H135,H135)-1)))</f>
        <v/>
      </c>
      <c r="J135" s="41"/>
      <c r="K135" s="36" t="str">
        <f t="shared" si="46"/>
        <v/>
      </c>
      <c r="L135" t="str">
        <f t="shared" si="47"/>
        <v/>
      </c>
      <c r="M135" s="117" t="str">
        <f t="shared" si="48"/>
        <v/>
      </c>
      <c r="N135" s="112" t="str">
        <f t="shared" si="49"/>
        <v/>
      </c>
      <c r="O135" s="96" t="str">
        <f t="shared" si="50"/>
        <v/>
      </c>
      <c r="P135" s="96" t="str">
        <f t="shared" si="51"/>
        <v/>
      </c>
      <c r="Q135" s="96" t="str">
        <f t="shared" si="52"/>
        <v/>
      </c>
      <c r="R135" s="92" t="str">
        <f t="shared" si="53"/>
        <v/>
      </c>
      <c r="S135" s="42" t="str">
        <f t="shared" si="54"/>
        <v/>
      </c>
      <c r="T135" s="176" t="str">
        <f>IF(L135="","",VLOOKUP(L135,classifications!C:K,9,FALSE))</f>
        <v/>
      </c>
      <c r="U135" s="177" t="str">
        <f t="shared" si="55"/>
        <v/>
      </c>
      <c r="V135" s="183" t="str">
        <f>IF(U135="","",IF($I$8="A",(RANK(U135,U$11:U$349)+COUNTIF(U$11:U135,U135)-1),(RANK(U135,U$11:U$349,1)+COUNTIF(U$11:U135,U135)-1)))</f>
        <v/>
      </c>
      <c r="W135" s="184"/>
      <c r="X135" s="5" t="str">
        <f>IF(L135="","",VLOOKUP($L135,classifications!$C:$J,6,FALSE))</f>
        <v/>
      </c>
      <c r="Y135" t="str">
        <f t="shared" si="56"/>
        <v/>
      </c>
      <c r="Z135" s="40" t="str">
        <f>IF(Y135="","",IF(I$8="A",(RANK(Y135,Y$11:Y$349,1)+COUNTIF(Y$11:Y135,Y135)-1),(RANK(Y135,Y$11:Y$349)+COUNTIF(Y$11:Y135,Y135)-1)))</f>
        <v/>
      </c>
      <c r="AA135" s="189" t="str">
        <f>IF(L135="","",VLOOKUP($L135,classifications!C:I,7,FALSE))</f>
        <v/>
      </c>
      <c r="AB135" s="183" t="str">
        <f t="shared" si="57"/>
        <v/>
      </c>
      <c r="AC135" s="183" t="str">
        <f>IF(AB135="","",IF($I$8="A",(RANK(AB135,AB$11:AB$349)+COUNTIF(AB$11:AB135,AB135)-1),(RANK(AB135,AB$11:AB$349,1)+COUNTIF(AB$11:AB135,AB135)-1)))</f>
        <v/>
      </c>
      <c r="AD135" s="183"/>
      <c r="AE135" s="49">
        <f>IF(I$8="A",(RANK(AG135,AG$11:AG$349,1)+COUNTIF(AG$11:AG135,AG135)-1),(RANK(AG135,AG$11:AG$349)+COUNTIF(AG$11:AG135,AG135)-1))</f>
        <v>125</v>
      </c>
      <c r="AF135" t="str">
        <f>VLOOKUP(Profile!$J$5,Families!$C:$R,6,FALSE)</f>
        <v>Herefordshire</v>
      </c>
      <c r="AG135" s="15">
        <f t="shared" si="58"/>
        <v>62.711864406779661</v>
      </c>
      <c r="AH135" s="50">
        <f t="shared" si="59"/>
        <v>125</v>
      </c>
      <c r="AI135" s="5" t="str">
        <f>IF(L135="","",VLOOKUP($L135,classifications!$C:$J,8,FALSE))</f>
        <v/>
      </c>
      <c r="AJ135" s="43" t="str">
        <f t="shared" si="60"/>
        <v/>
      </c>
      <c r="AK135" s="40" t="str">
        <f>IF(AJ135="","",IF(I$8="A",(RANK(AJ135,AJ$11:AJ$349,1)+COUNTIF(AJ$11:AJ135,AJ135)-1),(RANK(AJ135,AJ$11:AJ$349)+COUNTIF(AJ$11:AJ135,AJ135)-1)))</f>
        <v/>
      </c>
      <c r="AL135" s="3" t="str">
        <f t="shared" si="61"/>
        <v/>
      </c>
      <c r="AM135" t="str">
        <f t="shared" si="62"/>
        <v/>
      </c>
      <c r="AN135" t="str">
        <f t="shared" si="63"/>
        <v/>
      </c>
      <c r="AP135" s="5" t="str">
        <f>IF(L135="","",VLOOKUP($L135,classifications!$C:$E,3,FALSE))</f>
        <v/>
      </c>
      <c r="AQ135" s="43" t="str">
        <f t="shared" si="64"/>
        <v/>
      </c>
      <c r="AR135" s="40" t="str">
        <f>IF(AQ135="","",IF(I$8="A",(RANK(AQ135,AQ$11:AQ$349,1)+COUNTIF(AQ$11:AQ135,AQ135)-1),(RANK(AQ135,AQ$11:AQ$349)+COUNTIF(AQ$11:AQ135,AQ135)-1)))</f>
        <v/>
      </c>
      <c r="AS135" s="3" t="str">
        <f t="shared" si="65"/>
        <v/>
      </c>
      <c r="AT135" s="40" t="str">
        <f t="shared" si="66"/>
        <v/>
      </c>
      <c r="AU135" s="43" t="str">
        <f t="shared" si="67"/>
        <v/>
      </c>
      <c r="AX135">
        <f>HLOOKUP($AX$9&amp;$AX$10,Data!$A$1:$ZZ$1988,(MATCH($C135,Data!$A$1:$A$1988,0)),FALSE)</f>
        <v>76.470588235294116</v>
      </c>
    </row>
    <row r="136" spans="1:50">
      <c r="A136" s="59" t="str">
        <f>$D$1&amp;126</f>
        <v>UA126</v>
      </c>
      <c r="B136" s="60">
        <f>IF(ISERROR(VLOOKUP(A136,classifications!A:C,3,FALSE)),0,VLOOKUP(A136,classifications!A:C,3,FALSE))</f>
        <v>0</v>
      </c>
      <c r="C136" t="s">
        <v>82</v>
      </c>
      <c r="D136" t="str">
        <f>VLOOKUP($C136,classifications!$C:$J,4,FALSE)</f>
        <v>SD</v>
      </c>
      <c r="E136">
        <f>VLOOKUP(C136,classifications!C:K,9,FALSE)</f>
        <v>0</v>
      </c>
      <c r="F136">
        <f t="shared" si="44"/>
        <v>77.272727272727266</v>
      </c>
      <c r="G136" s="15"/>
      <c r="H136" s="42" t="str">
        <f t="shared" si="45"/>
        <v/>
      </c>
      <c r="I136" s="79" t="str">
        <f>IF(H136="","",IF($I$8="A",(RANK(H136,H$11:H$349,1)+COUNTIF(H$11:H136,H136)-1),(RANK(H136,H$11:H$349)+COUNTIF(H$11:H136,H136)-1)))</f>
        <v/>
      </c>
      <c r="J136" s="41"/>
      <c r="K136" s="36" t="str">
        <f t="shared" si="46"/>
        <v/>
      </c>
      <c r="L136" t="str">
        <f t="shared" si="47"/>
        <v/>
      </c>
      <c r="M136" s="117" t="str">
        <f t="shared" si="48"/>
        <v/>
      </c>
      <c r="N136" s="112" t="str">
        <f t="shared" si="49"/>
        <v/>
      </c>
      <c r="O136" s="96" t="str">
        <f t="shared" si="50"/>
        <v/>
      </c>
      <c r="P136" s="96" t="str">
        <f t="shared" si="51"/>
        <v/>
      </c>
      <c r="Q136" s="96" t="str">
        <f t="shared" si="52"/>
        <v/>
      </c>
      <c r="R136" s="92" t="str">
        <f t="shared" si="53"/>
        <v/>
      </c>
      <c r="S136" s="42" t="str">
        <f t="shared" si="54"/>
        <v/>
      </c>
      <c r="T136" s="176" t="str">
        <f>IF(L136="","",VLOOKUP(L136,classifications!C:K,9,FALSE))</f>
        <v/>
      </c>
      <c r="U136" s="177" t="str">
        <f t="shared" si="55"/>
        <v/>
      </c>
      <c r="V136" s="183" t="str">
        <f>IF(U136="","",IF($I$8="A",(RANK(U136,U$11:U$349)+COUNTIF(U$11:U136,U136)-1),(RANK(U136,U$11:U$349,1)+COUNTIF(U$11:U136,U136)-1)))</f>
        <v/>
      </c>
      <c r="W136" s="184"/>
      <c r="X136" s="5" t="str">
        <f>IF(L136="","",VLOOKUP($L136,classifications!$C:$J,6,FALSE))</f>
        <v/>
      </c>
      <c r="Y136" t="str">
        <f t="shared" si="56"/>
        <v/>
      </c>
      <c r="Z136" s="40" t="str">
        <f>IF(Y136="","",IF(I$8="A",(RANK(Y136,Y$11:Y$349,1)+COUNTIF(Y$11:Y136,Y136)-1),(RANK(Y136,Y$11:Y$349)+COUNTIF(Y$11:Y136,Y136)-1)))</f>
        <v/>
      </c>
      <c r="AA136" s="189" t="str">
        <f>IF(L136="","",VLOOKUP($L136,classifications!C:I,7,FALSE))</f>
        <v/>
      </c>
      <c r="AB136" s="183" t="str">
        <f t="shared" si="57"/>
        <v/>
      </c>
      <c r="AC136" s="183" t="str">
        <f>IF(AB136="","",IF($I$8="A",(RANK(AB136,AB$11:AB$349)+COUNTIF(AB$11:AB136,AB136)-1),(RANK(AB136,AB$11:AB$349,1)+COUNTIF(AB$11:AB136,AB136)-1)))</f>
        <v/>
      </c>
      <c r="AD136" s="183"/>
      <c r="AE136" s="49">
        <f>IF(I$8="A",(RANK(AG136,AG$11:AG$349,1)+COUNTIF(AG$11:AG136,AG136)-1),(RANK(AG136,AG$11:AG$349)+COUNTIF(AG$11:AG136,AG136)-1))</f>
        <v>126</v>
      </c>
      <c r="AF136" t="str">
        <f>VLOOKUP(Profile!$J$5,Families!$C:$R,6,FALSE)</f>
        <v>Herefordshire</v>
      </c>
      <c r="AG136" s="15">
        <f t="shared" si="58"/>
        <v>62.711864406779661</v>
      </c>
      <c r="AH136" s="50">
        <f t="shared" si="59"/>
        <v>126</v>
      </c>
      <c r="AI136" s="5" t="str">
        <f>IF(L136="","",VLOOKUP($L136,classifications!$C:$J,8,FALSE))</f>
        <v/>
      </c>
      <c r="AJ136" s="43" t="str">
        <f t="shared" si="60"/>
        <v/>
      </c>
      <c r="AK136" s="40" t="str">
        <f>IF(AJ136="","",IF(I$8="A",(RANK(AJ136,AJ$11:AJ$349,1)+COUNTIF(AJ$11:AJ136,AJ136)-1),(RANK(AJ136,AJ$11:AJ$349)+COUNTIF(AJ$11:AJ136,AJ136)-1)))</f>
        <v/>
      </c>
      <c r="AL136" s="3" t="str">
        <f t="shared" si="61"/>
        <v/>
      </c>
      <c r="AM136" t="str">
        <f t="shared" si="62"/>
        <v/>
      </c>
      <c r="AN136" t="str">
        <f t="shared" si="63"/>
        <v/>
      </c>
      <c r="AP136" s="5" t="str">
        <f>IF(L136="","",VLOOKUP($L136,classifications!$C:$E,3,FALSE))</f>
        <v/>
      </c>
      <c r="AQ136" s="43" t="str">
        <f t="shared" si="64"/>
        <v/>
      </c>
      <c r="AR136" s="40" t="str">
        <f>IF(AQ136="","",IF(I$8="A",(RANK(AQ136,AQ$11:AQ$349,1)+COUNTIF(AQ$11:AQ136,AQ136)-1),(RANK(AQ136,AQ$11:AQ$349)+COUNTIF(AQ$11:AQ136,AQ136)-1)))</f>
        <v/>
      </c>
      <c r="AS136" s="3" t="str">
        <f t="shared" si="65"/>
        <v/>
      </c>
      <c r="AT136" s="40" t="str">
        <f t="shared" si="66"/>
        <v/>
      </c>
      <c r="AU136" s="43" t="str">
        <f t="shared" si="67"/>
        <v/>
      </c>
      <c r="AX136">
        <f>HLOOKUP($AX$9&amp;$AX$10,Data!$A$1:$ZZ$1988,(MATCH($C136,Data!$A$1:$A$1988,0)),FALSE)</f>
        <v>77.272727272727266</v>
      </c>
    </row>
    <row r="137" spans="1:50">
      <c r="A137" s="59" t="str">
        <f>$D$1&amp;127</f>
        <v>UA127</v>
      </c>
      <c r="B137" s="60">
        <f>IF(ISERROR(VLOOKUP(A137,classifications!A:C,3,FALSE)),0,VLOOKUP(A137,classifications!A:C,3,FALSE))</f>
        <v>0</v>
      </c>
      <c r="C137" t="s">
        <v>269</v>
      </c>
      <c r="D137" t="str">
        <f>VLOOKUP($C137,classifications!$C:$J,4,FALSE)</f>
        <v>UA</v>
      </c>
      <c r="E137">
        <f>VLOOKUP(C137,classifications!C:K,9,FALSE)</f>
        <v>0</v>
      </c>
      <c r="F137">
        <f t="shared" si="44"/>
        <v>100</v>
      </c>
      <c r="G137" s="15"/>
      <c r="H137" s="42">
        <f t="shared" si="45"/>
        <v>100</v>
      </c>
      <c r="I137" s="79">
        <f>IF(H137="","",IF($I$8="A",(RANK(H137,H$11:H$349,1)+COUNTIF(H$11:H137,H137)-1),(RANK(H137,H$11:H$349)+COUNTIF(H$11:H137,H137)-1)))</f>
        <v>4</v>
      </c>
      <c r="J137" s="41"/>
      <c r="K137" s="36" t="str">
        <f t="shared" si="46"/>
        <v/>
      </c>
      <c r="L137" t="str">
        <f t="shared" si="47"/>
        <v/>
      </c>
      <c r="M137" s="117" t="str">
        <f t="shared" si="48"/>
        <v/>
      </c>
      <c r="N137" s="112" t="str">
        <f t="shared" si="49"/>
        <v/>
      </c>
      <c r="O137" s="96" t="str">
        <f t="shared" si="50"/>
        <v/>
      </c>
      <c r="P137" s="96" t="str">
        <f t="shared" si="51"/>
        <v/>
      </c>
      <c r="Q137" s="96" t="str">
        <f t="shared" si="52"/>
        <v/>
      </c>
      <c r="R137" s="92" t="str">
        <f t="shared" si="53"/>
        <v/>
      </c>
      <c r="S137" s="42" t="str">
        <f t="shared" si="54"/>
        <v/>
      </c>
      <c r="T137" s="176" t="str">
        <f>IF(L137="","",VLOOKUP(L137,classifications!C:K,9,FALSE))</f>
        <v/>
      </c>
      <c r="U137" s="177" t="str">
        <f t="shared" si="55"/>
        <v/>
      </c>
      <c r="V137" s="183" t="str">
        <f>IF(U137="","",IF($I$8="A",(RANK(U137,U$11:U$349)+COUNTIF(U$11:U137,U137)-1),(RANK(U137,U$11:U$349,1)+COUNTIF(U$11:U137,U137)-1)))</f>
        <v/>
      </c>
      <c r="W137" s="184"/>
      <c r="X137" s="5" t="str">
        <f>IF(L137="","",VLOOKUP($L137,classifications!$C:$J,6,FALSE))</f>
        <v/>
      </c>
      <c r="Y137" t="str">
        <f t="shared" si="56"/>
        <v/>
      </c>
      <c r="Z137" s="40" t="str">
        <f>IF(Y137="","",IF(I$8="A",(RANK(Y137,Y$11:Y$349,1)+COUNTIF(Y$11:Y137,Y137)-1),(RANK(Y137,Y$11:Y$349)+COUNTIF(Y$11:Y137,Y137)-1)))</f>
        <v/>
      </c>
      <c r="AA137" s="189" t="str">
        <f>IF(L137="","",VLOOKUP($L137,classifications!C:I,7,FALSE))</f>
        <v/>
      </c>
      <c r="AB137" s="183" t="str">
        <f t="shared" si="57"/>
        <v/>
      </c>
      <c r="AC137" s="183" t="str">
        <f>IF(AB137="","",IF($I$8="A",(RANK(AB137,AB$11:AB$349)+COUNTIF(AB$11:AB137,AB137)-1),(RANK(AB137,AB$11:AB$349,1)+COUNTIF(AB$11:AB137,AB137)-1)))</f>
        <v/>
      </c>
      <c r="AD137" s="183"/>
      <c r="AE137" s="49">
        <f>IF(I$8="A",(RANK(AG137,AG$11:AG$349,1)+COUNTIF(AG$11:AG137,AG137)-1),(RANK(AG137,AG$11:AG$349)+COUNTIF(AG$11:AG137,AG137)-1))</f>
        <v>127</v>
      </c>
      <c r="AF137" t="str">
        <f>VLOOKUP(Profile!$J$5,Families!$C:$R,6,FALSE)</f>
        <v>Herefordshire</v>
      </c>
      <c r="AG137" s="15">
        <f t="shared" si="58"/>
        <v>62.711864406779661</v>
      </c>
      <c r="AH137" s="50">
        <f t="shared" si="59"/>
        <v>127</v>
      </c>
      <c r="AI137" s="5" t="str">
        <f>IF(L137="","",VLOOKUP($L137,classifications!$C:$J,8,FALSE))</f>
        <v/>
      </c>
      <c r="AJ137" s="43" t="str">
        <f t="shared" si="60"/>
        <v/>
      </c>
      <c r="AK137" s="40" t="str">
        <f>IF(AJ137="","",IF(I$8="A",(RANK(AJ137,AJ$11:AJ$349,1)+COUNTIF(AJ$11:AJ137,AJ137)-1),(RANK(AJ137,AJ$11:AJ$349)+COUNTIF(AJ$11:AJ137,AJ137)-1)))</f>
        <v/>
      </c>
      <c r="AL137" s="3" t="str">
        <f t="shared" si="61"/>
        <v/>
      </c>
      <c r="AM137" t="str">
        <f t="shared" si="62"/>
        <v/>
      </c>
      <c r="AN137" t="str">
        <f t="shared" si="63"/>
        <v/>
      </c>
      <c r="AP137" s="5" t="str">
        <f>IF(L137="","",VLOOKUP($L137,classifications!$C:$E,3,FALSE))</f>
        <v/>
      </c>
      <c r="AQ137" s="43" t="str">
        <f t="shared" si="64"/>
        <v/>
      </c>
      <c r="AR137" s="40" t="str">
        <f>IF(AQ137="","",IF(I$8="A",(RANK(AQ137,AQ$11:AQ$349,1)+COUNTIF(AQ$11:AQ137,AQ137)-1),(RANK(AQ137,AQ$11:AQ$349)+COUNTIF(AQ$11:AQ137,AQ137)-1)))</f>
        <v/>
      </c>
      <c r="AS137" s="3" t="str">
        <f t="shared" si="65"/>
        <v/>
      </c>
      <c r="AT137" s="40" t="str">
        <f t="shared" si="66"/>
        <v/>
      </c>
      <c r="AU137" s="43" t="str">
        <f t="shared" si="67"/>
        <v/>
      </c>
      <c r="AX137">
        <f>HLOOKUP($AX$9&amp;$AX$10,Data!$A$1:$ZZ$1988,(MATCH($C137,Data!$A$1:$A$1988,0)),FALSE)</f>
        <v>100</v>
      </c>
    </row>
    <row r="138" spans="1:50">
      <c r="A138" s="59" t="str">
        <f>$D$1&amp;128</f>
        <v>UA128</v>
      </c>
      <c r="B138" s="60">
        <f>IF(ISERROR(VLOOKUP(A138,classifications!A:C,3,FALSE)),0,VLOOKUP(A138,classifications!A:C,3,FALSE))</f>
        <v>0</v>
      </c>
      <c r="C138" t="s">
        <v>83</v>
      </c>
      <c r="D138" t="str">
        <f>VLOOKUP($C138,classifications!$C:$J,4,FALSE)</f>
        <v>SD</v>
      </c>
      <c r="E138">
        <f>VLOOKUP(C138,classifications!C:K,9,FALSE)</f>
        <v>0</v>
      </c>
      <c r="F138">
        <f t="shared" si="44"/>
        <v>100</v>
      </c>
      <c r="G138" s="15"/>
      <c r="H138" s="42" t="str">
        <f t="shared" si="45"/>
        <v/>
      </c>
      <c r="I138" s="79" t="str">
        <f>IF(H138="","",IF($I$8="A",(RANK(H138,H$11:H$349,1)+COUNTIF(H$11:H138,H138)-1),(RANK(H138,H$11:H$349)+COUNTIF(H$11:H138,H138)-1)))</f>
        <v/>
      </c>
      <c r="J138" s="41"/>
      <c r="K138" s="36" t="str">
        <f t="shared" si="46"/>
        <v/>
      </c>
      <c r="L138" t="str">
        <f t="shared" si="47"/>
        <v/>
      </c>
      <c r="M138" s="117" t="str">
        <f t="shared" si="48"/>
        <v/>
      </c>
      <c r="N138" s="112" t="str">
        <f t="shared" si="49"/>
        <v/>
      </c>
      <c r="O138" s="96" t="str">
        <f t="shared" si="50"/>
        <v/>
      </c>
      <c r="P138" s="96" t="str">
        <f t="shared" si="51"/>
        <v/>
      </c>
      <c r="Q138" s="96" t="str">
        <f t="shared" si="52"/>
        <v/>
      </c>
      <c r="R138" s="92" t="str">
        <f t="shared" si="53"/>
        <v/>
      </c>
      <c r="S138" s="42" t="str">
        <f t="shared" si="54"/>
        <v/>
      </c>
      <c r="T138" s="176" t="str">
        <f>IF(L138="","",VLOOKUP(L138,classifications!C:K,9,FALSE))</f>
        <v/>
      </c>
      <c r="U138" s="177" t="str">
        <f t="shared" si="55"/>
        <v/>
      </c>
      <c r="V138" s="183" t="str">
        <f>IF(U138="","",IF($I$8="A",(RANK(U138,U$11:U$349)+COUNTIF(U$11:U138,U138)-1),(RANK(U138,U$11:U$349,1)+COUNTIF(U$11:U138,U138)-1)))</f>
        <v/>
      </c>
      <c r="W138" s="184"/>
      <c r="X138" s="5" t="str">
        <f>IF(L138="","",VLOOKUP($L138,classifications!$C:$J,6,FALSE))</f>
        <v/>
      </c>
      <c r="Y138" t="str">
        <f t="shared" si="56"/>
        <v/>
      </c>
      <c r="Z138" s="40" t="str">
        <f>IF(Y138="","",IF(I$8="A",(RANK(Y138,Y$11:Y$349,1)+COUNTIF(Y$11:Y138,Y138)-1),(RANK(Y138,Y$11:Y$349)+COUNTIF(Y$11:Y138,Y138)-1)))</f>
        <v/>
      </c>
      <c r="AA138" s="189" t="str">
        <f>IF(L138="","",VLOOKUP($L138,classifications!C:I,7,FALSE))</f>
        <v/>
      </c>
      <c r="AB138" s="183" t="str">
        <f t="shared" si="57"/>
        <v/>
      </c>
      <c r="AC138" s="183" t="str">
        <f>IF(AB138="","",IF($I$8="A",(RANK(AB138,AB$11:AB$349)+COUNTIF(AB$11:AB138,AB138)-1),(RANK(AB138,AB$11:AB$349,1)+COUNTIF(AB$11:AB138,AB138)-1)))</f>
        <v/>
      </c>
      <c r="AD138" s="183"/>
      <c r="AE138" s="49">
        <f>IF(I$8="A",(RANK(AG138,AG$11:AG$349,1)+COUNTIF(AG$11:AG138,AG138)-1),(RANK(AG138,AG$11:AG$349)+COUNTIF(AG$11:AG138,AG138)-1))</f>
        <v>128</v>
      </c>
      <c r="AF138" t="str">
        <f>VLOOKUP(Profile!$J$5,Families!$C:$R,6,FALSE)</f>
        <v>Herefordshire</v>
      </c>
      <c r="AG138" s="15">
        <f t="shared" si="58"/>
        <v>62.711864406779661</v>
      </c>
      <c r="AH138" s="50">
        <f t="shared" si="59"/>
        <v>128</v>
      </c>
      <c r="AI138" s="5" t="str">
        <f>IF(L138="","",VLOOKUP($L138,classifications!$C:$J,8,FALSE))</f>
        <v/>
      </c>
      <c r="AJ138" s="43" t="str">
        <f t="shared" si="60"/>
        <v/>
      </c>
      <c r="AK138" s="40" t="str">
        <f>IF(AJ138="","",IF(I$8="A",(RANK(AJ138,AJ$11:AJ$349,1)+COUNTIF(AJ$11:AJ138,AJ138)-1),(RANK(AJ138,AJ$11:AJ$349)+COUNTIF(AJ$11:AJ138,AJ138)-1)))</f>
        <v/>
      </c>
      <c r="AL138" s="3" t="str">
        <f t="shared" si="61"/>
        <v/>
      </c>
      <c r="AM138" t="str">
        <f t="shared" si="62"/>
        <v/>
      </c>
      <c r="AN138" t="str">
        <f t="shared" si="63"/>
        <v/>
      </c>
      <c r="AP138" s="5" t="str">
        <f>IF(L138="","",VLOOKUP($L138,classifications!$C:$E,3,FALSE))</f>
        <v/>
      </c>
      <c r="AQ138" s="43" t="str">
        <f t="shared" si="64"/>
        <v/>
      </c>
      <c r="AR138" s="40" t="str">
        <f>IF(AQ138="","",IF(I$8="A",(RANK(AQ138,AQ$11:AQ$349,1)+COUNTIF(AQ$11:AQ138,AQ138)-1),(RANK(AQ138,AQ$11:AQ$349)+COUNTIF(AQ$11:AQ138,AQ138)-1)))</f>
        <v/>
      </c>
      <c r="AS138" s="3" t="str">
        <f t="shared" si="65"/>
        <v/>
      </c>
      <c r="AT138" s="40" t="str">
        <f t="shared" si="66"/>
        <v/>
      </c>
      <c r="AU138" s="43" t="str">
        <f t="shared" si="67"/>
        <v/>
      </c>
      <c r="AX138">
        <f>HLOOKUP($AX$9&amp;$AX$10,Data!$A$1:$ZZ$1988,(MATCH($C138,Data!$A$1:$A$1988,0)),FALSE)</f>
        <v>100</v>
      </c>
    </row>
    <row r="139" spans="1:50">
      <c r="A139" s="59" t="str">
        <f>$D$1&amp;129</f>
        <v>UA129</v>
      </c>
      <c r="B139" s="60">
        <f>IF(ISERROR(VLOOKUP(A139,classifications!A:C,3,FALSE)),0,VLOOKUP(A139,classifications!A:C,3,FALSE))</f>
        <v>0</v>
      </c>
      <c r="C139" t="s">
        <v>84</v>
      </c>
      <c r="D139" t="str">
        <f>VLOOKUP($C139,classifications!$C:$J,4,FALSE)</f>
        <v>SD</v>
      </c>
      <c r="E139">
        <f>VLOOKUP(C139,classifications!C:K,9,FALSE)</f>
        <v>0</v>
      </c>
      <c r="F139">
        <f t="shared" si="44"/>
        <v>88.888888888888886</v>
      </c>
      <c r="G139" s="15"/>
      <c r="H139" s="42" t="str">
        <f t="shared" si="45"/>
        <v/>
      </c>
      <c r="I139" s="79" t="str">
        <f>IF(H139="","",IF($I$8="A",(RANK(H139,H$11:H$349,1)+COUNTIF(H$11:H139,H139)-1),(RANK(H139,H$11:H$349)+COUNTIF(H$11:H139,H139)-1)))</f>
        <v/>
      </c>
      <c r="J139" s="41"/>
      <c r="K139" s="36" t="str">
        <f t="shared" si="46"/>
        <v/>
      </c>
      <c r="L139" t="str">
        <f t="shared" si="47"/>
        <v/>
      </c>
      <c r="M139" s="117" t="str">
        <f t="shared" si="48"/>
        <v/>
      </c>
      <c r="N139" s="112" t="str">
        <f t="shared" si="49"/>
        <v/>
      </c>
      <c r="O139" s="96" t="str">
        <f t="shared" si="50"/>
        <v/>
      </c>
      <c r="P139" s="96" t="str">
        <f t="shared" si="51"/>
        <v/>
      </c>
      <c r="Q139" s="96" t="str">
        <f t="shared" si="52"/>
        <v/>
      </c>
      <c r="R139" s="92" t="str">
        <f t="shared" si="53"/>
        <v/>
      </c>
      <c r="S139" s="42" t="str">
        <f t="shared" si="54"/>
        <v/>
      </c>
      <c r="T139" s="176" t="str">
        <f>IF(L139="","",VLOOKUP(L139,classifications!C:K,9,FALSE))</f>
        <v/>
      </c>
      <c r="U139" s="177" t="str">
        <f t="shared" si="55"/>
        <v/>
      </c>
      <c r="V139" s="183" t="str">
        <f>IF(U139="","",IF($I$8="A",(RANK(U139,U$11:U$349)+COUNTIF(U$11:U139,U139)-1),(RANK(U139,U$11:U$349,1)+COUNTIF(U$11:U139,U139)-1)))</f>
        <v/>
      </c>
      <c r="W139" s="184"/>
      <c r="X139" s="5" t="str">
        <f>IF(L139="","",VLOOKUP($L139,classifications!$C:$J,6,FALSE))</f>
        <v/>
      </c>
      <c r="Y139" t="str">
        <f t="shared" si="56"/>
        <v/>
      </c>
      <c r="Z139" s="40" t="str">
        <f>IF(Y139="","",IF(I$8="A",(RANK(Y139,Y$11:Y$349,1)+COUNTIF(Y$11:Y139,Y139)-1),(RANK(Y139,Y$11:Y$349)+COUNTIF(Y$11:Y139,Y139)-1)))</f>
        <v/>
      </c>
      <c r="AA139" s="189" t="str">
        <f>IF(L139="","",VLOOKUP($L139,classifications!C:I,7,FALSE))</f>
        <v/>
      </c>
      <c r="AB139" s="183" t="str">
        <f t="shared" si="57"/>
        <v/>
      </c>
      <c r="AC139" s="183" t="str">
        <f>IF(AB139="","",IF($I$8="A",(RANK(AB139,AB$11:AB$349)+COUNTIF(AB$11:AB139,AB139)-1),(RANK(AB139,AB$11:AB$349,1)+COUNTIF(AB$11:AB139,AB139)-1)))</f>
        <v/>
      </c>
      <c r="AD139" s="183"/>
      <c r="AE139" s="49">
        <f>IF(I$8="A",(RANK(AG139,AG$11:AG$349,1)+COUNTIF(AG$11:AG139,AG139)-1),(RANK(AG139,AG$11:AG$349)+COUNTIF(AG$11:AG139,AG139)-1))</f>
        <v>129</v>
      </c>
      <c r="AF139" t="str">
        <f>VLOOKUP(Profile!$J$5,Families!$C:$R,6,FALSE)</f>
        <v>Herefordshire</v>
      </c>
      <c r="AG139" s="15">
        <f t="shared" si="58"/>
        <v>62.711864406779661</v>
      </c>
      <c r="AH139" s="50">
        <f t="shared" si="59"/>
        <v>129</v>
      </c>
      <c r="AI139" s="5" t="str">
        <f>IF(L139="","",VLOOKUP($L139,classifications!$C:$J,8,FALSE))</f>
        <v/>
      </c>
      <c r="AJ139" s="43" t="str">
        <f t="shared" si="60"/>
        <v/>
      </c>
      <c r="AK139" s="40" t="str">
        <f>IF(AJ139="","",IF(I$8="A",(RANK(AJ139,AJ$11:AJ$349,1)+COUNTIF(AJ$11:AJ139,AJ139)-1),(RANK(AJ139,AJ$11:AJ$349)+COUNTIF(AJ$11:AJ139,AJ139)-1)))</f>
        <v/>
      </c>
      <c r="AL139" s="3" t="str">
        <f t="shared" si="61"/>
        <v/>
      </c>
      <c r="AM139" t="str">
        <f t="shared" si="62"/>
        <v/>
      </c>
      <c r="AN139" t="str">
        <f t="shared" si="63"/>
        <v/>
      </c>
      <c r="AP139" s="5" t="str">
        <f>IF(L139="","",VLOOKUP($L139,classifications!$C:$E,3,FALSE))</f>
        <v/>
      </c>
      <c r="AQ139" s="43" t="str">
        <f t="shared" si="64"/>
        <v/>
      </c>
      <c r="AR139" s="40" t="str">
        <f>IF(AQ139="","",IF(I$8="A",(RANK(AQ139,AQ$11:AQ$349,1)+COUNTIF(AQ$11:AQ139,AQ139)-1),(RANK(AQ139,AQ$11:AQ$349)+COUNTIF(AQ$11:AQ139,AQ139)-1)))</f>
        <v/>
      </c>
      <c r="AS139" s="3" t="str">
        <f t="shared" si="65"/>
        <v/>
      </c>
      <c r="AT139" s="40" t="str">
        <f t="shared" si="66"/>
        <v/>
      </c>
      <c r="AU139" s="43" t="str">
        <f t="shared" si="67"/>
        <v/>
      </c>
      <c r="AX139">
        <f>HLOOKUP($AX$9&amp;$AX$10,Data!$A$1:$ZZ$1988,(MATCH($C139,Data!$A$1:$A$1988,0)),FALSE)</f>
        <v>88.888888888888886</v>
      </c>
    </row>
    <row r="140" spans="1:50">
      <c r="A140" s="59" t="str">
        <f>$D$1&amp;130</f>
        <v>UA130</v>
      </c>
      <c r="B140" s="60">
        <f>IF(ISERROR(VLOOKUP(A140,classifications!A:C,3,FALSE)),0,VLOOKUP(A140,classifications!A:C,3,FALSE))</f>
        <v>0</v>
      </c>
      <c r="C140" t="s">
        <v>208</v>
      </c>
      <c r="D140" t="str">
        <f>VLOOKUP($C140,classifications!$C:$J,4,FALSE)</f>
        <v>L</v>
      </c>
      <c r="E140">
        <f>VLOOKUP(C140,classifications!C:K,9,FALSE)</f>
        <v>0</v>
      </c>
      <c r="F140">
        <f t="shared" si="44"/>
        <v>100</v>
      </c>
      <c r="G140" s="15"/>
      <c r="H140" s="42" t="str">
        <f t="shared" si="45"/>
        <v/>
      </c>
      <c r="I140" s="79" t="str">
        <f>IF(H140="","",IF($I$8="A",(RANK(H140,H$11:H$349,1)+COUNTIF(H$11:H140,H140)-1),(RANK(H140,H$11:H$349)+COUNTIF(H$11:H140,H140)-1)))</f>
        <v/>
      </c>
      <c r="J140" s="41"/>
      <c r="K140" s="36" t="str">
        <f t="shared" si="46"/>
        <v/>
      </c>
      <c r="L140" t="str">
        <f t="shared" si="47"/>
        <v/>
      </c>
      <c r="M140" s="117" t="str">
        <f t="shared" si="48"/>
        <v/>
      </c>
      <c r="N140" s="112" t="str">
        <f t="shared" si="49"/>
        <v/>
      </c>
      <c r="O140" s="96" t="str">
        <f t="shared" si="50"/>
        <v/>
      </c>
      <c r="P140" s="96" t="str">
        <f t="shared" si="51"/>
        <v/>
      </c>
      <c r="Q140" s="96" t="str">
        <f t="shared" si="52"/>
        <v/>
      </c>
      <c r="R140" s="92" t="str">
        <f t="shared" si="53"/>
        <v/>
      </c>
      <c r="S140" s="42" t="str">
        <f t="shared" si="54"/>
        <v/>
      </c>
      <c r="T140" s="176" t="str">
        <f>IF(L140="","",VLOOKUP(L140,classifications!C:K,9,FALSE))</f>
        <v/>
      </c>
      <c r="U140" s="177" t="str">
        <f t="shared" si="55"/>
        <v/>
      </c>
      <c r="V140" s="183" t="str">
        <f>IF(U140="","",IF($I$8="A",(RANK(U140,U$11:U$349)+COUNTIF(U$11:U140,U140)-1),(RANK(U140,U$11:U$349,1)+COUNTIF(U$11:U140,U140)-1)))</f>
        <v/>
      </c>
      <c r="W140" s="184"/>
      <c r="X140" s="5" t="str">
        <f>IF(L140="","",VLOOKUP($L140,classifications!$C:$J,6,FALSE))</f>
        <v/>
      </c>
      <c r="Y140" t="str">
        <f t="shared" si="56"/>
        <v/>
      </c>
      <c r="Z140" s="40" t="str">
        <f>IF(Y140="","",IF(I$8="A",(RANK(Y140,Y$11:Y$349,1)+COUNTIF(Y$11:Y140,Y140)-1),(RANK(Y140,Y$11:Y$349)+COUNTIF(Y$11:Y140,Y140)-1)))</f>
        <v/>
      </c>
      <c r="AA140" s="189" t="str">
        <f>IF(L140="","",VLOOKUP($L140,classifications!C:I,7,FALSE))</f>
        <v/>
      </c>
      <c r="AB140" s="183" t="str">
        <f t="shared" si="57"/>
        <v/>
      </c>
      <c r="AC140" s="183" t="str">
        <f>IF(AB140="","",IF($I$8="A",(RANK(AB140,AB$11:AB$349)+COUNTIF(AB$11:AB140,AB140)-1),(RANK(AB140,AB$11:AB$349,1)+COUNTIF(AB$11:AB140,AB140)-1)))</f>
        <v/>
      </c>
      <c r="AD140" s="183"/>
      <c r="AE140" s="49">
        <f>IF(I$8="A",(RANK(AG140,AG$11:AG$349,1)+COUNTIF(AG$11:AG140,AG140)-1),(RANK(AG140,AG$11:AG$349)+COUNTIF(AG$11:AG140,AG140)-1))</f>
        <v>130</v>
      </c>
      <c r="AF140" t="str">
        <f>VLOOKUP(Profile!$J$5,Families!$C:$R,6,FALSE)</f>
        <v>Herefordshire</v>
      </c>
      <c r="AG140" s="15">
        <f t="shared" si="58"/>
        <v>62.711864406779661</v>
      </c>
      <c r="AH140" s="50">
        <f t="shared" si="59"/>
        <v>130</v>
      </c>
      <c r="AI140" s="5" t="str">
        <f>IF(L140="","",VLOOKUP($L140,classifications!$C:$J,8,FALSE))</f>
        <v/>
      </c>
      <c r="AJ140" s="43" t="str">
        <f t="shared" si="60"/>
        <v/>
      </c>
      <c r="AK140" s="40" t="str">
        <f>IF(AJ140="","",IF(I$8="A",(RANK(AJ140,AJ$11:AJ$349,1)+COUNTIF(AJ$11:AJ140,AJ140)-1),(RANK(AJ140,AJ$11:AJ$349)+COUNTIF(AJ$11:AJ140,AJ140)-1)))</f>
        <v/>
      </c>
      <c r="AL140" s="3" t="str">
        <f t="shared" si="61"/>
        <v/>
      </c>
      <c r="AM140" t="str">
        <f t="shared" si="62"/>
        <v/>
      </c>
      <c r="AN140" t="str">
        <f t="shared" si="63"/>
        <v/>
      </c>
      <c r="AP140" s="5" t="str">
        <f>IF(L140="","",VLOOKUP($L140,classifications!$C:$E,3,FALSE))</f>
        <v/>
      </c>
      <c r="AQ140" s="43" t="str">
        <f t="shared" si="64"/>
        <v/>
      </c>
      <c r="AR140" s="40" t="str">
        <f>IF(AQ140="","",IF(I$8="A",(RANK(AQ140,AQ$11:AQ$349,1)+COUNTIF(AQ$11:AQ140,AQ140)-1),(RANK(AQ140,AQ$11:AQ$349)+COUNTIF(AQ$11:AQ140,AQ140)-1)))</f>
        <v/>
      </c>
      <c r="AS140" s="3" t="str">
        <f t="shared" si="65"/>
        <v/>
      </c>
      <c r="AT140" s="40" t="str">
        <f t="shared" si="66"/>
        <v/>
      </c>
      <c r="AU140" s="43" t="str">
        <f t="shared" si="67"/>
        <v/>
      </c>
      <c r="AX140">
        <f>HLOOKUP($AX$9&amp;$AX$10,Data!$A$1:$ZZ$1988,(MATCH($C140,Data!$A$1:$A$1988,0)),FALSE)</f>
        <v>100</v>
      </c>
    </row>
    <row r="141" spans="1:50">
      <c r="A141" s="59" t="str">
        <f>$D$1&amp;131</f>
        <v>UA131</v>
      </c>
      <c r="B141" s="60">
        <f>IF(ISERROR(VLOOKUP(A141,classifications!A:C,3,FALSE)),0,VLOOKUP(A141,classifications!A:C,3,FALSE))</f>
        <v>0</v>
      </c>
      <c r="C141" t="s">
        <v>817</v>
      </c>
      <c r="D141" t="str">
        <f>VLOOKUP($C141,classifications!$C:$J,4,FALSE)</f>
        <v>UA</v>
      </c>
      <c r="E141" t="str">
        <f>VLOOKUP(C141,classifications!C:K,9,FALSE)</f>
        <v>Sparse</v>
      </c>
      <c r="F141">
        <f t="shared" si="44"/>
        <v>62.711864406779661</v>
      </c>
      <c r="G141" s="15"/>
      <c r="H141" s="42">
        <f t="shared" si="45"/>
        <v>62.711864406779661</v>
      </c>
      <c r="I141" s="79">
        <f>IF(H141="","",IF($I$8="A",(RANK(H141,H$11:H$349,1)+COUNTIF(H$11:H141,H141)-1),(RANK(H141,H$11:H$349)+COUNTIF(H$11:H141,H141)-1)))</f>
        <v>55</v>
      </c>
      <c r="J141" s="41"/>
      <c r="K141" s="36" t="str">
        <f t="shared" si="46"/>
        <v/>
      </c>
      <c r="L141" t="str">
        <f t="shared" si="47"/>
        <v/>
      </c>
      <c r="M141" s="117" t="str">
        <f t="shared" si="48"/>
        <v/>
      </c>
      <c r="N141" s="112" t="str">
        <f t="shared" si="49"/>
        <v/>
      </c>
      <c r="O141" s="96" t="str">
        <f t="shared" si="50"/>
        <v/>
      </c>
      <c r="P141" s="96" t="str">
        <f t="shared" si="51"/>
        <v/>
      </c>
      <c r="Q141" s="96" t="str">
        <f t="shared" si="52"/>
        <v/>
      </c>
      <c r="R141" s="92" t="str">
        <f t="shared" si="53"/>
        <v/>
      </c>
      <c r="S141" s="42" t="str">
        <f t="shared" si="54"/>
        <v/>
      </c>
      <c r="T141" s="176" t="str">
        <f>IF(L141="","",VLOOKUP(L141,classifications!C:K,9,FALSE))</f>
        <v/>
      </c>
      <c r="U141" s="177" t="str">
        <f t="shared" si="55"/>
        <v/>
      </c>
      <c r="V141" s="183" t="str">
        <f>IF(U141="","",IF($I$8="A",(RANK(U141,U$11:U$349)+COUNTIF(U$11:U141,U141)-1),(RANK(U141,U$11:U$349,1)+COUNTIF(U$11:U141,U141)-1)))</f>
        <v/>
      </c>
      <c r="W141" s="184"/>
      <c r="X141" s="5" t="str">
        <f>IF(L141="","",VLOOKUP($L141,classifications!$C:$J,6,FALSE))</f>
        <v/>
      </c>
      <c r="Y141" t="str">
        <f t="shared" si="56"/>
        <v/>
      </c>
      <c r="Z141" s="40" t="str">
        <f>IF(Y141="","",IF(I$8="A",(RANK(Y141,Y$11:Y$349,1)+COUNTIF(Y$11:Y141,Y141)-1),(RANK(Y141,Y$11:Y$349)+COUNTIF(Y$11:Y141,Y141)-1)))</f>
        <v/>
      </c>
      <c r="AA141" s="189" t="str">
        <f>IF(L141="","",VLOOKUP($L141,classifications!C:I,7,FALSE))</f>
        <v/>
      </c>
      <c r="AB141" s="183" t="str">
        <f t="shared" si="57"/>
        <v/>
      </c>
      <c r="AC141" s="183" t="str">
        <f>IF(AB141="","",IF($I$8="A",(RANK(AB141,AB$11:AB$349)+COUNTIF(AB$11:AB141,AB141)-1),(RANK(AB141,AB$11:AB$349,1)+COUNTIF(AB$11:AB141,AB141)-1)))</f>
        <v/>
      </c>
      <c r="AD141" s="183"/>
      <c r="AE141" s="49">
        <f>IF(I$8="A",(RANK(AG141,AG$11:AG$349,1)+COUNTIF(AG$11:AG141,AG141)-1),(RANK(AG141,AG$11:AG$349)+COUNTIF(AG$11:AG141,AG141)-1))</f>
        <v>131</v>
      </c>
      <c r="AF141" t="str">
        <f>VLOOKUP(Profile!$J$5,Families!$C:$R,6,FALSE)</f>
        <v>Herefordshire</v>
      </c>
      <c r="AG141" s="15">
        <f t="shared" si="58"/>
        <v>62.711864406779661</v>
      </c>
      <c r="AH141" s="50">
        <f t="shared" si="59"/>
        <v>131</v>
      </c>
      <c r="AI141" s="5" t="str">
        <f>IF(L141="","",VLOOKUP($L141,classifications!$C:$J,8,FALSE))</f>
        <v/>
      </c>
      <c r="AJ141" s="43" t="str">
        <f t="shared" si="60"/>
        <v/>
      </c>
      <c r="AK141" s="40" t="str">
        <f>IF(AJ141="","",IF(I$8="A",(RANK(AJ141,AJ$11:AJ$349,1)+COUNTIF(AJ$11:AJ141,AJ141)-1),(RANK(AJ141,AJ$11:AJ$349)+COUNTIF(AJ$11:AJ141,AJ141)-1)))</f>
        <v/>
      </c>
      <c r="AL141" s="3" t="str">
        <f t="shared" si="61"/>
        <v/>
      </c>
      <c r="AM141" t="str">
        <f t="shared" si="62"/>
        <v/>
      </c>
      <c r="AN141" t="str">
        <f t="shared" si="63"/>
        <v/>
      </c>
      <c r="AP141" s="5" t="str">
        <f>IF(L141="","",VLOOKUP($L141,classifications!$C:$E,3,FALSE))</f>
        <v/>
      </c>
      <c r="AQ141" s="43" t="str">
        <f t="shared" si="64"/>
        <v/>
      </c>
      <c r="AR141" s="40" t="str">
        <f>IF(AQ141="","",IF(I$8="A",(RANK(AQ141,AQ$11:AQ$349,1)+COUNTIF(AQ$11:AQ141,AQ141)-1),(RANK(AQ141,AQ$11:AQ$349)+COUNTIF(AQ$11:AQ141,AQ141)-1)))</f>
        <v/>
      </c>
      <c r="AS141" s="3" t="str">
        <f t="shared" si="65"/>
        <v/>
      </c>
      <c r="AT141" s="40" t="str">
        <f t="shared" si="66"/>
        <v/>
      </c>
      <c r="AU141" s="43" t="str">
        <f t="shared" si="67"/>
        <v/>
      </c>
      <c r="AX141">
        <f>HLOOKUP($AX$9&amp;$AX$10,Data!$A$1:$ZZ$1988,(MATCH($C141,Data!$A$1:$A$1988,0)),FALSE)</f>
        <v>62.711864406779661</v>
      </c>
    </row>
    <row r="142" spans="1:50">
      <c r="A142" s="59" t="str">
        <f>$D$1&amp;132</f>
        <v>UA132</v>
      </c>
      <c r="B142" s="60">
        <f>IF(ISERROR(VLOOKUP(A142,classifications!A:C,3,FALSE)),0,VLOOKUP(A142,classifications!A:C,3,FALSE))</f>
        <v>0</v>
      </c>
      <c r="C142" t="s">
        <v>314</v>
      </c>
      <c r="D142" t="str">
        <f>VLOOKUP($C142,classifications!$C:$J,4,FALSE)</f>
        <v>SC</v>
      </c>
      <c r="E142">
        <f>VLOOKUP(C142,classifications!C:K,9,FALSE)</f>
        <v>0</v>
      </c>
      <c r="F142" t="e">
        <f t="shared" si="44"/>
        <v>#N/A</v>
      </c>
      <c r="G142" s="15"/>
      <c r="H142" s="42" t="str">
        <f t="shared" si="45"/>
        <v/>
      </c>
      <c r="I142" s="79" t="str">
        <f>IF(H142="","",IF($I$8="A",(RANK(H142,H$11:H$349,1)+COUNTIF(H$11:H142,H142)-1),(RANK(H142,H$11:H$349)+COUNTIF(H$11:H142,H142)-1)))</f>
        <v/>
      </c>
      <c r="J142" s="41"/>
      <c r="K142" s="36" t="str">
        <f t="shared" si="46"/>
        <v/>
      </c>
      <c r="L142" t="str">
        <f t="shared" si="47"/>
        <v/>
      </c>
      <c r="M142" s="117" t="str">
        <f t="shared" si="48"/>
        <v/>
      </c>
      <c r="N142" s="112" t="str">
        <f t="shared" si="49"/>
        <v/>
      </c>
      <c r="O142" s="96" t="str">
        <f t="shared" si="50"/>
        <v/>
      </c>
      <c r="P142" s="96" t="str">
        <f t="shared" si="51"/>
        <v/>
      </c>
      <c r="Q142" s="96" t="str">
        <f t="shared" si="52"/>
        <v/>
      </c>
      <c r="R142" s="92" t="str">
        <f t="shared" si="53"/>
        <v/>
      </c>
      <c r="S142" s="42" t="str">
        <f t="shared" si="54"/>
        <v/>
      </c>
      <c r="T142" s="176" t="str">
        <f>IF(L142="","",VLOOKUP(L142,classifications!C:K,9,FALSE))</f>
        <v/>
      </c>
      <c r="U142" s="177" t="str">
        <f t="shared" si="55"/>
        <v/>
      </c>
      <c r="V142" s="183" t="str">
        <f>IF(U142="","",IF($I$8="A",(RANK(U142,U$11:U$349)+COUNTIF(U$11:U142,U142)-1),(RANK(U142,U$11:U$349,1)+COUNTIF(U$11:U142,U142)-1)))</f>
        <v/>
      </c>
      <c r="W142" s="184"/>
      <c r="X142" s="5" t="str">
        <f>IF(L142="","",VLOOKUP($L142,classifications!$C:$J,6,FALSE))</f>
        <v/>
      </c>
      <c r="Y142" t="str">
        <f t="shared" si="56"/>
        <v/>
      </c>
      <c r="Z142" s="40" t="str">
        <f>IF(Y142="","",IF(I$8="A",(RANK(Y142,Y$11:Y$349,1)+COUNTIF(Y$11:Y142,Y142)-1),(RANK(Y142,Y$11:Y$349)+COUNTIF(Y$11:Y142,Y142)-1)))</f>
        <v/>
      </c>
      <c r="AA142" s="189" t="str">
        <f>IF(L142="","",VLOOKUP($L142,classifications!C:I,7,FALSE))</f>
        <v/>
      </c>
      <c r="AB142" s="183" t="str">
        <f t="shared" si="57"/>
        <v/>
      </c>
      <c r="AC142" s="183" t="str">
        <f>IF(AB142="","",IF($I$8="A",(RANK(AB142,AB$11:AB$349)+COUNTIF(AB$11:AB142,AB142)-1),(RANK(AB142,AB$11:AB$349,1)+COUNTIF(AB$11:AB142,AB142)-1)))</f>
        <v/>
      </c>
      <c r="AD142" s="183"/>
      <c r="AE142" s="49">
        <f>IF(I$8="A",(RANK(AG142,AG$11:AG$349,1)+COUNTIF(AG$11:AG142,AG142)-1),(RANK(AG142,AG$11:AG$349)+COUNTIF(AG$11:AG142,AG142)-1))</f>
        <v>132</v>
      </c>
      <c r="AF142" t="str">
        <f>VLOOKUP(Profile!$J$5,Families!$C:$R,6,FALSE)</f>
        <v>Herefordshire</v>
      </c>
      <c r="AG142" s="15">
        <f t="shared" si="58"/>
        <v>62.711864406779661</v>
      </c>
      <c r="AH142" s="50">
        <f t="shared" si="59"/>
        <v>132</v>
      </c>
      <c r="AI142" s="5" t="str">
        <f>IF(L142="","",VLOOKUP($L142,classifications!$C:$J,8,FALSE))</f>
        <v/>
      </c>
      <c r="AJ142" s="43" t="str">
        <f t="shared" si="60"/>
        <v/>
      </c>
      <c r="AK142" s="40" t="str">
        <f>IF(AJ142="","",IF(I$8="A",(RANK(AJ142,AJ$11:AJ$349,1)+COUNTIF(AJ$11:AJ142,AJ142)-1),(RANK(AJ142,AJ$11:AJ$349)+COUNTIF(AJ$11:AJ142,AJ142)-1)))</f>
        <v/>
      </c>
      <c r="AL142" s="3" t="str">
        <f t="shared" si="61"/>
        <v/>
      </c>
      <c r="AM142" t="str">
        <f t="shared" si="62"/>
        <v/>
      </c>
      <c r="AN142" t="str">
        <f t="shared" si="63"/>
        <v/>
      </c>
      <c r="AP142" s="5" t="str">
        <f>IF(L142="","",VLOOKUP($L142,classifications!$C:$E,3,FALSE))</f>
        <v/>
      </c>
      <c r="AQ142" s="43" t="str">
        <f t="shared" si="64"/>
        <v/>
      </c>
      <c r="AR142" s="40" t="str">
        <f>IF(AQ142="","",IF(I$8="A",(RANK(AQ142,AQ$11:AQ$349,1)+COUNTIF(AQ$11:AQ142,AQ142)-1),(RANK(AQ142,AQ$11:AQ$349)+COUNTIF(AQ$11:AQ142,AQ142)-1)))</f>
        <v/>
      </c>
      <c r="AS142" s="3" t="str">
        <f t="shared" si="65"/>
        <v/>
      </c>
      <c r="AT142" s="40" t="str">
        <f t="shared" si="66"/>
        <v/>
      </c>
      <c r="AU142" s="43" t="str">
        <f t="shared" si="67"/>
        <v/>
      </c>
      <c r="AX142" t="e">
        <f>HLOOKUP($AX$9&amp;$AX$10,Data!$A$1:$ZZ$1988,(MATCH($C142,Data!$A$1:$A$1988,0)),FALSE)</f>
        <v>#N/A</v>
      </c>
    </row>
    <row r="143" spans="1:50">
      <c r="A143" s="59" t="str">
        <f>$D$1&amp;133</f>
        <v>UA133</v>
      </c>
      <c r="B143" s="60">
        <f>IF(ISERROR(VLOOKUP(A143,classifications!A:C,3,FALSE)),0,VLOOKUP(A143,classifications!A:C,3,FALSE))</f>
        <v>0</v>
      </c>
      <c r="C143" t="s">
        <v>85</v>
      </c>
      <c r="D143" t="str">
        <f>VLOOKUP($C143,classifications!$C:$J,4,FALSE)</f>
        <v>SD</v>
      </c>
      <c r="E143">
        <f>VLOOKUP(C143,classifications!C:K,9,FALSE)</f>
        <v>0</v>
      </c>
      <c r="F143">
        <f t="shared" si="44"/>
        <v>100</v>
      </c>
      <c r="G143" s="15"/>
      <c r="H143" s="42" t="str">
        <f t="shared" si="45"/>
        <v/>
      </c>
      <c r="I143" s="79" t="str">
        <f>IF(H143="","",IF($I$8="A",(RANK(H143,H$11:H$349,1)+COUNTIF(H$11:H143,H143)-1),(RANK(H143,H$11:H$349)+COUNTIF(H$11:H143,H143)-1)))</f>
        <v/>
      </c>
      <c r="J143" s="41"/>
      <c r="K143" s="36" t="str">
        <f t="shared" si="46"/>
        <v/>
      </c>
      <c r="L143" t="str">
        <f t="shared" si="47"/>
        <v/>
      </c>
      <c r="M143" s="117" t="str">
        <f t="shared" si="48"/>
        <v/>
      </c>
      <c r="N143" s="112" t="str">
        <f t="shared" si="49"/>
        <v/>
      </c>
      <c r="O143" s="96" t="str">
        <f t="shared" si="50"/>
        <v/>
      </c>
      <c r="P143" s="96" t="str">
        <f t="shared" si="51"/>
        <v/>
      </c>
      <c r="Q143" s="96" t="str">
        <f t="shared" si="52"/>
        <v/>
      </c>
      <c r="R143" s="92" t="str">
        <f t="shared" si="53"/>
        <v/>
      </c>
      <c r="S143" s="42" t="str">
        <f t="shared" si="54"/>
        <v/>
      </c>
      <c r="T143" s="176" t="str">
        <f>IF(L143="","",VLOOKUP(L143,classifications!C:K,9,FALSE))</f>
        <v/>
      </c>
      <c r="U143" s="177" t="str">
        <f t="shared" si="55"/>
        <v/>
      </c>
      <c r="V143" s="183" t="str">
        <f>IF(U143="","",IF($I$8="A",(RANK(U143,U$11:U$349)+COUNTIF(U$11:U143,U143)-1),(RANK(U143,U$11:U$349,1)+COUNTIF(U$11:U143,U143)-1)))</f>
        <v/>
      </c>
      <c r="W143" s="184"/>
      <c r="X143" s="5" t="str">
        <f>IF(L143="","",VLOOKUP($L143,classifications!$C:$J,6,FALSE))</f>
        <v/>
      </c>
      <c r="Y143" t="str">
        <f t="shared" si="56"/>
        <v/>
      </c>
      <c r="Z143" s="40" t="str">
        <f>IF(Y143="","",IF(I$8="A",(RANK(Y143,Y$11:Y$349,1)+COUNTIF(Y$11:Y143,Y143)-1),(RANK(Y143,Y$11:Y$349)+COUNTIF(Y$11:Y143,Y143)-1)))</f>
        <v/>
      </c>
      <c r="AA143" s="189" t="str">
        <f>IF(L143="","",VLOOKUP($L143,classifications!C:I,7,FALSE))</f>
        <v/>
      </c>
      <c r="AB143" s="183" t="str">
        <f t="shared" si="57"/>
        <v/>
      </c>
      <c r="AC143" s="183" t="str">
        <f>IF(AB143="","",IF($I$8="A",(RANK(AB143,AB$11:AB$349)+COUNTIF(AB$11:AB143,AB143)-1),(RANK(AB143,AB$11:AB$349,1)+COUNTIF(AB$11:AB143,AB143)-1)))</f>
        <v/>
      </c>
      <c r="AD143" s="183"/>
      <c r="AE143" s="49">
        <f>IF(I$8="A",(RANK(AG143,AG$11:AG$349,1)+COUNTIF(AG$11:AG143,AG143)-1),(RANK(AG143,AG$11:AG$349)+COUNTIF(AG$11:AG143,AG143)-1))</f>
        <v>133</v>
      </c>
      <c r="AF143" t="str">
        <f>VLOOKUP(Profile!$J$5,Families!$C:$R,6,FALSE)</f>
        <v>Herefordshire</v>
      </c>
      <c r="AG143" s="15">
        <f t="shared" si="58"/>
        <v>62.711864406779661</v>
      </c>
      <c r="AH143" s="50">
        <f t="shared" si="59"/>
        <v>133</v>
      </c>
      <c r="AI143" s="5" t="str">
        <f>IF(L143="","",VLOOKUP($L143,classifications!$C:$J,8,FALSE))</f>
        <v/>
      </c>
      <c r="AJ143" s="43" t="str">
        <f t="shared" si="60"/>
        <v/>
      </c>
      <c r="AK143" s="40" t="str">
        <f>IF(AJ143="","",IF(I$8="A",(RANK(AJ143,AJ$11:AJ$349,1)+COUNTIF(AJ$11:AJ143,AJ143)-1),(RANK(AJ143,AJ$11:AJ$349)+COUNTIF(AJ$11:AJ143,AJ143)-1)))</f>
        <v/>
      </c>
      <c r="AL143" s="3" t="str">
        <f t="shared" si="61"/>
        <v/>
      </c>
      <c r="AM143" t="str">
        <f t="shared" si="62"/>
        <v/>
      </c>
      <c r="AN143" t="str">
        <f t="shared" si="63"/>
        <v/>
      </c>
      <c r="AP143" s="5" t="str">
        <f>IF(L143="","",VLOOKUP($L143,classifications!$C:$E,3,FALSE))</f>
        <v/>
      </c>
      <c r="AQ143" s="43" t="str">
        <f t="shared" si="64"/>
        <v/>
      </c>
      <c r="AR143" s="40" t="str">
        <f>IF(AQ143="","",IF(I$8="A",(RANK(AQ143,AQ$11:AQ$349,1)+COUNTIF(AQ$11:AQ143,AQ143)-1),(RANK(AQ143,AQ$11:AQ$349)+COUNTIF(AQ$11:AQ143,AQ143)-1)))</f>
        <v/>
      </c>
      <c r="AS143" s="3" t="str">
        <f t="shared" si="65"/>
        <v/>
      </c>
      <c r="AT143" s="40" t="str">
        <f t="shared" si="66"/>
        <v/>
      </c>
      <c r="AU143" s="43" t="str">
        <f t="shared" si="67"/>
        <v/>
      </c>
      <c r="AX143">
        <f>HLOOKUP($AX$9&amp;$AX$10,Data!$A$1:$ZZ$1988,(MATCH($C143,Data!$A$1:$A$1988,0)),FALSE)</f>
        <v>100</v>
      </c>
    </row>
    <row r="144" spans="1:50">
      <c r="A144" s="59" t="str">
        <f>$D$1&amp;134</f>
        <v>UA134</v>
      </c>
      <c r="B144" s="60">
        <f>IF(ISERROR(VLOOKUP(A144,classifications!A:C,3,FALSE)),0,VLOOKUP(A144,classifications!A:C,3,FALSE))</f>
        <v>0</v>
      </c>
      <c r="C144" t="s">
        <v>86</v>
      </c>
      <c r="D144" t="str">
        <f>VLOOKUP($C144,classifications!$C:$J,4,FALSE)</f>
        <v>SD</v>
      </c>
      <c r="E144">
        <f>VLOOKUP(C144,classifications!C:K,9,FALSE)</f>
        <v>0</v>
      </c>
      <c r="F144">
        <f t="shared" si="44"/>
        <v>100</v>
      </c>
      <c r="G144" s="15"/>
      <c r="H144" s="42" t="str">
        <f t="shared" si="45"/>
        <v/>
      </c>
      <c r="I144" s="79" t="str">
        <f>IF(H144="","",IF($I$8="A",(RANK(H144,H$11:H$349,1)+COUNTIF(H$11:H144,H144)-1),(RANK(H144,H$11:H$349)+COUNTIF(H$11:H144,H144)-1)))</f>
        <v/>
      </c>
      <c r="J144" s="41"/>
      <c r="K144" s="36" t="str">
        <f t="shared" si="46"/>
        <v/>
      </c>
      <c r="L144" t="str">
        <f t="shared" si="47"/>
        <v/>
      </c>
      <c r="M144" s="117" t="str">
        <f t="shared" si="48"/>
        <v/>
      </c>
      <c r="N144" s="112" t="str">
        <f t="shared" si="49"/>
        <v/>
      </c>
      <c r="O144" s="96" t="str">
        <f t="shared" si="50"/>
        <v/>
      </c>
      <c r="P144" s="96" t="str">
        <f t="shared" si="51"/>
        <v/>
      </c>
      <c r="Q144" s="96" t="str">
        <f t="shared" si="52"/>
        <v/>
      </c>
      <c r="R144" s="92" t="str">
        <f t="shared" si="53"/>
        <v/>
      </c>
      <c r="S144" s="42" t="str">
        <f t="shared" si="54"/>
        <v/>
      </c>
      <c r="T144" s="176" t="str">
        <f>IF(L144="","",VLOOKUP(L144,classifications!C:K,9,FALSE))</f>
        <v/>
      </c>
      <c r="U144" s="177" t="str">
        <f t="shared" si="55"/>
        <v/>
      </c>
      <c r="V144" s="183" t="str">
        <f>IF(U144="","",IF($I$8="A",(RANK(U144,U$11:U$349)+COUNTIF(U$11:U144,U144)-1),(RANK(U144,U$11:U$349,1)+COUNTIF(U$11:U144,U144)-1)))</f>
        <v/>
      </c>
      <c r="W144" s="184"/>
      <c r="X144" s="5" t="str">
        <f>IF(L144="","",VLOOKUP($L144,classifications!$C:$J,6,FALSE))</f>
        <v/>
      </c>
      <c r="Y144" t="str">
        <f t="shared" si="56"/>
        <v/>
      </c>
      <c r="Z144" s="40" t="str">
        <f>IF(Y144="","",IF(I$8="A",(RANK(Y144,Y$11:Y$349,1)+COUNTIF(Y$11:Y144,Y144)-1),(RANK(Y144,Y$11:Y$349)+COUNTIF(Y$11:Y144,Y144)-1)))</f>
        <v/>
      </c>
      <c r="AA144" s="189" t="str">
        <f>IF(L144="","",VLOOKUP($L144,classifications!C:I,7,FALSE))</f>
        <v/>
      </c>
      <c r="AB144" s="183" t="str">
        <f t="shared" si="57"/>
        <v/>
      </c>
      <c r="AC144" s="183" t="str">
        <f>IF(AB144="","",IF($I$8="A",(RANK(AB144,AB$11:AB$349)+COUNTIF(AB$11:AB144,AB144)-1),(RANK(AB144,AB$11:AB$349,1)+COUNTIF(AB$11:AB144,AB144)-1)))</f>
        <v/>
      </c>
      <c r="AD144" s="183"/>
      <c r="AE144" s="49">
        <f>IF(I$8="A",(RANK(AG144,AG$11:AG$349,1)+COUNTIF(AG$11:AG144,AG144)-1),(RANK(AG144,AG$11:AG$349)+COUNTIF(AG$11:AG144,AG144)-1))</f>
        <v>134</v>
      </c>
      <c r="AF144" t="str">
        <f>VLOOKUP(Profile!$J$5,Families!$C:$R,6,FALSE)</f>
        <v>Herefordshire</v>
      </c>
      <c r="AG144" s="15">
        <f t="shared" si="58"/>
        <v>62.711864406779661</v>
      </c>
      <c r="AH144" s="50">
        <f t="shared" si="59"/>
        <v>134</v>
      </c>
      <c r="AI144" s="5" t="str">
        <f>IF(L144="","",VLOOKUP($L144,classifications!$C:$J,8,FALSE))</f>
        <v/>
      </c>
      <c r="AJ144" s="43" t="str">
        <f t="shared" si="60"/>
        <v/>
      </c>
      <c r="AK144" s="40" t="str">
        <f>IF(AJ144="","",IF(I$8="A",(RANK(AJ144,AJ$11:AJ$349,1)+COUNTIF(AJ$11:AJ144,AJ144)-1),(RANK(AJ144,AJ$11:AJ$349)+COUNTIF(AJ$11:AJ144,AJ144)-1)))</f>
        <v/>
      </c>
      <c r="AL144" s="3" t="str">
        <f t="shared" si="61"/>
        <v/>
      </c>
      <c r="AM144" t="str">
        <f t="shared" si="62"/>
        <v/>
      </c>
      <c r="AN144" t="str">
        <f t="shared" si="63"/>
        <v/>
      </c>
      <c r="AP144" s="5" t="str">
        <f>IF(L144="","",VLOOKUP($L144,classifications!$C:$E,3,FALSE))</f>
        <v/>
      </c>
      <c r="AQ144" s="43" t="str">
        <f t="shared" si="64"/>
        <v/>
      </c>
      <c r="AR144" s="40" t="str">
        <f>IF(AQ144="","",IF(I$8="A",(RANK(AQ144,AQ$11:AQ$349,1)+COUNTIF(AQ$11:AQ144,AQ144)-1),(RANK(AQ144,AQ$11:AQ$349)+COUNTIF(AQ$11:AQ144,AQ144)-1)))</f>
        <v/>
      </c>
      <c r="AS144" s="3" t="str">
        <f t="shared" si="65"/>
        <v/>
      </c>
      <c r="AT144" s="40" t="str">
        <f t="shared" si="66"/>
        <v/>
      </c>
      <c r="AU144" s="43" t="str">
        <f t="shared" si="67"/>
        <v/>
      </c>
      <c r="AX144">
        <f>HLOOKUP($AX$9&amp;$AX$10,Data!$A$1:$ZZ$1988,(MATCH($C144,Data!$A$1:$A$1988,0)),FALSE)</f>
        <v>100</v>
      </c>
    </row>
    <row r="145" spans="1:50">
      <c r="A145" s="59" t="str">
        <f>$D$1&amp;135</f>
        <v>UA135</v>
      </c>
      <c r="B145" s="60">
        <f>IF(ISERROR(VLOOKUP(A145,classifications!A:C,3,FALSE)),0,VLOOKUP(A145,classifications!A:C,3,FALSE))</f>
        <v>0</v>
      </c>
      <c r="C145" t="s">
        <v>209</v>
      </c>
      <c r="D145" t="str">
        <f>VLOOKUP($C145,classifications!$C:$J,4,FALSE)</f>
        <v>L</v>
      </c>
      <c r="E145">
        <f>VLOOKUP(C145,classifications!C:K,9,FALSE)</f>
        <v>0</v>
      </c>
      <c r="F145">
        <f t="shared" ref="F145:F208" si="68">HLOOKUP($D$6,AX$10:ZX$353,ROW()-9,FALSE)</f>
        <v>100</v>
      </c>
      <c r="G145" s="15"/>
      <c r="H145" s="42" t="str">
        <f t="shared" ref="H145:H208" si="69">IF(D145=$D$1,HLOOKUP($D$6,$AX$10:$ZZ$353,ROW()-9,FALSE),"")</f>
        <v/>
      </c>
      <c r="I145" s="79" t="str">
        <f>IF(H145="","",IF($I$8="A",(RANK(H145,H$11:H$349,1)+COUNTIF(H$11:H145,H145)-1),(RANK(H145,H$11:H$349)+COUNTIF(H$11:H145,H145)-1)))</f>
        <v/>
      </c>
      <c r="J145" s="41"/>
      <c r="K145" s="36" t="str">
        <f t="shared" ref="K145:K208" si="70">IF(K144="","",IF(K144+1&gt;(COUNT(H$11:H$349)),"",K144+1))</f>
        <v/>
      </c>
      <c r="L145" t="str">
        <f t="shared" ref="L145:L208" si="71">IF(K145="","",INDEX(C$11:C$349,MATCH(K145,I$11:I$349,0)))</f>
        <v/>
      </c>
      <c r="M145" s="117" t="str">
        <f t="shared" ref="M145:M208" si="72">IF(L145="","",IF(VLOOKUP(L145,C:D,2,FALSE)=$F$3,VLOOKUP(L145,C:H,6,FALSE),""))</f>
        <v/>
      </c>
      <c r="N145" s="112" t="str">
        <f t="shared" ref="N145:N208" si="73">IF(L145="","",IF($H$8="%%",M145*100,M145))</f>
        <v/>
      </c>
      <c r="O145" s="96" t="str">
        <f t="shared" ref="O145:O208" si="74">IF(I$8="A",IF(N145&gt;=$P$7,IF(N145&lt;=$O$10,N145,""),""),IF(N145&lt;=$P$7,IF(N145&gt;=$O$10,N145,""),""))</f>
        <v/>
      </c>
      <c r="P145" s="96" t="str">
        <f t="shared" ref="P145:P208" si="75">IF(I$8="A",IF(N145&gt;$O$10,IF(N145&lt;=$P$10,N145,""),""),IF(N145&lt;$O$10,IF(N145&gt;=$P$10,N145,""),""))</f>
        <v/>
      </c>
      <c r="Q145" s="96" t="str">
        <f t="shared" ref="Q145:Q208" si="76">IF(I$8="A",IF(N145&gt;$P$10,IF(N145&lt;=$Q$10,N145,""),""),IF(N145&lt;$P$10,IF(N145&gt;=$Q$10,N145,""),""))</f>
        <v/>
      </c>
      <c r="R145" s="92" t="str">
        <f t="shared" ref="R145:R208" si="77">IF(I$8="A",IF(N145&gt;$Q$10,N145,""),IF(N145&lt;$Q$10,N145,""))</f>
        <v/>
      </c>
      <c r="S145" s="42" t="str">
        <f t="shared" ref="S145:S208" si="78">IF(L145=D$3,"u","")</f>
        <v/>
      </c>
      <c r="T145" s="176" t="str">
        <f>IF(L145="","",VLOOKUP(L145,classifications!C:K,9,FALSE))</f>
        <v/>
      </c>
      <c r="U145" s="177" t="str">
        <f t="shared" ref="U145:U208" si="79">IF(T145="Sparse",M145,"")</f>
        <v/>
      </c>
      <c r="V145" s="183" t="str">
        <f>IF(U145="","",IF($I$8="A",(RANK(U145,U$11:U$349)+COUNTIF(U$11:U145,U145)-1),(RANK(U145,U$11:U$349,1)+COUNTIF(U$11:U145,U145)-1)))</f>
        <v/>
      </c>
      <c r="W145" s="184"/>
      <c r="X145" s="5" t="str">
        <f>IF(L145="","",VLOOKUP($L145,classifications!$C:$J,6,FALSE))</f>
        <v/>
      </c>
      <c r="Y145" t="str">
        <f t="shared" ref="Y145:Y208" si="80">IF($D$1="UA",IF(X145="Predominantly Rural ",M145,IF(X145="Predominantly Rural ",M145,IF(X145="Urban with Significant Rural",M145,""))),IF($D$1="SD",IF(X145=$H$3,M145,"")))</f>
        <v/>
      </c>
      <c r="Z145" s="40" t="str">
        <f>IF(Y145="","",IF(I$8="A",(RANK(Y145,Y$11:Y$349,1)+COUNTIF(Y$11:Y145,Y145)-1),(RANK(Y145,Y$11:Y$349)+COUNTIF(Y$11:Y145,Y145)-1)))</f>
        <v/>
      </c>
      <c r="AA145" s="189" t="str">
        <f>IF(L145="","",VLOOKUP($L145,classifications!C:I,7,FALSE))</f>
        <v/>
      </c>
      <c r="AB145" s="183" t="str">
        <f t="shared" ref="AB145:AB208" si="81">IF(AA145=$J$3,M145,"")</f>
        <v/>
      </c>
      <c r="AC145" s="183" t="str">
        <f>IF(AB145="","",IF($I$8="A",(RANK(AB145,AB$11:AB$349)+COUNTIF(AB$11:AB145,AB145)-1),(RANK(AB145,AB$11:AB$349,1)+COUNTIF(AB$11:AB145,AB145)-1)))</f>
        <v/>
      </c>
      <c r="AD145" s="183"/>
      <c r="AE145" s="49">
        <f>IF(I$8="A",(RANK(AG145,AG$11:AG$349,1)+COUNTIF(AG$11:AG145,AG145)-1),(RANK(AG145,AG$11:AG$349)+COUNTIF(AG$11:AG145,AG145)-1))</f>
        <v>135</v>
      </c>
      <c r="AF145" t="str">
        <f>VLOOKUP(Profile!$J$5,Families!$C:$R,6,FALSE)</f>
        <v>Herefordshire</v>
      </c>
      <c r="AG145" s="15">
        <f t="shared" ref="AG145:AG208" si="82">VLOOKUP(AF145,$C$11:$H$349,4,FALSE)</f>
        <v>62.711864406779661</v>
      </c>
      <c r="AH145" s="50">
        <f t="shared" ref="AH145:AH208" si="83">AE145</f>
        <v>135</v>
      </c>
      <c r="AI145" s="5" t="str">
        <f>IF(L145="","",VLOOKUP($L145,classifications!$C:$J,8,FALSE))</f>
        <v/>
      </c>
      <c r="AJ145" s="43" t="str">
        <f t="shared" ref="AJ145:AJ208" si="84">IF(AI145=$I$3,M145,"")</f>
        <v/>
      </c>
      <c r="AK145" s="40" t="str">
        <f>IF(AJ145="","",IF(I$8="A",(RANK(AJ145,AJ$11:AJ$349,1)+COUNTIF(AJ$11:AJ145,AJ145)-1),(RANK(AJ145,AJ$11:AJ$349)+COUNTIF(AJ$11:AJ145,AJ145)-1)))</f>
        <v/>
      </c>
      <c r="AL145" s="3" t="str">
        <f t="shared" ref="AL145:AL208" si="85">IF(AL144="","",IF(AL144+1&gt;(COUNT(AJ$11:AJ$349)),"",AL144+1))</f>
        <v/>
      </c>
      <c r="AM145" t="str">
        <f t="shared" ref="AM145:AM208" si="86">IF(ISNA(IF(AL145="","",INDEX(L$11:L$349,MATCH(AL145,AK$11:AK$349,0)))),"",(IF(AL145="","",INDEX(L$11:L$349,MATCH(AL145,AK$11:AK$349,0)))))</f>
        <v/>
      </c>
      <c r="AN145" t="str">
        <f t="shared" ref="AN145:AN208" si="87">(VLOOKUP(AM145,L:M,2,FALSE))</f>
        <v/>
      </c>
      <c r="AP145" s="5" t="str">
        <f>IF(L145="","",VLOOKUP($L145,classifications!$C:$E,3,FALSE))</f>
        <v/>
      </c>
      <c r="AQ145" s="43" t="str">
        <f t="shared" ref="AQ145:AQ208" si="88">IF(AP145=$G$3,$M145,"")</f>
        <v/>
      </c>
      <c r="AR145" s="40" t="str">
        <f>IF(AQ145="","",IF(I$8="A",(RANK(AQ145,AQ$11:AQ$349,1)+COUNTIF(AQ$11:AQ145,AQ145)-1),(RANK(AQ145,AQ$11:AQ$349)+COUNTIF(AQ$11:AQ145,AQ145)-1)))</f>
        <v/>
      </c>
      <c r="AS145" s="3" t="str">
        <f t="shared" ref="AS145:AS208" si="89">IF(AS144="","",IF(AS144+1&gt;(COUNT(AQ$11:AQ$349)),"",AS144+1))</f>
        <v/>
      </c>
      <c r="AT145" s="40" t="str">
        <f t="shared" ref="AT145:AT208" si="90">IF(AS145="","",INDEX(L$11:L$349,MATCH(AS145,AR$11:AR$349,0)))</f>
        <v/>
      </c>
      <c r="AU145" s="43" t="str">
        <f t="shared" ref="AU145:AU208" si="91">IF(AT145="","",VLOOKUP(AT145,L:M,2,FALSE))</f>
        <v/>
      </c>
      <c r="AX145">
        <f>HLOOKUP($AX$9&amp;$AX$10,Data!$A$1:$ZZ$1988,(MATCH($C145,Data!$A$1:$A$1988,0)),FALSE)</f>
        <v>100</v>
      </c>
    </row>
    <row r="146" spans="1:50">
      <c r="A146" s="59" t="str">
        <f>$D$1&amp;136</f>
        <v>UA136</v>
      </c>
      <c r="B146" s="60">
        <f>IF(ISERROR(VLOOKUP(A146,classifications!A:C,3,FALSE)),0,VLOOKUP(A146,classifications!A:C,3,FALSE))</f>
        <v>0</v>
      </c>
      <c r="C146" t="s">
        <v>344</v>
      </c>
      <c r="D146" t="str">
        <f>VLOOKUP($C146,classifications!$C:$J,4,FALSE)</f>
        <v>SD</v>
      </c>
      <c r="E146">
        <f>VLOOKUP(C146,classifications!C:K,9,FALSE)</f>
        <v>0</v>
      </c>
      <c r="F146">
        <f t="shared" si="68"/>
        <v>63.829787234042556</v>
      </c>
      <c r="G146" s="15"/>
      <c r="H146" s="42" t="str">
        <f t="shared" si="69"/>
        <v/>
      </c>
      <c r="I146" s="79" t="str">
        <f>IF(H146="","",IF($I$8="A",(RANK(H146,H$11:H$349,1)+COUNTIF(H$11:H146,H146)-1),(RANK(H146,H$11:H$349)+COUNTIF(H$11:H146,H146)-1)))</f>
        <v/>
      </c>
      <c r="J146" s="41"/>
      <c r="K146" s="36" t="str">
        <f t="shared" si="70"/>
        <v/>
      </c>
      <c r="L146" t="str">
        <f t="shared" si="71"/>
        <v/>
      </c>
      <c r="M146" s="117" t="str">
        <f t="shared" si="72"/>
        <v/>
      </c>
      <c r="N146" s="112" t="str">
        <f t="shared" si="73"/>
        <v/>
      </c>
      <c r="O146" s="96" t="str">
        <f t="shared" si="74"/>
        <v/>
      </c>
      <c r="P146" s="96" t="str">
        <f t="shared" si="75"/>
        <v/>
      </c>
      <c r="Q146" s="96" t="str">
        <f t="shared" si="76"/>
        <v/>
      </c>
      <c r="R146" s="92" t="str">
        <f t="shared" si="77"/>
        <v/>
      </c>
      <c r="S146" s="42" t="str">
        <f t="shared" si="78"/>
        <v/>
      </c>
      <c r="T146" s="176" t="str">
        <f>IF(L146="","",VLOOKUP(L146,classifications!C:K,9,FALSE))</f>
        <v/>
      </c>
      <c r="U146" s="177" t="str">
        <f t="shared" si="79"/>
        <v/>
      </c>
      <c r="V146" s="183" t="str">
        <f>IF(U146="","",IF($I$8="A",(RANK(U146,U$11:U$349)+COUNTIF(U$11:U146,U146)-1),(RANK(U146,U$11:U$349,1)+COUNTIF(U$11:U146,U146)-1)))</f>
        <v/>
      </c>
      <c r="W146" s="184"/>
      <c r="X146" s="5" t="str">
        <f>IF(L146="","",VLOOKUP($L146,classifications!$C:$J,6,FALSE))</f>
        <v/>
      </c>
      <c r="Y146" t="str">
        <f t="shared" si="80"/>
        <v/>
      </c>
      <c r="Z146" s="40" t="str">
        <f>IF(Y146="","",IF(I$8="A",(RANK(Y146,Y$11:Y$349,1)+COUNTIF(Y$11:Y146,Y146)-1),(RANK(Y146,Y$11:Y$349)+COUNTIF(Y$11:Y146,Y146)-1)))</f>
        <v/>
      </c>
      <c r="AA146" s="189" t="str">
        <f>IF(L146="","",VLOOKUP($L146,classifications!C:I,7,FALSE))</f>
        <v/>
      </c>
      <c r="AB146" s="183" t="str">
        <f t="shared" si="81"/>
        <v/>
      </c>
      <c r="AC146" s="183" t="str">
        <f>IF(AB146="","",IF($I$8="A",(RANK(AB146,AB$11:AB$349)+COUNTIF(AB$11:AB146,AB146)-1),(RANK(AB146,AB$11:AB$349,1)+COUNTIF(AB$11:AB146,AB146)-1)))</f>
        <v/>
      </c>
      <c r="AD146" s="183"/>
      <c r="AE146" s="49">
        <f>IF(I$8="A",(RANK(AG146,AG$11:AG$349,1)+COUNTIF(AG$11:AG146,AG146)-1),(RANK(AG146,AG$11:AG$349)+COUNTIF(AG$11:AG146,AG146)-1))</f>
        <v>136</v>
      </c>
      <c r="AF146" t="str">
        <f>VLOOKUP(Profile!$J$5,Families!$C:$R,6,FALSE)</f>
        <v>Herefordshire</v>
      </c>
      <c r="AG146" s="15">
        <f t="shared" si="82"/>
        <v>62.711864406779661</v>
      </c>
      <c r="AH146" s="50">
        <f t="shared" si="83"/>
        <v>136</v>
      </c>
      <c r="AI146" s="5" t="str">
        <f>IF(L146="","",VLOOKUP($L146,classifications!$C:$J,8,FALSE))</f>
        <v/>
      </c>
      <c r="AJ146" s="43" t="str">
        <f t="shared" si="84"/>
        <v/>
      </c>
      <c r="AK146" s="40" t="str">
        <f>IF(AJ146="","",IF(I$8="A",(RANK(AJ146,AJ$11:AJ$349,1)+COUNTIF(AJ$11:AJ146,AJ146)-1),(RANK(AJ146,AJ$11:AJ$349)+COUNTIF(AJ$11:AJ146,AJ146)-1)))</f>
        <v/>
      </c>
      <c r="AL146" s="3" t="str">
        <f t="shared" si="85"/>
        <v/>
      </c>
      <c r="AM146" t="str">
        <f t="shared" si="86"/>
        <v/>
      </c>
      <c r="AN146" t="str">
        <f t="shared" si="87"/>
        <v/>
      </c>
      <c r="AP146" s="5" t="str">
        <f>IF(L146="","",VLOOKUP($L146,classifications!$C:$E,3,FALSE))</f>
        <v/>
      </c>
      <c r="AQ146" s="43" t="str">
        <f t="shared" si="88"/>
        <v/>
      </c>
      <c r="AR146" s="40" t="str">
        <f>IF(AQ146="","",IF(I$8="A",(RANK(AQ146,AQ$11:AQ$349,1)+COUNTIF(AQ$11:AQ146,AQ146)-1),(RANK(AQ146,AQ$11:AQ$349)+COUNTIF(AQ$11:AQ146,AQ146)-1)))</f>
        <v/>
      </c>
      <c r="AS146" s="3" t="str">
        <f t="shared" si="89"/>
        <v/>
      </c>
      <c r="AT146" s="40" t="str">
        <f t="shared" si="90"/>
        <v/>
      </c>
      <c r="AU146" s="43" t="str">
        <f t="shared" si="91"/>
        <v/>
      </c>
      <c r="AX146">
        <f>HLOOKUP($AX$9&amp;$AX$10,Data!$A$1:$ZZ$1988,(MATCH($C146,Data!$A$1:$A$1988,0)),FALSE)</f>
        <v>63.829787234042556</v>
      </c>
    </row>
    <row r="147" spans="1:50">
      <c r="A147" s="59" t="str">
        <f>$D$1&amp;137</f>
        <v>UA137</v>
      </c>
      <c r="B147" s="60">
        <f>IF(ISERROR(VLOOKUP(A147,classifications!A:C,3,FALSE)),0,VLOOKUP(A147,classifications!A:C,3,FALSE))</f>
        <v>0</v>
      </c>
      <c r="C147" t="s">
        <v>87</v>
      </c>
      <c r="D147" t="str">
        <f>VLOOKUP($C147,classifications!$C:$J,4,FALSE)</f>
        <v>SD</v>
      </c>
      <c r="E147">
        <f>VLOOKUP(C147,classifications!C:K,9,FALSE)</f>
        <v>0</v>
      </c>
      <c r="F147">
        <f t="shared" si="68"/>
        <v>85</v>
      </c>
      <c r="G147" s="15"/>
      <c r="H147" s="42" t="str">
        <f t="shared" si="69"/>
        <v/>
      </c>
      <c r="I147" s="79" t="str">
        <f>IF(H147="","",IF($I$8="A",(RANK(H147,H$11:H$349,1)+COUNTIF(H$11:H147,H147)-1),(RANK(H147,H$11:H$349)+COUNTIF(H$11:H147,H147)-1)))</f>
        <v/>
      </c>
      <c r="J147" s="41"/>
      <c r="K147" s="36" t="str">
        <f t="shared" si="70"/>
        <v/>
      </c>
      <c r="L147" t="str">
        <f t="shared" si="71"/>
        <v/>
      </c>
      <c r="M147" s="117" t="str">
        <f t="shared" si="72"/>
        <v/>
      </c>
      <c r="N147" s="112" t="str">
        <f t="shared" si="73"/>
        <v/>
      </c>
      <c r="O147" s="96" t="str">
        <f t="shared" si="74"/>
        <v/>
      </c>
      <c r="P147" s="96" t="str">
        <f t="shared" si="75"/>
        <v/>
      </c>
      <c r="Q147" s="96" t="str">
        <f t="shared" si="76"/>
        <v/>
      </c>
      <c r="R147" s="92" t="str">
        <f t="shared" si="77"/>
        <v/>
      </c>
      <c r="S147" s="42" t="str">
        <f t="shared" si="78"/>
        <v/>
      </c>
      <c r="T147" s="176" t="str">
        <f>IF(L147="","",VLOOKUP(L147,classifications!C:K,9,FALSE))</f>
        <v/>
      </c>
      <c r="U147" s="177" t="str">
        <f t="shared" si="79"/>
        <v/>
      </c>
      <c r="V147" s="183" t="str">
        <f>IF(U147="","",IF($I$8="A",(RANK(U147,U$11:U$349)+COUNTIF(U$11:U147,U147)-1),(RANK(U147,U$11:U$349,1)+COUNTIF(U$11:U147,U147)-1)))</f>
        <v/>
      </c>
      <c r="W147" s="184"/>
      <c r="X147" s="5" t="str">
        <f>IF(L147="","",VLOOKUP($L147,classifications!$C:$J,6,FALSE))</f>
        <v/>
      </c>
      <c r="Y147" t="str">
        <f t="shared" si="80"/>
        <v/>
      </c>
      <c r="Z147" s="40" t="str">
        <f>IF(Y147="","",IF(I$8="A",(RANK(Y147,Y$11:Y$349,1)+COUNTIF(Y$11:Y147,Y147)-1),(RANK(Y147,Y$11:Y$349)+COUNTIF(Y$11:Y147,Y147)-1)))</f>
        <v/>
      </c>
      <c r="AA147" s="189" t="str">
        <f>IF(L147="","",VLOOKUP($L147,classifications!C:I,7,FALSE))</f>
        <v/>
      </c>
      <c r="AB147" s="183" t="str">
        <f t="shared" si="81"/>
        <v/>
      </c>
      <c r="AC147" s="183" t="str">
        <f>IF(AB147="","",IF($I$8="A",(RANK(AB147,AB$11:AB$349)+COUNTIF(AB$11:AB147,AB147)-1),(RANK(AB147,AB$11:AB$349,1)+COUNTIF(AB$11:AB147,AB147)-1)))</f>
        <v/>
      </c>
      <c r="AD147" s="183"/>
      <c r="AE147" s="49">
        <f>IF(I$8="A",(RANK(AG147,AG$11:AG$349,1)+COUNTIF(AG$11:AG147,AG147)-1),(RANK(AG147,AG$11:AG$349)+COUNTIF(AG$11:AG147,AG147)-1))</f>
        <v>137</v>
      </c>
      <c r="AF147" t="str">
        <f>VLOOKUP(Profile!$J$5,Families!$C:$R,6,FALSE)</f>
        <v>Herefordshire</v>
      </c>
      <c r="AG147" s="15">
        <f t="shared" si="82"/>
        <v>62.711864406779661</v>
      </c>
      <c r="AH147" s="50">
        <f t="shared" si="83"/>
        <v>137</v>
      </c>
      <c r="AI147" s="5" t="str">
        <f>IF(L147="","",VLOOKUP($L147,classifications!$C:$J,8,FALSE))</f>
        <v/>
      </c>
      <c r="AJ147" s="43" t="str">
        <f t="shared" si="84"/>
        <v/>
      </c>
      <c r="AK147" s="40" t="str">
        <f>IF(AJ147="","",IF(I$8="A",(RANK(AJ147,AJ$11:AJ$349,1)+COUNTIF(AJ$11:AJ147,AJ147)-1),(RANK(AJ147,AJ$11:AJ$349)+COUNTIF(AJ$11:AJ147,AJ147)-1)))</f>
        <v/>
      </c>
      <c r="AL147" s="3" t="str">
        <f t="shared" si="85"/>
        <v/>
      </c>
      <c r="AM147" t="str">
        <f t="shared" si="86"/>
        <v/>
      </c>
      <c r="AN147" t="str">
        <f t="shared" si="87"/>
        <v/>
      </c>
      <c r="AP147" s="5" t="str">
        <f>IF(L147="","",VLOOKUP($L147,classifications!$C:$E,3,FALSE))</f>
        <v/>
      </c>
      <c r="AQ147" s="43" t="str">
        <f t="shared" si="88"/>
        <v/>
      </c>
      <c r="AR147" s="40" t="str">
        <f>IF(AQ147="","",IF(I$8="A",(RANK(AQ147,AQ$11:AQ$349,1)+COUNTIF(AQ$11:AQ147,AQ147)-1),(RANK(AQ147,AQ$11:AQ$349)+COUNTIF(AQ$11:AQ147,AQ147)-1)))</f>
        <v/>
      </c>
      <c r="AS147" s="3" t="str">
        <f t="shared" si="89"/>
        <v/>
      </c>
      <c r="AT147" s="40" t="str">
        <f t="shared" si="90"/>
        <v/>
      </c>
      <c r="AU147" s="43" t="str">
        <f t="shared" si="91"/>
        <v/>
      </c>
      <c r="AX147">
        <f>HLOOKUP($AX$9&amp;$AX$10,Data!$A$1:$ZZ$1988,(MATCH($C147,Data!$A$1:$A$1988,0)),FALSE)</f>
        <v>85</v>
      </c>
    </row>
    <row r="148" spans="1:50">
      <c r="A148" s="59" t="str">
        <f>$D$1&amp;138</f>
        <v>UA138</v>
      </c>
      <c r="B148" s="60">
        <f>IF(ISERROR(VLOOKUP(A148,classifications!A:C,3,FALSE)),0,VLOOKUP(A148,classifications!A:C,3,FALSE))</f>
        <v>0</v>
      </c>
      <c r="C148" t="s">
        <v>210</v>
      </c>
      <c r="D148" t="str">
        <f>VLOOKUP($C148,classifications!$C:$J,4,FALSE)</f>
        <v>L</v>
      </c>
      <c r="E148">
        <f>VLOOKUP(C148,classifications!C:K,9,FALSE)</f>
        <v>0</v>
      </c>
      <c r="F148">
        <f t="shared" si="68"/>
        <v>70.967741935483872</v>
      </c>
      <c r="G148" s="15"/>
      <c r="H148" s="42" t="str">
        <f t="shared" si="69"/>
        <v/>
      </c>
      <c r="I148" s="79" t="str">
        <f>IF(H148="","",IF($I$8="A",(RANK(H148,H$11:H$349,1)+COUNTIF(H$11:H148,H148)-1),(RANK(H148,H$11:H$349)+COUNTIF(H$11:H148,H148)-1)))</f>
        <v/>
      </c>
      <c r="J148" s="41"/>
      <c r="K148" s="36" t="str">
        <f t="shared" si="70"/>
        <v/>
      </c>
      <c r="L148" t="str">
        <f t="shared" si="71"/>
        <v/>
      </c>
      <c r="M148" s="117" t="str">
        <f t="shared" si="72"/>
        <v/>
      </c>
      <c r="N148" s="112" t="str">
        <f t="shared" si="73"/>
        <v/>
      </c>
      <c r="O148" s="96" t="str">
        <f t="shared" si="74"/>
        <v/>
      </c>
      <c r="P148" s="96" t="str">
        <f t="shared" si="75"/>
        <v/>
      </c>
      <c r="Q148" s="96" t="str">
        <f t="shared" si="76"/>
        <v/>
      </c>
      <c r="R148" s="92" t="str">
        <f t="shared" si="77"/>
        <v/>
      </c>
      <c r="S148" s="42" t="str">
        <f t="shared" si="78"/>
        <v/>
      </c>
      <c r="T148" s="176" t="str">
        <f>IF(L148="","",VLOOKUP(L148,classifications!C:K,9,FALSE))</f>
        <v/>
      </c>
      <c r="U148" s="177" t="str">
        <f t="shared" si="79"/>
        <v/>
      </c>
      <c r="V148" s="183" t="str">
        <f>IF(U148="","",IF($I$8="A",(RANK(U148,U$11:U$349)+COUNTIF(U$11:U148,U148)-1),(RANK(U148,U$11:U$349,1)+COUNTIF(U$11:U148,U148)-1)))</f>
        <v/>
      </c>
      <c r="W148" s="184"/>
      <c r="X148" s="5" t="str">
        <f>IF(L148="","",VLOOKUP($L148,classifications!$C:$J,6,FALSE))</f>
        <v/>
      </c>
      <c r="Y148" t="str">
        <f t="shared" si="80"/>
        <v/>
      </c>
      <c r="Z148" s="40" t="str">
        <f>IF(Y148="","",IF(I$8="A",(RANK(Y148,Y$11:Y$349,1)+COUNTIF(Y$11:Y148,Y148)-1),(RANK(Y148,Y$11:Y$349)+COUNTIF(Y$11:Y148,Y148)-1)))</f>
        <v/>
      </c>
      <c r="AA148" s="189" t="str">
        <f>IF(L148="","",VLOOKUP($L148,classifications!C:I,7,FALSE))</f>
        <v/>
      </c>
      <c r="AB148" s="183" t="str">
        <f t="shared" si="81"/>
        <v/>
      </c>
      <c r="AC148" s="183" t="str">
        <f>IF(AB148="","",IF($I$8="A",(RANK(AB148,AB$11:AB$349)+COUNTIF(AB$11:AB148,AB148)-1),(RANK(AB148,AB$11:AB$349,1)+COUNTIF(AB$11:AB148,AB148)-1)))</f>
        <v/>
      </c>
      <c r="AD148" s="183"/>
      <c r="AE148" s="49">
        <f>IF(I$8="A",(RANK(AG148,AG$11:AG$349,1)+COUNTIF(AG$11:AG148,AG148)-1),(RANK(AG148,AG$11:AG$349)+COUNTIF(AG$11:AG148,AG148)-1))</f>
        <v>138</v>
      </c>
      <c r="AF148" t="str">
        <f>VLOOKUP(Profile!$J$5,Families!$C:$R,6,FALSE)</f>
        <v>Herefordshire</v>
      </c>
      <c r="AG148" s="15">
        <f t="shared" si="82"/>
        <v>62.711864406779661</v>
      </c>
      <c r="AH148" s="50">
        <f t="shared" si="83"/>
        <v>138</v>
      </c>
      <c r="AI148" s="5" t="str">
        <f>IF(L148="","",VLOOKUP($L148,classifications!$C:$J,8,FALSE))</f>
        <v/>
      </c>
      <c r="AJ148" s="43" t="str">
        <f t="shared" si="84"/>
        <v/>
      </c>
      <c r="AK148" s="40" t="str">
        <f>IF(AJ148="","",IF(I$8="A",(RANK(AJ148,AJ$11:AJ$349,1)+COUNTIF(AJ$11:AJ148,AJ148)-1),(RANK(AJ148,AJ$11:AJ$349)+COUNTIF(AJ$11:AJ148,AJ148)-1)))</f>
        <v/>
      </c>
      <c r="AL148" s="3" t="str">
        <f t="shared" si="85"/>
        <v/>
      </c>
      <c r="AM148" t="str">
        <f t="shared" si="86"/>
        <v/>
      </c>
      <c r="AN148" t="str">
        <f t="shared" si="87"/>
        <v/>
      </c>
      <c r="AP148" s="5" t="str">
        <f>IF(L148="","",VLOOKUP($L148,classifications!$C:$E,3,FALSE))</f>
        <v/>
      </c>
      <c r="AQ148" s="43" t="str">
        <f t="shared" si="88"/>
        <v/>
      </c>
      <c r="AR148" s="40" t="str">
        <f>IF(AQ148="","",IF(I$8="A",(RANK(AQ148,AQ$11:AQ$349,1)+COUNTIF(AQ$11:AQ148,AQ148)-1),(RANK(AQ148,AQ$11:AQ$349)+COUNTIF(AQ$11:AQ148,AQ148)-1)))</f>
        <v/>
      </c>
      <c r="AS148" s="3" t="str">
        <f t="shared" si="89"/>
        <v/>
      </c>
      <c r="AT148" s="40" t="str">
        <f t="shared" si="90"/>
        <v/>
      </c>
      <c r="AU148" s="43" t="str">
        <f t="shared" si="91"/>
        <v/>
      </c>
      <c r="AX148">
        <f>HLOOKUP($AX$9&amp;$AX$10,Data!$A$1:$ZZ$1988,(MATCH($C148,Data!$A$1:$A$1988,0)),FALSE)</f>
        <v>70.967741935483872</v>
      </c>
    </row>
    <row r="149" spans="1:50">
      <c r="A149" s="59" t="str">
        <f>$D$1&amp;139</f>
        <v>UA139</v>
      </c>
      <c r="B149" s="60">
        <f>IF(ISERROR(VLOOKUP(A149,classifications!A:C,3,FALSE)),0,VLOOKUP(A149,classifications!A:C,3,FALSE))</f>
        <v>0</v>
      </c>
      <c r="C149" t="s">
        <v>88</v>
      </c>
      <c r="D149" t="str">
        <f>VLOOKUP($C149,classifications!$C:$J,4,FALSE)</f>
        <v>SD</v>
      </c>
      <c r="E149">
        <f>VLOOKUP(C149,classifications!C:K,9,FALSE)</f>
        <v>0</v>
      </c>
      <c r="F149">
        <f t="shared" si="68"/>
        <v>84.482758620689651</v>
      </c>
      <c r="G149" s="15"/>
      <c r="H149" s="42" t="str">
        <f t="shared" si="69"/>
        <v/>
      </c>
      <c r="I149" s="79" t="str">
        <f>IF(H149="","",IF($I$8="A",(RANK(H149,H$11:H$349,1)+COUNTIF(H$11:H149,H149)-1),(RANK(H149,H$11:H$349)+COUNTIF(H$11:H149,H149)-1)))</f>
        <v/>
      </c>
      <c r="J149" s="41"/>
      <c r="K149" s="36" t="str">
        <f t="shared" si="70"/>
        <v/>
      </c>
      <c r="L149" t="str">
        <f t="shared" si="71"/>
        <v/>
      </c>
      <c r="M149" s="117" t="str">
        <f t="shared" si="72"/>
        <v/>
      </c>
      <c r="N149" s="112" t="str">
        <f t="shared" si="73"/>
        <v/>
      </c>
      <c r="O149" s="96" t="str">
        <f t="shared" si="74"/>
        <v/>
      </c>
      <c r="P149" s="96" t="str">
        <f t="shared" si="75"/>
        <v/>
      </c>
      <c r="Q149" s="96" t="str">
        <f t="shared" si="76"/>
        <v/>
      </c>
      <c r="R149" s="92" t="str">
        <f t="shared" si="77"/>
        <v/>
      </c>
      <c r="S149" s="42" t="str">
        <f t="shared" si="78"/>
        <v/>
      </c>
      <c r="T149" s="176" t="str">
        <f>IF(L149="","",VLOOKUP(L149,classifications!C:K,9,FALSE))</f>
        <v/>
      </c>
      <c r="U149" s="177" t="str">
        <f t="shared" si="79"/>
        <v/>
      </c>
      <c r="V149" s="183" t="str">
        <f>IF(U149="","",IF($I$8="A",(RANK(U149,U$11:U$349)+COUNTIF(U$11:U149,U149)-1),(RANK(U149,U$11:U$349,1)+COUNTIF(U$11:U149,U149)-1)))</f>
        <v/>
      </c>
      <c r="W149" s="184"/>
      <c r="X149" s="5" t="str">
        <f>IF(L149="","",VLOOKUP($L149,classifications!$C:$J,6,FALSE))</f>
        <v/>
      </c>
      <c r="Y149" t="str">
        <f t="shared" si="80"/>
        <v/>
      </c>
      <c r="Z149" s="40" t="str">
        <f>IF(Y149="","",IF(I$8="A",(RANK(Y149,Y$11:Y$349,1)+COUNTIF(Y$11:Y149,Y149)-1),(RANK(Y149,Y$11:Y$349)+COUNTIF(Y$11:Y149,Y149)-1)))</f>
        <v/>
      </c>
      <c r="AA149" s="189" t="str">
        <f>IF(L149="","",VLOOKUP($L149,classifications!C:I,7,FALSE))</f>
        <v/>
      </c>
      <c r="AB149" s="183" t="str">
        <f t="shared" si="81"/>
        <v/>
      </c>
      <c r="AC149" s="183" t="str">
        <f>IF(AB149="","",IF($I$8="A",(RANK(AB149,AB$11:AB$349)+COUNTIF(AB$11:AB149,AB149)-1),(RANK(AB149,AB$11:AB$349,1)+COUNTIF(AB$11:AB149,AB149)-1)))</f>
        <v/>
      </c>
      <c r="AD149" s="183"/>
      <c r="AE149" s="49">
        <f>IF(I$8="A",(RANK(AG149,AG$11:AG$349,1)+COUNTIF(AG$11:AG149,AG149)-1),(RANK(AG149,AG$11:AG$349)+COUNTIF(AG$11:AG149,AG149)-1))</f>
        <v>139</v>
      </c>
      <c r="AF149" t="str">
        <f>VLOOKUP(Profile!$J$5,Families!$C:$R,6,FALSE)</f>
        <v>Herefordshire</v>
      </c>
      <c r="AG149" s="15">
        <f t="shared" si="82"/>
        <v>62.711864406779661</v>
      </c>
      <c r="AH149" s="50">
        <f t="shared" si="83"/>
        <v>139</v>
      </c>
      <c r="AI149" s="5" t="str">
        <f>IF(L149="","",VLOOKUP($L149,classifications!$C:$J,8,FALSE))</f>
        <v/>
      </c>
      <c r="AJ149" s="43" t="str">
        <f t="shared" si="84"/>
        <v/>
      </c>
      <c r="AK149" s="40" t="str">
        <f>IF(AJ149="","",IF(I$8="A",(RANK(AJ149,AJ$11:AJ$349,1)+COUNTIF(AJ$11:AJ149,AJ149)-1),(RANK(AJ149,AJ$11:AJ$349)+COUNTIF(AJ$11:AJ149,AJ149)-1)))</f>
        <v/>
      </c>
      <c r="AL149" s="3" t="str">
        <f t="shared" si="85"/>
        <v/>
      </c>
      <c r="AM149" t="str">
        <f t="shared" si="86"/>
        <v/>
      </c>
      <c r="AN149" t="str">
        <f t="shared" si="87"/>
        <v/>
      </c>
      <c r="AP149" s="5" t="str">
        <f>IF(L149="","",VLOOKUP($L149,classifications!$C:$E,3,FALSE))</f>
        <v/>
      </c>
      <c r="AQ149" s="43" t="str">
        <f t="shared" si="88"/>
        <v/>
      </c>
      <c r="AR149" s="40" t="str">
        <f>IF(AQ149="","",IF(I$8="A",(RANK(AQ149,AQ$11:AQ$349,1)+COUNTIF(AQ$11:AQ149,AQ149)-1),(RANK(AQ149,AQ$11:AQ$349)+COUNTIF(AQ$11:AQ149,AQ149)-1)))</f>
        <v/>
      </c>
      <c r="AS149" s="3" t="str">
        <f t="shared" si="89"/>
        <v/>
      </c>
      <c r="AT149" s="40" t="str">
        <f t="shared" si="90"/>
        <v/>
      </c>
      <c r="AU149" s="43" t="str">
        <f t="shared" si="91"/>
        <v/>
      </c>
      <c r="AX149">
        <f>HLOOKUP($AX$9&amp;$AX$10,Data!$A$1:$ZZ$1988,(MATCH($C149,Data!$A$1:$A$1988,0)),FALSE)</f>
        <v>84.482758620689651</v>
      </c>
    </row>
    <row r="150" spans="1:50">
      <c r="A150" s="59" t="str">
        <f>$D$1&amp;140</f>
        <v>UA140</v>
      </c>
      <c r="B150" s="60">
        <f>IF(ISERROR(VLOOKUP(A150,classifications!A:C,3,FALSE)),0,VLOOKUP(A150,classifications!A:C,3,FALSE))</f>
        <v>0</v>
      </c>
      <c r="C150" t="s">
        <v>89</v>
      </c>
      <c r="D150" t="str">
        <f>VLOOKUP($C150,classifications!$C:$J,4,FALSE)</f>
        <v>SD</v>
      </c>
      <c r="E150">
        <f>VLOOKUP(C150,classifications!C:K,9,FALSE)</f>
        <v>0</v>
      </c>
      <c r="F150">
        <f t="shared" si="68"/>
        <v>44.444444444444443</v>
      </c>
      <c r="G150" s="15"/>
      <c r="H150" s="42" t="str">
        <f t="shared" si="69"/>
        <v/>
      </c>
      <c r="I150" s="79" t="str">
        <f>IF(H150="","",IF($I$8="A",(RANK(H150,H$11:H$349,1)+COUNTIF(H$11:H150,H150)-1),(RANK(H150,H$11:H$349)+COUNTIF(H$11:H150,H150)-1)))</f>
        <v/>
      </c>
      <c r="J150" s="41"/>
      <c r="K150" s="36" t="str">
        <f t="shared" si="70"/>
        <v/>
      </c>
      <c r="L150" t="str">
        <f t="shared" si="71"/>
        <v/>
      </c>
      <c r="M150" s="117" t="str">
        <f t="shared" si="72"/>
        <v/>
      </c>
      <c r="N150" s="112" t="str">
        <f t="shared" si="73"/>
        <v/>
      </c>
      <c r="O150" s="96" t="str">
        <f t="shared" si="74"/>
        <v/>
      </c>
      <c r="P150" s="96" t="str">
        <f t="shared" si="75"/>
        <v/>
      </c>
      <c r="Q150" s="96" t="str">
        <f t="shared" si="76"/>
        <v/>
      </c>
      <c r="R150" s="92" t="str">
        <f t="shared" si="77"/>
        <v/>
      </c>
      <c r="S150" s="42" t="str">
        <f t="shared" si="78"/>
        <v/>
      </c>
      <c r="T150" s="176" t="str">
        <f>IF(L150="","",VLOOKUP(L150,classifications!C:K,9,FALSE))</f>
        <v/>
      </c>
      <c r="U150" s="177" t="str">
        <f t="shared" si="79"/>
        <v/>
      </c>
      <c r="V150" s="183" t="str">
        <f>IF(U150="","",IF($I$8="A",(RANK(U150,U$11:U$349)+COUNTIF(U$11:U150,U150)-1),(RANK(U150,U$11:U$349,1)+COUNTIF(U$11:U150,U150)-1)))</f>
        <v/>
      </c>
      <c r="W150" s="184"/>
      <c r="X150" s="5" t="str">
        <f>IF(L150="","",VLOOKUP($L150,classifications!$C:$J,6,FALSE))</f>
        <v/>
      </c>
      <c r="Y150" t="str">
        <f t="shared" si="80"/>
        <v/>
      </c>
      <c r="Z150" s="40" t="str">
        <f>IF(Y150="","",IF(I$8="A",(RANK(Y150,Y$11:Y$349,1)+COUNTIF(Y$11:Y150,Y150)-1),(RANK(Y150,Y$11:Y$349)+COUNTIF(Y$11:Y150,Y150)-1)))</f>
        <v/>
      </c>
      <c r="AA150" s="189" t="str">
        <f>IF(L150="","",VLOOKUP($L150,classifications!C:I,7,FALSE))</f>
        <v/>
      </c>
      <c r="AB150" s="183" t="str">
        <f t="shared" si="81"/>
        <v/>
      </c>
      <c r="AC150" s="183" t="str">
        <f>IF(AB150="","",IF($I$8="A",(RANK(AB150,AB$11:AB$349)+COUNTIF(AB$11:AB150,AB150)-1),(RANK(AB150,AB$11:AB$349,1)+COUNTIF(AB$11:AB150,AB150)-1)))</f>
        <v/>
      </c>
      <c r="AD150" s="183"/>
      <c r="AE150" s="49">
        <f>IF(I$8="A",(RANK(AG150,AG$11:AG$349,1)+COUNTIF(AG$11:AG150,AG150)-1),(RANK(AG150,AG$11:AG$349)+COUNTIF(AG$11:AG150,AG150)-1))</f>
        <v>140</v>
      </c>
      <c r="AF150" t="str">
        <f>VLOOKUP(Profile!$J$5,Families!$C:$R,6,FALSE)</f>
        <v>Herefordshire</v>
      </c>
      <c r="AG150" s="15">
        <f t="shared" si="82"/>
        <v>62.711864406779661</v>
      </c>
      <c r="AH150" s="50">
        <f t="shared" si="83"/>
        <v>140</v>
      </c>
      <c r="AI150" s="5" t="str">
        <f>IF(L150="","",VLOOKUP($L150,classifications!$C:$J,8,FALSE))</f>
        <v/>
      </c>
      <c r="AJ150" s="43" t="str">
        <f t="shared" si="84"/>
        <v/>
      </c>
      <c r="AK150" s="40" t="str">
        <f>IF(AJ150="","",IF(I$8="A",(RANK(AJ150,AJ$11:AJ$349,1)+COUNTIF(AJ$11:AJ150,AJ150)-1),(RANK(AJ150,AJ$11:AJ$349)+COUNTIF(AJ$11:AJ150,AJ150)-1)))</f>
        <v/>
      </c>
      <c r="AL150" s="3" t="str">
        <f t="shared" si="85"/>
        <v/>
      </c>
      <c r="AM150" t="str">
        <f t="shared" si="86"/>
        <v/>
      </c>
      <c r="AN150" t="str">
        <f t="shared" si="87"/>
        <v/>
      </c>
      <c r="AP150" s="5" t="str">
        <f>IF(L150="","",VLOOKUP($L150,classifications!$C:$E,3,FALSE))</f>
        <v/>
      </c>
      <c r="AQ150" s="43" t="str">
        <f t="shared" si="88"/>
        <v/>
      </c>
      <c r="AR150" s="40" t="str">
        <f>IF(AQ150="","",IF(I$8="A",(RANK(AQ150,AQ$11:AQ$349,1)+COUNTIF(AQ$11:AQ150,AQ150)-1),(RANK(AQ150,AQ$11:AQ$349)+COUNTIF(AQ$11:AQ150,AQ150)-1)))</f>
        <v/>
      </c>
      <c r="AS150" s="3" t="str">
        <f t="shared" si="89"/>
        <v/>
      </c>
      <c r="AT150" s="40" t="str">
        <f t="shared" si="90"/>
        <v/>
      </c>
      <c r="AU150" s="43" t="str">
        <f t="shared" si="91"/>
        <v/>
      </c>
      <c r="AX150">
        <f>HLOOKUP($AX$9&amp;$AX$10,Data!$A$1:$ZZ$1988,(MATCH($C150,Data!$A$1:$A$1988,0)),FALSE)</f>
        <v>44.444444444444443</v>
      </c>
    </row>
    <row r="151" spans="1:50">
      <c r="A151" s="59" t="str">
        <f>$D$1&amp;141</f>
        <v>UA141</v>
      </c>
      <c r="B151" s="60">
        <f>IF(ISERROR(VLOOKUP(A151,classifications!A:C,3,FALSE)),0,VLOOKUP(A151,classifications!A:C,3,FALSE))</f>
        <v>0</v>
      </c>
      <c r="C151" t="s">
        <v>90</v>
      </c>
      <c r="D151" t="str">
        <f>VLOOKUP($C151,classifications!$C:$J,4,FALSE)</f>
        <v>SD</v>
      </c>
      <c r="E151">
        <f>VLOOKUP(C151,classifications!C:K,9,FALSE)</f>
        <v>0</v>
      </c>
      <c r="F151">
        <f t="shared" si="68"/>
        <v>95.454545454545453</v>
      </c>
      <c r="G151" s="15"/>
      <c r="H151" s="42" t="str">
        <f t="shared" si="69"/>
        <v/>
      </c>
      <c r="I151" s="79" t="str">
        <f>IF(H151="","",IF($I$8="A",(RANK(H151,H$11:H$349,1)+COUNTIF(H$11:H151,H151)-1),(RANK(H151,H$11:H$349)+COUNTIF(H$11:H151,H151)-1)))</f>
        <v/>
      </c>
      <c r="J151" s="41"/>
      <c r="K151" s="36" t="str">
        <f t="shared" si="70"/>
        <v/>
      </c>
      <c r="L151" t="str">
        <f t="shared" si="71"/>
        <v/>
      </c>
      <c r="M151" s="117" t="str">
        <f t="shared" si="72"/>
        <v/>
      </c>
      <c r="N151" s="112" t="str">
        <f t="shared" si="73"/>
        <v/>
      </c>
      <c r="O151" s="96" t="str">
        <f t="shared" si="74"/>
        <v/>
      </c>
      <c r="P151" s="96" t="str">
        <f t="shared" si="75"/>
        <v/>
      </c>
      <c r="Q151" s="96" t="str">
        <f t="shared" si="76"/>
        <v/>
      </c>
      <c r="R151" s="92" t="str">
        <f t="shared" si="77"/>
        <v/>
      </c>
      <c r="S151" s="42" t="str">
        <f t="shared" si="78"/>
        <v/>
      </c>
      <c r="T151" s="176" t="str">
        <f>IF(L151="","",VLOOKUP(L151,classifications!C:K,9,FALSE))</f>
        <v/>
      </c>
      <c r="U151" s="177" t="str">
        <f t="shared" si="79"/>
        <v/>
      </c>
      <c r="V151" s="183" t="str">
        <f>IF(U151="","",IF($I$8="A",(RANK(U151,U$11:U$349)+COUNTIF(U$11:U151,U151)-1),(RANK(U151,U$11:U$349,1)+COUNTIF(U$11:U151,U151)-1)))</f>
        <v/>
      </c>
      <c r="W151" s="184"/>
      <c r="X151" s="5" t="str">
        <f>IF(L151="","",VLOOKUP($L151,classifications!$C:$J,6,FALSE))</f>
        <v/>
      </c>
      <c r="Y151" t="str">
        <f t="shared" si="80"/>
        <v/>
      </c>
      <c r="Z151" s="40" t="str">
        <f>IF(Y151="","",IF(I$8="A",(RANK(Y151,Y$11:Y$349,1)+COUNTIF(Y$11:Y151,Y151)-1),(RANK(Y151,Y$11:Y$349)+COUNTIF(Y$11:Y151,Y151)-1)))</f>
        <v/>
      </c>
      <c r="AA151" s="189" t="str">
        <f>IF(L151="","",VLOOKUP($L151,classifications!C:I,7,FALSE))</f>
        <v/>
      </c>
      <c r="AB151" s="183" t="str">
        <f t="shared" si="81"/>
        <v/>
      </c>
      <c r="AC151" s="183" t="str">
        <f>IF(AB151="","",IF($I$8="A",(RANK(AB151,AB$11:AB$349)+COUNTIF(AB$11:AB151,AB151)-1),(RANK(AB151,AB$11:AB$349,1)+COUNTIF(AB$11:AB151,AB151)-1)))</f>
        <v/>
      </c>
      <c r="AD151" s="183"/>
      <c r="AE151" s="49">
        <f>IF(I$8="A",(RANK(AG151,AG$11:AG$349,1)+COUNTIF(AG$11:AG151,AG151)-1),(RANK(AG151,AG$11:AG$349)+COUNTIF(AG$11:AG151,AG151)-1))</f>
        <v>141</v>
      </c>
      <c r="AF151" t="str">
        <f>VLOOKUP(Profile!$J$5,Families!$C:$R,6,FALSE)</f>
        <v>Herefordshire</v>
      </c>
      <c r="AG151" s="15">
        <f t="shared" si="82"/>
        <v>62.711864406779661</v>
      </c>
      <c r="AH151" s="50">
        <f t="shared" si="83"/>
        <v>141</v>
      </c>
      <c r="AI151" s="5" t="str">
        <f>IF(L151="","",VLOOKUP($L151,classifications!$C:$J,8,FALSE))</f>
        <v/>
      </c>
      <c r="AJ151" s="43" t="str">
        <f t="shared" si="84"/>
        <v/>
      </c>
      <c r="AK151" s="40" t="str">
        <f>IF(AJ151="","",IF(I$8="A",(RANK(AJ151,AJ$11:AJ$349,1)+COUNTIF(AJ$11:AJ151,AJ151)-1),(RANK(AJ151,AJ$11:AJ$349)+COUNTIF(AJ$11:AJ151,AJ151)-1)))</f>
        <v/>
      </c>
      <c r="AL151" s="3" t="str">
        <f t="shared" si="85"/>
        <v/>
      </c>
      <c r="AM151" t="str">
        <f t="shared" si="86"/>
        <v/>
      </c>
      <c r="AN151" t="str">
        <f t="shared" si="87"/>
        <v/>
      </c>
      <c r="AP151" s="5" t="str">
        <f>IF(L151="","",VLOOKUP($L151,classifications!$C:$E,3,FALSE))</f>
        <v/>
      </c>
      <c r="AQ151" s="43" t="str">
        <f t="shared" si="88"/>
        <v/>
      </c>
      <c r="AR151" s="40" t="str">
        <f>IF(AQ151="","",IF(I$8="A",(RANK(AQ151,AQ$11:AQ$349,1)+COUNTIF(AQ$11:AQ151,AQ151)-1),(RANK(AQ151,AQ$11:AQ$349)+COUNTIF(AQ$11:AQ151,AQ151)-1)))</f>
        <v/>
      </c>
      <c r="AS151" s="3" t="str">
        <f t="shared" si="89"/>
        <v/>
      </c>
      <c r="AT151" s="40" t="str">
        <f t="shared" si="90"/>
        <v/>
      </c>
      <c r="AU151" s="43" t="str">
        <f t="shared" si="91"/>
        <v/>
      </c>
      <c r="AX151">
        <f>HLOOKUP($AX$9&amp;$AX$10,Data!$A$1:$ZZ$1988,(MATCH($C151,Data!$A$1:$A$1988,0)),FALSE)</f>
        <v>95.454545454545453</v>
      </c>
    </row>
    <row r="152" spans="1:50">
      <c r="A152" s="59" t="str">
        <f>$D$1&amp;142</f>
        <v>UA142</v>
      </c>
      <c r="B152" s="60">
        <f>IF(ISERROR(VLOOKUP(A152,classifications!A:C,3,FALSE)),0,VLOOKUP(A152,classifications!A:C,3,FALSE))</f>
        <v>0</v>
      </c>
      <c r="C152" t="s">
        <v>810</v>
      </c>
      <c r="D152" t="str">
        <f>VLOOKUP($C152,classifications!$C:$J,4,FALSE)</f>
        <v>UA</v>
      </c>
      <c r="E152" t="str">
        <f>VLOOKUP(C152,classifications!C:K,9,FALSE)</f>
        <v>Sparse</v>
      </c>
      <c r="F152">
        <f t="shared" si="68"/>
        <v>83.333333333333343</v>
      </c>
      <c r="G152" s="15"/>
      <c r="H152" s="42">
        <f t="shared" si="69"/>
        <v>83.333333333333343</v>
      </c>
      <c r="I152" s="79">
        <f>IF(H152="","",IF($I$8="A",(RANK(H152,H$11:H$349,1)+COUNTIF(H$11:H152,H152)-1),(RANK(H152,H$11:H$349)+COUNTIF(H$11:H152,H152)-1)))</f>
        <v>43</v>
      </c>
      <c r="J152" s="41"/>
      <c r="K152" s="36" t="str">
        <f t="shared" si="70"/>
        <v/>
      </c>
      <c r="L152" t="str">
        <f t="shared" si="71"/>
        <v/>
      </c>
      <c r="M152" s="117" t="str">
        <f t="shared" si="72"/>
        <v/>
      </c>
      <c r="N152" s="112" t="str">
        <f t="shared" si="73"/>
        <v/>
      </c>
      <c r="O152" s="96" t="str">
        <f t="shared" si="74"/>
        <v/>
      </c>
      <c r="P152" s="96" t="str">
        <f t="shared" si="75"/>
        <v/>
      </c>
      <c r="Q152" s="96" t="str">
        <f t="shared" si="76"/>
        <v/>
      </c>
      <c r="R152" s="92" t="str">
        <f t="shared" si="77"/>
        <v/>
      </c>
      <c r="S152" s="42" t="str">
        <f t="shared" si="78"/>
        <v/>
      </c>
      <c r="T152" s="176" t="str">
        <f>IF(L152="","",VLOOKUP(L152,classifications!C:K,9,FALSE))</f>
        <v/>
      </c>
      <c r="U152" s="177" t="str">
        <f t="shared" si="79"/>
        <v/>
      </c>
      <c r="V152" s="183" t="str">
        <f>IF(U152="","",IF($I$8="A",(RANK(U152,U$11:U$349)+COUNTIF(U$11:U152,U152)-1),(RANK(U152,U$11:U$349,1)+COUNTIF(U$11:U152,U152)-1)))</f>
        <v/>
      </c>
      <c r="W152" s="184"/>
      <c r="X152" s="5" t="str">
        <f>IF(L152="","",VLOOKUP($L152,classifications!$C:$J,6,FALSE))</f>
        <v/>
      </c>
      <c r="Y152" t="str">
        <f t="shared" si="80"/>
        <v/>
      </c>
      <c r="Z152" s="40" t="str">
        <f>IF(Y152="","",IF(I$8="A",(RANK(Y152,Y$11:Y$349,1)+COUNTIF(Y$11:Y152,Y152)-1),(RANK(Y152,Y$11:Y$349)+COUNTIF(Y$11:Y152,Y152)-1)))</f>
        <v/>
      </c>
      <c r="AA152" s="189" t="str">
        <f>IF(L152="","",VLOOKUP($L152,classifications!C:I,7,FALSE))</f>
        <v/>
      </c>
      <c r="AB152" s="183" t="str">
        <f t="shared" si="81"/>
        <v/>
      </c>
      <c r="AC152" s="183" t="str">
        <f>IF(AB152="","",IF($I$8="A",(RANK(AB152,AB$11:AB$349)+COUNTIF(AB$11:AB152,AB152)-1),(RANK(AB152,AB$11:AB$349,1)+COUNTIF(AB$11:AB152,AB152)-1)))</f>
        <v/>
      </c>
      <c r="AD152" s="183"/>
      <c r="AE152" s="49">
        <f>IF(I$8="A",(RANK(AG152,AG$11:AG$349,1)+COUNTIF(AG$11:AG152,AG152)-1),(RANK(AG152,AG$11:AG$349)+COUNTIF(AG$11:AG152,AG152)-1))</f>
        <v>142</v>
      </c>
      <c r="AF152" t="str">
        <f>VLOOKUP(Profile!$J$5,Families!$C:$R,6,FALSE)</f>
        <v>Herefordshire</v>
      </c>
      <c r="AG152" s="15">
        <f t="shared" si="82"/>
        <v>62.711864406779661</v>
      </c>
      <c r="AH152" s="50">
        <f t="shared" si="83"/>
        <v>142</v>
      </c>
      <c r="AI152" s="5" t="str">
        <f>IF(L152="","",VLOOKUP($L152,classifications!$C:$J,8,FALSE))</f>
        <v/>
      </c>
      <c r="AJ152" s="43" t="str">
        <f t="shared" si="84"/>
        <v/>
      </c>
      <c r="AK152" s="40" t="str">
        <f>IF(AJ152="","",IF(I$8="A",(RANK(AJ152,AJ$11:AJ$349,1)+COUNTIF(AJ$11:AJ152,AJ152)-1),(RANK(AJ152,AJ$11:AJ$349)+COUNTIF(AJ$11:AJ152,AJ152)-1)))</f>
        <v/>
      </c>
      <c r="AL152" s="3" t="str">
        <f t="shared" si="85"/>
        <v/>
      </c>
      <c r="AM152" t="str">
        <f t="shared" si="86"/>
        <v/>
      </c>
      <c r="AN152" t="str">
        <f t="shared" si="87"/>
        <v/>
      </c>
      <c r="AP152" s="5" t="str">
        <f>IF(L152="","",VLOOKUP($L152,classifications!$C:$E,3,FALSE))</f>
        <v/>
      </c>
      <c r="AQ152" s="43" t="str">
        <f t="shared" si="88"/>
        <v/>
      </c>
      <c r="AR152" s="40" t="str">
        <f>IF(AQ152="","",IF(I$8="A",(RANK(AQ152,AQ$11:AQ$349,1)+COUNTIF(AQ$11:AQ152,AQ152)-1),(RANK(AQ152,AQ$11:AQ$349)+COUNTIF(AQ$11:AQ152,AQ152)-1)))</f>
        <v/>
      </c>
      <c r="AS152" s="3" t="str">
        <f t="shared" si="89"/>
        <v/>
      </c>
      <c r="AT152" s="40" t="str">
        <f t="shared" si="90"/>
        <v/>
      </c>
      <c r="AU152" s="43" t="str">
        <f t="shared" si="91"/>
        <v/>
      </c>
      <c r="AX152">
        <f>HLOOKUP($AX$9&amp;$AX$10,Data!$A$1:$ZZ$1988,(MATCH($C152,Data!$A$1:$A$1988,0)),FALSE)</f>
        <v>83.333333333333343</v>
      </c>
    </row>
    <row r="153" spans="1:50">
      <c r="A153" s="59" t="str">
        <f>$D$1&amp;143</f>
        <v>UA143</v>
      </c>
      <c r="B153" s="60">
        <f>IF(ISERROR(VLOOKUP(A153,classifications!A:C,3,FALSE)),0,VLOOKUP(A153,classifications!A:C,3,FALSE))</f>
        <v>0</v>
      </c>
      <c r="C153" t="s">
        <v>2</v>
      </c>
      <c r="D153">
        <f>VLOOKUP($C153,classifications!$C:$J,4,FALSE)</f>
        <v>0</v>
      </c>
      <c r="E153">
        <f>VLOOKUP(C153,classifications!C:K,9,FALSE)</f>
        <v>0</v>
      </c>
      <c r="F153">
        <f t="shared" si="68"/>
        <v>0</v>
      </c>
      <c r="G153" s="15"/>
      <c r="H153" s="42" t="str">
        <f t="shared" si="69"/>
        <v/>
      </c>
      <c r="I153" s="79" t="str">
        <f>IF(H153="","",IF($I$8="A",(RANK(H153,H$11:H$349,1)+COUNTIF(H$11:H153,H153)-1),(RANK(H153,H$11:H$349)+COUNTIF(H$11:H153,H153)-1)))</f>
        <v/>
      </c>
      <c r="J153" s="41"/>
      <c r="K153" s="36" t="str">
        <f t="shared" si="70"/>
        <v/>
      </c>
      <c r="L153" t="str">
        <f t="shared" si="71"/>
        <v/>
      </c>
      <c r="M153" s="117" t="str">
        <f t="shared" si="72"/>
        <v/>
      </c>
      <c r="N153" s="112" t="str">
        <f t="shared" si="73"/>
        <v/>
      </c>
      <c r="O153" s="96" t="str">
        <f t="shared" si="74"/>
        <v/>
      </c>
      <c r="P153" s="96" t="str">
        <f t="shared" si="75"/>
        <v/>
      </c>
      <c r="Q153" s="96" t="str">
        <f t="shared" si="76"/>
        <v/>
      </c>
      <c r="R153" s="92" t="str">
        <f t="shared" si="77"/>
        <v/>
      </c>
      <c r="S153" s="42" t="str">
        <f t="shared" si="78"/>
        <v/>
      </c>
      <c r="T153" s="176" t="str">
        <f>IF(L153="","",VLOOKUP(L153,classifications!C:K,9,FALSE))</f>
        <v/>
      </c>
      <c r="U153" s="177" t="str">
        <f t="shared" si="79"/>
        <v/>
      </c>
      <c r="V153" s="183" t="str">
        <f>IF(U153="","",IF($I$8="A",(RANK(U153,U$11:U$349)+COUNTIF(U$11:U153,U153)-1),(RANK(U153,U$11:U$349,1)+COUNTIF(U$11:U153,U153)-1)))</f>
        <v/>
      </c>
      <c r="W153" s="184"/>
      <c r="X153" s="5" t="str">
        <f>IF(L153="","",VLOOKUP($L153,classifications!$C:$J,6,FALSE))</f>
        <v/>
      </c>
      <c r="Y153" t="str">
        <f t="shared" si="80"/>
        <v/>
      </c>
      <c r="Z153" s="40" t="str">
        <f>IF(Y153="","",IF(I$8="A",(RANK(Y153,Y$11:Y$349,1)+COUNTIF(Y$11:Y153,Y153)-1),(RANK(Y153,Y$11:Y$349)+COUNTIF(Y$11:Y153,Y153)-1)))</f>
        <v/>
      </c>
      <c r="AA153" s="189" t="str">
        <f>IF(L153="","",VLOOKUP($L153,classifications!C:I,7,FALSE))</f>
        <v/>
      </c>
      <c r="AB153" s="183" t="str">
        <f t="shared" si="81"/>
        <v/>
      </c>
      <c r="AC153" s="183" t="str">
        <f>IF(AB153="","",IF($I$8="A",(RANK(AB153,AB$11:AB$349)+COUNTIF(AB$11:AB153,AB153)-1),(RANK(AB153,AB$11:AB$349,1)+COUNTIF(AB$11:AB153,AB153)-1)))</f>
        <v/>
      </c>
      <c r="AD153" s="183"/>
      <c r="AE153" s="49">
        <f>IF(I$8="A",(RANK(AG153,AG$11:AG$349,1)+COUNTIF(AG$11:AG153,AG153)-1),(RANK(AG153,AG$11:AG$349)+COUNTIF(AG$11:AG153,AG153)-1))</f>
        <v>143</v>
      </c>
      <c r="AF153" t="str">
        <f>VLOOKUP(Profile!$J$5,Families!$C:$R,6,FALSE)</f>
        <v>Herefordshire</v>
      </c>
      <c r="AG153" s="15">
        <f t="shared" si="82"/>
        <v>62.711864406779661</v>
      </c>
      <c r="AH153" s="50">
        <f t="shared" si="83"/>
        <v>143</v>
      </c>
      <c r="AI153" s="5" t="str">
        <f>IF(L153="","",VLOOKUP($L153,classifications!$C:$J,8,FALSE))</f>
        <v/>
      </c>
      <c r="AJ153" s="43" t="str">
        <f t="shared" si="84"/>
        <v/>
      </c>
      <c r="AK153" s="40" t="str">
        <f>IF(AJ153="","",IF(I$8="A",(RANK(AJ153,AJ$11:AJ$349,1)+COUNTIF(AJ$11:AJ153,AJ153)-1),(RANK(AJ153,AJ$11:AJ$349)+COUNTIF(AJ$11:AJ153,AJ153)-1)))</f>
        <v/>
      </c>
      <c r="AL153" s="3" t="str">
        <f t="shared" si="85"/>
        <v/>
      </c>
      <c r="AM153" t="str">
        <f t="shared" si="86"/>
        <v/>
      </c>
      <c r="AN153" t="str">
        <f t="shared" si="87"/>
        <v/>
      </c>
      <c r="AP153" s="5" t="str">
        <f>IF(L153="","",VLOOKUP($L153,classifications!$C:$E,3,FALSE))</f>
        <v/>
      </c>
      <c r="AQ153" s="43" t="str">
        <f t="shared" si="88"/>
        <v/>
      </c>
      <c r="AR153" s="40" t="str">
        <f>IF(AQ153="","",IF(I$8="A",(RANK(AQ153,AQ$11:AQ$349,1)+COUNTIF(AQ$11:AQ153,AQ153)-1),(RANK(AQ153,AQ$11:AQ$349)+COUNTIF(AQ$11:AQ153,AQ153)-1)))</f>
        <v/>
      </c>
      <c r="AS153" s="3" t="str">
        <f t="shared" si="89"/>
        <v/>
      </c>
      <c r="AT153" s="40" t="str">
        <f t="shared" si="90"/>
        <v/>
      </c>
      <c r="AU153" s="43" t="str">
        <f t="shared" si="91"/>
        <v/>
      </c>
      <c r="AX153">
        <f>HLOOKUP($AX$9&amp;$AX$10,Data!$A$1:$ZZ$1988,(MATCH($C153,Data!$A$1:$A$1988,0)),FALSE)</f>
        <v>0</v>
      </c>
    </row>
    <row r="154" spans="1:50">
      <c r="A154" s="59" t="str">
        <f>$D$1&amp;144</f>
        <v>UA144</v>
      </c>
      <c r="B154" s="60">
        <f>IF(ISERROR(VLOOKUP(A154,classifications!A:C,3,FALSE)),0,VLOOKUP(A154,classifications!A:C,3,FALSE))</f>
        <v>0</v>
      </c>
      <c r="C154" t="s">
        <v>211</v>
      </c>
      <c r="D154" t="str">
        <f>VLOOKUP($C154,classifications!$C:$J,4,FALSE)</f>
        <v>L</v>
      </c>
      <c r="E154">
        <f>VLOOKUP(C154,classifications!C:K,9,FALSE)</f>
        <v>0</v>
      </c>
      <c r="F154">
        <f t="shared" si="68"/>
        <v>95.833333333333343</v>
      </c>
      <c r="G154" s="15"/>
      <c r="H154" s="42" t="str">
        <f t="shared" si="69"/>
        <v/>
      </c>
      <c r="I154" s="79" t="str">
        <f>IF(H154="","",IF($I$8="A",(RANK(H154,H$11:H$349,1)+COUNTIF(H$11:H154,H154)-1),(RANK(H154,H$11:H$349)+COUNTIF(H$11:H154,H154)-1)))</f>
        <v/>
      </c>
      <c r="J154" s="41"/>
      <c r="K154" s="36" t="str">
        <f t="shared" si="70"/>
        <v/>
      </c>
      <c r="L154" t="str">
        <f t="shared" si="71"/>
        <v/>
      </c>
      <c r="M154" s="117" t="str">
        <f t="shared" si="72"/>
        <v/>
      </c>
      <c r="N154" s="112" t="str">
        <f t="shared" si="73"/>
        <v/>
      </c>
      <c r="O154" s="96" t="str">
        <f t="shared" si="74"/>
        <v/>
      </c>
      <c r="P154" s="96" t="str">
        <f t="shared" si="75"/>
        <v/>
      </c>
      <c r="Q154" s="96" t="str">
        <f t="shared" si="76"/>
        <v/>
      </c>
      <c r="R154" s="92" t="str">
        <f t="shared" si="77"/>
        <v/>
      </c>
      <c r="S154" s="42" t="str">
        <f t="shared" si="78"/>
        <v/>
      </c>
      <c r="T154" s="176" t="str">
        <f>IF(L154="","",VLOOKUP(L154,classifications!C:K,9,FALSE))</f>
        <v/>
      </c>
      <c r="U154" s="177" t="str">
        <f t="shared" si="79"/>
        <v/>
      </c>
      <c r="V154" s="183" t="str">
        <f>IF(U154="","",IF($I$8="A",(RANK(U154,U$11:U$349)+COUNTIF(U$11:U154,U154)-1),(RANK(U154,U$11:U$349,1)+COUNTIF(U$11:U154,U154)-1)))</f>
        <v/>
      </c>
      <c r="W154" s="184"/>
      <c r="X154" s="5" t="str">
        <f>IF(L154="","",VLOOKUP($L154,classifications!$C:$J,6,FALSE))</f>
        <v/>
      </c>
      <c r="Y154" t="str">
        <f t="shared" si="80"/>
        <v/>
      </c>
      <c r="Z154" s="40" t="str">
        <f>IF(Y154="","",IF(I$8="A",(RANK(Y154,Y$11:Y$349,1)+COUNTIF(Y$11:Y154,Y154)-1),(RANK(Y154,Y$11:Y$349)+COUNTIF(Y$11:Y154,Y154)-1)))</f>
        <v/>
      </c>
      <c r="AA154" s="189" t="str">
        <f>IF(L154="","",VLOOKUP($L154,classifications!C:I,7,FALSE))</f>
        <v/>
      </c>
      <c r="AB154" s="183" t="str">
        <f t="shared" si="81"/>
        <v/>
      </c>
      <c r="AC154" s="183" t="str">
        <f>IF(AB154="","",IF($I$8="A",(RANK(AB154,AB$11:AB$349)+COUNTIF(AB$11:AB154,AB154)-1),(RANK(AB154,AB$11:AB$349,1)+COUNTIF(AB$11:AB154,AB154)-1)))</f>
        <v/>
      </c>
      <c r="AD154" s="183"/>
      <c r="AE154" s="49">
        <f>IF(I$8="A",(RANK(AG154,AG$11:AG$349,1)+COUNTIF(AG$11:AG154,AG154)-1),(RANK(AG154,AG$11:AG$349)+COUNTIF(AG$11:AG154,AG154)-1))</f>
        <v>144</v>
      </c>
      <c r="AF154" t="str">
        <f>VLOOKUP(Profile!$J$5,Families!$C:$R,6,FALSE)</f>
        <v>Herefordshire</v>
      </c>
      <c r="AG154" s="15">
        <f t="shared" si="82"/>
        <v>62.711864406779661</v>
      </c>
      <c r="AH154" s="50">
        <f t="shared" si="83"/>
        <v>144</v>
      </c>
      <c r="AI154" s="5" t="str">
        <f>IF(L154="","",VLOOKUP($L154,classifications!$C:$J,8,FALSE))</f>
        <v/>
      </c>
      <c r="AJ154" s="43" t="str">
        <f t="shared" si="84"/>
        <v/>
      </c>
      <c r="AK154" s="40" t="str">
        <f>IF(AJ154="","",IF(I$8="A",(RANK(AJ154,AJ$11:AJ$349,1)+COUNTIF(AJ$11:AJ154,AJ154)-1),(RANK(AJ154,AJ$11:AJ$349)+COUNTIF(AJ$11:AJ154,AJ154)-1)))</f>
        <v/>
      </c>
      <c r="AL154" s="3" t="str">
        <f t="shared" si="85"/>
        <v/>
      </c>
      <c r="AM154" t="str">
        <f t="shared" si="86"/>
        <v/>
      </c>
      <c r="AN154" t="str">
        <f t="shared" si="87"/>
        <v/>
      </c>
      <c r="AP154" s="5" t="str">
        <f>IF(L154="","",VLOOKUP($L154,classifications!$C:$E,3,FALSE))</f>
        <v/>
      </c>
      <c r="AQ154" s="43" t="str">
        <f t="shared" si="88"/>
        <v/>
      </c>
      <c r="AR154" s="40" t="str">
        <f>IF(AQ154="","",IF(I$8="A",(RANK(AQ154,AQ$11:AQ$349,1)+COUNTIF(AQ$11:AQ154,AQ154)-1),(RANK(AQ154,AQ$11:AQ$349)+COUNTIF(AQ$11:AQ154,AQ154)-1)))</f>
        <v/>
      </c>
      <c r="AS154" s="3" t="str">
        <f t="shared" si="89"/>
        <v/>
      </c>
      <c r="AT154" s="40" t="str">
        <f t="shared" si="90"/>
        <v/>
      </c>
      <c r="AU154" s="43" t="str">
        <f t="shared" si="91"/>
        <v/>
      </c>
      <c r="AX154">
        <f>HLOOKUP($AX$9&amp;$AX$10,Data!$A$1:$ZZ$1988,(MATCH($C154,Data!$A$1:$A$1988,0)),FALSE)</f>
        <v>95.833333333333343</v>
      </c>
    </row>
    <row r="155" spans="1:50">
      <c r="A155" s="59" t="str">
        <f>$D$1&amp;145</f>
        <v>UA145</v>
      </c>
      <c r="B155" s="60">
        <f>IF(ISERROR(VLOOKUP(A155,classifications!A:C,3,FALSE)),0,VLOOKUP(A155,classifications!A:C,3,FALSE))</f>
        <v>0</v>
      </c>
      <c r="C155" t="s">
        <v>337</v>
      </c>
      <c r="D155" t="str">
        <f>VLOOKUP($C155,classifications!$C:$J,4,FALSE)</f>
        <v>L</v>
      </c>
      <c r="E155">
        <f>VLOOKUP(C155,classifications!C:K,9,FALSE)</f>
        <v>0</v>
      </c>
      <c r="F155">
        <f t="shared" si="68"/>
        <v>100</v>
      </c>
      <c r="G155" s="15"/>
      <c r="H155" s="42" t="str">
        <f t="shared" si="69"/>
        <v/>
      </c>
      <c r="I155" s="79" t="str">
        <f>IF(H155="","",IF($I$8="A",(RANK(H155,H$11:H$349,1)+COUNTIF(H$11:H155,H155)-1),(RANK(H155,H$11:H$349)+COUNTIF(H$11:H155,H155)-1)))</f>
        <v/>
      </c>
      <c r="J155" s="41"/>
      <c r="K155" s="36" t="str">
        <f t="shared" si="70"/>
        <v/>
      </c>
      <c r="L155" t="str">
        <f t="shared" si="71"/>
        <v/>
      </c>
      <c r="M155" s="117" t="str">
        <f t="shared" si="72"/>
        <v/>
      </c>
      <c r="N155" s="112" t="str">
        <f t="shared" si="73"/>
        <v/>
      </c>
      <c r="O155" s="96" t="str">
        <f t="shared" si="74"/>
        <v/>
      </c>
      <c r="P155" s="96" t="str">
        <f t="shared" si="75"/>
        <v/>
      </c>
      <c r="Q155" s="96" t="str">
        <f t="shared" si="76"/>
        <v/>
      </c>
      <c r="R155" s="92" t="str">
        <f t="shared" si="77"/>
        <v/>
      </c>
      <c r="S155" s="42" t="str">
        <f t="shared" si="78"/>
        <v/>
      </c>
      <c r="T155" s="176" t="str">
        <f>IF(L155="","",VLOOKUP(L155,classifications!C:K,9,FALSE))</f>
        <v/>
      </c>
      <c r="U155" s="177" t="str">
        <f t="shared" si="79"/>
        <v/>
      </c>
      <c r="V155" s="183" t="str">
        <f>IF(U155="","",IF($I$8="A",(RANK(U155,U$11:U$349)+COUNTIF(U$11:U155,U155)-1),(RANK(U155,U$11:U$349,1)+COUNTIF(U$11:U155,U155)-1)))</f>
        <v/>
      </c>
      <c r="W155" s="184"/>
      <c r="X155" s="5" t="str">
        <f>IF(L155="","",VLOOKUP($L155,classifications!$C:$J,6,FALSE))</f>
        <v/>
      </c>
      <c r="Y155" t="str">
        <f t="shared" si="80"/>
        <v/>
      </c>
      <c r="Z155" s="40" t="str">
        <f>IF(Y155="","",IF(I$8="A",(RANK(Y155,Y$11:Y$349,1)+COUNTIF(Y$11:Y155,Y155)-1),(RANK(Y155,Y$11:Y$349)+COUNTIF(Y$11:Y155,Y155)-1)))</f>
        <v/>
      </c>
      <c r="AA155" s="189" t="str">
        <f>IF(L155="","",VLOOKUP($L155,classifications!C:I,7,FALSE))</f>
        <v/>
      </c>
      <c r="AB155" s="183" t="str">
        <f t="shared" si="81"/>
        <v/>
      </c>
      <c r="AC155" s="183" t="str">
        <f>IF(AB155="","",IF($I$8="A",(RANK(AB155,AB$11:AB$349)+COUNTIF(AB$11:AB155,AB155)-1),(RANK(AB155,AB$11:AB$349,1)+COUNTIF(AB$11:AB155,AB155)-1)))</f>
        <v/>
      </c>
      <c r="AD155" s="183"/>
      <c r="AE155" s="49">
        <f>IF(I$8="A",(RANK(AG155,AG$11:AG$349,1)+COUNTIF(AG$11:AG155,AG155)-1),(RANK(AG155,AG$11:AG$349)+COUNTIF(AG$11:AG155,AG155)-1))</f>
        <v>145</v>
      </c>
      <c r="AF155" t="str">
        <f>VLOOKUP(Profile!$J$5,Families!$C:$R,6,FALSE)</f>
        <v>Herefordshire</v>
      </c>
      <c r="AG155" s="15">
        <f t="shared" si="82"/>
        <v>62.711864406779661</v>
      </c>
      <c r="AH155" s="50">
        <f t="shared" si="83"/>
        <v>145</v>
      </c>
      <c r="AI155" s="5" t="str">
        <f>IF(L155="","",VLOOKUP($L155,classifications!$C:$J,8,FALSE))</f>
        <v/>
      </c>
      <c r="AJ155" s="43" t="str">
        <f t="shared" si="84"/>
        <v/>
      </c>
      <c r="AK155" s="40" t="str">
        <f>IF(AJ155="","",IF(I$8="A",(RANK(AJ155,AJ$11:AJ$349,1)+COUNTIF(AJ$11:AJ155,AJ155)-1),(RANK(AJ155,AJ$11:AJ$349)+COUNTIF(AJ$11:AJ155,AJ155)-1)))</f>
        <v/>
      </c>
      <c r="AL155" s="3" t="str">
        <f t="shared" si="85"/>
        <v/>
      </c>
      <c r="AM155" t="str">
        <f t="shared" si="86"/>
        <v/>
      </c>
      <c r="AN155" t="str">
        <f t="shared" si="87"/>
        <v/>
      </c>
      <c r="AP155" s="5" t="str">
        <f>IF(L155="","",VLOOKUP($L155,classifications!$C:$E,3,FALSE))</f>
        <v/>
      </c>
      <c r="AQ155" s="43" t="str">
        <f t="shared" si="88"/>
        <v/>
      </c>
      <c r="AR155" s="40" t="str">
        <f>IF(AQ155="","",IF(I$8="A",(RANK(AQ155,AQ$11:AQ$349,1)+COUNTIF(AQ$11:AQ155,AQ155)-1),(RANK(AQ155,AQ$11:AQ$349)+COUNTIF(AQ$11:AQ155,AQ155)-1)))</f>
        <v/>
      </c>
      <c r="AS155" s="3" t="str">
        <f t="shared" si="89"/>
        <v/>
      </c>
      <c r="AT155" s="40" t="str">
        <f t="shared" si="90"/>
        <v/>
      </c>
      <c r="AU155" s="43" t="str">
        <f t="shared" si="91"/>
        <v/>
      </c>
      <c r="AX155">
        <f>HLOOKUP($AX$9&amp;$AX$10,Data!$A$1:$ZZ$1988,(MATCH($C155,Data!$A$1:$A$1988,0)),FALSE)</f>
        <v>100</v>
      </c>
    </row>
    <row r="156" spans="1:50">
      <c r="A156" s="59" t="str">
        <f>$D$1&amp;146</f>
        <v>UA146</v>
      </c>
      <c r="B156" s="60">
        <f>IF(ISERROR(VLOOKUP(A156,classifications!A:C,3,FALSE)),0,VLOOKUP(A156,classifications!A:C,3,FALSE))</f>
        <v>0</v>
      </c>
      <c r="C156" t="s">
        <v>315</v>
      </c>
      <c r="D156" t="str">
        <f>VLOOKUP($C156,classifications!$C:$J,4,FALSE)</f>
        <v>SC</v>
      </c>
      <c r="E156">
        <f>VLOOKUP(C156,classifications!C:K,9,FALSE)</f>
        <v>0</v>
      </c>
      <c r="F156" t="e">
        <f t="shared" si="68"/>
        <v>#N/A</v>
      </c>
      <c r="G156" s="15"/>
      <c r="H156" s="42" t="str">
        <f t="shared" si="69"/>
        <v/>
      </c>
      <c r="I156" s="79" t="str">
        <f>IF(H156="","",IF($I$8="A",(RANK(H156,H$11:H$349,1)+COUNTIF(H$11:H156,H156)-1),(RANK(H156,H$11:H$349)+COUNTIF(H$11:H156,H156)-1)))</f>
        <v/>
      </c>
      <c r="J156" s="41"/>
      <c r="K156" s="36" t="str">
        <f t="shared" si="70"/>
        <v/>
      </c>
      <c r="L156" t="str">
        <f t="shared" si="71"/>
        <v/>
      </c>
      <c r="M156" s="117" t="str">
        <f t="shared" si="72"/>
        <v/>
      </c>
      <c r="N156" s="112" t="str">
        <f t="shared" si="73"/>
        <v/>
      </c>
      <c r="O156" s="96" t="str">
        <f t="shared" si="74"/>
        <v/>
      </c>
      <c r="P156" s="96" t="str">
        <f t="shared" si="75"/>
        <v/>
      </c>
      <c r="Q156" s="96" t="str">
        <f t="shared" si="76"/>
        <v/>
      </c>
      <c r="R156" s="92" t="str">
        <f t="shared" si="77"/>
        <v/>
      </c>
      <c r="S156" s="42" t="str">
        <f t="shared" si="78"/>
        <v/>
      </c>
      <c r="T156" s="176" t="str">
        <f>IF(L156="","",VLOOKUP(L156,classifications!C:K,9,FALSE))</f>
        <v/>
      </c>
      <c r="U156" s="177" t="str">
        <f t="shared" si="79"/>
        <v/>
      </c>
      <c r="V156" s="183" t="str">
        <f>IF(U156="","",IF($I$8="A",(RANK(U156,U$11:U$349)+COUNTIF(U$11:U156,U156)-1),(RANK(U156,U$11:U$349,1)+COUNTIF(U$11:U156,U156)-1)))</f>
        <v/>
      </c>
      <c r="W156" s="184"/>
      <c r="X156" s="5" t="str">
        <f>IF(L156="","",VLOOKUP($L156,classifications!$C:$J,6,FALSE))</f>
        <v/>
      </c>
      <c r="Y156" t="str">
        <f t="shared" si="80"/>
        <v/>
      </c>
      <c r="Z156" s="40" t="str">
        <f>IF(Y156="","",IF(I$8="A",(RANK(Y156,Y$11:Y$349,1)+COUNTIF(Y$11:Y156,Y156)-1),(RANK(Y156,Y$11:Y$349)+COUNTIF(Y$11:Y156,Y156)-1)))</f>
        <v/>
      </c>
      <c r="AA156" s="189" t="str">
        <f>IF(L156="","",VLOOKUP($L156,classifications!C:I,7,FALSE))</f>
        <v/>
      </c>
      <c r="AB156" s="183" t="str">
        <f t="shared" si="81"/>
        <v/>
      </c>
      <c r="AC156" s="183" t="str">
        <f>IF(AB156="","",IF($I$8="A",(RANK(AB156,AB$11:AB$349)+COUNTIF(AB$11:AB156,AB156)-1),(RANK(AB156,AB$11:AB$349,1)+COUNTIF(AB$11:AB156,AB156)-1)))</f>
        <v/>
      </c>
      <c r="AD156" s="183"/>
      <c r="AE156" s="49">
        <f>IF(I$8="A",(RANK(AG156,AG$11:AG$349,1)+COUNTIF(AG$11:AG156,AG156)-1),(RANK(AG156,AG$11:AG$349)+COUNTIF(AG$11:AG156,AG156)-1))</f>
        <v>146</v>
      </c>
      <c r="AF156" t="str">
        <f>VLOOKUP(Profile!$J$5,Families!$C:$R,6,FALSE)</f>
        <v>Herefordshire</v>
      </c>
      <c r="AG156" s="15">
        <f t="shared" si="82"/>
        <v>62.711864406779661</v>
      </c>
      <c r="AH156" s="50">
        <f t="shared" si="83"/>
        <v>146</v>
      </c>
      <c r="AI156" s="5" t="str">
        <f>IF(L156="","",VLOOKUP($L156,classifications!$C:$J,8,FALSE))</f>
        <v/>
      </c>
      <c r="AJ156" s="43" t="str">
        <f t="shared" si="84"/>
        <v/>
      </c>
      <c r="AK156" s="40" t="str">
        <f>IF(AJ156="","",IF(I$8="A",(RANK(AJ156,AJ$11:AJ$349,1)+COUNTIF(AJ$11:AJ156,AJ156)-1),(RANK(AJ156,AJ$11:AJ$349)+COUNTIF(AJ$11:AJ156,AJ156)-1)))</f>
        <v/>
      </c>
      <c r="AL156" s="3" t="str">
        <f t="shared" si="85"/>
        <v/>
      </c>
      <c r="AM156" t="str">
        <f t="shared" si="86"/>
        <v/>
      </c>
      <c r="AN156" t="str">
        <f t="shared" si="87"/>
        <v/>
      </c>
      <c r="AP156" s="5" t="str">
        <f>IF(L156="","",VLOOKUP($L156,classifications!$C:$E,3,FALSE))</f>
        <v/>
      </c>
      <c r="AQ156" s="43" t="str">
        <f t="shared" si="88"/>
        <v/>
      </c>
      <c r="AR156" s="40" t="str">
        <f>IF(AQ156="","",IF(I$8="A",(RANK(AQ156,AQ$11:AQ$349,1)+COUNTIF(AQ$11:AQ156,AQ156)-1),(RANK(AQ156,AQ$11:AQ$349)+COUNTIF(AQ$11:AQ156,AQ156)-1)))</f>
        <v/>
      </c>
      <c r="AS156" s="3" t="str">
        <f t="shared" si="89"/>
        <v/>
      </c>
      <c r="AT156" s="40" t="str">
        <f t="shared" si="90"/>
        <v/>
      </c>
      <c r="AU156" s="43" t="str">
        <f t="shared" si="91"/>
        <v/>
      </c>
      <c r="AX156" t="e">
        <f>HLOOKUP($AX$9&amp;$AX$10,Data!$A$1:$ZZ$1988,(MATCH($C156,Data!$A$1:$A$1988,0)),FALSE)</f>
        <v>#N/A</v>
      </c>
    </row>
    <row r="157" spans="1:50">
      <c r="A157" s="59" t="str">
        <f>$D$1&amp;147</f>
        <v>UA147</v>
      </c>
      <c r="B157" s="60">
        <f>IF(ISERROR(VLOOKUP(A157,classifications!A:C,3,FALSE)),0,VLOOKUP(A157,classifications!A:C,3,FALSE))</f>
        <v>0</v>
      </c>
      <c r="C157" t="s">
        <v>375</v>
      </c>
      <c r="D157" t="str">
        <f>VLOOKUP($C157,classifications!$C:$J,4,FALSE)</f>
        <v>SD</v>
      </c>
      <c r="E157" t="str">
        <f>VLOOKUP(C157,classifications!C:K,9,FALSE)</f>
        <v>Sparse</v>
      </c>
      <c r="F157">
        <f t="shared" si="68"/>
        <v>89.743589743589752</v>
      </c>
      <c r="G157" s="15"/>
      <c r="H157" s="42" t="str">
        <f t="shared" si="69"/>
        <v/>
      </c>
      <c r="I157" s="79" t="str">
        <f>IF(H157="","",IF($I$8="A",(RANK(H157,H$11:H$349,1)+COUNTIF(H$11:H157,H157)-1),(RANK(H157,H$11:H$349)+COUNTIF(H$11:H157,H157)-1)))</f>
        <v/>
      </c>
      <c r="J157" s="41"/>
      <c r="K157" s="36" t="str">
        <f t="shared" si="70"/>
        <v/>
      </c>
      <c r="L157" t="str">
        <f t="shared" si="71"/>
        <v/>
      </c>
      <c r="M157" s="117" t="str">
        <f t="shared" si="72"/>
        <v/>
      </c>
      <c r="N157" s="112" t="str">
        <f t="shared" si="73"/>
        <v/>
      </c>
      <c r="O157" s="96" t="str">
        <f t="shared" si="74"/>
        <v/>
      </c>
      <c r="P157" s="96" t="str">
        <f t="shared" si="75"/>
        <v/>
      </c>
      <c r="Q157" s="96" t="str">
        <f t="shared" si="76"/>
        <v/>
      </c>
      <c r="R157" s="92" t="str">
        <f t="shared" si="77"/>
        <v/>
      </c>
      <c r="S157" s="42" t="str">
        <f t="shared" si="78"/>
        <v/>
      </c>
      <c r="T157" s="176" t="str">
        <f>IF(L157="","",VLOOKUP(L157,classifications!C:K,9,FALSE))</f>
        <v/>
      </c>
      <c r="U157" s="177" t="str">
        <f t="shared" si="79"/>
        <v/>
      </c>
      <c r="V157" s="183" t="str">
        <f>IF(U157="","",IF($I$8="A",(RANK(U157,U$11:U$349)+COUNTIF(U$11:U157,U157)-1),(RANK(U157,U$11:U$349,1)+COUNTIF(U$11:U157,U157)-1)))</f>
        <v/>
      </c>
      <c r="W157" s="184"/>
      <c r="X157" s="5" t="str">
        <f>IF(L157="","",VLOOKUP($L157,classifications!$C:$J,6,FALSE))</f>
        <v/>
      </c>
      <c r="Y157" t="str">
        <f t="shared" si="80"/>
        <v/>
      </c>
      <c r="Z157" s="40" t="str">
        <f>IF(Y157="","",IF(I$8="A",(RANK(Y157,Y$11:Y$349,1)+COUNTIF(Y$11:Y157,Y157)-1),(RANK(Y157,Y$11:Y$349)+COUNTIF(Y$11:Y157,Y157)-1)))</f>
        <v/>
      </c>
      <c r="AA157" s="189" t="str">
        <f>IF(L157="","",VLOOKUP($L157,classifications!C:I,7,FALSE))</f>
        <v/>
      </c>
      <c r="AB157" s="183" t="str">
        <f t="shared" si="81"/>
        <v/>
      </c>
      <c r="AC157" s="183" t="str">
        <f>IF(AB157="","",IF($I$8="A",(RANK(AB157,AB$11:AB$349)+COUNTIF(AB$11:AB157,AB157)-1),(RANK(AB157,AB$11:AB$349,1)+COUNTIF(AB$11:AB157,AB157)-1)))</f>
        <v/>
      </c>
      <c r="AD157" s="183"/>
      <c r="AE157" s="49">
        <f>IF(I$8="A",(RANK(AG157,AG$11:AG$349,1)+COUNTIF(AG$11:AG157,AG157)-1),(RANK(AG157,AG$11:AG$349)+COUNTIF(AG$11:AG157,AG157)-1))</f>
        <v>147</v>
      </c>
      <c r="AF157" t="str">
        <f>VLOOKUP(Profile!$J$5,Families!$C:$R,6,FALSE)</f>
        <v>Herefordshire</v>
      </c>
      <c r="AG157" s="15">
        <f t="shared" si="82"/>
        <v>62.711864406779661</v>
      </c>
      <c r="AH157" s="50">
        <f t="shared" si="83"/>
        <v>147</v>
      </c>
      <c r="AI157" s="5" t="str">
        <f>IF(L157="","",VLOOKUP($L157,classifications!$C:$J,8,FALSE))</f>
        <v/>
      </c>
      <c r="AJ157" s="43" t="str">
        <f t="shared" si="84"/>
        <v/>
      </c>
      <c r="AK157" s="40" t="str">
        <f>IF(AJ157="","",IF(I$8="A",(RANK(AJ157,AJ$11:AJ$349,1)+COUNTIF(AJ$11:AJ157,AJ157)-1),(RANK(AJ157,AJ$11:AJ$349)+COUNTIF(AJ$11:AJ157,AJ157)-1)))</f>
        <v/>
      </c>
      <c r="AL157" s="3" t="str">
        <f t="shared" si="85"/>
        <v/>
      </c>
      <c r="AM157" t="str">
        <f t="shared" si="86"/>
        <v/>
      </c>
      <c r="AN157" t="str">
        <f t="shared" si="87"/>
        <v/>
      </c>
      <c r="AP157" s="5" t="str">
        <f>IF(L157="","",VLOOKUP($L157,classifications!$C:$E,3,FALSE))</f>
        <v/>
      </c>
      <c r="AQ157" s="43" t="str">
        <f t="shared" si="88"/>
        <v/>
      </c>
      <c r="AR157" s="40" t="str">
        <f>IF(AQ157="","",IF(I$8="A",(RANK(AQ157,AQ$11:AQ$349,1)+COUNTIF(AQ$11:AQ157,AQ157)-1),(RANK(AQ157,AQ$11:AQ$349)+COUNTIF(AQ$11:AQ157,AQ157)-1)))</f>
        <v/>
      </c>
      <c r="AS157" s="3" t="str">
        <f t="shared" si="89"/>
        <v/>
      </c>
      <c r="AT157" s="40" t="str">
        <f t="shared" si="90"/>
        <v/>
      </c>
      <c r="AU157" s="43" t="str">
        <f t="shared" si="91"/>
        <v/>
      </c>
      <c r="AX157">
        <f>HLOOKUP($AX$9&amp;$AX$10,Data!$A$1:$ZZ$1988,(MATCH($C157,Data!$A$1:$A$1988,0)),FALSE)</f>
        <v>89.743589743589752</v>
      </c>
    </row>
    <row r="158" spans="1:50">
      <c r="A158" s="59" t="str">
        <f>$D$1&amp;148</f>
        <v>UA148</v>
      </c>
      <c r="B158" s="60">
        <f>IF(ISERROR(VLOOKUP(A158,classifications!A:C,3,FALSE)),0,VLOOKUP(A158,classifications!A:C,3,FALSE))</f>
        <v>0</v>
      </c>
      <c r="C158" t="s">
        <v>818</v>
      </c>
      <c r="D158" t="str">
        <f>VLOOKUP($C158,classifications!$C:$J,4,FALSE)</f>
        <v>UA</v>
      </c>
      <c r="E158">
        <f>VLOOKUP(C158,classifications!C:K,9,FALSE)</f>
        <v>0</v>
      </c>
      <c r="F158">
        <f t="shared" si="68"/>
        <v>86.666666666666671</v>
      </c>
      <c r="G158" s="15"/>
      <c r="H158" s="42">
        <f t="shared" si="69"/>
        <v>86.666666666666671</v>
      </c>
      <c r="I158" s="79">
        <f>IF(H158="","",IF($I$8="A",(RANK(H158,H$11:H$349,1)+COUNTIF(H$11:H158,H158)-1),(RANK(H158,H$11:H$349)+COUNTIF(H$11:H158,H158)-1)))</f>
        <v>37</v>
      </c>
      <c r="J158" s="41"/>
      <c r="K158" s="36" t="str">
        <f t="shared" si="70"/>
        <v/>
      </c>
      <c r="L158" t="str">
        <f t="shared" si="71"/>
        <v/>
      </c>
      <c r="M158" s="117" t="str">
        <f t="shared" si="72"/>
        <v/>
      </c>
      <c r="N158" s="112" t="str">
        <f t="shared" si="73"/>
        <v/>
      </c>
      <c r="O158" s="96" t="str">
        <f t="shared" si="74"/>
        <v/>
      </c>
      <c r="P158" s="96" t="str">
        <f t="shared" si="75"/>
        <v/>
      </c>
      <c r="Q158" s="96" t="str">
        <f t="shared" si="76"/>
        <v/>
      </c>
      <c r="R158" s="92" t="str">
        <f t="shared" si="77"/>
        <v/>
      </c>
      <c r="S158" s="42" t="str">
        <f t="shared" si="78"/>
        <v/>
      </c>
      <c r="T158" s="176" t="str">
        <f>IF(L158="","",VLOOKUP(L158,classifications!C:K,9,FALSE))</f>
        <v/>
      </c>
      <c r="U158" s="177" t="str">
        <f t="shared" si="79"/>
        <v/>
      </c>
      <c r="V158" s="183" t="str">
        <f>IF(U158="","",IF($I$8="A",(RANK(U158,U$11:U$349)+COUNTIF(U$11:U158,U158)-1),(RANK(U158,U$11:U$349,1)+COUNTIF(U$11:U158,U158)-1)))</f>
        <v/>
      </c>
      <c r="W158" s="184"/>
      <c r="X158" s="5" t="str">
        <f>IF(L158="","",VLOOKUP($L158,classifications!$C:$J,6,FALSE))</f>
        <v/>
      </c>
      <c r="Y158" t="str">
        <f t="shared" si="80"/>
        <v/>
      </c>
      <c r="Z158" s="40" t="str">
        <f>IF(Y158="","",IF(I$8="A",(RANK(Y158,Y$11:Y$349,1)+COUNTIF(Y$11:Y158,Y158)-1),(RANK(Y158,Y$11:Y$349)+COUNTIF(Y$11:Y158,Y158)-1)))</f>
        <v/>
      </c>
      <c r="AA158" s="189" t="str">
        <f>IF(L158="","",VLOOKUP($L158,classifications!C:I,7,FALSE))</f>
        <v/>
      </c>
      <c r="AB158" s="183" t="str">
        <f t="shared" si="81"/>
        <v/>
      </c>
      <c r="AC158" s="183" t="str">
        <f>IF(AB158="","",IF($I$8="A",(RANK(AB158,AB$11:AB$349)+COUNTIF(AB$11:AB158,AB158)-1),(RANK(AB158,AB$11:AB$349,1)+COUNTIF(AB$11:AB158,AB158)-1)))</f>
        <v/>
      </c>
      <c r="AD158" s="183"/>
      <c r="AE158" s="49">
        <f>IF(I$8="A",(RANK(AG158,AG$11:AG$349,1)+COUNTIF(AG$11:AG158,AG158)-1),(RANK(AG158,AG$11:AG$349)+COUNTIF(AG$11:AG158,AG158)-1))</f>
        <v>148</v>
      </c>
      <c r="AF158" t="str">
        <f>VLOOKUP(Profile!$J$5,Families!$C:$R,6,FALSE)</f>
        <v>Herefordshire</v>
      </c>
      <c r="AG158" s="15">
        <f t="shared" si="82"/>
        <v>62.711864406779661</v>
      </c>
      <c r="AH158" s="50">
        <f t="shared" si="83"/>
        <v>148</v>
      </c>
      <c r="AI158" s="5" t="str">
        <f>IF(L158="","",VLOOKUP($L158,classifications!$C:$J,8,FALSE))</f>
        <v/>
      </c>
      <c r="AJ158" s="43" t="str">
        <f t="shared" si="84"/>
        <v/>
      </c>
      <c r="AK158" s="40" t="str">
        <f>IF(AJ158="","",IF(I$8="A",(RANK(AJ158,AJ$11:AJ$349,1)+COUNTIF(AJ$11:AJ158,AJ158)-1),(RANK(AJ158,AJ$11:AJ$349)+COUNTIF(AJ$11:AJ158,AJ158)-1)))</f>
        <v/>
      </c>
      <c r="AL158" s="3" t="str">
        <f t="shared" si="85"/>
        <v/>
      </c>
      <c r="AM158" t="str">
        <f t="shared" si="86"/>
        <v/>
      </c>
      <c r="AN158" t="str">
        <f t="shared" si="87"/>
        <v/>
      </c>
      <c r="AP158" s="5" t="str">
        <f>IF(L158="","",VLOOKUP($L158,classifications!$C:$E,3,FALSE))</f>
        <v/>
      </c>
      <c r="AQ158" s="43" t="str">
        <f t="shared" si="88"/>
        <v/>
      </c>
      <c r="AR158" s="40" t="str">
        <f>IF(AQ158="","",IF(I$8="A",(RANK(AQ158,AQ$11:AQ$349,1)+COUNTIF(AQ$11:AQ158,AQ158)-1),(RANK(AQ158,AQ$11:AQ$349)+COUNTIF(AQ$11:AQ158,AQ158)-1)))</f>
        <v/>
      </c>
      <c r="AS158" s="3" t="str">
        <f t="shared" si="89"/>
        <v/>
      </c>
      <c r="AT158" s="40" t="str">
        <f t="shared" si="90"/>
        <v/>
      </c>
      <c r="AU158" s="43" t="str">
        <f t="shared" si="91"/>
        <v/>
      </c>
      <c r="AX158">
        <f>HLOOKUP($AX$9&amp;$AX$10,Data!$A$1:$ZZ$1988,(MATCH($C158,Data!$A$1:$A$1988,0)),FALSE)</f>
        <v>86.666666666666671</v>
      </c>
    </row>
    <row r="159" spans="1:50">
      <c r="A159" s="59" t="str">
        <f>$D$1&amp;149</f>
        <v>UA149</v>
      </c>
      <c r="B159" s="60">
        <f>IF(ISERROR(VLOOKUP(A159,classifications!A:C,3,FALSE)),0,VLOOKUP(A159,classifications!A:C,3,FALSE))</f>
        <v>0</v>
      </c>
      <c r="C159" t="s">
        <v>391</v>
      </c>
      <c r="D159" t="str">
        <f>VLOOKUP($C159,classifications!$C:$J,4,FALSE)</f>
        <v>L</v>
      </c>
      <c r="E159">
        <f>VLOOKUP(C159,classifications!C:K,9,FALSE)</f>
        <v>0</v>
      </c>
      <c r="F159">
        <f t="shared" si="68"/>
        <v>90.909090909090907</v>
      </c>
      <c r="G159" s="15"/>
      <c r="H159" s="42" t="str">
        <f t="shared" si="69"/>
        <v/>
      </c>
      <c r="I159" s="79" t="str">
        <f>IF(H159="","",IF($I$8="A",(RANK(H159,H$11:H$349,1)+COUNTIF(H$11:H159,H159)-1),(RANK(H159,H$11:H$349)+COUNTIF(H$11:H159,H159)-1)))</f>
        <v/>
      </c>
      <c r="J159" s="41"/>
      <c r="K159" s="36" t="str">
        <f t="shared" si="70"/>
        <v/>
      </c>
      <c r="L159" t="str">
        <f t="shared" si="71"/>
        <v/>
      </c>
      <c r="M159" s="117" t="str">
        <f t="shared" si="72"/>
        <v/>
      </c>
      <c r="N159" s="112" t="str">
        <f t="shared" si="73"/>
        <v/>
      </c>
      <c r="O159" s="96" t="str">
        <f t="shared" si="74"/>
        <v/>
      </c>
      <c r="P159" s="96" t="str">
        <f t="shared" si="75"/>
        <v/>
      </c>
      <c r="Q159" s="96" t="str">
        <f t="shared" si="76"/>
        <v/>
      </c>
      <c r="R159" s="92" t="str">
        <f t="shared" si="77"/>
        <v/>
      </c>
      <c r="S159" s="42" t="str">
        <f t="shared" si="78"/>
        <v/>
      </c>
      <c r="T159" s="176" t="str">
        <f>IF(L159="","",VLOOKUP(L159,classifications!C:K,9,FALSE))</f>
        <v/>
      </c>
      <c r="U159" s="177" t="str">
        <f t="shared" si="79"/>
        <v/>
      </c>
      <c r="V159" s="183" t="str">
        <f>IF(U159="","",IF($I$8="A",(RANK(U159,U$11:U$349)+COUNTIF(U$11:U159,U159)-1),(RANK(U159,U$11:U$349,1)+COUNTIF(U$11:U159,U159)-1)))</f>
        <v/>
      </c>
      <c r="W159" s="184"/>
      <c r="X159" s="5" t="str">
        <f>IF(L159="","",VLOOKUP($L159,classifications!$C:$J,6,FALSE))</f>
        <v/>
      </c>
      <c r="Y159" t="str">
        <f t="shared" si="80"/>
        <v/>
      </c>
      <c r="Z159" s="40" t="str">
        <f>IF(Y159="","",IF(I$8="A",(RANK(Y159,Y$11:Y$349,1)+COUNTIF(Y$11:Y159,Y159)-1),(RANK(Y159,Y$11:Y$349)+COUNTIF(Y$11:Y159,Y159)-1)))</f>
        <v/>
      </c>
      <c r="AA159" s="189" t="str">
        <f>IF(L159="","",VLOOKUP($L159,classifications!C:I,7,FALSE))</f>
        <v/>
      </c>
      <c r="AB159" s="183" t="str">
        <f t="shared" si="81"/>
        <v/>
      </c>
      <c r="AC159" s="183" t="str">
        <f>IF(AB159="","",IF($I$8="A",(RANK(AB159,AB$11:AB$349)+COUNTIF(AB$11:AB159,AB159)-1),(RANK(AB159,AB$11:AB$349,1)+COUNTIF(AB$11:AB159,AB159)-1)))</f>
        <v/>
      </c>
      <c r="AD159" s="183"/>
      <c r="AE159" s="49">
        <f>IF(I$8="A",(RANK(AG159,AG$11:AG$349,1)+COUNTIF(AG$11:AG159,AG159)-1),(RANK(AG159,AG$11:AG$349)+COUNTIF(AG$11:AG159,AG159)-1))</f>
        <v>149</v>
      </c>
      <c r="AF159" t="str">
        <f>VLOOKUP(Profile!$J$5,Families!$C:$R,6,FALSE)</f>
        <v>Herefordshire</v>
      </c>
      <c r="AG159" s="15">
        <f t="shared" si="82"/>
        <v>62.711864406779661</v>
      </c>
      <c r="AH159" s="50">
        <f t="shared" si="83"/>
        <v>149</v>
      </c>
      <c r="AI159" s="5" t="str">
        <f>IF(L159="","",VLOOKUP($L159,classifications!$C:$J,8,FALSE))</f>
        <v/>
      </c>
      <c r="AJ159" s="43" t="str">
        <f t="shared" si="84"/>
        <v/>
      </c>
      <c r="AK159" s="40" t="str">
        <f>IF(AJ159="","",IF(I$8="A",(RANK(AJ159,AJ$11:AJ$349,1)+COUNTIF(AJ$11:AJ159,AJ159)-1),(RANK(AJ159,AJ$11:AJ$349)+COUNTIF(AJ$11:AJ159,AJ159)-1)))</f>
        <v/>
      </c>
      <c r="AL159" s="3" t="str">
        <f t="shared" si="85"/>
        <v/>
      </c>
      <c r="AM159" t="str">
        <f t="shared" si="86"/>
        <v/>
      </c>
      <c r="AN159" t="str">
        <f t="shared" si="87"/>
        <v/>
      </c>
      <c r="AP159" s="5" t="str">
        <f>IF(L159="","",VLOOKUP($L159,classifications!$C:$E,3,FALSE))</f>
        <v/>
      </c>
      <c r="AQ159" s="43" t="str">
        <f t="shared" si="88"/>
        <v/>
      </c>
      <c r="AR159" s="40" t="str">
        <f>IF(AQ159="","",IF(I$8="A",(RANK(AQ159,AQ$11:AQ$349,1)+COUNTIF(AQ$11:AQ159,AQ159)-1),(RANK(AQ159,AQ$11:AQ$349)+COUNTIF(AQ$11:AQ159,AQ159)-1)))</f>
        <v/>
      </c>
      <c r="AS159" s="3" t="str">
        <f t="shared" si="89"/>
        <v/>
      </c>
      <c r="AT159" s="40" t="str">
        <f t="shared" si="90"/>
        <v/>
      </c>
      <c r="AU159" s="43" t="str">
        <f t="shared" si="91"/>
        <v/>
      </c>
      <c r="AX159">
        <f>HLOOKUP($AX$9&amp;$AX$10,Data!$A$1:$ZZ$1988,(MATCH($C159,Data!$A$1:$A$1988,0)),FALSE)</f>
        <v>90.909090909090907</v>
      </c>
    </row>
    <row r="160" spans="1:50">
      <c r="A160" s="59" t="str">
        <f>$D$1&amp;150</f>
        <v>UA150</v>
      </c>
      <c r="B160" s="60">
        <f>IF(ISERROR(VLOOKUP(A160,classifications!A:C,3,FALSE)),0,VLOOKUP(A160,classifications!A:C,3,FALSE))</f>
        <v>0</v>
      </c>
      <c r="C160" t="s">
        <v>232</v>
      </c>
      <c r="D160" t="str">
        <f>VLOOKUP($C160,classifications!$C:$J,4,FALSE)</f>
        <v>MD</v>
      </c>
      <c r="E160">
        <f>VLOOKUP(C160,classifications!C:K,9,FALSE)</f>
        <v>0</v>
      </c>
      <c r="F160">
        <f t="shared" si="68"/>
        <v>92.452830188679243</v>
      </c>
      <c r="G160" s="15"/>
      <c r="H160" s="42" t="str">
        <f t="shared" si="69"/>
        <v/>
      </c>
      <c r="I160" s="79" t="str">
        <f>IF(H160="","",IF($I$8="A",(RANK(H160,H$11:H$349,1)+COUNTIF(H$11:H160,H160)-1),(RANK(H160,H$11:H$349)+COUNTIF(H$11:H160,H160)-1)))</f>
        <v/>
      </c>
      <c r="J160" s="41"/>
      <c r="K160" s="36" t="str">
        <f t="shared" si="70"/>
        <v/>
      </c>
      <c r="L160" t="str">
        <f t="shared" si="71"/>
        <v/>
      </c>
      <c r="M160" s="117" t="str">
        <f t="shared" si="72"/>
        <v/>
      </c>
      <c r="N160" s="112" t="str">
        <f t="shared" si="73"/>
        <v/>
      </c>
      <c r="O160" s="96" t="str">
        <f t="shared" si="74"/>
        <v/>
      </c>
      <c r="P160" s="96" t="str">
        <f t="shared" si="75"/>
        <v/>
      </c>
      <c r="Q160" s="96" t="str">
        <f t="shared" si="76"/>
        <v/>
      </c>
      <c r="R160" s="92" t="str">
        <f t="shared" si="77"/>
        <v/>
      </c>
      <c r="S160" s="42" t="str">
        <f t="shared" si="78"/>
        <v/>
      </c>
      <c r="T160" s="176" t="str">
        <f>IF(L160="","",VLOOKUP(L160,classifications!C:K,9,FALSE))</f>
        <v/>
      </c>
      <c r="U160" s="177" t="str">
        <f t="shared" si="79"/>
        <v/>
      </c>
      <c r="V160" s="183" t="str">
        <f>IF(U160="","",IF($I$8="A",(RANK(U160,U$11:U$349)+COUNTIF(U$11:U160,U160)-1),(RANK(U160,U$11:U$349,1)+COUNTIF(U$11:U160,U160)-1)))</f>
        <v/>
      </c>
      <c r="W160" s="184"/>
      <c r="X160" s="5" t="str">
        <f>IF(L160="","",VLOOKUP($L160,classifications!$C:$J,6,FALSE))</f>
        <v/>
      </c>
      <c r="Y160" t="str">
        <f t="shared" si="80"/>
        <v/>
      </c>
      <c r="Z160" s="40" t="str">
        <f>IF(Y160="","",IF(I$8="A",(RANK(Y160,Y$11:Y$349,1)+COUNTIF(Y$11:Y160,Y160)-1),(RANK(Y160,Y$11:Y$349)+COUNTIF(Y$11:Y160,Y160)-1)))</f>
        <v/>
      </c>
      <c r="AA160" s="189" t="str">
        <f>IF(L160="","",VLOOKUP($L160,classifications!C:I,7,FALSE))</f>
        <v/>
      </c>
      <c r="AB160" s="183" t="str">
        <f t="shared" si="81"/>
        <v/>
      </c>
      <c r="AC160" s="183" t="str">
        <f>IF(AB160="","",IF($I$8="A",(RANK(AB160,AB$11:AB$349)+COUNTIF(AB$11:AB160,AB160)-1),(RANK(AB160,AB$11:AB$349,1)+COUNTIF(AB$11:AB160,AB160)-1)))</f>
        <v/>
      </c>
      <c r="AD160" s="183"/>
      <c r="AE160" s="49">
        <f>IF(I$8="A",(RANK(AG160,AG$11:AG$349,1)+COUNTIF(AG$11:AG160,AG160)-1),(RANK(AG160,AG$11:AG$349)+COUNTIF(AG$11:AG160,AG160)-1))</f>
        <v>150</v>
      </c>
      <c r="AF160" t="str">
        <f>VLOOKUP(Profile!$J$5,Families!$C:$R,6,FALSE)</f>
        <v>Herefordshire</v>
      </c>
      <c r="AG160" s="15">
        <f t="shared" si="82"/>
        <v>62.711864406779661</v>
      </c>
      <c r="AH160" s="50">
        <f t="shared" si="83"/>
        <v>150</v>
      </c>
      <c r="AI160" s="5" t="str">
        <f>IF(L160="","",VLOOKUP($L160,classifications!$C:$J,8,FALSE))</f>
        <v/>
      </c>
      <c r="AJ160" s="43" t="str">
        <f t="shared" si="84"/>
        <v/>
      </c>
      <c r="AK160" s="40" t="str">
        <f>IF(AJ160="","",IF(I$8="A",(RANK(AJ160,AJ$11:AJ$349,1)+COUNTIF(AJ$11:AJ160,AJ160)-1),(RANK(AJ160,AJ$11:AJ$349)+COUNTIF(AJ$11:AJ160,AJ160)-1)))</f>
        <v/>
      </c>
      <c r="AL160" s="3" t="str">
        <f t="shared" si="85"/>
        <v/>
      </c>
      <c r="AM160" t="str">
        <f t="shared" si="86"/>
        <v/>
      </c>
      <c r="AN160" t="str">
        <f t="shared" si="87"/>
        <v/>
      </c>
      <c r="AP160" s="5" t="str">
        <f>IF(L160="","",VLOOKUP($L160,classifications!$C:$E,3,FALSE))</f>
        <v/>
      </c>
      <c r="AQ160" s="43" t="str">
        <f t="shared" si="88"/>
        <v/>
      </c>
      <c r="AR160" s="40" t="str">
        <f>IF(AQ160="","",IF(I$8="A",(RANK(AQ160,AQ$11:AQ$349,1)+COUNTIF(AQ$11:AQ160,AQ160)-1),(RANK(AQ160,AQ$11:AQ$349)+COUNTIF(AQ$11:AQ160,AQ160)-1)))</f>
        <v/>
      </c>
      <c r="AS160" s="3" t="str">
        <f t="shared" si="89"/>
        <v/>
      </c>
      <c r="AT160" s="40" t="str">
        <f t="shared" si="90"/>
        <v/>
      </c>
      <c r="AU160" s="43" t="str">
        <f t="shared" si="91"/>
        <v/>
      </c>
      <c r="AX160">
        <f>HLOOKUP($AX$9&amp;$AX$10,Data!$A$1:$ZZ$1988,(MATCH($C160,Data!$A$1:$A$1988,0)),FALSE)</f>
        <v>92.452830188679243</v>
      </c>
    </row>
    <row r="161" spans="1:50">
      <c r="A161" s="59" t="str">
        <f>$D$1&amp;151</f>
        <v>UA151</v>
      </c>
      <c r="B161" s="60">
        <f>IF(ISERROR(VLOOKUP(A161,classifications!A:C,3,FALSE)),0,VLOOKUP(A161,classifications!A:C,3,FALSE))</f>
        <v>0</v>
      </c>
      <c r="C161" t="s">
        <v>233</v>
      </c>
      <c r="D161" t="str">
        <f>VLOOKUP($C161,classifications!$C:$J,4,FALSE)</f>
        <v>MD</v>
      </c>
      <c r="E161">
        <f>VLOOKUP(C161,classifications!C:K,9,FALSE)</f>
        <v>0</v>
      </c>
      <c r="F161">
        <f t="shared" si="68"/>
        <v>91.666666666666657</v>
      </c>
      <c r="G161" s="15"/>
      <c r="H161" s="42" t="str">
        <f t="shared" si="69"/>
        <v/>
      </c>
      <c r="I161" s="79" t="str">
        <f>IF(H161="","",IF($I$8="A",(RANK(H161,H$11:H$349,1)+COUNTIF(H$11:H161,H161)-1),(RANK(H161,H$11:H$349)+COUNTIF(H$11:H161,H161)-1)))</f>
        <v/>
      </c>
      <c r="J161" s="41"/>
      <c r="K161" s="36" t="str">
        <f t="shared" si="70"/>
        <v/>
      </c>
      <c r="L161" t="str">
        <f t="shared" si="71"/>
        <v/>
      </c>
      <c r="M161" s="117" t="str">
        <f t="shared" si="72"/>
        <v/>
      </c>
      <c r="N161" s="112" t="str">
        <f t="shared" si="73"/>
        <v/>
      </c>
      <c r="O161" s="96" t="str">
        <f t="shared" si="74"/>
        <v/>
      </c>
      <c r="P161" s="96" t="str">
        <f t="shared" si="75"/>
        <v/>
      </c>
      <c r="Q161" s="96" t="str">
        <f t="shared" si="76"/>
        <v/>
      </c>
      <c r="R161" s="92" t="str">
        <f t="shared" si="77"/>
        <v/>
      </c>
      <c r="S161" s="42" t="str">
        <f t="shared" si="78"/>
        <v/>
      </c>
      <c r="T161" s="176" t="str">
        <f>IF(L161="","",VLOOKUP(L161,classifications!C:K,9,FALSE))</f>
        <v/>
      </c>
      <c r="U161" s="177" t="str">
        <f t="shared" si="79"/>
        <v/>
      </c>
      <c r="V161" s="183" t="str">
        <f>IF(U161="","",IF($I$8="A",(RANK(U161,U$11:U$349)+COUNTIF(U$11:U161,U161)-1),(RANK(U161,U$11:U$349,1)+COUNTIF(U$11:U161,U161)-1)))</f>
        <v/>
      </c>
      <c r="W161" s="184"/>
      <c r="X161" s="5" t="str">
        <f>IF(L161="","",VLOOKUP($L161,classifications!$C:$J,6,FALSE))</f>
        <v/>
      </c>
      <c r="Y161" t="str">
        <f t="shared" si="80"/>
        <v/>
      </c>
      <c r="Z161" s="40" t="str">
        <f>IF(Y161="","",IF(I$8="A",(RANK(Y161,Y$11:Y$349,1)+COUNTIF(Y$11:Y161,Y161)-1),(RANK(Y161,Y$11:Y$349)+COUNTIF(Y$11:Y161,Y161)-1)))</f>
        <v/>
      </c>
      <c r="AA161" s="189" t="str">
        <f>IF(L161="","",VLOOKUP($L161,classifications!C:I,7,FALSE))</f>
        <v/>
      </c>
      <c r="AB161" s="183" t="str">
        <f t="shared" si="81"/>
        <v/>
      </c>
      <c r="AC161" s="183" t="str">
        <f>IF(AB161="","",IF($I$8="A",(RANK(AB161,AB$11:AB$349)+COUNTIF(AB$11:AB161,AB161)-1),(RANK(AB161,AB$11:AB$349,1)+COUNTIF(AB$11:AB161,AB161)-1)))</f>
        <v/>
      </c>
      <c r="AD161" s="183"/>
      <c r="AE161" s="49">
        <f>IF(I$8="A",(RANK(AG161,AG$11:AG$349,1)+COUNTIF(AG$11:AG161,AG161)-1),(RANK(AG161,AG$11:AG$349)+COUNTIF(AG$11:AG161,AG161)-1))</f>
        <v>151</v>
      </c>
      <c r="AF161" t="str">
        <f>VLOOKUP(Profile!$J$5,Families!$C:$R,6,FALSE)</f>
        <v>Herefordshire</v>
      </c>
      <c r="AG161" s="15">
        <f t="shared" si="82"/>
        <v>62.711864406779661</v>
      </c>
      <c r="AH161" s="50">
        <f t="shared" si="83"/>
        <v>151</v>
      </c>
      <c r="AI161" s="5" t="str">
        <f>IF(L161="","",VLOOKUP($L161,classifications!$C:$J,8,FALSE))</f>
        <v/>
      </c>
      <c r="AJ161" s="43" t="str">
        <f t="shared" si="84"/>
        <v/>
      </c>
      <c r="AK161" s="40" t="str">
        <f>IF(AJ161="","",IF(I$8="A",(RANK(AJ161,AJ$11:AJ$349,1)+COUNTIF(AJ$11:AJ161,AJ161)-1),(RANK(AJ161,AJ$11:AJ$349)+COUNTIF(AJ$11:AJ161,AJ161)-1)))</f>
        <v/>
      </c>
      <c r="AL161" s="3" t="str">
        <f t="shared" si="85"/>
        <v/>
      </c>
      <c r="AM161" t="str">
        <f t="shared" si="86"/>
        <v/>
      </c>
      <c r="AN161" t="str">
        <f t="shared" si="87"/>
        <v/>
      </c>
      <c r="AP161" s="5" t="str">
        <f>IF(L161="","",VLOOKUP($L161,classifications!$C:$E,3,FALSE))</f>
        <v/>
      </c>
      <c r="AQ161" s="43" t="str">
        <f t="shared" si="88"/>
        <v/>
      </c>
      <c r="AR161" s="40" t="str">
        <f>IF(AQ161="","",IF(I$8="A",(RANK(AQ161,AQ$11:AQ$349,1)+COUNTIF(AQ$11:AQ161,AQ161)-1),(RANK(AQ161,AQ$11:AQ$349)+COUNTIF(AQ$11:AQ161,AQ161)-1)))</f>
        <v/>
      </c>
      <c r="AS161" s="3" t="str">
        <f t="shared" si="89"/>
        <v/>
      </c>
      <c r="AT161" s="40" t="str">
        <f t="shared" si="90"/>
        <v/>
      </c>
      <c r="AU161" s="43" t="str">
        <f t="shared" si="91"/>
        <v/>
      </c>
      <c r="AX161">
        <f>HLOOKUP($AX$9&amp;$AX$10,Data!$A$1:$ZZ$1988,(MATCH($C161,Data!$A$1:$A$1988,0)),FALSE)</f>
        <v>91.666666666666657</v>
      </c>
    </row>
    <row r="162" spans="1:50">
      <c r="A162" s="59" t="str">
        <f>$D$1&amp;152</f>
        <v>UA152</v>
      </c>
      <c r="B162" s="60">
        <f>IF(ISERROR(VLOOKUP(A162,classifications!A:C,3,FALSE)),0,VLOOKUP(A162,classifications!A:C,3,FALSE))</f>
        <v>0</v>
      </c>
      <c r="C162" t="s">
        <v>212</v>
      </c>
      <c r="D162" t="str">
        <f>VLOOKUP($C162,classifications!$C:$J,4,FALSE)</f>
        <v>L</v>
      </c>
      <c r="E162">
        <f>VLOOKUP(C162,classifications!C:K,9,FALSE)</f>
        <v>0</v>
      </c>
      <c r="F162">
        <f t="shared" si="68"/>
        <v>100</v>
      </c>
      <c r="G162" s="15"/>
      <c r="H162" s="42" t="str">
        <f t="shared" si="69"/>
        <v/>
      </c>
      <c r="I162" s="79" t="str">
        <f>IF(H162="","",IF($I$8="A",(RANK(H162,H$11:H$349,1)+COUNTIF(H$11:H162,H162)-1),(RANK(H162,H$11:H$349)+COUNTIF(H$11:H162,H162)-1)))</f>
        <v/>
      </c>
      <c r="J162" s="41"/>
      <c r="K162" s="36" t="str">
        <f t="shared" si="70"/>
        <v/>
      </c>
      <c r="L162" t="str">
        <f t="shared" si="71"/>
        <v/>
      </c>
      <c r="M162" s="117" t="str">
        <f t="shared" si="72"/>
        <v/>
      </c>
      <c r="N162" s="112" t="str">
        <f t="shared" si="73"/>
        <v/>
      </c>
      <c r="O162" s="96" t="str">
        <f t="shared" si="74"/>
        <v/>
      </c>
      <c r="P162" s="96" t="str">
        <f t="shared" si="75"/>
        <v/>
      </c>
      <c r="Q162" s="96" t="str">
        <f t="shared" si="76"/>
        <v/>
      </c>
      <c r="R162" s="92" t="str">
        <f t="shared" si="77"/>
        <v/>
      </c>
      <c r="S162" s="42" t="str">
        <f t="shared" si="78"/>
        <v/>
      </c>
      <c r="T162" s="176" t="str">
        <f>IF(L162="","",VLOOKUP(L162,classifications!C:K,9,FALSE))</f>
        <v/>
      </c>
      <c r="U162" s="177" t="str">
        <f t="shared" si="79"/>
        <v/>
      </c>
      <c r="V162" s="183" t="str">
        <f>IF(U162="","",IF($I$8="A",(RANK(U162,U$11:U$349)+COUNTIF(U$11:U162,U162)-1),(RANK(U162,U$11:U$349,1)+COUNTIF(U$11:U162,U162)-1)))</f>
        <v/>
      </c>
      <c r="W162" s="184"/>
      <c r="X162" s="5" t="str">
        <f>IF(L162="","",VLOOKUP($L162,classifications!$C:$J,6,FALSE))</f>
        <v/>
      </c>
      <c r="Y162" t="str">
        <f t="shared" si="80"/>
        <v/>
      </c>
      <c r="Z162" s="40" t="str">
        <f>IF(Y162="","",IF(I$8="A",(RANK(Y162,Y$11:Y$349,1)+COUNTIF(Y$11:Y162,Y162)-1),(RANK(Y162,Y$11:Y$349)+COUNTIF(Y$11:Y162,Y162)-1)))</f>
        <v/>
      </c>
      <c r="AA162" s="189" t="str">
        <f>IF(L162="","",VLOOKUP($L162,classifications!C:I,7,FALSE))</f>
        <v/>
      </c>
      <c r="AB162" s="183" t="str">
        <f t="shared" si="81"/>
        <v/>
      </c>
      <c r="AC162" s="183" t="str">
        <f>IF(AB162="","",IF($I$8="A",(RANK(AB162,AB$11:AB$349)+COUNTIF(AB$11:AB162,AB162)-1),(RANK(AB162,AB$11:AB$349,1)+COUNTIF(AB$11:AB162,AB162)-1)))</f>
        <v/>
      </c>
      <c r="AD162" s="183"/>
      <c r="AE162" s="49">
        <f>IF(I$8="A",(RANK(AG162,AG$11:AG$349,1)+COUNTIF(AG$11:AG162,AG162)-1),(RANK(AG162,AG$11:AG$349)+COUNTIF(AG$11:AG162,AG162)-1))</f>
        <v>152</v>
      </c>
      <c r="AF162" t="str">
        <f>VLOOKUP(Profile!$J$5,Families!$C:$R,6,FALSE)</f>
        <v>Herefordshire</v>
      </c>
      <c r="AG162" s="15">
        <f t="shared" si="82"/>
        <v>62.711864406779661</v>
      </c>
      <c r="AH162" s="50">
        <f t="shared" si="83"/>
        <v>152</v>
      </c>
      <c r="AI162" s="5" t="str">
        <f>IF(L162="","",VLOOKUP($L162,classifications!$C:$J,8,FALSE))</f>
        <v/>
      </c>
      <c r="AJ162" s="43" t="str">
        <f t="shared" si="84"/>
        <v/>
      </c>
      <c r="AK162" s="40" t="str">
        <f>IF(AJ162="","",IF(I$8="A",(RANK(AJ162,AJ$11:AJ$349,1)+COUNTIF(AJ$11:AJ162,AJ162)-1),(RANK(AJ162,AJ$11:AJ$349)+COUNTIF(AJ$11:AJ162,AJ162)-1)))</f>
        <v/>
      </c>
      <c r="AL162" s="3" t="str">
        <f t="shared" si="85"/>
        <v/>
      </c>
      <c r="AM162" t="str">
        <f t="shared" si="86"/>
        <v/>
      </c>
      <c r="AN162" t="str">
        <f t="shared" si="87"/>
        <v/>
      </c>
      <c r="AP162" s="5" t="str">
        <f>IF(L162="","",VLOOKUP($L162,classifications!$C:$E,3,FALSE))</f>
        <v/>
      </c>
      <c r="AQ162" s="43" t="str">
        <f t="shared" si="88"/>
        <v/>
      </c>
      <c r="AR162" s="40" t="str">
        <f>IF(AQ162="","",IF(I$8="A",(RANK(AQ162,AQ$11:AQ$349,1)+COUNTIF(AQ$11:AQ162,AQ162)-1),(RANK(AQ162,AQ$11:AQ$349)+COUNTIF(AQ$11:AQ162,AQ162)-1)))</f>
        <v/>
      </c>
      <c r="AS162" s="3" t="str">
        <f t="shared" si="89"/>
        <v/>
      </c>
      <c r="AT162" s="40" t="str">
        <f t="shared" si="90"/>
        <v/>
      </c>
      <c r="AU162" s="43" t="str">
        <f t="shared" si="91"/>
        <v/>
      </c>
      <c r="AX162">
        <f>HLOOKUP($AX$9&amp;$AX$10,Data!$A$1:$ZZ$1988,(MATCH($C162,Data!$A$1:$A$1988,0)),FALSE)</f>
        <v>100</v>
      </c>
    </row>
    <row r="163" spans="1:50">
      <c r="A163" s="59" t="str">
        <f>$D$1&amp;153</f>
        <v>UA153</v>
      </c>
      <c r="B163" s="60">
        <f>IF(ISERROR(VLOOKUP(A163,classifications!A:C,3,FALSE)),0,VLOOKUP(A163,classifications!A:C,3,FALSE))</f>
        <v>0</v>
      </c>
      <c r="C163" t="s">
        <v>316</v>
      </c>
      <c r="D163" t="str">
        <f>VLOOKUP($C163,classifications!$C:$J,4,FALSE)</f>
        <v>SC</v>
      </c>
      <c r="E163" t="str">
        <f>VLOOKUP(C163,classifications!C:K,9,FALSE)</f>
        <v>Sparse</v>
      </c>
      <c r="F163" t="e">
        <f t="shared" si="68"/>
        <v>#N/A</v>
      </c>
      <c r="G163" s="15"/>
      <c r="H163" s="42" t="str">
        <f t="shared" si="69"/>
        <v/>
      </c>
      <c r="I163" s="79" t="str">
        <f>IF(H163="","",IF($I$8="A",(RANK(H163,H$11:H$349,1)+COUNTIF(H$11:H163,H163)-1),(RANK(H163,H$11:H$349)+COUNTIF(H$11:H163,H163)-1)))</f>
        <v/>
      </c>
      <c r="J163" s="41"/>
      <c r="K163" s="36" t="str">
        <f t="shared" si="70"/>
        <v/>
      </c>
      <c r="L163" t="str">
        <f t="shared" si="71"/>
        <v/>
      </c>
      <c r="M163" s="117" t="str">
        <f t="shared" si="72"/>
        <v/>
      </c>
      <c r="N163" s="112" t="str">
        <f t="shared" si="73"/>
        <v/>
      </c>
      <c r="O163" s="96" t="str">
        <f t="shared" si="74"/>
        <v/>
      </c>
      <c r="P163" s="96" t="str">
        <f t="shared" si="75"/>
        <v/>
      </c>
      <c r="Q163" s="96" t="str">
        <f t="shared" si="76"/>
        <v/>
      </c>
      <c r="R163" s="92" t="str">
        <f t="shared" si="77"/>
        <v/>
      </c>
      <c r="S163" s="42" t="str">
        <f t="shared" si="78"/>
        <v/>
      </c>
      <c r="T163" s="176" t="str">
        <f>IF(L163="","",VLOOKUP(L163,classifications!C:K,9,FALSE))</f>
        <v/>
      </c>
      <c r="U163" s="177" t="str">
        <f t="shared" si="79"/>
        <v/>
      </c>
      <c r="V163" s="183" t="str">
        <f>IF(U163="","",IF($I$8="A",(RANK(U163,U$11:U$349)+COUNTIF(U$11:U163,U163)-1),(RANK(U163,U$11:U$349,1)+COUNTIF(U$11:U163,U163)-1)))</f>
        <v/>
      </c>
      <c r="W163" s="184"/>
      <c r="X163" s="5" t="str">
        <f>IF(L163="","",VLOOKUP($L163,classifications!$C:$J,6,FALSE))</f>
        <v/>
      </c>
      <c r="Y163" t="str">
        <f t="shared" si="80"/>
        <v/>
      </c>
      <c r="Z163" s="40" t="str">
        <f>IF(Y163="","",IF(I$8="A",(RANK(Y163,Y$11:Y$349,1)+COUNTIF(Y$11:Y163,Y163)-1),(RANK(Y163,Y$11:Y$349)+COUNTIF(Y$11:Y163,Y163)-1)))</f>
        <v/>
      </c>
      <c r="AA163" s="189" t="str">
        <f>IF(L163="","",VLOOKUP($L163,classifications!C:I,7,FALSE))</f>
        <v/>
      </c>
      <c r="AB163" s="183" t="str">
        <f t="shared" si="81"/>
        <v/>
      </c>
      <c r="AC163" s="183" t="str">
        <f>IF(AB163="","",IF($I$8="A",(RANK(AB163,AB$11:AB$349)+COUNTIF(AB$11:AB163,AB163)-1),(RANK(AB163,AB$11:AB$349,1)+COUNTIF(AB$11:AB163,AB163)-1)))</f>
        <v/>
      </c>
      <c r="AD163" s="183"/>
      <c r="AE163" s="49">
        <f>IF(I$8="A",(RANK(AG163,AG$11:AG$349,1)+COUNTIF(AG$11:AG163,AG163)-1),(RANK(AG163,AG$11:AG$349)+COUNTIF(AG$11:AG163,AG163)-1))</f>
        <v>153</v>
      </c>
      <c r="AF163" t="str">
        <f>VLOOKUP(Profile!$J$5,Families!$C:$R,6,FALSE)</f>
        <v>Herefordshire</v>
      </c>
      <c r="AG163" s="15">
        <f t="shared" si="82"/>
        <v>62.711864406779661</v>
      </c>
      <c r="AH163" s="50">
        <f t="shared" si="83"/>
        <v>153</v>
      </c>
      <c r="AI163" s="5" t="str">
        <f>IF(L163="","",VLOOKUP($L163,classifications!$C:$J,8,FALSE))</f>
        <v/>
      </c>
      <c r="AJ163" s="43" t="str">
        <f t="shared" si="84"/>
        <v/>
      </c>
      <c r="AK163" s="40" t="str">
        <f>IF(AJ163="","",IF(I$8="A",(RANK(AJ163,AJ$11:AJ$349,1)+COUNTIF(AJ$11:AJ163,AJ163)-1),(RANK(AJ163,AJ$11:AJ$349)+COUNTIF(AJ$11:AJ163,AJ163)-1)))</f>
        <v/>
      </c>
      <c r="AL163" s="3" t="str">
        <f t="shared" si="85"/>
        <v/>
      </c>
      <c r="AM163" t="str">
        <f t="shared" si="86"/>
        <v/>
      </c>
      <c r="AN163" t="str">
        <f t="shared" si="87"/>
        <v/>
      </c>
      <c r="AP163" s="5" t="str">
        <f>IF(L163="","",VLOOKUP($L163,classifications!$C:$E,3,FALSE))</f>
        <v/>
      </c>
      <c r="AQ163" s="43" t="str">
        <f t="shared" si="88"/>
        <v/>
      </c>
      <c r="AR163" s="40" t="str">
        <f>IF(AQ163="","",IF(I$8="A",(RANK(AQ163,AQ$11:AQ$349,1)+COUNTIF(AQ$11:AQ163,AQ163)-1),(RANK(AQ163,AQ$11:AQ$349)+COUNTIF(AQ$11:AQ163,AQ163)-1)))</f>
        <v/>
      </c>
      <c r="AS163" s="3" t="str">
        <f t="shared" si="89"/>
        <v/>
      </c>
      <c r="AT163" s="40" t="str">
        <f t="shared" si="90"/>
        <v/>
      </c>
      <c r="AU163" s="43" t="str">
        <f t="shared" si="91"/>
        <v/>
      </c>
      <c r="AX163" t="e">
        <f>HLOOKUP($AX$9&amp;$AX$10,Data!$A$1:$ZZ$1988,(MATCH($C163,Data!$A$1:$A$1988,0)),FALSE)</f>
        <v>#N/A</v>
      </c>
    </row>
    <row r="164" spans="1:50">
      <c r="A164" s="59" t="str">
        <f>$D$1&amp;154</f>
        <v>UA154</v>
      </c>
      <c r="B164" s="60">
        <f>IF(ISERROR(VLOOKUP(A164,classifications!A:C,3,FALSE)),0,VLOOKUP(A164,classifications!A:C,3,FALSE))</f>
        <v>0</v>
      </c>
      <c r="C164" t="s">
        <v>92</v>
      </c>
      <c r="D164" t="str">
        <f>VLOOKUP($C164,classifications!$C:$J,4,FALSE)</f>
        <v>SD</v>
      </c>
      <c r="E164">
        <f>VLOOKUP(C164,classifications!C:K,9,FALSE)</f>
        <v>0</v>
      </c>
      <c r="F164">
        <f t="shared" si="68"/>
        <v>79.545454545454547</v>
      </c>
      <c r="G164" s="15"/>
      <c r="H164" s="42" t="str">
        <f t="shared" si="69"/>
        <v/>
      </c>
      <c r="I164" s="79" t="str">
        <f>IF(H164="","",IF($I$8="A",(RANK(H164,H$11:H$349,1)+COUNTIF(H$11:H164,H164)-1),(RANK(H164,H$11:H$349)+COUNTIF(H$11:H164,H164)-1)))</f>
        <v/>
      </c>
      <c r="J164" s="41"/>
      <c r="K164" s="36" t="str">
        <f t="shared" si="70"/>
        <v/>
      </c>
      <c r="L164" t="str">
        <f t="shared" si="71"/>
        <v/>
      </c>
      <c r="M164" s="117" t="str">
        <f t="shared" si="72"/>
        <v/>
      </c>
      <c r="N164" s="112" t="str">
        <f t="shared" si="73"/>
        <v/>
      </c>
      <c r="O164" s="96" t="str">
        <f t="shared" si="74"/>
        <v/>
      </c>
      <c r="P164" s="96" t="str">
        <f t="shared" si="75"/>
        <v/>
      </c>
      <c r="Q164" s="96" t="str">
        <f t="shared" si="76"/>
        <v/>
      </c>
      <c r="R164" s="92" t="str">
        <f t="shared" si="77"/>
        <v/>
      </c>
      <c r="S164" s="42" t="str">
        <f t="shared" si="78"/>
        <v/>
      </c>
      <c r="T164" s="176" t="str">
        <f>IF(L164="","",VLOOKUP(L164,classifications!C:K,9,FALSE))</f>
        <v/>
      </c>
      <c r="U164" s="177" t="str">
        <f t="shared" si="79"/>
        <v/>
      </c>
      <c r="V164" s="183" t="str">
        <f>IF(U164="","",IF($I$8="A",(RANK(U164,U$11:U$349)+COUNTIF(U$11:U164,U164)-1),(RANK(U164,U$11:U$349,1)+COUNTIF(U$11:U164,U164)-1)))</f>
        <v/>
      </c>
      <c r="W164" s="184"/>
      <c r="X164" s="5" t="str">
        <f>IF(L164="","",VLOOKUP($L164,classifications!$C:$J,6,FALSE))</f>
        <v/>
      </c>
      <c r="Y164" t="str">
        <f t="shared" si="80"/>
        <v/>
      </c>
      <c r="Z164" s="40" t="str">
        <f>IF(Y164="","",IF(I$8="A",(RANK(Y164,Y$11:Y$349,1)+COUNTIF(Y$11:Y164,Y164)-1),(RANK(Y164,Y$11:Y$349)+COUNTIF(Y$11:Y164,Y164)-1)))</f>
        <v/>
      </c>
      <c r="AA164" s="189" t="str">
        <f>IF(L164="","",VLOOKUP($L164,classifications!C:I,7,FALSE))</f>
        <v/>
      </c>
      <c r="AB164" s="183" t="str">
        <f t="shared" si="81"/>
        <v/>
      </c>
      <c r="AC164" s="183" t="str">
        <f>IF(AB164="","",IF($I$8="A",(RANK(AB164,AB$11:AB$349)+COUNTIF(AB$11:AB164,AB164)-1),(RANK(AB164,AB$11:AB$349,1)+COUNTIF(AB$11:AB164,AB164)-1)))</f>
        <v/>
      </c>
      <c r="AD164" s="183"/>
      <c r="AE164" s="49">
        <f>IF(I$8="A",(RANK(AG164,AG$11:AG$349,1)+COUNTIF(AG$11:AG164,AG164)-1),(RANK(AG164,AG$11:AG$349)+COUNTIF(AG$11:AG164,AG164)-1))</f>
        <v>154</v>
      </c>
      <c r="AF164" t="str">
        <f>VLOOKUP(Profile!$J$5,Families!$C:$R,6,FALSE)</f>
        <v>Herefordshire</v>
      </c>
      <c r="AG164" s="15">
        <f t="shared" si="82"/>
        <v>62.711864406779661</v>
      </c>
      <c r="AH164" s="50">
        <f t="shared" si="83"/>
        <v>154</v>
      </c>
      <c r="AI164" s="5" t="str">
        <f>IF(L164="","",VLOOKUP($L164,classifications!$C:$J,8,FALSE))</f>
        <v/>
      </c>
      <c r="AJ164" s="43" t="str">
        <f t="shared" si="84"/>
        <v/>
      </c>
      <c r="AK164" s="40" t="str">
        <f>IF(AJ164="","",IF(I$8="A",(RANK(AJ164,AJ$11:AJ$349,1)+COUNTIF(AJ$11:AJ164,AJ164)-1),(RANK(AJ164,AJ$11:AJ$349)+COUNTIF(AJ$11:AJ164,AJ164)-1)))</f>
        <v/>
      </c>
      <c r="AL164" s="3" t="str">
        <f t="shared" si="85"/>
        <v/>
      </c>
      <c r="AM164" t="str">
        <f t="shared" si="86"/>
        <v/>
      </c>
      <c r="AN164" t="str">
        <f t="shared" si="87"/>
        <v/>
      </c>
      <c r="AP164" s="5" t="str">
        <f>IF(L164="","",VLOOKUP($L164,classifications!$C:$E,3,FALSE))</f>
        <v/>
      </c>
      <c r="AQ164" s="43" t="str">
        <f t="shared" si="88"/>
        <v/>
      </c>
      <c r="AR164" s="40" t="str">
        <f>IF(AQ164="","",IF(I$8="A",(RANK(AQ164,AQ$11:AQ$349,1)+COUNTIF(AQ$11:AQ164,AQ164)-1),(RANK(AQ164,AQ$11:AQ$349)+COUNTIF(AQ$11:AQ164,AQ164)-1)))</f>
        <v/>
      </c>
      <c r="AS164" s="3" t="str">
        <f t="shared" si="89"/>
        <v/>
      </c>
      <c r="AT164" s="40" t="str">
        <f t="shared" si="90"/>
        <v/>
      </c>
      <c r="AU164" s="43" t="str">
        <f t="shared" si="91"/>
        <v/>
      </c>
      <c r="AX164">
        <f>HLOOKUP($AX$9&amp;$AX$10,Data!$A$1:$ZZ$1988,(MATCH($C164,Data!$A$1:$A$1988,0)),FALSE)</f>
        <v>79.545454545454547</v>
      </c>
    </row>
    <row r="165" spans="1:50">
      <c r="A165" s="59" t="str">
        <f>$D$1&amp;155</f>
        <v>UA155</v>
      </c>
      <c r="B165" s="60">
        <f>IF(ISERROR(VLOOKUP(A165,classifications!A:C,3,FALSE)),0,VLOOKUP(A165,classifications!A:C,3,FALSE))</f>
        <v>0</v>
      </c>
      <c r="C165" t="s">
        <v>234</v>
      </c>
      <c r="D165" t="str">
        <f>VLOOKUP($C165,classifications!$C:$J,4,FALSE)</f>
        <v>MD</v>
      </c>
      <c r="E165">
        <f>VLOOKUP(C165,classifications!C:K,9,FALSE)</f>
        <v>0</v>
      </c>
      <c r="F165">
        <f t="shared" si="68"/>
        <v>91.538461538461533</v>
      </c>
      <c r="G165" s="15"/>
      <c r="H165" s="42" t="str">
        <f t="shared" si="69"/>
        <v/>
      </c>
      <c r="I165" s="79" t="str">
        <f>IF(H165="","",IF($I$8="A",(RANK(H165,H$11:H$349,1)+COUNTIF(H$11:H165,H165)-1),(RANK(H165,H$11:H$349)+COUNTIF(H$11:H165,H165)-1)))</f>
        <v/>
      </c>
      <c r="J165" s="41"/>
      <c r="K165" s="36" t="str">
        <f t="shared" si="70"/>
        <v/>
      </c>
      <c r="L165" t="str">
        <f t="shared" si="71"/>
        <v/>
      </c>
      <c r="M165" s="117" t="str">
        <f t="shared" si="72"/>
        <v/>
      </c>
      <c r="N165" s="112" t="str">
        <f t="shared" si="73"/>
        <v/>
      </c>
      <c r="O165" s="96" t="str">
        <f t="shared" si="74"/>
        <v/>
      </c>
      <c r="P165" s="96" t="str">
        <f t="shared" si="75"/>
        <v/>
      </c>
      <c r="Q165" s="96" t="str">
        <f t="shared" si="76"/>
        <v/>
      </c>
      <c r="R165" s="92" t="str">
        <f t="shared" si="77"/>
        <v/>
      </c>
      <c r="S165" s="42" t="str">
        <f t="shared" si="78"/>
        <v/>
      </c>
      <c r="T165" s="176" t="str">
        <f>IF(L165="","",VLOOKUP(L165,classifications!C:K,9,FALSE))</f>
        <v/>
      </c>
      <c r="U165" s="177" t="str">
        <f t="shared" si="79"/>
        <v/>
      </c>
      <c r="V165" s="183" t="str">
        <f>IF(U165="","",IF($I$8="A",(RANK(U165,U$11:U$349)+COUNTIF(U$11:U165,U165)-1),(RANK(U165,U$11:U$349,1)+COUNTIF(U$11:U165,U165)-1)))</f>
        <v/>
      </c>
      <c r="W165" s="184"/>
      <c r="X165" s="5" t="str">
        <f>IF(L165="","",VLOOKUP($L165,classifications!$C:$J,6,FALSE))</f>
        <v/>
      </c>
      <c r="Y165" t="str">
        <f t="shared" si="80"/>
        <v/>
      </c>
      <c r="Z165" s="40" t="str">
        <f>IF(Y165="","",IF(I$8="A",(RANK(Y165,Y$11:Y$349,1)+COUNTIF(Y$11:Y165,Y165)-1),(RANK(Y165,Y$11:Y$349)+COUNTIF(Y$11:Y165,Y165)-1)))</f>
        <v/>
      </c>
      <c r="AA165" s="189" t="str">
        <f>IF(L165="","",VLOOKUP($L165,classifications!C:I,7,FALSE))</f>
        <v/>
      </c>
      <c r="AB165" s="183" t="str">
        <f t="shared" si="81"/>
        <v/>
      </c>
      <c r="AC165" s="183" t="str">
        <f>IF(AB165="","",IF($I$8="A",(RANK(AB165,AB$11:AB$349)+COUNTIF(AB$11:AB165,AB165)-1),(RANK(AB165,AB$11:AB$349,1)+COUNTIF(AB$11:AB165,AB165)-1)))</f>
        <v/>
      </c>
      <c r="AD165" s="183"/>
      <c r="AE165" s="49">
        <f>IF(I$8="A",(RANK(AG165,AG$11:AG$349,1)+COUNTIF(AG$11:AG165,AG165)-1),(RANK(AG165,AG$11:AG$349)+COUNTIF(AG$11:AG165,AG165)-1))</f>
        <v>155</v>
      </c>
      <c r="AF165" t="str">
        <f>VLOOKUP(Profile!$J$5,Families!$C:$R,6,FALSE)</f>
        <v>Herefordshire</v>
      </c>
      <c r="AG165" s="15">
        <f t="shared" si="82"/>
        <v>62.711864406779661</v>
      </c>
      <c r="AH165" s="50">
        <f t="shared" si="83"/>
        <v>155</v>
      </c>
      <c r="AI165" s="5" t="str">
        <f>IF(L165="","",VLOOKUP($L165,classifications!$C:$J,8,FALSE))</f>
        <v/>
      </c>
      <c r="AJ165" s="43" t="str">
        <f t="shared" si="84"/>
        <v/>
      </c>
      <c r="AK165" s="40" t="str">
        <f>IF(AJ165="","",IF(I$8="A",(RANK(AJ165,AJ$11:AJ$349,1)+COUNTIF(AJ$11:AJ165,AJ165)-1),(RANK(AJ165,AJ$11:AJ$349)+COUNTIF(AJ$11:AJ165,AJ165)-1)))</f>
        <v/>
      </c>
      <c r="AL165" s="3" t="str">
        <f t="shared" si="85"/>
        <v/>
      </c>
      <c r="AM165" t="str">
        <f t="shared" si="86"/>
        <v/>
      </c>
      <c r="AN165" t="str">
        <f t="shared" si="87"/>
        <v/>
      </c>
      <c r="AP165" s="5" t="str">
        <f>IF(L165="","",VLOOKUP($L165,classifications!$C:$E,3,FALSE))</f>
        <v/>
      </c>
      <c r="AQ165" s="43" t="str">
        <f t="shared" si="88"/>
        <v/>
      </c>
      <c r="AR165" s="40" t="str">
        <f>IF(AQ165="","",IF(I$8="A",(RANK(AQ165,AQ$11:AQ$349,1)+COUNTIF(AQ$11:AQ165,AQ165)-1),(RANK(AQ165,AQ$11:AQ$349)+COUNTIF(AQ$11:AQ165,AQ165)-1)))</f>
        <v/>
      </c>
      <c r="AS165" s="3" t="str">
        <f t="shared" si="89"/>
        <v/>
      </c>
      <c r="AT165" s="40" t="str">
        <f t="shared" si="90"/>
        <v/>
      </c>
      <c r="AU165" s="43" t="str">
        <f t="shared" si="91"/>
        <v/>
      </c>
      <c r="AX165">
        <f>HLOOKUP($AX$9&amp;$AX$10,Data!$A$1:$ZZ$1988,(MATCH($C165,Data!$A$1:$A$1988,0)),FALSE)</f>
        <v>91.538461538461533</v>
      </c>
    </row>
    <row r="166" spans="1:50">
      <c r="A166" s="59" t="str">
        <f>$D$1&amp;156</f>
        <v>UA156</v>
      </c>
      <c r="B166" s="60">
        <f>IF(ISERROR(VLOOKUP(A166,classifications!A:C,3,FALSE)),0,VLOOKUP(A166,classifications!A:C,3,FALSE))</f>
        <v>0</v>
      </c>
      <c r="C166" t="s">
        <v>271</v>
      </c>
      <c r="D166" t="str">
        <f>VLOOKUP($C166,classifications!$C:$J,4,FALSE)</f>
        <v>UA</v>
      </c>
      <c r="E166">
        <f>VLOOKUP(C166,classifications!C:K,9,FALSE)</f>
        <v>0</v>
      </c>
      <c r="F166">
        <f t="shared" si="68"/>
        <v>90.476190476190482</v>
      </c>
      <c r="G166" s="15"/>
      <c r="H166" s="42">
        <f t="shared" si="69"/>
        <v>90.476190476190482</v>
      </c>
      <c r="I166" s="79">
        <f>IF(H166="","",IF($I$8="A",(RANK(H166,H$11:H$349,1)+COUNTIF(H$11:H166,H166)-1),(RANK(H166,H$11:H$349)+COUNTIF(H$11:H166,H166)-1)))</f>
        <v>28</v>
      </c>
      <c r="J166" s="41"/>
      <c r="K166" s="36" t="str">
        <f t="shared" si="70"/>
        <v/>
      </c>
      <c r="L166" t="str">
        <f t="shared" si="71"/>
        <v/>
      </c>
      <c r="M166" s="117" t="str">
        <f t="shared" si="72"/>
        <v/>
      </c>
      <c r="N166" s="112" t="str">
        <f t="shared" si="73"/>
        <v/>
      </c>
      <c r="O166" s="96" t="str">
        <f t="shared" si="74"/>
        <v/>
      </c>
      <c r="P166" s="96" t="str">
        <f t="shared" si="75"/>
        <v/>
      </c>
      <c r="Q166" s="96" t="str">
        <f t="shared" si="76"/>
        <v/>
      </c>
      <c r="R166" s="92" t="str">
        <f t="shared" si="77"/>
        <v/>
      </c>
      <c r="S166" s="42" t="str">
        <f t="shared" si="78"/>
        <v/>
      </c>
      <c r="T166" s="176" t="str">
        <f>IF(L166="","",VLOOKUP(L166,classifications!C:K,9,FALSE))</f>
        <v/>
      </c>
      <c r="U166" s="177" t="str">
        <f t="shared" si="79"/>
        <v/>
      </c>
      <c r="V166" s="183" t="str">
        <f>IF(U166="","",IF($I$8="A",(RANK(U166,U$11:U$349)+COUNTIF(U$11:U166,U166)-1),(RANK(U166,U$11:U$349,1)+COUNTIF(U$11:U166,U166)-1)))</f>
        <v/>
      </c>
      <c r="W166" s="184"/>
      <c r="X166" s="5" t="str">
        <f>IF(L166="","",VLOOKUP($L166,classifications!$C:$J,6,FALSE))</f>
        <v/>
      </c>
      <c r="Y166" t="str">
        <f t="shared" si="80"/>
        <v/>
      </c>
      <c r="Z166" s="40" t="str">
        <f>IF(Y166="","",IF(I$8="A",(RANK(Y166,Y$11:Y$349,1)+COUNTIF(Y$11:Y166,Y166)-1),(RANK(Y166,Y$11:Y$349)+COUNTIF(Y$11:Y166,Y166)-1)))</f>
        <v/>
      </c>
      <c r="AA166" s="189" t="str">
        <f>IF(L166="","",VLOOKUP($L166,classifications!C:I,7,FALSE))</f>
        <v/>
      </c>
      <c r="AB166" s="183" t="str">
        <f t="shared" si="81"/>
        <v/>
      </c>
      <c r="AC166" s="183" t="str">
        <f>IF(AB166="","",IF($I$8="A",(RANK(AB166,AB$11:AB$349)+COUNTIF(AB$11:AB166,AB166)-1),(RANK(AB166,AB$11:AB$349,1)+COUNTIF(AB$11:AB166,AB166)-1)))</f>
        <v/>
      </c>
      <c r="AD166" s="183"/>
      <c r="AE166" s="49">
        <f>IF(I$8="A",(RANK(AG166,AG$11:AG$349,1)+COUNTIF(AG$11:AG166,AG166)-1),(RANK(AG166,AG$11:AG$349)+COUNTIF(AG$11:AG166,AG166)-1))</f>
        <v>156</v>
      </c>
      <c r="AF166" t="str">
        <f>VLOOKUP(Profile!$J$5,Families!$C:$R,6,FALSE)</f>
        <v>Herefordshire</v>
      </c>
      <c r="AG166" s="15">
        <f t="shared" si="82"/>
        <v>62.711864406779661</v>
      </c>
      <c r="AH166" s="50">
        <f t="shared" si="83"/>
        <v>156</v>
      </c>
      <c r="AI166" s="5" t="str">
        <f>IF(L166="","",VLOOKUP($L166,classifications!$C:$J,8,FALSE))</f>
        <v/>
      </c>
      <c r="AJ166" s="43" t="str">
        <f t="shared" si="84"/>
        <v/>
      </c>
      <c r="AK166" s="40" t="str">
        <f>IF(AJ166="","",IF(I$8="A",(RANK(AJ166,AJ$11:AJ$349,1)+COUNTIF(AJ$11:AJ166,AJ166)-1),(RANK(AJ166,AJ$11:AJ$349)+COUNTIF(AJ$11:AJ166,AJ166)-1)))</f>
        <v/>
      </c>
      <c r="AL166" s="3" t="str">
        <f t="shared" si="85"/>
        <v/>
      </c>
      <c r="AM166" t="str">
        <f t="shared" si="86"/>
        <v/>
      </c>
      <c r="AN166" t="str">
        <f t="shared" si="87"/>
        <v/>
      </c>
      <c r="AP166" s="5" t="str">
        <f>IF(L166="","",VLOOKUP($L166,classifications!$C:$E,3,FALSE))</f>
        <v/>
      </c>
      <c r="AQ166" s="43" t="str">
        <f t="shared" si="88"/>
        <v/>
      </c>
      <c r="AR166" s="40" t="str">
        <f>IF(AQ166="","",IF(I$8="A",(RANK(AQ166,AQ$11:AQ$349,1)+COUNTIF(AQ$11:AQ166,AQ166)-1),(RANK(AQ166,AQ$11:AQ$349)+COUNTIF(AQ$11:AQ166,AQ166)-1)))</f>
        <v/>
      </c>
      <c r="AS166" s="3" t="str">
        <f t="shared" si="89"/>
        <v/>
      </c>
      <c r="AT166" s="40" t="str">
        <f t="shared" si="90"/>
        <v/>
      </c>
      <c r="AU166" s="43" t="str">
        <f t="shared" si="91"/>
        <v/>
      </c>
      <c r="AX166">
        <f>HLOOKUP($AX$9&amp;$AX$10,Data!$A$1:$ZZ$1988,(MATCH($C166,Data!$A$1:$A$1988,0)),FALSE)</f>
        <v>90.476190476190482</v>
      </c>
    </row>
    <row r="167" spans="1:50">
      <c r="A167" s="59" t="str">
        <f>$D$1&amp;157</f>
        <v>UA157</v>
      </c>
      <c r="B167" s="60">
        <f>IF(ISERROR(VLOOKUP(A167,classifications!A:C,3,FALSE)),0,VLOOKUP(A167,classifications!A:C,3,FALSE))</f>
        <v>0</v>
      </c>
      <c r="C167" t="s">
        <v>317</v>
      </c>
      <c r="D167" t="str">
        <f>VLOOKUP($C167,classifications!$C:$J,4,FALSE)</f>
        <v>SC</v>
      </c>
      <c r="E167">
        <f>VLOOKUP(C167,classifications!C:K,9,FALSE)</f>
        <v>0</v>
      </c>
      <c r="F167" t="e">
        <f t="shared" si="68"/>
        <v>#N/A</v>
      </c>
      <c r="G167" s="15"/>
      <c r="H167" s="42" t="str">
        <f t="shared" si="69"/>
        <v/>
      </c>
      <c r="I167" s="79" t="str">
        <f>IF(H167="","",IF($I$8="A",(RANK(H167,H$11:H$349,1)+COUNTIF(H$11:H167,H167)-1),(RANK(H167,H$11:H$349)+COUNTIF(H$11:H167,H167)-1)))</f>
        <v/>
      </c>
      <c r="J167" s="41"/>
      <c r="K167" s="36" t="str">
        <f t="shared" si="70"/>
        <v/>
      </c>
      <c r="L167" t="str">
        <f t="shared" si="71"/>
        <v/>
      </c>
      <c r="M167" s="117" t="str">
        <f t="shared" si="72"/>
        <v/>
      </c>
      <c r="N167" s="112" t="str">
        <f t="shared" si="73"/>
        <v/>
      </c>
      <c r="O167" s="96" t="str">
        <f t="shared" si="74"/>
        <v/>
      </c>
      <c r="P167" s="96" t="str">
        <f t="shared" si="75"/>
        <v/>
      </c>
      <c r="Q167" s="96" t="str">
        <f t="shared" si="76"/>
        <v/>
      </c>
      <c r="R167" s="92" t="str">
        <f t="shared" si="77"/>
        <v/>
      </c>
      <c r="S167" s="42" t="str">
        <f t="shared" si="78"/>
        <v/>
      </c>
      <c r="T167" s="176" t="str">
        <f>IF(L167="","",VLOOKUP(L167,classifications!C:K,9,FALSE))</f>
        <v/>
      </c>
      <c r="U167" s="177" t="str">
        <f t="shared" si="79"/>
        <v/>
      </c>
      <c r="V167" s="183" t="str">
        <f>IF(U167="","",IF($I$8="A",(RANK(U167,U$11:U$349)+COUNTIF(U$11:U167,U167)-1),(RANK(U167,U$11:U$349,1)+COUNTIF(U$11:U167,U167)-1)))</f>
        <v/>
      </c>
      <c r="W167" s="184"/>
      <c r="X167" s="5" t="str">
        <f>IF(L167="","",VLOOKUP($L167,classifications!$C:$J,6,FALSE))</f>
        <v/>
      </c>
      <c r="Y167" t="str">
        <f t="shared" si="80"/>
        <v/>
      </c>
      <c r="Z167" s="40" t="str">
        <f>IF(Y167="","",IF(I$8="A",(RANK(Y167,Y$11:Y$349,1)+COUNTIF(Y$11:Y167,Y167)-1),(RANK(Y167,Y$11:Y$349)+COUNTIF(Y$11:Y167,Y167)-1)))</f>
        <v/>
      </c>
      <c r="AA167" s="189" t="str">
        <f>IF(L167="","",VLOOKUP($L167,classifications!C:I,7,FALSE))</f>
        <v/>
      </c>
      <c r="AB167" s="183" t="str">
        <f t="shared" si="81"/>
        <v/>
      </c>
      <c r="AC167" s="183" t="str">
        <f>IF(AB167="","",IF($I$8="A",(RANK(AB167,AB$11:AB$349)+COUNTIF(AB$11:AB167,AB167)-1),(RANK(AB167,AB$11:AB$349,1)+COUNTIF(AB$11:AB167,AB167)-1)))</f>
        <v/>
      </c>
      <c r="AD167" s="183"/>
      <c r="AE167" s="49">
        <f>IF(I$8="A",(RANK(AG167,AG$11:AG$349,1)+COUNTIF(AG$11:AG167,AG167)-1),(RANK(AG167,AG$11:AG$349)+COUNTIF(AG$11:AG167,AG167)-1))</f>
        <v>157</v>
      </c>
      <c r="AF167" t="str">
        <f>VLOOKUP(Profile!$J$5,Families!$C:$R,6,FALSE)</f>
        <v>Herefordshire</v>
      </c>
      <c r="AG167" s="15">
        <f t="shared" si="82"/>
        <v>62.711864406779661</v>
      </c>
      <c r="AH167" s="50">
        <f t="shared" si="83"/>
        <v>157</v>
      </c>
      <c r="AI167" s="5" t="str">
        <f>IF(L167="","",VLOOKUP($L167,classifications!$C:$J,8,FALSE))</f>
        <v/>
      </c>
      <c r="AJ167" s="43" t="str">
        <f t="shared" si="84"/>
        <v/>
      </c>
      <c r="AK167" s="40" t="str">
        <f>IF(AJ167="","",IF(I$8="A",(RANK(AJ167,AJ$11:AJ$349,1)+COUNTIF(AJ$11:AJ167,AJ167)-1),(RANK(AJ167,AJ$11:AJ$349)+COUNTIF(AJ$11:AJ167,AJ167)-1)))</f>
        <v/>
      </c>
      <c r="AL167" s="3" t="str">
        <f t="shared" si="85"/>
        <v/>
      </c>
      <c r="AM167" t="str">
        <f t="shared" si="86"/>
        <v/>
      </c>
      <c r="AN167" t="str">
        <f t="shared" si="87"/>
        <v/>
      </c>
      <c r="AP167" s="5" t="str">
        <f>IF(L167="","",VLOOKUP($L167,classifications!$C:$E,3,FALSE))</f>
        <v/>
      </c>
      <c r="AQ167" s="43" t="str">
        <f t="shared" si="88"/>
        <v/>
      </c>
      <c r="AR167" s="40" t="str">
        <f>IF(AQ167="","",IF(I$8="A",(RANK(AQ167,AQ$11:AQ$349,1)+COUNTIF(AQ$11:AQ167,AQ167)-1),(RANK(AQ167,AQ$11:AQ$349)+COUNTIF(AQ$11:AQ167,AQ167)-1)))</f>
        <v/>
      </c>
      <c r="AS167" s="3" t="str">
        <f t="shared" si="89"/>
        <v/>
      </c>
      <c r="AT167" s="40" t="str">
        <f t="shared" si="90"/>
        <v/>
      </c>
      <c r="AU167" s="43" t="str">
        <f t="shared" si="91"/>
        <v/>
      </c>
      <c r="AX167" t="e">
        <f>HLOOKUP($AX$9&amp;$AX$10,Data!$A$1:$ZZ$1988,(MATCH($C167,Data!$A$1:$A$1988,0)),FALSE)</f>
        <v>#N/A</v>
      </c>
    </row>
    <row r="168" spans="1:50">
      <c r="A168" s="59" t="str">
        <f>$D$1&amp;158</f>
        <v>UA158</v>
      </c>
      <c r="B168" s="60">
        <f>IF(ISERROR(VLOOKUP(A168,classifications!A:C,3,FALSE)),0,VLOOKUP(A168,classifications!A:C,3,FALSE))</f>
        <v>0</v>
      </c>
      <c r="C168" t="s">
        <v>93</v>
      </c>
      <c r="D168" t="str">
        <f>VLOOKUP($C168,classifications!$C:$J,4,FALSE)</f>
        <v>SD</v>
      </c>
      <c r="E168" t="str">
        <f>VLOOKUP(C168,classifications!C:K,9,FALSE)</f>
        <v>Sparse</v>
      </c>
      <c r="F168">
        <f t="shared" si="68"/>
        <v>86.36363636363636</v>
      </c>
      <c r="G168" s="15"/>
      <c r="H168" s="42" t="str">
        <f t="shared" si="69"/>
        <v/>
      </c>
      <c r="I168" s="79" t="str">
        <f>IF(H168="","",IF($I$8="A",(RANK(H168,H$11:H$349,1)+COUNTIF(H$11:H168,H168)-1),(RANK(H168,H$11:H$349)+COUNTIF(H$11:H168,H168)-1)))</f>
        <v/>
      </c>
      <c r="J168" s="41"/>
      <c r="K168" s="36" t="str">
        <f t="shared" si="70"/>
        <v/>
      </c>
      <c r="L168" t="str">
        <f t="shared" si="71"/>
        <v/>
      </c>
      <c r="M168" s="117" t="str">
        <f t="shared" si="72"/>
        <v/>
      </c>
      <c r="N168" s="112" t="str">
        <f t="shared" si="73"/>
        <v/>
      </c>
      <c r="O168" s="96" t="str">
        <f t="shared" si="74"/>
        <v/>
      </c>
      <c r="P168" s="96" t="str">
        <f t="shared" si="75"/>
        <v/>
      </c>
      <c r="Q168" s="96" t="str">
        <f t="shared" si="76"/>
        <v/>
      </c>
      <c r="R168" s="92" t="str">
        <f t="shared" si="77"/>
        <v/>
      </c>
      <c r="S168" s="42" t="str">
        <f t="shared" si="78"/>
        <v/>
      </c>
      <c r="T168" s="176" t="str">
        <f>IF(L168="","",VLOOKUP(L168,classifications!C:K,9,FALSE))</f>
        <v/>
      </c>
      <c r="U168" s="177" t="str">
        <f t="shared" si="79"/>
        <v/>
      </c>
      <c r="V168" s="183" t="str">
        <f>IF(U168="","",IF($I$8="A",(RANK(U168,U$11:U$349)+COUNTIF(U$11:U168,U168)-1),(RANK(U168,U$11:U$349,1)+COUNTIF(U$11:U168,U168)-1)))</f>
        <v/>
      </c>
      <c r="W168" s="184"/>
      <c r="X168" s="5" t="str">
        <f>IF(L168="","",VLOOKUP($L168,classifications!$C:$J,6,FALSE))</f>
        <v/>
      </c>
      <c r="Y168" t="str">
        <f t="shared" si="80"/>
        <v/>
      </c>
      <c r="Z168" s="40" t="str">
        <f>IF(Y168="","",IF(I$8="A",(RANK(Y168,Y$11:Y$349,1)+COUNTIF(Y$11:Y168,Y168)-1),(RANK(Y168,Y$11:Y$349)+COUNTIF(Y$11:Y168,Y168)-1)))</f>
        <v/>
      </c>
      <c r="AA168" s="189" t="str">
        <f>IF(L168="","",VLOOKUP($L168,classifications!C:I,7,FALSE))</f>
        <v/>
      </c>
      <c r="AB168" s="183" t="str">
        <f t="shared" si="81"/>
        <v/>
      </c>
      <c r="AC168" s="183" t="str">
        <f>IF(AB168="","",IF($I$8="A",(RANK(AB168,AB$11:AB$349)+COUNTIF(AB$11:AB168,AB168)-1),(RANK(AB168,AB$11:AB$349,1)+COUNTIF(AB$11:AB168,AB168)-1)))</f>
        <v/>
      </c>
      <c r="AD168" s="183"/>
      <c r="AE168" s="49">
        <f>IF(I$8="A",(RANK(AG168,AG$11:AG$349,1)+COUNTIF(AG$11:AG168,AG168)-1),(RANK(AG168,AG$11:AG$349)+COUNTIF(AG$11:AG168,AG168)-1))</f>
        <v>158</v>
      </c>
      <c r="AF168" t="str">
        <f>VLOOKUP(Profile!$J$5,Families!$C:$R,6,FALSE)</f>
        <v>Herefordshire</v>
      </c>
      <c r="AG168" s="15">
        <f t="shared" si="82"/>
        <v>62.711864406779661</v>
      </c>
      <c r="AH168" s="50">
        <f t="shared" si="83"/>
        <v>158</v>
      </c>
      <c r="AI168" s="5" t="str">
        <f>IF(L168="","",VLOOKUP($L168,classifications!$C:$J,8,FALSE))</f>
        <v/>
      </c>
      <c r="AJ168" s="43" t="str">
        <f t="shared" si="84"/>
        <v/>
      </c>
      <c r="AK168" s="40" t="str">
        <f>IF(AJ168="","",IF(I$8="A",(RANK(AJ168,AJ$11:AJ$349,1)+COUNTIF(AJ$11:AJ168,AJ168)-1),(RANK(AJ168,AJ$11:AJ$349)+COUNTIF(AJ$11:AJ168,AJ168)-1)))</f>
        <v/>
      </c>
      <c r="AL168" s="3" t="str">
        <f t="shared" si="85"/>
        <v/>
      </c>
      <c r="AM168" t="str">
        <f t="shared" si="86"/>
        <v/>
      </c>
      <c r="AN168" t="str">
        <f t="shared" si="87"/>
        <v/>
      </c>
      <c r="AP168" s="5" t="str">
        <f>IF(L168="","",VLOOKUP($L168,classifications!$C:$E,3,FALSE))</f>
        <v/>
      </c>
      <c r="AQ168" s="43" t="str">
        <f t="shared" si="88"/>
        <v/>
      </c>
      <c r="AR168" s="40" t="str">
        <f>IF(AQ168="","",IF(I$8="A",(RANK(AQ168,AQ$11:AQ$349,1)+COUNTIF(AQ$11:AQ168,AQ168)-1),(RANK(AQ168,AQ$11:AQ$349)+COUNTIF(AQ$11:AQ168,AQ168)-1)))</f>
        <v/>
      </c>
      <c r="AS168" s="3" t="str">
        <f t="shared" si="89"/>
        <v/>
      </c>
      <c r="AT168" s="40" t="str">
        <f t="shared" si="90"/>
        <v/>
      </c>
      <c r="AU168" s="43" t="str">
        <f t="shared" si="91"/>
        <v/>
      </c>
      <c r="AX168">
        <f>HLOOKUP($AX$9&amp;$AX$10,Data!$A$1:$ZZ$1988,(MATCH($C168,Data!$A$1:$A$1988,0)),FALSE)</f>
        <v>86.36363636363636</v>
      </c>
    </row>
    <row r="169" spans="1:50">
      <c r="A169" s="59" t="str">
        <f>$D$1&amp;159</f>
        <v>UA159</v>
      </c>
      <c r="B169" s="60">
        <f>IF(ISERROR(VLOOKUP(A169,classifications!A:C,3,FALSE)),0,VLOOKUP(A169,classifications!A:C,3,FALSE))</f>
        <v>0</v>
      </c>
      <c r="C169" t="s">
        <v>213</v>
      </c>
      <c r="D169" t="str">
        <f>VLOOKUP($C169,classifications!$C:$J,4,FALSE)</f>
        <v>L</v>
      </c>
      <c r="E169">
        <f>VLOOKUP(C169,classifications!C:K,9,FALSE)</f>
        <v>0</v>
      </c>
      <c r="F169">
        <f t="shared" si="68"/>
        <v>95</v>
      </c>
      <c r="G169" s="15"/>
      <c r="H169" s="42" t="str">
        <f t="shared" si="69"/>
        <v/>
      </c>
      <c r="I169" s="79" t="str">
        <f>IF(H169="","",IF($I$8="A",(RANK(H169,H$11:H$349,1)+COUNTIF(H$11:H169,H169)-1),(RANK(H169,H$11:H$349)+COUNTIF(H$11:H169,H169)-1)))</f>
        <v/>
      </c>
      <c r="J169" s="41"/>
      <c r="K169" s="36" t="str">
        <f t="shared" si="70"/>
        <v/>
      </c>
      <c r="L169" t="str">
        <f t="shared" si="71"/>
        <v/>
      </c>
      <c r="M169" s="117" t="str">
        <f t="shared" si="72"/>
        <v/>
      </c>
      <c r="N169" s="112" t="str">
        <f t="shared" si="73"/>
        <v/>
      </c>
      <c r="O169" s="96" t="str">
        <f t="shared" si="74"/>
        <v/>
      </c>
      <c r="P169" s="96" t="str">
        <f t="shared" si="75"/>
        <v/>
      </c>
      <c r="Q169" s="96" t="str">
        <f t="shared" si="76"/>
        <v/>
      </c>
      <c r="R169" s="92" t="str">
        <f t="shared" si="77"/>
        <v/>
      </c>
      <c r="S169" s="42" t="str">
        <f t="shared" si="78"/>
        <v/>
      </c>
      <c r="T169" s="176" t="str">
        <f>IF(L169="","",VLOOKUP(L169,classifications!C:K,9,FALSE))</f>
        <v/>
      </c>
      <c r="U169" s="177" t="str">
        <f t="shared" si="79"/>
        <v/>
      </c>
      <c r="V169" s="183" t="str">
        <f>IF(U169="","",IF($I$8="A",(RANK(U169,U$11:U$349)+COUNTIF(U$11:U169,U169)-1),(RANK(U169,U$11:U$349,1)+COUNTIF(U$11:U169,U169)-1)))</f>
        <v/>
      </c>
      <c r="W169" s="184"/>
      <c r="X169" s="5" t="str">
        <f>IF(L169="","",VLOOKUP($L169,classifications!$C:$J,6,FALSE))</f>
        <v/>
      </c>
      <c r="Y169" t="str">
        <f t="shared" si="80"/>
        <v/>
      </c>
      <c r="Z169" s="40" t="str">
        <f>IF(Y169="","",IF(I$8="A",(RANK(Y169,Y$11:Y$349,1)+COUNTIF(Y$11:Y169,Y169)-1),(RANK(Y169,Y$11:Y$349)+COUNTIF(Y$11:Y169,Y169)-1)))</f>
        <v/>
      </c>
      <c r="AA169" s="189" t="str">
        <f>IF(L169="","",VLOOKUP($L169,classifications!C:I,7,FALSE))</f>
        <v/>
      </c>
      <c r="AB169" s="183" t="str">
        <f t="shared" si="81"/>
        <v/>
      </c>
      <c r="AC169" s="183" t="str">
        <f>IF(AB169="","",IF($I$8="A",(RANK(AB169,AB$11:AB$349)+COUNTIF(AB$11:AB169,AB169)-1),(RANK(AB169,AB$11:AB$349,1)+COUNTIF(AB$11:AB169,AB169)-1)))</f>
        <v/>
      </c>
      <c r="AD169" s="183"/>
      <c r="AE169" s="49">
        <f>IF(I$8="A",(RANK(AG169,AG$11:AG$349,1)+COUNTIF(AG$11:AG169,AG169)-1),(RANK(AG169,AG$11:AG$349)+COUNTIF(AG$11:AG169,AG169)-1))</f>
        <v>159</v>
      </c>
      <c r="AF169" t="str">
        <f>VLOOKUP(Profile!$J$5,Families!$C:$R,6,FALSE)</f>
        <v>Herefordshire</v>
      </c>
      <c r="AG169" s="15">
        <f t="shared" si="82"/>
        <v>62.711864406779661</v>
      </c>
      <c r="AH169" s="50">
        <f t="shared" si="83"/>
        <v>159</v>
      </c>
      <c r="AI169" s="5" t="str">
        <f>IF(L169="","",VLOOKUP($L169,classifications!$C:$J,8,FALSE))</f>
        <v/>
      </c>
      <c r="AJ169" s="43" t="str">
        <f t="shared" si="84"/>
        <v/>
      </c>
      <c r="AK169" s="40" t="str">
        <f>IF(AJ169="","",IF(I$8="A",(RANK(AJ169,AJ$11:AJ$349,1)+COUNTIF(AJ$11:AJ169,AJ169)-1),(RANK(AJ169,AJ$11:AJ$349)+COUNTIF(AJ$11:AJ169,AJ169)-1)))</f>
        <v/>
      </c>
      <c r="AL169" s="3" t="str">
        <f t="shared" si="85"/>
        <v/>
      </c>
      <c r="AM169" t="str">
        <f t="shared" si="86"/>
        <v/>
      </c>
      <c r="AN169" t="str">
        <f t="shared" si="87"/>
        <v/>
      </c>
      <c r="AP169" s="5" t="str">
        <f>IF(L169="","",VLOOKUP($L169,classifications!$C:$E,3,FALSE))</f>
        <v/>
      </c>
      <c r="AQ169" s="43" t="str">
        <f t="shared" si="88"/>
        <v/>
      </c>
      <c r="AR169" s="40" t="str">
        <f>IF(AQ169="","",IF(I$8="A",(RANK(AQ169,AQ$11:AQ$349,1)+COUNTIF(AQ$11:AQ169,AQ169)-1),(RANK(AQ169,AQ$11:AQ$349)+COUNTIF(AQ$11:AQ169,AQ169)-1)))</f>
        <v/>
      </c>
      <c r="AS169" s="3" t="str">
        <f t="shared" si="89"/>
        <v/>
      </c>
      <c r="AT169" s="40" t="str">
        <f t="shared" si="90"/>
        <v/>
      </c>
      <c r="AU169" s="43" t="str">
        <f t="shared" si="91"/>
        <v/>
      </c>
      <c r="AX169">
        <f>HLOOKUP($AX$9&amp;$AX$10,Data!$A$1:$ZZ$1988,(MATCH($C169,Data!$A$1:$A$1988,0)),FALSE)</f>
        <v>95</v>
      </c>
    </row>
    <row r="170" spans="1:50">
      <c r="A170" s="59" t="str">
        <f>$D$1&amp;160</f>
        <v>UA160</v>
      </c>
      <c r="B170" s="60">
        <f>IF(ISERROR(VLOOKUP(A170,classifications!A:C,3,FALSE)),0,VLOOKUP(A170,classifications!A:C,3,FALSE))</f>
        <v>0</v>
      </c>
      <c r="C170" t="s">
        <v>94</v>
      </c>
      <c r="D170" t="str">
        <f>VLOOKUP($C170,classifications!$C:$J,4,FALSE)</f>
        <v>SD</v>
      </c>
      <c r="E170" t="str">
        <f>VLOOKUP(C170,classifications!C:K,9,FALSE)</f>
        <v>Sparse</v>
      </c>
      <c r="F170">
        <f t="shared" si="68"/>
        <v>96.428571428571431</v>
      </c>
      <c r="G170" s="15"/>
      <c r="H170" s="42" t="str">
        <f t="shared" si="69"/>
        <v/>
      </c>
      <c r="I170" s="79" t="str">
        <f>IF(H170="","",IF($I$8="A",(RANK(H170,H$11:H$349,1)+COUNTIF(H$11:H170,H170)-1),(RANK(H170,H$11:H$349)+COUNTIF(H$11:H170,H170)-1)))</f>
        <v/>
      </c>
      <c r="J170" s="41"/>
      <c r="K170" s="36" t="str">
        <f t="shared" si="70"/>
        <v/>
      </c>
      <c r="L170" t="str">
        <f t="shared" si="71"/>
        <v/>
      </c>
      <c r="M170" s="117" t="str">
        <f t="shared" si="72"/>
        <v/>
      </c>
      <c r="N170" s="112" t="str">
        <f t="shared" si="73"/>
        <v/>
      </c>
      <c r="O170" s="96" t="str">
        <f t="shared" si="74"/>
        <v/>
      </c>
      <c r="P170" s="96" t="str">
        <f t="shared" si="75"/>
        <v/>
      </c>
      <c r="Q170" s="96" t="str">
        <f t="shared" si="76"/>
        <v/>
      </c>
      <c r="R170" s="92" t="str">
        <f t="shared" si="77"/>
        <v/>
      </c>
      <c r="S170" s="42" t="str">
        <f t="shared" si="78"/>
        <v/>
      </c>
      <c r="T170" s="176" t="str">
        <f>IF(L170="","",VLOOKUP(L170,classifications!C:K,9,FALSE))</f>
        <v/>
      </c>
      <c r="U170" s="177" t="str">
        <f t="shared" si="79"/>
        <v/>
      </c>
      <c r="V170" s="183" t="str">
        <f>IF(U170="","",IF($I$8="A",(RANK(U170,U$11:U$349)+COUNTIF(U$11:U170,U170)-1),(RANK(U170,U$11:U$349,1)+COUNTIF(U$11:U170,U170)-1)))</f>
        <v/>
      </c>
      <c r="W170" s="184"/>
      <c r="X170" s="5" t="str">
        <f>IF(L170="","",VLOOKUP($L170,classifications!$C:$J,6,FALSE))</f>
        <v/>
      </c>
      <c r="Y170" t="str">
        <f t="shared" si="80"/>
        <v/>
      </c>
      <c r="Z170" s="40" t="str">
        <f>IF(Y170="","",IF(I$8="A",(RANK(Y170,Y$11:Y$349,1)+COUNTIF(Y$11:Y170,Y170)-1),(RANK(Y170,Y$11:Y$349)+COUNTIF(Y$11:Y170,Y170)-1)))</f>
        <v/>
      </c>
      <c r="AA170" s="189" t="str">
        <f>IF(L170="","",VLOOKUP($L170,classifications!C:I,7,FALSE))</f>
        <v/>
      </c>
      <c r="AB170" s="183" t="str">
        <f t="shared" si="81"/>
        <v/>
      </c>
      <c r="AC170" s="183" t="str">
        <f>IF(AB170="","",IF($I$8="A",(RANK(AB170,AB$11:AB$349)+COUNTIF(AB$11:AB170,AB170)-1),(RANK(AB170,AB$11:AB$349,1)+COUNTIF(AB$11:AB170,AB170)-1)))</f>
        <v/>
      </c>
      <c r="AD170" s="183"/>
      <c r="AE170" s="49">
        <f>IF(I$8="A",(RANK(AG170,AG$11:AG$349,1)+COUNTIF(AG$11:AG170,AG170)-1),(RANK(AG170,AG$11:AG$349)+COUNTIF(AG$11:AG170,AG170)-1))</f>
        <v>160</v>
      </c>
      <c r="AF170" t="str">
        <f>VLOOKUP(Profile!$J$5,Families!$C:$R,6,FALSE)</f>
        <v>Herefordshire</v>
      </c>
      <c r="AG170" s="15">
        <f t="shared" si="82"/>
        <v>62.711864406779661</v>
      </c>
      <c r="AH170" s="50">
        <f t="shared" si="83"/>
        <v>160</v>
      </c>
      <c r="AI170" s="5" t="str">
        <f>IF(L170="","",VLOOKUP($L170,classifications!$C:$J,8,FALSE))</f>
        <v/>
      </c>
      <c r="AJ170" s="43" t="str">
        <f t="shared" si="84"/>
        <v/>
      </c>
      <c r="AK170" s="40" t="str">
        <f>IF(AJ170="","",IF(I$8="A",(RANK(AJ170,AJ$11:AJ$349,1)+COUNTIF(AJ$11:AJ170,AJ170)-1),(RANK(AJ170,AJ$11:AJ$349)+COUNTIF(AJ$11:AJ170,AJ170)-1)))</f>
        <v/>
      </c>
      <c r="AL170" s="3" t="str">
        <f t="shared" si="85"/>
        <v/>
      </c>
      <c r="AM170" t="str">
        <f t="shared" si="86"/>
        <v/>
      </c>
      <c r="AN170" t="str">
        <f t="shared" si="87"/>
        <v/>
      </c>
      <c r="AP170" s="5" t="str">
        <f>IF(L170="","",VLOOKUP($L170,classifications!$C:$E,3,FALSE))</f>
        <v/>
      </c>
      <c r="AQ170" s="43" t="str">
        <f t="shared" si="88"/>
        <v/>
      </c>
      <c r="AR170" s="40" t="str">
        <f>IF(AQ170="","",IF(I$8="A",(RANK(AQ170,AQ$11:AQ$349,1)+COUNTIF(AQ$11:AQ170,AQ170)-1),(RANK(AQ170,AQ$11:AQ$349)+COUNTIF(AQ$11:AQ170,AQ170)-1)))</f>
        <v/>
      </c>
      <c r="AS170" s="3" t="str">
        <f t="shared" si="89"/>
        <v/>
      </c>
      <c r="AT170" s="40" t="str">
        <f t="shared" si="90"/>
        <v/>
      </c>
      <c r="AU170" s="43" t="str">
        <f t="shared" si="91"/>
        <v/>
      </c>
      <c r="AX170">
        <f>HLOOKUP($AX$9&amp;$AX$10,Data!$A$1:$ZZ$1988,(MATCH($C170,Data!$A$1:$A$1988,0)),FALSE)</f>
        <v>96.428571428571431</v>
      </c>
    </row>
    <row r="171" spans="1:50">
      <c r="A171" s="59" t="str">
        <f>$D$1&amp;161</f>
        <v>UA161</v>
      </c>
      <c r="B171" s="60">
        <f>IF(ISERROR(VLOOKUP(A171,classifications!A:C,3,FALSE)),0,VLOOKUP(A171,classifications!A:C,3,FALSE))</f>
        <v>0</v>
      </c>
      <c r="C171" t="s">
        <v>95</v>
      </c>
      <c r="D171" t="str">
        <f>VLOOKUP($C171,classifications!$C:$J,4,FALSE)</f>
        <v>SD</v>
      </c>
      <c r="E171">
        <f>VLOOKUP(C171,classifications!C:K,9,FALSE)</f>
        <v>0</v>
      </c>
      <c r="F171">
        <f t="shared" si="68"/>
        <v>86.666666666666671</v>
      </c>
      <c r="G171" s="15"/>
      <c r="H171" s="42" t="str">
        <f t="shared" si="69"/>
        <v/>
      </c>
      <c r="I171" s="79" t="str">
        <f>IF(H171="","",IF($I$8="A",(RANK(H171,H$11:H$349,1)+COUNTIF(H$11:H171,H171)-1),(RANK(H171,H$11:H$349)+COUNTIF(H$11:H171,H171)-1)))</f>
        <v/>
      </c>
      <c r="J171" s="41"/>
      <c r="K171" s="36" t="str">
        <f t="shared" si="70"/>
        <v/>
      </c>
      <c r="L171" t="str">
        <f t="shared" si="71"/>
        <v/>
      </c>
      <c r="M171" s="117" t="str">
        <f t="shared" si="72"/>
        <v/>
      </c>
      <c r="N171" s="112" t="str">
        <f t="shared" si="73"/>
        <v/>
      </c>
      <c r="O171" s="96" t="str">
        <f t="shared" si="74"/>
        <v/>
      </c>
      <c r="P171" s="96" t="str">
        <f t="shared" si="75"/>
        <v/>
      </c>
      <c r="Q171" s="96" t="str">
        <f t="shared" si="76"/>
        <v/>
      </c>
      <c r="R171" s="92" t="str">
        <f t="shared" si="77"/>
        <v/>
      </c>
      <c r="S171" s="42" t="str">
        <f t="shared" si="78"/>
        <v/>
      </c>
      <c r="T171" s="176" t="str">
        <f>IF(L171="","",VLOOKUP(L171,classifications!C:K,9,FALSE))</f>
        <v/>
      </c>
      <c r="U171" s="177" t="str">
        <f t="shared" si="79"/>
        <v/>
      </c>
      <c r="V171" s="183" t="str">
        <f>IF(U171="","",IF($I$8="A",(RANK(U171,U$11:U$349)+COUNTIF(U$11:U171,U171)-1),(RANK(U171,U$11:U$349,1)+COUNTIF(U$11:U171,U171)-1)))</f>
        <v/>
      </c>
      <c r="W171" s="184"/>
      <c r="X171" s="5" t="str">
        <f>IF(L171="","",VLOOKUP($L171,classifications!$C:$J,6,FALSE))</f>
        <v/>
      </c>
      <c r="Y171" t="str">
        <f t="shared" si="80"/>
        <v/>
      </c>
      <c r="Z171" s="40" t="str">
        <f>IF(Y171="","",IF(I$8="A",(RANK(Y171,Y$11:Y$349,1)+COUNTIF(Y$11:Y171,Y171)-1),(RANK(Y171,Y$11:Y$349)+COUNTIF(Y$11:Y171,Y171)-1)))</f>
        <v/>
      </c>
      <c r="AA171" s="189" t="str">
        <f>IF(L171="","",VLOOKUP($L171,classifications!C:I,7,FALSE))</f>
        <v/>
      </c>
      <c r="AB171" s="183" t="str">
        <f t="shared" si="81"/>
        <v/>
      </c>
      <c r="AC171" s="183" t="str">
        <f>IF(AB171="","",IF($I$8="A",(RANK(AB171,AB$11:AB$349)+COUNTIF(AB$11:AB171,AB171)-1),(RANK(AB171,AB$11:AB$349,1)+COUNTIF(AB$11:AB171,AB171)-1)))</f>
        <v/>
      </c>
      <c r="AD171" s="183"/>
      <c r="AE171" s="49">
        <f>IF(I$8="A",(RANK(AG171,AG$11:AG$349,1)+COUNTIF(AG$11:AG171,AG171)-1),(RANK(AG171,AG$11:AG$349)+COUNTIF(AG$11:AG171,AG171)-1))</f>
        <v>161</v>
      </c>
      <c r="AF171" t="str">
        <f>VLOOKUP(Profile!$J$5,Families!$C:$R,6,FALSE)</f>
        <v>Herefordshire</v>
      </c>
      <c r="AG171" s="15">
        <f t="shared" si="82"/>
        <v>62.711864406779661</v>
      </c>
      <c r="AH171" s="50">
        <f t="shared" si="83"/>
        <v>161</v>
      </c>
      <c r="AI171" s="5" t="str">
        <f>IF(L171="","",VLOOKUP($L171,classifications!$C:$J,8,FALSE))</f>
        <v/>
      </c>
      <c r="AJ171" s="43" t="str">
        <f t="shared" si="84"/>
        <v/>
      </c>
      <c r="AK171" s="40" t="str">
        <f>IF(AJ171="","",IF(I$8="A",(RANK(AJ171,AJ$11:AJ$349,1)+COUNTIF(AJ$11:AJ171,AJ171)-1),(RANK(AJ171,AJ$11:AJ$349)+COUNTIF(AJ$11:AJ171,AJ171)-1)))</f>
        <v/>
      </c>
      <c r="AL171" s="3" t="str">
        <f t="shared" si="85"/>
        <v/>
      </c>
      <c r="AM171" t="str">
        <f t="shared" si="86"/>
        <v/>
      </c>
      <c r="AN171" t="str">
        <f t="shared" si="87"/>
        <v/>
      </c>
      <c r="AP171" s="5" t="str">
        <f>IF(L171="","",VLOOKUP($L171,classifications!$C:$E,3,FALSE))</f>
        <v/>
      </c>
      <c r="AQ171" s="43" t="str">
        <f t="shared" si="88"/>
        <v/>
      </c>
      <c r="AR171" s="40" t="str">
        <f>IF(AQ171="","",IF(I$8="A",(RANK(AQ171,AQ$11:AQ$349,1)+COUNTIF(AQ$11:AQ171,AQ171)-1),(RANK(AQ171,AQ$11:AQ$349)+COUNTIF(AQ$11:AQ171,AQ171)-1)))</f>
        <v/>
      </c>
      <c r="AS171" s="3" t="str">
        <f t="shared" si="89"/>
        <v/>
      </c>
      <c r="AT171" s="40" t="str">
        <f t="shared" si="90"/>
        <v/>
      </c>
      <c r="AU171" s="43" t="str">
        <f t="shared" si="91"/>
        <v/>
      </c>
      <c r="AX171">
        <f>HLOOKUP($AX$9&amp;$AX$10,Data!$A$1:$ZZ$1988,(MATCH($C171,Data!$A$1:$A$1988,0)),FALSE)</f>
        <v>86.666666666666671</v>
      </c>
    </row>
    <row r="172" spans="1:50">
      <c r="A172" s="59" t="str">
        <f>$D$1&amp;162</f>
        <v>UA162</v>
      </c>
      <c r="B172" s="60">
        <f>IF(ISERROR(VLOOKUP(A172,classifications!A:C,3,FALSE)),0,VLOOKUP(A172,classifications!A:C,3,FALSE))</f>
        <v>0</v>
      </c>
      <c r="C172" t="s">
        <v>318</v>
      </c>
      <c r="D172" t="str">
        <f>VLOOKUP($C172,classifications!$C:$J,4,FALSE)</f>
        <v>SC</v>
      </c>
      <c r="E172" t="str">
        <f>VLOOKUP(C172,classifications!C:K,9,FALSE)</f>
        <v>Sparse</v>
      </c>
      <c r="F172" t="e">
        <f t="shared" si="68"/>
        <v>#N/A</v>
      </c>
      <c r="G172" s="15"/>
      <c r="H172" s="42" t="str">
        <f t="shared" si="69"/>
        <v/>
      </c>
      <c r="I172" s="79" t="str">
        <f>IF(H172="","",IF($I$8="A",(RANK(H172,H$11:H$349,1)+COUNTIF(H$11:H172,H172)-1),(RANK(H172,H$11:H$349)+COUNTIF(H$11:H172,H172)-1)))</f>
        <v/>
      </c>
      <c r="J172" s="41"/>
      <c r="K172" s="36" t="str">
        <f t="shared" si="70"/>
        <v/>
      </c>
      <c r="L172" t="str">
        <f t="shared" si="71"/>
        <v/>
      </c>
      <c r="M172" s="117" t="str">
        <f t="shared" si="72"/>
        <v/>
      </c>
      <c r="N172" s="112" t="str">
        <f t="shared" si="73"/>
        <v/>
      </c>
      <c r="O172" s="96" t="str">
        <f t="shared" si="74"/>
        <v/>
      </c>
      <c r="P172" s="96" t="str">
        <f t="shared" si="75"/>
        <v/>
      </c>
      <c r="Q172" s="96" t="str">
        <f t="shared" si="76"/>
        <v/>
      </c>
      <c r="R172" s="92" t="str">
        <f t="shared" si="77"/>
        <v/>
      </c>
      <c r="S172" s="42" t="str">
        <f t="shared" si="78"/>
        <v/>
      </c>
      <c r="T172" s="176" t="str">
        <f>IF(L172="","",VLOOKUP(L172,classifications!C:K,9,FALSE))</f>
        <v/>
      </c>
      <c r="U172" s="177" t="str">
        <f t="shared" si="79"/>
        <v/>
      </c>
      <c r="V172" s="183" t="str">
        <f>IF(U172="","",IF($I$8="A",(RANK(U172,U$11:U$349)+COUNTIF(U$11:U172,U172)-1),(RANK(U172,U$11:U$349,1)+COUNTIF(U$11:U172,U172)-1)))</f>
        <v/>
      </c>
      <c r="W172" s="184"/>
      <c r="X172" s="5" t="str">
        <f>IF(L172="","",VLOOKUP($L172,classifications!$C:$J,6,FALSE))</f>
        <v/>
      </c>
      <c r="Y172" t="str">
        <f t="shared" si="80"/>
        <v/>
      </c>
      <c r="Z172" s="40" t="str">
        <f>IF(Y172="","",IF(I$8="A",(RANK(Y172,Y$11:Y$349,1)+COUNTIF(Y$11:Y172,Y172)-1),(RANK(Y172,Y$11:Y$349)+COUNTIF(Y$11:Y172,Y172)-1)))</f>
        <v/>
      </c>
      <c r="AA172" s="189" t="str">
        <f>IF(L172="","",VLOOKUP($L172,classifications!C:I,7,FALSE))</f>
        <v/>
      </c>
      <c r="AB172" s="183" t="str">
        <f t="shared" si="81"/>
        <v/>
      </c>
      <c r="AC172" s="183" t="str">
        <f>IF(AB172="","",IF($I$8="A",(RANK(AB172,AB$11:AB$349)+COUNTIF(AB$11:AB172,AB172)-1),(RANK(AB172,AB$11:AB$349,1)+COUNTIF(AB$11:AB172,AB172)-1)))</f>
        <v/>
      </c>
      <c r="AD172" s="183"/>
      <c r="AE172" s="49">
        <f>IF(I$8="A",(RANK(AG172,AG$11:AG$349,1)+COUNTIF(AG$11:AG172,AG172)-1),(RANK(AG172,AG$11:AG$349)+COUNTIF(AG$11:AG172,AG172)-1))</f>
        <v>162</v>
      </c>
      <c r="AF172" t="str">
        <f>VLOOKUP(Profile!$J$5,Families!$C:$R,6,FALSE)</f>
        <v>Herefordshire</v>
      </c>
      <c r="AG172" s="15">
        <f t="shared" si="82"/>
        <v>62.711864406779661</v>
      </c>
      <c r="AH172" s="50">
        <f t="shared" si="83"/>
        <v>162</v>
      </c>
      <c r="AI172" s="5" t="str">
        <f>IF(L172="","",VLOOKUP($L172,classifications!$C:$J,8,FALSE))</f>
        <v/>
      </c>
      <c r="AJ172" s="43" t="str">
        <f t="shared" si="84"/>
        <v/>
      </c>
      <c r="AK172" s="40" t="str">
        <f>IF(AJ172="","",IF(I$8="A",(RANK(AJ172,AJ$11:AJ$349,1)+COUNTIF(AJ$11:AJ172,AJ172)-1),(RANK(AJ172,AJ$11:AJ$349)+COUNTIF(AJ$11:AJ172,AJ172)-1)))</f>
        <v/>
      </c>
      <c r="AL172" s="3" t="str">
        <f t="shared" si="85"/>
        <v/>
      </c>
      <c r="AM172" t="str">
        <f t="shared" si="86"/>
        <v/>
      </c>
      <c r="AN172" t="str">
        <f t="shared" si="87"/>
        <v/>
      </c>
      <c r="AP172" s="5" t="str">
        <f>IF(L172="","",VLOOKUP($L172,classifications!$C:$E,3,FALSE))</f>
        <v/>
      </c>
      <c r="AQ172" s="43" t="str">
        <f t="shared" si="88"/>
        <v/>
      </c>
      <c r="AR172" s="40" t="str">
        <f>IF(AQ172="","",IF(I$8="A",(RANK(AQ172,AQ$11:AQ$349,1)+COUNTIF(AQ$11:AQ172,AQ172)-1),(RANK(AQ172,AQ$11:AQ$349)+COUNTIF(AQ$11:AQ172,AQ172)-1)))</f>
        <v/>
      </c>
      <c r="AS172" s="3" t="str">
        <f t="shared" si="89"/>
        <v/>
      </c>
      <c r="AT172" s="40" t="str">
        <f t="shared" si="90"/>
        <v/>
      </c>
      <c r="AU172" s="43" t="str">
        <f t="shared" si="91"/>
        <v/>
      </c>
      <c r="AX172" t="e">
        <f>HLOOKUP($AX$9&amp;$AX$10,Data!$A$1:$ZZ$1988,(MATCH($C172,Data!$A$1:$A$1988,0)),FALSE)</f>
        <v>#N/A</v>
      </c>
    </row>
    <row r="173" spans="1:50">
      <c r="A173" s="59" t="str">
        <f>$D$1&amp;163</f>
        <v>UA163</v>
      </c>
      <c r="B173" s="60">
        <f>IF(ISERROR(VLOOKUP(A173,classifications!A:C,3,FALSE)),0,VLOOKUP(A173,classifications!A:C,3,FALSE))</f>
        <v>0</v>
      </c>
      <c r="C173" t="s">
        <v>235</v>
      </c>
      <c r="D173" t="str">
        <f>VLOOKUP($C173,classifications!$C:$J,4,FALSE)</f>
        <v>MD</v>
      </c>
      <c r="E173">
        <f>VLOOKUP(C173,classifications!C:K,9,FALSE)</f>
        <v>0</v>
      </c>
      <c r="F173">
        <f t="shared" si="68"/>
        <v>85.245901639344254</v>
      </c>
      <c r="G173" s="15"/>
      <c r="H173" s="42" t="str">
        <f t="shared" si="69"/>
        <v/>
      </c>
      <c r="I173" s="79" t="str">
        <f>IF(H173="","",IF($I$8="A",(RANK(H173,H$11:H$349,1)+COUNTIF(H$11:H173,H173)-1),(RANK(H173,H$11:H$349)+COUNTIF(H$11:H173,H173)-1)))</f>
        <v/>
      </c>
      <c r="J173" s="41"/>
      <c r="K173" s="36" t="str">
        <f t="shared" si="70"/>
        <v/>
      </c>
      <c r="L173" t="str">
        <f t="shared" si="71"/>
        <v/>
      </c>
      <c r="M173" s="117" t="str">
        <f t="shared" si="72"/>
        <v/>
      </c>
      <c r="N173" s="112" t="str">
        <f t="shared" si="73"/>
        <v/>
      </c>
      <c r="O173" s="96" t="str">
        <f t="shared" si="74"/>
        <v/>
      </c>
      <c r="P173" s="96" t="str">
        <f t="shared" si="75"/>
        <v/>
      </c>
      <c r="Q173" s="96" t="str">
        <f t="shared" si="76"/>
        <v/>
      </c>
      <c r="R173" s="92" t="str">
        <f t="shared" si="77"/>
        <v/>
      </c>
      <c r="S173" s="42" t="str">
        <f t="shared" si="78"/>
        <v/>
      </c>
      <c r="T173" s="176" t="str">
        <f>IF(L173="","",VLOOKUP(L173,classifications!C:K,9,FALSE))</f>
        <v/>
      </c>
      <c r="U173" s="177" t="str">
        <f t="shared" si="79"/>
        <v/>
      </c>
      <c r="V173" s="183" t="str">
        <f>IF(U173="","",IF($I$8="A",(RANK(U173,U$11:U$349)+COUNTIF(U$11:U173,U173)-1),(RANK(U173,U$11:U$349,1)+COUNTIF(U$11:U173,U173)-1)))</f>
        <v/>
      </c>
      <c r="W173" s="184"/>
      <c r="X173" s="5" t="str">
        <f>IF(L173="","",VLOOKUP($L173,classifications!$C:$J,6,FALSE))</f>
        <v/>
      </c>
      <c r="Y173" t="str">
        <f t="shared" si="80"/>
        <v/>
      </c>
      <c r="Z173" s="40" t="str">
        <f>IF(Y173="","",IF(I$8="A",(RANK(Y173,Y$11:Y$349,1)+COUNTIF(Y$11:Y173,Y173)-1),(RANK(Y173,Y$11:Y$349)+COUNTIF(Y$11:Y173,Y173)-1)))</f>
        <v/>
      </c>
      <c r="AA173" s="189" t="str">
        <f>IF(L173="","",VLOOKUP($L173,classifications!C:I,7,FALSE))</f>
        <v/>
      </c>
      <c r="AB173" s="183" t="str">
        <f t="shared" si="81"/>
        <v/>
      </c>
      <c r="AC173" s="183" t="str">
        <f>IF(AB173="","",IF($I$8="A",(RANK(AB173,AB$11:AB$349)+COUNTIF(AB$11:AB173,AB173)-1),(RANK(AB173,AB$11:AB$349,1)+COUNTIF(AB$11:AB173,AB173)-1)))</f>
        <v/>
      </c>
      <c r="AD173" s="183"/>
      <c r="AE173" s="49">
        <f>IF(I$8="A",(RANK(AG173,AG$11:AG$349,1)+COUNTIF(AG$11:AG173,AG173)-1),(RANK(AG173,AG$11:AG$349)+COUNTIF(AG$11:AG173,AG173)-1))</f>
        <v>163</v>
      </c>
      <c r="AF173" t="str">
        <f>VLOOKUP(Profile!$J$5,Families!$C:$R,6,FALSE)</f>
        <v>Herefordshire</v>
      </c>
      <c r="AG173" s="15">
        <f t="shared" si="82"/>
        <v>62.711864406779661</v>
      </c>
      <c r="AH173" s="50">
        <f t="shared" si="83"/>
        <v>163</v>
      </c>
      <c r="AI173" s="5" t="str">
        <f>IF(L173="","",VLOOKUP($L173,classifications!$C:$J,8,FALSE))</f>
        <v/>
      </c>
      <c r="AJ173" s="43" t="str">
        <f t="shared" si="84"/>
        <v/>
      </c>
      <c r="AK173" s="40" t="str">
        <f>IF(AJ173="","",IF(I$8="A",(RANK(AJ173,AJ$11:AJ$349,1)+COUNTIF(AJ$11:AJ173,AJ173)-1),(RANK(AJ173,AJ$11:AJ$349)+COUNTIF(AJ$11:AJ173,AJ173)-1)))</f>
        <v/>
      </c>
      <c r="AL173" s="3" t="str">
        <f t="shared" si="85"/>
        <v/>
      </c>
      <c r="AM173" t="str">
        <f t="shared" si="86"/>
        <v/>
      </c>
      <c r="AN173" t="str">
        <f t="shared" si="87"/>
        <v/>
      </c>
      <c r="AP173" s="5" t="str">
        <f>IF(L173="","",VLOOKUP($L173,classifications!$C:$E,3,FALSE))</f>
        <v/>
      </c>
      <c r="AQ173" s="43" t="str">
        <f t="shared" si="88"/>
        <v/>
      </c>
      <c r="AR173" s="40" t="str">
        <f>IF(AQ173="","",IF(I$8="A",(RANK(AQ173,AQ$11:AQ$349,1)+COUNTIF(AQ$11:AQ173,AQ173)-1),(RANK(AQ173,AQ$11:AQ$349)+COUNTIF(AQ$11:AQ173,AQ173)-1)))</f>
        <v/>
      </c>
      <c r="AS173" s="3" t="str">
        <f t="shared" si="89"/>
        <v/>
      </c>
      <c r="AT173" s="40" t="str">
        <f t="shared" si="90"/>
        <v/>
      </c>
      <c r="AU173" s="43" t="str">
        <f t="shared" si="91"/>
        <v/>
      </c>
      <c r="AX173">
        <f>HLOOKUP($AX$9&amp;$AX$10,Data!$A$1:$ZZ$1988,(MATCH($C173,Data!$A$1:$A$1988,0)),FALSE)</f>
        <v>85.245901639344254</v>
      </c>
    </row>
    <row r="174" spans="1:50">
      <c r="A174" s="59" t="str">
        <f>$D$1&amp;164</f>
        <v>UA164</v>
      </c>
      <c r="B174" s="60">
        <f>IF(ISERROR(VLOOKUP(A174,classifications!A:C,3,FALSE)),0,VLOOKUP(A174,classifications!A:C,3,FALSE))</f>
        <v>0</v>
      </c>
      <c r="C174" t="s">
        <v>272</v>
      </c>
      <c r="D174" t="str">
        <f>VLOOKUP($C174,classifications!$C:$J,4,FALSE)</f>
        <v>UA</v>
      </c>
      <c r="E174">
        <f>VLOOKUP(C174,classifications!C:K,9,FALSE)</f>
        <v>0</v>
      </c>
      <c r="F174">
        <f t="shared" si="68"/>
        <v>86.666666666666671</v>
      </c>
      <c r="G174" s="15"/>
      <c r="H174" s="42">
        <f t="shared" si="69"/>
        <v>86.666666666666671</v>
      </c>
      <c r="I174" s="79">
        <f>IF(H174="","",IF($I$8="A",(RANK(H174,H$11:H$349,1)+COUNTIF(H$11:H174,H174)-1),(RANK(H174,H$11:H$349)+COUNTIF(H$11:H174,H174)-1)))</f>
        <v>38</v>
      </c>
      <c r="J174" s="41"/>
      <c r="K174" s="36" t="str">
        <f t="shared" si="70"/>
        <v/>
      </c>
      <c r="L174" t="str">
        <f t="shared" si="71"/>
        <v/>
      </c>
      <c r="M174" s="117" t="str">
        <f t="shared" si="72"/>
        <v/>
      </c>
      <c r="N174" s="112" t="str">
        <f t="shared" si="73"/>
        <v/>
      </c>
      <c r="O174" s="96" t="str">
        <f t="shared" si="74"/>
        <v/>
      </c>
      <c r="P174" s="96" t="str">
        <f t="shared" si="75"/>
        <v/>
      </c>
      <c r="Q174" s="96" t="str">
        <f t="shared" si="76"/>
        <v/>
      </c>
      <c r="R174" s="92" t="str">
        <f t="shared" si="77"/>
        <v/>
      </c>
      <c r="S174" s="42" t="str">
        <f t="shared" si="78"/>
        <v/>
      </c>
      <c r="T174" s="176" t="str">
        <f>IF(L174="","",VLOOKUP(L174,classifications!C:K,9,FALSE))</f>
        <v/>
      </c>
      <c r="U174" s="177" t="str">
        <f t="shared" si="79"/>
        <v/>
      </c>
      <c r="V174" s="183" t="str">
        <f>IF(U174="","",IF($I$8="A",(RANK(U174,U$11:U$349)+COUNTIF(U$11:U174,U174)-1),(RANK(U174,U$11:U$349,1)+COUNTIF(U$11:U174,U174)-1)))</f>
        <v/>
      </c>
      <c r="W174" s="184"/>
      <c r="X174" s="5" t="str">
        <f>IF(L174="","",VLOOKUP($L174,classifications!$C:$J,6,FALSE))</f>
        <v/>
      </c>
      <c r="Y174" t="str">
        <f t="shared" si="80"/>
        <v/>
      </c>
      <c r="Z174" s="40" t="str">
        <f>IF(Y174="","",IF(I$8="A",(RANK(Y174,Y$11:Y$349,1)+COUNTIF(Y$11:Y174,Y174)-1),(RANK(Y174,Y$11:Y$349)+COUNTIF(Y$11:Y174,Y174)-1)))</f>
        <v/>
      </c>
      <c r="AA174" s="189" t="str">
        <f>IF(L174="","",VLOOKUP($L174,classifications!C:I,7,FALSE))</f>
        <v/>
      </c>
      <c r="AB174" s="183" t="str">
        <f t="shared" si="81"/>
        <v/>
      </c>
      <c r="AC174" s="183" t="str">
        <f>IF(AB174="","",IF($I$8="A",(RANK(AB174,AB$11:AB$349)+COUNTIF(AB$11:AB174,AB174)-1),(RANK(AB174,AB$11:AB$349,1)+COUNTIF(AB$11:AB174,AB174)-1)))</f>
        <v/>
      </c>
      <c r="AD174" s="183"/>
      <c r="AE174" s="49">
        <f>IF(I$8="A",(RANK(AG174,AG$11:AG$349,1)+COUNTIF(AG$11:AG174,AG174)-1),(RANK(AG174,AG$11:AG$349)+COUNTIF(AG$11:AG174,AG174)-1))</f>
        <v>164</v>
      </c>
      <c r="AF174" t="str">
        <f>VLOOKUP(Profile!$J$5,Families!$C:$R,6,FALSE)</f>
        <v>Herefordshire</v>
      </c>
      <c r="AG174" s="15">
        <f t="shared" si="82"/>
        <v>62.711864406779661</v>
      </c>
      <c r="AH174" s="50">
        <f t="shared" si="83"/>
        <v>164</v>
      </c>
      <c r="AI174" s="5" t="str">
        <f>IF(L174="","",VLOOKUP($L174,classifications!$C:$J,8,FALSE))</f>
        <v/>
      </c>
      <c r="AJ174" s="43" t="str">
        <f t="shared" si="84"/>
        <v/>
      </c>
      <c r="AK174" s="40" t="str">
        <f>IF(AJ174="","",IF(I$8="A",(RANK(AJ174,AJ$11:AJ$349,1)+COUNTIF(AJ$11:AJ174,AJ174)-1),(RANK(AJ174,AJ$11:AJ$349)+COUNTIF(AJ$11:AJ174,AJ174)-1)))</f>
        <v/>
      </c>
      <c r="AL174" s="3" t="str">
        <f t="shared" si="85"/>
        <v/>
      </c>
      <c r="AM174" t="str">
        <f t="shared" si="86"/>
        <v/>
      </c>
      <c r="AN174" t="str">
        <f t="shared" si="87"/>
        <v/>
      </c>
      <c r="AP174" s="5" t="str">
        <f>IF(L174="","",VLOOKUP($L174,classifications!$C:$E,3,FALSE))</f>
        <v/>
      </c>
      <c r="AQ174" s="43" t="str">
        <f t="shared" si="88"/>
        <v/>
      </c>
      <c r="AR174" s="40" t="str">
        <f>IF(AQ174="","",IF(I$8="A",(RANK(AQ174,AQ$11:AQ$349,1)+COUNTIF(AQ$11:AQ174,AQ174)-1),(RANK(AQ174,AQ$11:AQ$349)+COUNTIF(AQ$11:AQ174,AQ174)-1)))</f>
        <v/>
      </c>
      <c r="AS174" s="3" t="str">
        <f t="shared" si="89"/>
        <v/>
      </c>
      <c r="AT174" s="40" t="str">
        <f t="shared" si="90"/>
        <v/>
      </c>
      <c r="AU174" s="43" t="str">
        <f t="shared" si="91"/>
        <v/>
      </c>
      <c r="AX174">
        <f>HLOOKUP($AX$9&amp;$AX$10,Data!$A$1:$ZZ$1988,(MATCH($C174,Data!$A$1:$A$1988,0)),FALSE)</f>
        <v>86.666666666666671</v>
      </c>
    </row>
    <row r="175" spans="1:50">
      <c r="A175" s="59" t="str">
        <f>$D$1&amp;165</f>
        <v>UA165</v>
      </c>
      <c r="B175" s="60">
        <f>IF(ISERROR(VLOOKUP(A175,classifications!A:C,3,FALSE)),0,VLOOKUP(A175,classifications!A:C,3,FALSE))</f>
        <v>0</v>
      </c>
      <c r="C175" t="s">
        <v>96</v>
      </c>
      <c r="D175" t="str">
        <f>VLOOKUP($C175,classifications!$C:$J,4,FALSE)</f>
        <v>SD</v>
      </c>
      <c r="E175">
        <f>VLOOKUP(C175,classifications!C:K,9,FALSE)</f>
        <v>0</v>
      </c>
      <c r="F175">
        <f t="shared" si="68"/>
        <v>88.709677419354833</v>
      </c>
      <c r="G175" s="15"/>
      <c r="H175" s="42" t="str">
        <f t="shared" si="69"/>
        <v/>
      </c>
      <c r="I175" s="79" t="str">
        <f>IF(H175="","",IF($I$8="A",(RANK(H175,H$11:H$349,1)+COUNTIF(H$11:H175,H175)-1),(RANK(H175,H$11:H$349)+COUNTIF(H$11:H175,H175)-1)))</f>
        <v/>
      </c>
      <c r="J175" s="41"/>
      <c r="K175" s="36" t="str">
        <f t="shared" si="70"/>
        <v/>
      </c>
      <c r="L175" t="str">
        <f t="shared" si="71"/>
        <v/>
      </c>
      <c r="M175" s="117" t="str">
        <f t="shared" si="72"/>
        <v/>
      </c>
      <c r="N175" s="112" t="str">
        <f t="shared" si="73"/>
        <v/>
      </c>
      <c r="O175" s="96" t="str">
        <f t="shared" si="74"/>
        <v/>
      </c>
      <c r="P175" s="96" t="str">
        <f t="shared" si="75"/>
        <v/>
      </c>
      <c r="Q175" s="96" t="str">
        <f t="shared" si="76"/>
        <v/>
      </c>
      <c r="R175" s="92" t="str">
        <f t="shared" si="77"/>
        <v/>
      </c>
      <c r="S175" s="42" t="str">
        <f t="shared" si="78"/>
        <v/>
      </c>
      <c r="T175" s="176" t="str">
        <f>IF(L175="","",VLOOKUP(L175,classifications!C:K,9,FALSE))</f>
        <v/>
      </c>
      <c r="U175" s="177" t="str">
        <f t="shared" si="79"/>
        <v/>
      </c>
      <c r="V175" s="183" t="str">
        <f>IF(U175="","",IF($I$8="A",(RANK(U175,U$11:U$349)+COUNTIF(U$11:U175,U175)-1),(RANK(U175,U$11:U$349,1)+COUNTIF(U$11:U175,U175)-1)))</f>
        <v/>
      </c>
      <c r="W175" s="184"/>
      <c r="X175" s="5" t="str">
        <f>IF(L175="","",VLOOKUP($L175,classifications!$C:$J,6,FALSE))</f>
        <v/>
      </c>
      <c r="Y175" t="str">
        <f t="shared" si="80"/>
        <v/>
      </c>
      <c r="Z175" s="40" t="str">
        <f>IF(Y175="","",IF(I$8="A",(RANK(Y175,Y$11:Y$349,1)+COUNTIF(Y$11:Y175,Y175)-1),(RANK(Y175,Y$11:Y$349)+COUNTIF(Y$11:Y175,Y175)-1)))</f>
        <v/>
      </c>
      <c r="AA175" s="189" t="str">
        <f>IF(L175="","",VLOOKUP($L175,classifications!C:I,7,FALSE))</f>
        <v/>
      </c>
      <c r="AB175" s="183" t="str">
        <f t="shared" si="81"/>
        <v/>
      </c>
      <c r="AC175" s="183" t="str">
        <f>IF(AB175="","",IF($I$8="A",(RANK(AB175,AB$11:AB$349)+COUNTIF(AB$11:AB175,AB175)-1),(RANK(AB175,AB$11:AB$349,1)+COUNTIF(AB$11:AB175,AB175)-1)))</f>
        <v/>
      </c>
      <c r="AD175" s="183"/>
      <c r="AE175" s="49">
        <f>IF(I$8="A",(RANK(AG175,AG$11:AG$349,1)+COUNTIF(AG$11:AG175,AG175)-1),(RANK(AG175,AG$11:AG$349)+COUNTIF(AG$11:AG175,AG175)-1))</f>
        <v>165</v>
      </c>
      <c r="AF175" t="str">
        <f>VLOOKUP(Profile!$J$5,Families!$C:$R,6,FALSE)</f>
        <v>Herefordshire</v>
      </c>
      <c r="AG175" s="15">
        <f t="shared" si="82"/>
        <v>62.711864406779661</v>
      </c>
      <c r="AH175" s="50">
        <f t="shared" si="83"/>
        <v>165</v>
      </c>
      <c r="AI175" s="5" t="str">
        <f>IF(L175="","",VLOOKUP($L175,classifications!$C:$J,8,FALSE))</f>
        <v/>
      </c>
      <c r="AJ175" s="43" t="str">
        <f t="shared" si="84"/>
        <v/>
      </c>
      <c r="AK175" s="40" t="str">
        <f>IF(AJ175="","",IF(I$8="A",(RANK(AJ175,AJ$11:AJ$349,1)+COUNTIF(AJ$11:AJ175,AJ175)-1),(RANK(AJ175,AJ$11:AJ$349)+COUNTIF(AJ$11:AJ175,AJ175)-1)))</f>
        <v/>
      </c>
      <c r="AL175" s="3" t="str">
        <f t="shared" si="85"/>
        <v/>
      </c>
      <c r="AM175" t="str">
        <f t="shared" si="86"/>
        <v/>
      </c>
      <c r="AN175" t="str">
        <f t="shared" si="87"/>
        <v/>
      </c>
      <c r="AP175" s="5" t="str">
        <f>IF(L175="","",VLOOKUP($L175,classifications!$C:$E,3,FALSE))</f>
        <v/>
      </c>
      <c r="AQ175" s="43" t="str">
        <f t="shared" si="88"/>
        <v/>
      </c>
      <c r="AR175" s="40" t="str">
        <f>IF(AQ175="","",IF(I$8="A",(RANK(AQ175,AQ$11:AQ$349,1)+COUNTIF(AQ$11:AQ175,AQ175)-1),(RANK(AQ175,AQ$11:AQ$349)+COUNTIF(AQ$11:AQ175,AQ175)-1)))</f>
        <v/>
      </c>
      <c r="AS175" s="3" t="str">
        <f t="shared" si="89"/>
        <v/>
      </c>
      <c r="AT175" s="40" t="str">
        <f t="shared" si="90"/>
        <v/>
      </c>
      <c r="AU175" s="43" t="str">
        <f t="shared" si="91"/>
        <v/>
      </c>
      <c r="AX175">
        <f>HLOOKUP($AX$9&amp;$AX$10,Data!$A$1:$ZZ$1988,(MATCH($C175,Data!$A$1:$A$1988,0)),FALSE)</f>
        <v>88.709677419354833</v>
      </c>
    </row>
    <row r="176" spans="1:50">
      <c r="A176" s="59" t="str">
        <f>$D$1&amp;166</f>
        <v>UA166</v>
      </c>
      <c r="B176" s="60">
        <f>IF(ISERROR(VLOOKUP(A176,classifications!A:C,3,FALSE)),0,VLOOKUP(A176,classifications!A:C,3,FALSE))</f>
        <v>0</v>
      </c>
      <c r="C176" t="s">
        <v>97</v>
      </c>
      <c r="D176" t="str">
        <f>VLOOKUP($C176,classifications!$C:$J,4,FALSE)</f>
        <v>SD</v>
      </c>
      <c r="E176">
        <f>VLOOKUP(C176,classifications!C:K,9,FALSE)</f>
        <v>0</v>
      </c>
      <c r="F176">
        <f t="shared" si="68"/>
        <v>77.142857142857153</v>
      </c>
      <c r="G176" s="15"/>
      <c r="H176" s="42" t="str">
        <f t="shared" si="69"/>
        <v/>
      </c>
      <c r="I176" s="79" t="str">
        <f>IF(H176="","",IF($I$8="A",(RANK(H176,H$11:H$349,1)+COUNTIF(H$11:H176,H176)-1),(RANK(H176,H$11:H$349)+COUNTIF(H$11:H176,H176)-1)))</f>
        <v/>
      </c>
      <c r="J176" s="41"/>
      <c r="K176" s="36" t="str">
        <f t="shared" si="70"/>
        <v/>
      </c>
      <c r="L176" t="str">
        <f t="shared" si="71"/>
        <v/>
      </c>
      <c r="M176" s="117" t="str">
        <f t="shared" si="72"/>
        <v/>
      </c>
      <c r="N176" s="112" t="str">
        <f t="shared" si="73"/>
        <v/>
      </c>
      <c r="O176" s="96" t="str">
        <f t="shared" si="74"/>
        <v/>
      </c>
      <c r="P176" s="96" t="str">
        <f t="shared" si="75"/>
        <v/>
      </c>
      <c r="Q176" s="96" t="str">
        <f t="shared" si="76"/>
        <v/>
      </c>
      <c r="R176" s="92" t="str">
        <f t="shared" si="77"/>
        <v/>
      </c>
      <c r="S176" s="42" t="str">
        <f t="shared" si="78"/>
        <v/>
      </c>
      <c r="T176" s="176" t="str">
        <f>IF(L176="","",VLOOKUP(L176,classifications!C:K,9,FALSE))</f>
        <v/>
      </c>
      <c r="U176" s="177" t="str">
        <f t="shared" si="79"/>
        <v/>
      </c>
      <c r="V176" s="183" t="str">
        <f>IF(U176="","",IF($I$8="A",(RANK(U176,U$11:U$349)+COUNTIF(U$11:U176,U176)-1),(RANK(U176,U$11:U$349,1)+COUNTIF(U$11:U176,U176)-1)))</f>
        <v/>
      </c>
      <c r="W176" s="184"/>
      <c r="X176" s="5" t="str">
        <f>IF(L176="","",VLOOKUP($L176,classifications!$C:$J,6,FALSE))</f>
        <v/>
      </c>
      <c r="Y176" t="str">
        <f t="shared" si="80"/>
        <v/>
      </c>
      <c r="Z176" s="40" t="str">
        <f>IF(Y176="","",IF(I$8="A",(RANK(Y176,Y$11:Y$349,1)+COUNTIF(Y$11:Y176,Y176)-1),(RANK(Y176,Y$11:Y$349)+COUNTIF(Y$11:Y176,Y176)-1)))</f>
        <v/>
      </c>
      <c r="AA176" s="189" t="str">
        <f>IF(L176="","",VLOOKUP($L176,classifications!C:I,7,FALSE))</f>
        <v/>
      </c>
      <c r="AB176" s="183" t="str">
        <f t="shared" si="81"/>
        <v/>
      </c>
      <c r="AC176" s="183" t="str">
        <f>IF(AB176="","",IF($I$8="A",(RANK(AB176,AB$11:AB$349)+COUNTIF(AB$11:AB176,AB176)-1),(RANK(AB176,AB$11:AB$349,1)+COUNTIF(AB$11:AB176,AB176)-1)))</f>
        <v/>
      </c>
      <c r="AD176" s="183"/>
      <c r="AE176" s="49">
        <f>IF(I$8="A",(RANK(AG176,AG$11:AG$349,1)+COUNTIF(AG$11:AG176,AG176)-1),(RANK(AG176,AG$11:AG$349)+COUNTIF(AG$11:AG176,AG176)-1))</f>
        <v>166</v>
      </c>
      <c r="AF176" t="str">
        <f>VLOOKUP(Profile!$J$5,Families!$C:$R,6,FALSE)</f>
        <v>Herefordshire</v>
      </c>
      <c r="AG176" s="15">
        <f t="shared" si="82"/>
        <v>62.711864406779661</v>
      </c>
      <c r="AH176" s="50">
        <f t="shared" si="83"/>
        <v>166</v>
      </c>
      <c r="AI176" s="5" t="str">
        <f>IF(L176="","",VLOOKUP($L176,classifications!$C:$J,8,FALSE))</f>
        <v/>
      </c>
      <c r="AJ176" s="43" t="str">
        <f t="shared" si="84"/>
        <v/>
      </c>
      <c r="AK176" s="40" t="str">
        <f>IF(AJ176="","",IF(I$8="A",(RANK(AJ176,AJ$11:AJ$349,1)+COUNTIF(AJ$11:AJ176,AJ176)-1),(RANK(AJ176,AJ$11:AJ$349)+COUNTIF(AJ$11:AJ176,AJ176)-1)))</f>
        <v/>
      </c>
      <c r="AL176" s="3" t="str">
        <f t="shared" si="85"/>
        <v/>
      </c>
      <c r="AM176" t="str">
        <f t="shared" si="86"/>
        <v/>
      </c>
      <c r="AN176" t="str">
        <f t="shared" si="87"/>
        <v/>
      </c>
      <c r="AP176" s="5" t="str">
        <f>IF(L176="","",VLOOKUP($L176,classifications!$C:$E,3,FALSE))</f>
        <v/>
      </c>
      <c r="AQ176" s="43" t="str">
        <f t="shared" si="88"/>
        <v/>
      </c>
      <c r="AR176" s="40" t="str">
        <f>IF(AQ176="","",IF(I$8="A",(RANK(AQ176,AQ$11:AQ$349,1)+COUNTIF(AQ$11:AQ176,AQ176)-1),(RANK(AQ176,AQ$11:AQ$349)+COUNTIF(AQ$11:AQ176,AQ176)-1)))</f>
        <v/>
      </c>
      <c r="AS176" s="3" t="str">
        <f t="shared" si="89"/>
        <v/>
      </c>
      <c r="AT176" s="40" t="str">
        <f t="shared" si="90"/>
        <v/>
      </c>
      <c r="AU176" s="43" t="str">
        <f t="shared" si="91"/>
        <v/>
      </c>
      <c r="AX176">
        <f>HLOOKUP($AX$9&amp;$AX$10,Data!$A$1:$ZZ$1988,(MATCH($C176,Data!$A$1:$A$1988,0)),FALSE)</f>
        <v>77.142857142857153</v>
      </c>
    </row>
    <row r="177" spans="1:50">
      <c r="A177" s="59" t="str">
        <f>$D$1&amp;167</f>
        <v>UA167</v>
      </c>
      <c r="B177" s="60">
        <f>IF(ISERROR(VLOOKUP(A177,classifications!A:C,3,FALSE)),0,VLOOKUP(A177,classifications!A:C,3,FALSE))</f>
        <v>0</v>
      </c>
      <c r="C177" t="s">
        <v>98</v>
      </c>
      <c r="D177" t="str">
        <f>VLOOKUP($C177,classifications!$C:$J,4,FALSE)</f>
        <v>SD</v>
      </c>
      <c r="E177" t="str">
        <f>VLOOKUP(C177,classifications!C:K,9,FALSE)</f>
        <v>Sparse</v>
      </c>
      <c r="F177">
        <f t="shared" si="68"/>
        <v>80.851063829787222</v>
      </c>
      <c r="G177" s="15"/>
      <c r="H177" s="42" t="str">
        <f t="shared" si="69"/>
        <v/>
      </c>
      <c r="I177" s="79" t="str">
        <f>IF(H177="","",IF($I$8="A",(RANK(H177,H$11:H$349,1)+COUNTIF(H$11:H177,H177)-1),(RANK(H177,H$11:H$349)+COUNTIF(H$11:H177,H177)-1)))</f>
        <v/>
      </c>
      <c r="J177" s="41"/>
      <c r="K177" s="36" t="str">
        <f t="shared" si="70"/>
        <v/>
      </c>
      <c r="L177" t="str">
        <f t="shared" si="71"/>
        <v/>
      </c>
      <c r="M177" s="117" t="str">
        <f t="shared" si="72"/>
        <v/>
      </c>
      <c r="N177" s="112" t="str">
        <f t="shared" si="73"/>
        <v/>
      </c>
      <c r="O177" s="96" t="str">
        <f t="shared" si="74"/>
        <v/>
      </c>
      <c r="P177" s="96" t="str">
        <f t="shared" si="75"/>
        <v/>
      </c>
      <c r="Q177" s="96" t="str">
        <f t="shared" si="76"/>
        <v/>
      </c>
      <c r="R177" s="92" t="str">
        <f t="shared" si="77"/>
        <v/>
      </c>
      <c r="S177" s="42" t="str">
        <f t="shared" si="78"/>
        <v/>
      </c>
      <c r="T177" s="176" t="str">
        <f>IF(L177="","",VLOOKUP(L177,classifications!C:K,9,FALSE))</f>
        <v/>
      </c>
      <c r="U177" s="177" t="str">
        <f t="shared" si="79"/>
        <v/>
      </c>
      <c r="V177" s="183" t="str">
        <f>IF(U177="","",IF($I$8="A",(RANK(U177,U$11:U$349)+COUNTIF(U$11:U177,U177)-1),(RANK(U177,U$11:U$349,1)+COUNTIF(U$11:U177,U177)-1)))</f>
        <v/>
      </c>
      <c r="W177" s="184"/>
      <c r="X177" s="5" t="str">
        <f>IF(L177="","",VLOOKUP($L177,classifications!$C:$J,6,FALSE))</f>
        <v/>
      </c>
      <c r="Y177" t="str">
        <f t="shared" si="80"/>
        <v/>
      </c>
      <c r="Z177" s="40" t="str">
        <f>IF(Y177="","",IF(I$8="A",(RANK(Y177,Y$11:Y$349,1)+COUNTIF(Y$11:Y177,Y177)-1),(RANK(Y177,Y$11:Y$349)+COUNTIF(Y$11:Y177,Y177)-1)))</f>
        <v/>
      </c>
      <c r="AA177" s="189" t="str">
        <f>IF(L177="","",VLOOKUP($L177,classifications!C:I,7,FALSE))</f>
        <v/>
      </c>
      <c r="AB177" s="183" t="str">
        <f t="shared" si="81"/>
        <v/>
      </c>
      <c r="AC177" s="183" t="str">
        <f>IF(AB177="","",IF($I$8="A",(RANK(AB177,AB$11:AB$349)+COUNTIF(AB$11:AB177,AB177)-1),(RANK(AB177,AB$11:AB$349,1)+COUNTIF(AB$11:AB177,AB177)-1)))</f>
        <v/>
      </c>
      <c r="AD177" s="183"/>
      <c r="AE177" s="49">
        <f>IF(I$8="A",(RANK(AG177,AG$11:AG$349,1)+COUNTIF(AG$11:AG177,AG177)-1),(RANK(AG177,AG$11:AG$349)+COUNTIF(AG$11:AG177,AG177)-1))</f>
        <v>167</v>
      </c>
      <c r="AF177" t="str">
        <f>VLOOKUP(Profile!$J$5,Families!$C:$R,6,FALSE)</f>
        <v>Herefordshire</v>
      </c>
      <c r="AG177" s="15">
        <f t="shared" si="82"/>
        <v>62.711864406779661</v>
      </c>
      <c r="AH177" s="50">
        <f t="shared" si="83"/>
        <v>167</v>
      </c>
      <c r="AI177" s="5" t="str">
        <f>IF(L177="","",VLOOKUP($L177,classifications!$C:$J,8,FALSE))</f>
        <v/>
      </c>
      <c r="AJ177" s="43" t="str">
        <f t="shared" si="84"/>
        <v/>
      </c>
      <c r="AK177" s="40" t="str">
        <f>IF(AJ177="","",IF(I$8="A",(RANK(AJ177,AJ$11:AJ$349,1)+COUNTIF(AJ$11:AJ177,AJ177)-1),(RANK(AJ177,AJ$11:AJ$349)+COUNTIF(AJ$11:AJ177,AJ177)-1)))</f>
        <v/>
      </c>
      <c r="AL177" s="3" t="str">
        <f t="shared" si="85"/>
        <v/>
      </c>
      <c r="AM177" t="str">
        <f t="shared" si="86"/>
        <v/>
      </c>
      <c r="AN177" t="str">
        <f t="shared" si="87"/>
        <v/>
      </c>
      <c r="AP177" s="5" t="str">
        <f>IF(L177="","",VLOOKUP($L177,classifications!$C:$E,3,FALSE))</f>
        <v/>
      </c>
      <c r="AQ177" s="43" t="str">
        <f t="shared" si="88"/>
        <v/>
      </c>
      <c r="AR177" s="40" t="str">
        <f>IF(AQ177="","",IF(I$8="A",(RANK(AQ177,AQ$11:AQ$349,1)+COUNTIF(AQ$11:AQ177,AQ177)-1),(RANK(AQ177,AQ$11:AQ$349)+COUNTIF(AQ$11:AQ177,AQ177)-1)))</f>
        <v/>
      </c>
      <c r="AS177" s="3" t="str">
        <f t="shared" si="89"/>
        <v/>
      </c>
      <c r="AT177" s="40" t="str">
        <f t="shared" si="90"/>
        <v/>
      </c>
      <c r="AU177" s="43" t="str">
        <f t="shared" si="91"/>
        <v/>
      </c>
      <c r="AX177">
        <f>HLOOKUP($AX$9&amp;$AX$10,Data!$A$1:$ZZ$1988,(MATCH($C177,Data!$A$1:$A$1988,0)),FALSE)</f>
        <v>80.851063829787222</v>
      </c>
    </row>
    <row r="178" spans="1:50">
      <c r="A178" s="59" t="str">
        <f>$D$1&amp;168</f>
        <v>UA168</v>
      </c>
      <c r="B178" s="60">
        <f>IF(ISERROR(VLOOKUP(A178,classifications!A:C,3,FALSE)),0,VLOOKUP(A178,classifications!A:C,3,FALSE))</f>
        <v>0</v>
      </c>
      <c r="C178" t="s">
        <v>236</v>
      </c>
      <c r="D178" t="str">
        <f>VLOOKUP($C178,classifications!$C:$J,4,FALSE)</f>
        <v>MD</v>
      </c>
      <c r="E178">
        <f>VLOOKUP(C178,classifications!C:K,9,FALSE)</f>
        <v>0</v>
      </c>
      <c r="F178">
        <f t="shared" si="68"/>
        <v>87.254901960784309</v>
      </c>
      <c r="G178" s="15"/>
      <c r="H178" s="42" t="str">
        <f t="shared" si="69"/>
        <v/>
      </c>
      <c r="I178" s="79" t="str">
        <f>IF(H178="","",IF($I$8="A",(RANK(H178,H$11:H$349,1)+COUNTIF(H$11:H178,H178)-1),(RANK(H178,H$11:H$349)+COUNTIF(H$11:H178,H178)-1)))</f>
        <v/>
      </c>
      <c r="J178" s="41"/>
      <c r="K178" s="36" t="str">
        <f t="shared" si="70"/>
        <v/>
      </c>
      <c r="L178" t="str">
        <f t="shared" si="71"/>
        <v/>
      </c>
      <c r="M178" s="117" t="str">
        <f t="shared" si="72"/>
        <v/>
      </c>
      <c r="N178" s="112" t="str">
        <f t="shared" si="73"/>
        <v/>
      </c>
      <c r="O178" s="96" t="str">
        <f t="shared" si="74"/>
        <v/>
      </c>
      <c r="P178" s="96" t="str">
        <f t="shared" si="75"/>
        <v/>
      </c>
      <c r="Q178" s="96" t="str">
        <f t="shared" si="76"/>
        <v/>
      </c>
      <c r="R178" s="92" t="str">
        <f t="shared" si="77"/>
        <v/>
      </c>
      <c r="S178" s="42" t="str">
        <f t="shared" si="78"/>
        <v/>
      </c>
      <c r="T178" s="176" t="str">
        <f>IF(L178="","",VLOOKUP(L178,classifications!C:K,9,FALSE))</f>
        <v/>
      </c>
      <c r="U178" s="177" t="str">
        <f t="shared" si="79"/>
        <v/>
      </c>
      <c r="V178" s="183" t="str">
        <f>IF(U178="","",IF($I$8="A",(RANK(U178,U$11:U$349)+COUNTIF(U$11:U178,U178)-1),(RANK(U178,U$11:U$349,1)+COUNTIF(U$11:U178,U178)-1)))</f>
        <v/>
      </c>
      <c r="W178" s="184"/>
      <c r="X178" s="5" t="str">
        <f>IF(L178="","",VLOOKUP($L178,classifications!$C:$J,6,FALSE))</f>
        <v/>
      </c>
      <c r="Y178" t="str">
        <f t="shared" si="80"/>
        <v/>
      </c>
      <c r="Z178" s="40" t="str">
        <f>IF(Y178="","",IF(I$8="A",(RANK(Y178,Y$11:Y$349,1)+COUNTIF(Y$11:Y178,Y178)-1),(RANK(Y178,Y$11:Y$349)+COUNTIF(Y$11:Y178,Y178)-1)))</f>
        <v/>
      </c>
      <c r="AA178" s="189" t="str">
        <f>IF(L178="","",VLOOKUP($L178,classifications!C:I,7,FALSE))</f>
        <v/>
      </c>
      <c r="AB178" s="183" t="str">
        <f t="shared" si="81"/>
        <v/>
      </c>
      <c r="AC178" s="183" t="str">
        <f>IF(AB178="","",IF($I$8="A",(RANK(AB178,AB$11:AB$349)+COUNTIF(AB$11:AB178,AB178)-1),(RANK(AB178,AB$11:AB$349,1)+COUNTIF(AB$11:AB178,AB178)-1)))</f>
        <v/>
      </c>
      <c r="AD178" s="183"/>
      <c r="AE178" s="49">
        <f>IF(I$8="A",(RANK(AG178,AG$11:AG$349,1)+COUNTIF(AG$11:AG178,AG178)-1),(RANK(AG178,AG$11:AG$349)+COUNTIF(AG$11:AG178,AG178)-1))</f>
        <v>168</v>
      </c>
      <c r="AF178" t="str">
        <f>VLOOKUP(Profile!$J$5,Families!$C:$R,6,FALSE)</f>
        <v>Herefordshire</v>
      </c>
      <c r="AG178" s="15">
        <f t="shared" si="82"/>
        <v>62.711864406779661</v>
      </c>
      <c r="AH178" s="50">
        <f t="shared" si="83"/>
        <v>168</v>
      </c>
      <c r="AI178" s="5" t="str">
        <f>IF(L178="","",VLOOKUP($L178,classifications!$C:$J,8,FALSE))</f>
        <v/>
      </c>
      <c r="AJ178" s="43" t="str">
        <f t="shared" si="84"/>
        <v/>
      </c>
      <c r="AK178" s="40" t="str">
        <f>IF(AJ178="","",IF(I$8="A",(RANK(AJ178,AJ$11:AJ$349,1)+COUNTIF(AJ$11:AJ178,AJ178)-1),(RANK(AJ178,AJ$11:AJ$349)+COUNTIF(AJ$11:AJ178,AJ178)-1)))</f>
        <v/>
      </c>
      <c r="AL178" s="3" t="str">
        <f t="shared" si="85"/>
        <v/>
      </c>
      <c r="AM178" t="str">
        <f t="shared" si="86"/>
        <v/>
      </c>
      <c r="AN178" t="str">
        <f t="shared" si="87"/>
        <v/>
      </c>
      <c r="AP178" s="5" t="str">
        <f>IF(L178="","",VLOOKUP($L178,classifications!$C:$E,3,FALSE))</f>
        <v/>
      </c>
      <c r="AQ178" s="43" t="str">
        <f t="shared" si="88"/>
        <v/>
      </c>
      <c r="AR178" s="40" t="str">
        <f>IF(AQ178="","",IF(I$8="A",(RANK(AQ178,AQ$11:AQ$349,1)+COUNTIF(AQ$11:AQ178,AQ178)-1),(RANK(AQ178,AQ$11:AQ$349)+COUNTIF(AQ$11:AQ178,AQ178)-1)))</f>
        <v/>
      </c>
      <c r="AS178" s="3" t="str">
        <f t="shared" si="89"/>
        <v/>
      </c>
      <c r="AT178" s="40" t="str">
        <f t="shared" si="90"/>
        <v/>
      </c>
      <c r="AU178" s="43" t="str">
        <f t="shared" si="91"/>
        <v/>
      </c>
      <c r="AX178">
        <f>HLOOKUP($AX$9&amp;$AX$10,Data!$A$1:$ZZ$1988,(MATCH($C178,Data!$A$1:$A$1988,0)),FALSE)</f>
        <v>87.254901960784309</v>
      </c>
    </row>
    <row r="179" spans="1:50">
      <c r="A179" s="59" t="str">
        <f>$D$1&amp;169</f>
        <v>UA169</v>
      </c>
      <c r="B179" s="60">
        <f>IF(ISERROR(VLOOKUP(A179,classifications!A:C,3,FALSE)),0,VLOOKUP(A179,classifications!A:C,3,FALSE))</f>
        <v>0</v>
      </c>
      <c r="C179" t="s">
        <v>99</v>
      </c>
      <c r="D179" t="str">
        <f>VLOOKUP($C179,classifications!$C:$J,4,FALSE)</f>
        <v>SD</v>
      </c>
      <c r="E179">
        <f>VLOOKUP(C179,classifications!C:K,9,FALSE)</f>
        <v>0</v>
      </c>
      <c r="F179">
        <f t="shared" si="68"/>
        <v>100</v>
      </c>
      <c r="G179" s="15"/>
      <c r="H179" s="42" t="str">
        <f t="shared" si="69"/>
        <v/>
      </c>
      <c r="I179" s="79" t="str">
        <f>IF(H179="","",IF($I$8="A",(RANK(H179,H$11:H$349,1)+COUNTIF(H$11:H179,H179)-1),(RANK(H179,H$11:H$349)+COUNTIF(H$11:H179,H179)-1)))</f>
        <v/>
      </c>
      <c r="J179" s="41"/>
      <c r="K179" s="36" t="str">
        <f t="shared" si="70"/>
        <v/>
      </c>
      <c r="L179" t="str">
        <f t="shared" si="71"/>
        <v/>
      </c>
      <c r="M179" s="117" t="str">
        <f t="shared" si="72"/>
        <v/>
      </c>
      <c r="N179" s="112" t="str">
        <f t="shared" si="73"/>
        <v/>
      </c>
      <c r="O179" s="96" t="str">
        <f t="shared" si="74"/>
        <v/>
      </c>
      <c r="P179" s="96" t="str">
        <f t="shared" si="75"/>
        <v/>
      </c>
      <c r="Q179" s="96" t="str">
        <f t="shared" si="76"/>
        <v/>
      </c>
      <c r="R179" s="92" t="str">
        <f t="shared" si="77"/>
        <v/>
      </c>
      <c r="S179" s="42" t="str">
        <f t="shared" si="78"/>
        <v/>
      </c>
      <c r="T179" s="176" t="str">
        <f>IF(L179="","",VLOOKUP(L179,classifications!C:K,9,FALSE))</f>
        <v/>
      </c>
      <c r="U179" s="177" t="str">
        <f t="shared" si="79"/>
        <v/>
      </c>
      <c r="V179" s="183" t="str">
        <f>IF(U179="","",IF($I$8="A",(RANK(U179,U$11:U$349)+COUNTIF(U$11:U179,U179)-1),(RANK(U179,U$11:U$349,1)+COUNTIF(U$11:U179,U179)-1)))</f>
        <v/>
      </c>
      <c r="W179" s="184"/>
      <c r="X179" s="5" t="str">
        <f>IF(L179="","",VLOOKUP($L179,classifications!$C:$J,6,FALSE))</f>
        <v/>
      </c>
      <c r="Y179" t="str">
        <f t="shared" si="80"/>
        <v/>
      </c>
      <c r="Z179" s="40" t="str">
        <f>IF(Y179="","",IF(I$8="A",(RANK(Y179,Y$11:Y$349,1)+COUNTIF(Y$11:Y179,Y179)-1),(RANK(Y179,Y$11:Y$349)+COUNTIF(Y$11:Y179,Y179)-1)))</f>
        <v/>
      </c>
      <c r="AA179" s="189" t="str">
        <f>IF(L179="","",VLOOKUP($L179,classifications!C:I,7,FALSE))</f>
        <v/>
      </c>
      <c r="AB179" s="183" t="str">
        <f t="shared" si="81"/>
        <v/>
      </c>
      <c r="AC179" s="183" t="str">
        <f>IF(AB179="","",IF($I$8="A",(RANK(AB179,AB$11:AB$349)+COUNTIF(AB$11:AB179,AB179)-1),(RANK(AB179,AB$11:AB$349,1)+COUNTIF(AB$11:AB179,AB179)-1)))</f>
        <v/>
      </c>
      <c r="AD179" s="183"/>
      <c r="AE179" s="49">
        <f>IF(I$8="A",(RANK(AG179,AG$11:AG$349,1)+COUNTIF(AG$11:AG179,AG179)-1),(RANK(AG179,AG$11:AG$349)+COUNTIF(AG$11:AG179,AG179)-1))</f>
        <v>169</v>
      </c>
      <c r="AF179" t="str">
        <f>VLOOKUP(Profile!$J$5,Families!$C:$R,6,FALSE)</f>
        <v>Herefordshire</v>
      </c>
      <c r="AG179" s="15">
        <f t="shared" si="82"/>
        <v>62.711864406779661</v>
      </c>
      <c r="AH179" s="50">
        <f t="shared" si="83"/>
        <v>169</v>
      </c>
      <c r="AI179" s="5" t="str">
        <f>IF(L179="","",VLOOKUP($L179,classifications!$C:$J,8,FALSE))</f>
        <v/>
      </c>
      <c r="AJ179" s="43" t="str">
        <f t="shared" si="84"/>
        <v/>
      </c>
      <c r="AK179" s="40" t="str">
        <f>IF(AJ179="","",IF(I$8="A",(RANK(AJ179,AJ$11:AJ$349,1)+COUNTIF(AJ$11:AJ179,AJ179)-1),(RANK(AJ179,AJ$11:AJ$349)+COUNTIF(AJ$11:AJ179,AJ179)-1)))</f>
        <v/>
      </c>
      <c r="AL179" s="3" t="str">
        <f t="shared" si="85"/>
        <v/>
      </c>
      <c r="AM179" t="str">
        <f t="shared" si="86"/>
        <v/>
      </c>
      <c r="AN179" t="str">
        <f t="shared" si="87"/>
        <v/>
      </c>
      <c r="AP179" s="5" t="str">
        <f>IF(L179="","",VLOOKUP($L179,classifications!$C:$E,3,FALSE))</f>
        <v/>
      </c>
      <c r="AQ179" s="43" t="str">
        <f t="shared" si="88"/>
        <v/>
      </c>
      <c r="AR179" s="40" t="str">
        <f>IF(AQ179="","",IF(I$8="A",(RANK(AQ179,AQ$11:AQ$349,1)+COUNTIF(AQ$11:AQ179,AQ179)-1),(RANK(AQ179,AQ$11:AQ$349)+COUNTIF(AQ$11:AQ179,AQ179)-1)))</f>
        <v/>
      </c>
      <c r="AS179" s="3" t="str">
        <f t="shared" si="89"/>
        <v/>
      </c>
      <c r="AT179" s="40" t="str">
        <f t="shared" si="90"/>
        <v/>
      </c>
      <c r="AU179" s="43" t="str">
        <f t="shared" si="91"/>
        <v/>
      </c>
      <c r="AX179">
        <f>HLOOKUP($AX$9&amp;$AX$10,Data!$A$1:$ZZ$1988,(MATCH($C179,Data!$A$1:$A$1988,0)),FALSE)</f>
        <v>100</v>
      </c>
    </row>
    <row r="180" spans="1:50">
      <c r="A180" s="59" t="str">
        <f>$D$1&amp;170</f>
        <v>UA170</v>
      </c>
      <c r="B180" s="60">
        <f>IF(ISERROR(VLOOKUP(A180,classifications!A:C,3,FALSE)),0,VLOOKUP(A180,classifications!A:C,3,FALSE))</f>
        <v>0</v>
      </c>
      <c r="C180" t="s">
        <v>273</v>
      </c>
      <c r="D180" t="str">
        <f>VLOOKUP($C180,classifications!$C:$J,4,FALSE)</f>
        <v>UA</v>
      </c>
      <c r="E180">
        <f>VLOOKUP(C180,classifications!C:K,9,FALSE)</f>
        <v>0</v>
      </c>
      <c r="F180">
        <f t="shared" si="68"/>
        <v>94.117647058823522</v>
      </c>
      <c r="G180" s="15"/>
      <c r="H180" s="42">
        <f t="shared" si="69"/>
        <v>94.117647058823522</v>
      </c>
      <c r="I180" s="79">
        <f>IF(H180="","",IF($I$8="A",(RANK(H180,H$11:H$349,1)+COUNTIF(H$11:H180,H180)-1),(RANK(H180,H$11:H$349)+COUNTIF(H$11:H180,H180)-1)))</f>
        <v>21</v>
      </c>
      <c r="J180" s="41"/>
      <c r="K180" s="36" t="str">
        <f t="shared" si="70"/>
        <v/>
      </c>
      <c r="L180" t="str">
        <f t="shared" si="71"/>
        <v/>
      </c>
      <c r="M180" s="117" t="str">
        <f t="shared" si="72"/>
        <v/>
      </c>
      <c r="N180" s="112" t="str">
        <f t="shared" si="73"/>
        <v/>
      </c>
      <c r="O180" s="96" t="str">
        <f t="shared" si="74"/>
        <v/>
      </c>
      <c r="P180" s="96" t="str">
        <f t="shared" si="75"/>
        <v/>
      </c>
      <c r="Q180" s="96" t="str">
        <f t="shared" si="76"/>
        <v/>
      </c>
      <c r="R180" s="92" t="str">
        <f t="shared" si="77"/>
        <v/>
      </c>
      <c r="S180" s="42" t="str">
        <f t="shared" si="78"/>
        <v/>
      </c>
      <c r="T180" s="176" t="str">
        <f>IF(L180="","",VLOOKUP(L180,classifications!C:K,9,FALSE))</f>
        <v/>
      </c>
      <c r="U180" s="177" t="str">
        <f t="shared" si="79"/>
        <v/>
      </c>
      <c r="V180" s="183" t="str">
        <f>IF(U180="","",IF($I$8="A",(RANK(U180,U$11:U$349)+COUNTIF(U$11:U180,U180)-1),(RANK(U180,U$11:U$349,1)+COUNTIF(U$11:U180,U180)-1)))</f>
        <v/>
      </c>
      <c r="W180" s="184"/>
      <c r="X180" s="5" t="str">
        <f>IF(L180="","",VLOOKUP($L180,classifications!$C:$J,6,FALSE))</f>
        <v/>
      </c>
      <c r="Y180" t="str">
        <f t="shared" si="80"/>
        <v/>
      </c>
      <c r="Z180" s="40" t="str">
        <f>IF(Y180="","",IF(I$8="A",(RANK(Y180,Y$11:Y$349,1)+COUNTIF(Y$11:Y180,Y180)-1),(RANK(Y180,Y$11:Y$349)+COUNTIF(Y$11:Y180,Y180)-1)))</f>
        <v/>
      </c>
      <c r="AA180" s="189" t="str">
        <f>IF(L180="","",VLOOKUP($L180,classifications!C:I,7,FALSE))</f>
        <v/>
      </c>
      <c r="AB180" s="183" t="str">
        <f t="shared" si="81"/>
        <v/>
      </c>
      <c r="AC180" s="183" t="str">
        <f>IF(AB180="","",IF($I$8="A",(RANK(AB180,AB$11:AB$349)+COUNTIF(AB$11:AB180,AB180)-1),(RANK(AB180,AB$11:AB$349,1)+COUNTIF(AB$11:AB180,AB180)-1)))</f>
        <v/>
      </c>
      <c r="AD180" s="183"/>
      <c r="AE180" s="49">
        <f>IF(I$8="A",(RANK(AG180,AG$11:AG$349,1)+COUNTIF(AG$11:AG180,AG180)-1),(RANK(AG180,AG$11:AG$349)+COUNTIF(AG$11:AG180,AG180)-1))</f>
        <v>170</v>
      </c>
      <c r="AF180" t="str">
        <f>VLOOKUP(Profile!$J$5,Families!$C:$R,6,FALSE)</f>
        <v>Herefordshire</v>
      </c>
      <c r="AG180" s="15">
        <f t="shared" si="82"/>
        <v>62.711864406779661</v>
      </c>
      <c r="AH180" s="50">
        <f t="shared" si="83"/>
        <v>170</v>
      </c>
      <c r="AI180" s="5" t="str">
        <f>IF(L180="","",VLOOKUP($L180,classifications!$C:$J,8,FALSE))</f>
        <v/>
      </c>
      <c r="AJ180" s="43" t="str">
        <f t="shared" si="84"/>
        <v/>
      </c>
      <c r="AK180" s="40" t="str">
        <f>IF(AJ180="","",IF(I$8="A",(RANK(AJ180,AJ$11:AJ$349,1)+COUNTIF(AJ$11:AJ180,AJ180)-1),(RANK(AJ180,AJ$11:AJ$349)+COUNTIF(AJ$11:AJ180,AJ180)-1)))</f>
        <v/>
      </c>
      <c r="AL180" s="3" t="str">
        <f t="shared" si="85"/>
        <v/>
      </c>
      <c r="AM180" t="str">
        <f t="shared" si="86"/>
        <v/>
      </c>
      <c r="AN180" t="str">
        <f t="shared" si="87"/>
        <v/>
      </c>
      <c r="AP180" s="5" t="str">
        <f>IF(L180="","",VLOOKUP($L180,classifications!$C:$E,3,FALSE))</f>
        <v/>
      </c>
      <c r="AQ180" s="43" t="str">
        <f t="shared" si="88"/>
        <v/>
      </c>
      <c r="AR180" s="40" t="str">
        <f>IF(AQ180="","",IF(I$8="A",(RANK(AQ180,AQ$11:AQ$349,1)+COUNTIF(AQ$11:AQ180,AQ180)-1),(RANK(AQ180,AQ$11:AQ$349)+COUNTIF(AQ$11:AQ180,AQ180)-1)))</f>
        <v/>
      </c>
      <c r="AS180" s="3" t="str">
        <f t="shared" si="89"/>
        <v/>
      </c>
      <c r="AT180" s="40" t="str">
        <f t="shared" si="90"/>
        <v/>
      </c>
      <c r="AU180" s="43" t="str">
        <f t="shared" si="91"/>
        <v/>
      </c>
      <c r="AX180">
        <f>HLOOKUP($AX$9&amp;$AX$10,Data!$A$1:$ZZ$1988,(MATCH($C180,Data!$A$1:$A$1988,0)),FALSE)</f>
        <v>94.117647058823522</v>
      </c>
    </row>
    <row r="181" spans="1:50">
      <c r="A181" s="59" t="str">
        <f>$D$1&amp;171</f>
        <v>UA171</v>
      </c>
      <c r="B181" s="60">
        <f>IF(ISERROR(VLOOKUP(A181,classifications!A:C,3,FALSE)),0,VLOOKUP(A181,classifications!A:C,3,FALSE))</f>
        <v>0</v>
      </c>
      <c r="C181" t="s">
        <v>100</v>
      </c>
      <c r="D181" t="str">
        <f>VLOOKUP($C181,classifications!$C:$J,4,FALSE)</f>
        <v>SD</v>
      </c>
      <c r="E181" t="str">
        <f>VLOOKUP(C181,classifications!C:K,9,FALSE)</f>
        <v>Sparse</v>
      </c>
      <c r="F181">
        <f t="shared" si="68"/>
        <v>90.322580645161281</v>
      </c>
      <c r="G181" s="15"/>
      <c r="H181" s="42" t="str">
        <f t="shared" si="69"/>
        <v/>
      </c>
      <c r="I181" s="79" t="str">
        <f>IF(H181="","",IF($I$8="A",(RANK(H181,H$11:H$349,1)+COUNTIF(H$11:H181,H181)-1),(RANK(H181,H$11:H$349)+COUNTIF(H$11:H181,H181)-1)))</f>
        <v/>
      </c>
      <c r="J181" s="41"/>
      <c r="K181" s="36" t="str">
        <f t="shared" si="70"/>
        <v/>
      </c>
      <c r="L181" t="str">
        <f t="shared" si="71"/>
        <v/>
      </c>
      <c r="M181" s="117" t="str">
        <f t="shared" si="72"/>
        <v/>
      </c>
      <c r="N181" s="112" t="str">
        <f t="shared" si="73"/>
        <v/>
      </c>
      <c r="O181" s="96" t="str">
        <f t="shared" si="74"/>
        <v/>
      </c>
      <c r="P181" s="96" t="str">
        <f t="shared" si="75"/>
        <v/>
      </c>
      <c r="Q181" s="96" t="str">
        <f t="shared" si="76"/>
        <v/>
      </c>
      <c r="R181" s="92" t="str">
        <f t="shared" si="77"/>
        <v/>
      </c>
      <c r="S181" s="42" t="str">
        <f t="shared" si="78"/>
        <v/>
      </c>
      <c r="T181" s="176" t="str">
        <f>IF(L181="","",VLOOKUP(L181,classifications!C:K,9,FALSE))</f>
        <v/>
      </c>
      <c r="U181" s="177" t="str">
        <f t="shared" si="79"/>
        <v/>
      </c>
      <c r="V181" s="183" t="str">
        <f>IF(U181="","",IF($I$8="A",(RANK(U181,U$11:U$349)+COUNTIF(U$11:U181,U181)-1),(RANK(U181,U$11:U$349,1)+COUNTIF(U$11:U181,U181)-1)))</f>
        <v/>
      </c>
      <c r="W181" s="184"/>
      <c r="X181" s="5" t="str">
        <f>IF(L181="","",VLOOKUP($L181,classifications!$C:$J,6,FALSE))</f>
        <v/>
      </c>
      <c r="Y181" t="str">
        <f t="shared" si="80"/>
        <v/>
      </c>
      <c r="Z181" s="40" t="str">
        <f>IF(Y181="","",IF(I$8="A",(RANK(Y181,Y$11:Y$349,1)+COUNTIF(Y$11:Y181,Y181)-1),(RANK(Y181,Y$11:Y$349)+COUNTIF(Y$11:Y181,Y181)-1)))</f>
        <v/>
      </c>
      <c r="AA181" s="189" t="str">
        <f>IF(L181="","",VLOOKUP($L181,classifications!C:I,7,FALSE))</f>
        <v/>
      </c>
      <c r="AB181" s="183" t="str">
        <f t="shared" si="81"/>
        <v/>
      </c>
      <c r="AC181" s="183" t="str">
        <f>IF(AB181="","",IF($I$8="A",(RANK(AB181,AB$11:AB$349)+COUNTIF(AB$11:AB181,AB181)-1),(RANK(AB181,AB$11:AB$349,1)+COUNTIF(AB$11:AB181,AB181)-1)))</f>
        <v/>
      </c>
      <c r="AD181" s="183"/>
      <c r="AE181" s="49">
        <f>IF(I$8="A",(RANK(AG181,AG$11:AG$349,1)+COUNTIF(AG$11:AG181,AG181)-1),(RANK(AG181,AG$11:AG$349)+COUNTIF(AG$11:AG181,AG181)-1))</f>
        <v>171</v>
      </c>
      <c r="AF181" t="str">
        <f>VLOOKUP(Profile!$J$5,Families!$C:$R,6,FALSE)</f>
        <v>Herefordshire</v>
      </c>
      <c r="AG181" s="15">
        <f t="shared" si="82"/>
        <v>62.711864406779661</v>
      </c>
      <c r="AH181" s="50">
        <f t="shared" si="83"/>
        <v>171</v>
      </c>
      <c r="AI181" s="5" t="str">
        <f>IF(L181="","",VLOOKUP($L181,classifications!$C:$J,8,FALSE))</f>
        <v/>
      </c>
      <c r="AJ181" s="43" t="str">
        <f t="shared" si="84"/>
        <v/>
      </c>
      <c r="AK181" s="40" t="str">
        <f>IF(AJ181="","",IF(I$8="A",(RANK(AJ181,AJ$11:AJ$349,1)+COUNTIF(AJ$11:AJ181,AJ181)-1),(RANK(AJ181,AJ$11:AJ$349)+COUNTIF(AJ$11:AJ181,AJ181)-1)))</f>
        <v/>
      </c>
      <c r="AL181" s="3" t="str">
        <f t="shared" si="85"/>
        <v/>
      </c>
      <c r="AM181" t="str">
        <f t="shared" si="86"/>
        <v/>
      </c>
      <c r="AN181" t="str">
        <f t="shared" si="87"/>
        <v/>
      </c>
      <c r="AP181" s="5" t="str">
        <f>IF(L181="","",VLOOKUP($L181,classifications!$C:$E,3,FALSE))</f>
        <v/>
      </c>
      <c r="AQ181" s="43" t="str">
        <f t="shared" si="88"/>
        <v/>
      </c>
      <c r="AR181" s="40" t="str">
        <f>IF(AQ181="","",IF(I$8="A",(RANK(AQ181,AQ$11:AQ$349,1)+COUNTIF(AQ$11:AQ181,AQ181)-1),(RANK(AQ181,AQ$11:AQ$349)+COUNTIF(AQ$11:AQ181,AQ181)-1)))</f>
        <v/>
      </c>
      <c r="AS181" s="3" t="str">
        <f t="shared" si="89"/>
        <v/>
      </c>
      <c r="AT181" s="40" t="str">
        <f t="shared" si="90"/>
        <v/>
      </c>
      <c r="AU181" s="43" t="str">
        <f t="shared" si="91"/>
        <v/>
      </c>
      <c r="AX181">
        <f>HLOOKUP($AX$9&amp;$AX$10,Data!$A$1:$ZZ$1988,(MATCH($C181,Data!$A$1:$A$1988,0)),FALSE)</f>
        <v>90.322580645161281</v>
      </c>
    </row>
    <row r="182" spans="1:50">
      <c r="A182" s="59" t="str">
        <f>$D$1&amp;172</f>
        <v>UA172</v>
      </c>
      <c r="B182" s="60">
        <f>IF(ISERROR(VLOOKUP(A182,classifications!A:C,3,FALSE)),0,VLOOKUP(A182,classifications!A:C,3,FALSE))</f>
        <v>0</v>
      </c>
      <c r="C182" t="s">
        <v>101</v>
      </c>
      <c r="D182" t="str">
        <f>VLOOKUP($C182,classifications!$C:$J,4,FALSE)</f>
        <v>SD</v>
      </c>
      <c r="E182" t="str">
        <f>VLOOKUP(C182,classifications!C:K,9,FALSE)</f>
        <v>Sparse</v>
      </c>
      <c r="F182">
        <f t="shared" si="68"/>
        <v>89.65517241379311</v>
      </c>
      <c r="G182" s="15"/>
      <c r="H182" s="42" t="str">
        <f t="shared" si="69"/>
        <v/>
      </c>
      <c r="I182" s="79" t="str">
        <f>IF(H182="","",IF($I$8="A",(RANK(H182,H$11:H$349,1)+COUNTIF(H$11:H182,H182)-1),(RANK(H182,H$11:H$349)+COUNTIF(H$11:H182,H182)-1)))</f>
        <v/>
      </c>
      <c r="J182" s="41"/>
      <c r="K182" s="36" t="str">
        <f t="shared" si="70"/>
        <v/>
      </c>
      <c r="L182" t="str">
        <f t="shared" si="71"/>
        <v/>
      </c>
      <c r="M182" s="117" t="str">
        <f t="shared" si="72"/>
        <v/>
      </c>
      <c r="N182" s="112" t="str">
        <f t="shared" si="73"/>
        <v/>
      </c>
      <c r="O182" s="96" t="str">
        <f t="shared" si="74"/>
        <v/>
      </c>
      <c r="P182" s="96" t="str">
        <f t="shared" si="75"/>
        <v/>
      </c>
      <c r="Q182" s="96" t="str">
        <f t="shared" si="76"/>
        <v/>
      </c>
      <c r="R182" s="92" t="str">
        <f t="shared" si="77"/>
        <v/>
      </c>
      <c r="S182" s="42" t="str">
        <f t="shared" si="78"/>
        <v/>
      </c>
      <c r="T182" s="176" t="str">
        <f>IF(L182="","",VLOOKUP(L182,classifications!C:K,9,FALSE))</f>
        <v/>
      </c>
      <c r="U182" s="177" t="str">
        <f t="shared" si="79"/>
        <v/>
      </c>
      <c r="V182" s="183" t="str">
        <f>IF(U182="","",IF($I$8="A",(RANK(U182,U$11:U$349)+COUNTIF(U$11:U182,U182)-1),(RANK(U182,U$11:U$349,1)+COUNTIF(U$11:U182,U182)-1)))</f>
        <v/>
      </c>
      <c r="W182" s="184"/>
      <c r="X182" s="5" t="str">
        <f>IF(L182="","",VLOOKUP($L182,classifications!$C:$J,6,FALSE))</f>
        <v/>
      </c>
      <c r="Y182" t="str">
        <f t="shared" si="80"/>
        <v/>
      </c>
      <c r="Z182" s="40" t="str">
        <f>IF(Y182="","",IF(I$8="A",(RANK(Y182,Y$11:Y$349,1)+COUNTIF(Y$11:Y182,Y182)-1),(RANK(Y182,Y$11:Y$349)+COUNTIF(Y$11:Y182,Y182)-1)))</f>
        <v/>
      </c>
      <c r="AA182" s="189" t="str">
        <f>IF(L182="","",VLOOKUP($L182,classifications!C:I,7,FALSE))</f>
        <v/>
      </c>
      <c r="AB182" s="183" t="str">
        <f t="shared" si="81"/>
        <v/>
      </c>
      <c r="AC182" s="183" t="str">
        <f>IF(AB182="","",IF($I$8="A",(RANK(AB182,AB$11:AB$349)+COUNTIF(AB$11:AB182,AB182)-1),(RANK(AB182,AB$11:AB$349,1)+COUNTIF(AB$11:AB182,AB182)-1)))</f>
        <v/>
      </c>
      <c r="AD182" s="183"/>
      <c r="AE182" s="49">
        <f>IF(I$8="A",(RANK(AG182,AG$11:AG$349,1)+COUNTIF(AG$11:AG182,AG182)-1),(RANK(AG182,AG$11:AG$349)+COUNTIF(AG$11:AG182,AG182)-1))</f>
        <v>172</v>
      </c>
      <c r="AF182" t="str">
        <f>VLOOKUP(Profile!$J$5,Families!$C:$R,6,FALSE)</f>
        <v>Herefordshire</v>
      </c>
      <c r="AG182" s="15">
        <f t="shared" si="82"/>
        <v>62.711864406779661</v>
      </c>
      <c r="AH182" s="50">
        <f t="shared" si="83"/>
        <v>172</v>
      </c>
      <c r="AI182" s="5" t="str">
        <f>IF(L182="","",VLOOKUP($L182,classifications!$C:$J,8,FALSE))</f>
        <v/>
      </c>
      <c r="AJ182" s="43" t="str">
        <f t="shared" si="84"/>
        <v/>
      </c>
      <c r="AK182" s="40" t="str">
        <f>IF(AJ182="","",IF(I$8="A",(RANK(AJ182,AJ$11:AJ$349,1)+COUNTIF(AJ$11:AJ182,AJ182)-1),(RANK(AJ182,AJ$11:AJ$349)+COUNTIF(AJ$11:AJ182,AJ182)-1)))</f>
        <v/>
      </c>
      <c r="AL182" s="3" t="str">
        <f t="shared" si="85"/>
        <v/>
      </c>
      <c r="AM182" t="str">
        <f t="shared" si="86"/>
        <v/>
      </c>
      <c r="AN182" t="str">
        <f t="shared" si="87"/>
        <v/>
      </c>
      <c r="AP182" s="5" t="str">
        <f>IF(L182="","",VLOOKUP($L182,classifications!$C:$E,3,FALSE))</f>
        <v/>
      </c>
      <c r="AQ182" s="43" t="str">
        <f t="shared" si="88"/>
        <v/>
      </c>
      <c r="AR182" s="40" t="str">
        <f>IF(AQ182="","",IF(I$8="A",(RANK(AQ182,AQ$11:AQ$349,1)+COUNTIF(AQ$11:AQ182,AQ182)-1),(RANK(AQ182,AQ$11:AQ$349)+COUNTIF(AQ$11:AQ182,AQ182)-1)))</f>
        <v/>
      </c>
      <c r="AS182" s="3" t="str">
        <f t="shared" si="89"/>
        <v/>
      </c>
      <c r="AT182" s="40" t="str">
        <f t="shared" si="90"/>
        <v/>
      </c>
      <c r="AU182" s="43" t="str">
        <f t="shared" si="91"/>
        <v/>
      </c>
      <c r="AX182">
        <f>HLOOKUP($AX$9&amp;$AX$10,Data!$A$1:$ZZ$1988,(MATCH($C182,Data!$A$1:$A$1988,0)),FALSE)</f>
        <v>89.65517241379311</v>
      </c>
    </row>
    <row r="183" spans="1:50">
      <c r="A183" s="59" t="str">
        <f>$D$1&amp;173</f>
        <v>UA173</v>
      </c>
      <c r="B183" s="60">
        <f>IF(ISERROR(VLOOKUP(A183,classifications!A:C,3,FALSE)),0,VLOOKUP(A183,classifications!A:C,3,FALSE))</f>
        <v>0</v>
      </c>
      <c r="C183" t="s">
        <v>214</v>
      </c>
      <c r="D183" t="str">
        <f>VLOOKUP($C183,classifications!$C:$J,4,FALSE)</f>
        <v>L</v>
      </c>
      <c r="E183">
        <f>VLOOKUP(C183,classifications!C:K,9,FALSE)</f>
        <v>0</v>
      </c>
      <c r="F183">
        <f t="shared" si="68"/>
        <v>88.235294117647058</v>
      </c>
      <c r="G183" s="15"/>
      <c r="H183" s="42" t="str">
        <f t="shared" si="69"/>
        <v/>
      </c>
      <c r="I183" s="79" t="str">
        <f>IF(H183="","",IF($I$8="A",(RANK(H183,H$11:H$349,1)+COUNTIF(H$11:H183,H183)-1),(RANK(H183,H$11:H$349)+COUNTIF(H$11:H183,H183)-1)))</f>
        <v/>
      </c>
      <c r="J183" s="41"/>
      <c r="K183" s="36" t="str">
        <f t="shared" si="70"/>
        <v/>
      </c>
      <c r="L183" t="str">
        <f t="shared" si="71"/>
        <v/>
      </c>
      <c r="M183" s="117" t="str">
        <f t="shared" si="72"/>
        <v/>
      </c>
      <c r="N183" s="112" t="str">
        <f t="shared" si="73"/>
        <v/>
      </c>
      <c r="O183" s="96" t="str">
        <f t="shared" si="74"/>
        <v/>
      </c>
      <c r="P183" s="96" t="str">
        <f t="shared" si="75"/>
        <v/>
      </c>
      <c r="Q183" s="96" t="str">
        <f t="shared" si="76"/>
        <v/>
      </c>
      <c r="R183" s="92" t="str">
        <f t="shared" si="77"/>
        <v/>
      </c>
      <c r="S183" s="42" t="str">
        <f t="shared" si="78"/>
        <v/>
      </c>
      <c r="T183" s="176" t="str">
        <f>IF(L183="","",VLOOKUP(L183,classifications!C:K,9,FALSE))</f>
        <v/>
      </c>
      <c r="U183" s="177" t="str">
        <f t="shared" si="79"/>
        <v/>
      </c>
      <c r="V183" s="183" t="str">
        <f>IF(U183="","",IF($I$8="A",(RANK(U183,U$11:U$349)+COUNTIF(U$11:U183,U183)-1),(RANK(U183,U$11:U$349,1)+COUNTIF(U$11:U183,U183)-1)))</f>
        <v/>
      </c>
      <c r="W183" s="184"/>
      <c r="X183" s="5" t="str">
        <f>IF(L183="","",VLOOKUP($L183,classifications!$C:$J,6,FALSE))</f>
        <v/>
      </c>
      <c r="Y183" t="str">
        <f t="shared" si="80"/>
        <v/>
      </c>
      <c r="Z183" s="40" t="str">
        <f>IF(Y183="","",IF(I$8="A",(RANK(Y183,Y$11:Y$349,1)+COUNTIF(Y$11:Y183,Y183)-1),(RANK(Y183,Y$11:Y$349)+COUNTIF(Y$11:Y183,Y183)-1)))</f>
        <v/>
      </c>
      <c r="AA183" s="189" t="str">
        <f>IF(L183="","",VLOOKUP($L183,classifications!C:I,7,FALSE))</f>
        <v/>
      </c>
      <c r="AB183" s="183" t="str">
        <f t="shared" si="81"/>
        <v/>
      </c>
      <c r="AC183" s="183" t="str">
        <f>IF(AB183="","",IF($I$8="A",(RANK(AB183,AB$11:AB$349)+COUNTIF(AB$11:AB183,AB183)-1),(RANK(AB183,AB$11:AB$349,1)+COUNTIF(AB$11:AB183,AB183)-1)))</f>
        <v/>
      </c>
      <c r="AD183" s="183"/>
      <c r="AE183" s="49">
        <f>IF(I$8="A",(RANK(AG183,AG$11:AG$349,1)+COUNTIF(AG$11:AG183,AG183)-1),(RANK(AG183,AG$11:AG$349)+COUNTIF(AG$11:AG183,AG183)-1))</f>
        <v>173</v>
      </c>
      <c r="AF183" t="str">
        <f>VLOOKUP(Profile!$J$5,Families!$C:$R,6,FALSE)</f>
        <v>Herefordshire</v>
      </c>
      <c r="AG183" s="15">
        <f t="shared" si="82"/>
        <v>62.711864406779661</v>
      </c>
      <c r="AH183" s="50">
        <f t="shared" si="83"/>
        <v>173</v>
      </c>
      <c r="AI183" s="5" t="str">
        <f>IF(L183="","",VLOOKUP($L183,classifications!$C:$J,8,FALSE))</f>
        <v/>
      </c>
      <c r="AJ183" s="43" t="str">
        <f t="shared" si="84"/>
        <v/>
      </c>
      <c r="AK183" s="40" t="str">
        <f>IF(AJ183="","",IF(I$8="A",(RANK(AJ183,AJ$11:AJ$349,1)+COUNTIF(AJ$11:AJ183,AJ183)-1),(RANK(AJ183,AJ$11:AJ$349)+COUNTIF(AJ$11:AJ183,AJ183)-1)))</f>
        <v/>
      </c>
      <c r="AL183" s="3" t="str">
        <f t="shared" si="85"/>
        <v/>
      </c>
      <c r="AM183" t="str">
        <f t="shared" si="86"/>
        <v/>
      </c>
      <c r="AN183" t="str">
        <f t="shared" si="87"/>
        <v/>
      </c>
      <c r="AP183" s="5" t="str">
        <f>IF(L183="","",VLOOKUP($L183,classifications!$C:$E,3,FALSE))</f>
        <v/>
      </c>
      <c r="AQ183" s="43" t="str">
        <f t="shared" si="88"/>
        <v/>
      </c>
      <c r="AR183" s="40" t="str">
        <f>IF(AQ183="","",IF(I$8="A",(RANK(AQ183,AQ$11:AQ$349,1)+COUNTIF(AQ$11:AQ183,AQ183)-1),(RANK(AQ183,AQ$11:AQ$349)+COUNTIF(AQ$11:AQ183,AQ183)-1)))</f>
        <v/>
      </c>
      <c r="AS183" s="3" t="str">
        <f t="shared" si="89"/>
        <v/>
      </c>
      <c r="AT183" s="40" t="str">
        <f t="shared" si="90"/>
        <v/>
      </c>
      <c r="AU183" s="43" t="str">
        <f t="shared" si="91"/>
        <v/>
      </c>
      <c r="AX183">
        <f>HLOOKUP($AX$9&amp;$AX$10,Data!$A$1:$ZZ$1988,(MATCH($C183,Data!$A$1:$A$1988,0)),FALSE)</f>
        <v>88.235294117647058</v>
      </c>
    </row>
    <row r="184" spans="1:50">
      <c r="A184" s="59" t="str">
        <f>$D$1&amp;174</f>
        <v>UA174</v>
      </c>
      <c r="B184" s="60">
        <f>IF(ISERROR(VLOOKUP(A184,classifications!A:C,3,FALSE)),0,VLOOKUP(A184,classifications!A:C,3,FALSE))</f>
        <v>0</v>
      </c>
      <c r="C184" t="s">
        <v>102</v>
      </c>
      <c r="D184" t="str">
        <f>VLOOKUP($C184,classifications!$C:$J,4,FALSE)</f>
        <v>SD</v>
      </c>
      <c r="E184" t="str">
        <f>VLOOKUP(C184,classifications!C:K,9,FALSE)</f>
        <v>Sparse</v>
      </c>
      <c r="F184">
        <f t="shared" si="68"/>
        <v>87.5</v>
      </c>
      <c r="G184" s="15"/>
      <c r="H184" s="42" t="str">
        <f t="shared" si="69"/>
        <v/>
      </c>
      <c r="I184" s="79" t="str">
        <f>IF(H184="","",IF($I$8="A",(RANK(H184,H$11:H$349,1)+COUNTIF(H$11:H184,H184)-1),(RANK(H184,H$11:H$349)+COUNTIF(H$11:H184,H184)-1)))</f>
        <v/>
      </c>
      <c r="J184" s="41"/>
      <c r="K184" s="36" t="str">
        <f t="shared" si="70"/>
        <v/>
      </c>
      <c r="L184" t="str">
        <f t="shared" si="71"/>
        <v/>
      </c>
      <c r="M184" s="117" t="str">
        <f t="shared" si="72"/>
        <v/>
      </c>
      <c r="N184" s="112" t="str">
        <f t="shared" si="73"/>
        <v/>
      </c>
      <c r="O184" s="96" t="str">
        <f t="shared" si="74"/>
        <v/>
      </c>
      <c r="P184" s="96" t="str">
        <f t="shared" si="75"/>
        <v/>
      </c>
      <c r="Q184" s="96" t="str">
        <f t="shared" si="76"/>
        <v/>
      </c>
      <c r="R184" s="92" t="str">
        <f t="shared" si="77"/>
        <v/>
      </c>
      <c r="S184" s="42" t="str">
        <f t="shared" si="78"/>
        <v/>
      </c>
      <c r="T184" s="176" t="str">
        <f>IF(L184="","",VLOOKUP(L184,classifications!C:K,9,FALSE))</f>
        <v/>
      </c>
      <c r="U184" s="177" t="str">
        <f t="shared" si="79"/>
        <v/>
      </c>
      <c r="V184" s="183" t="str">
        <f>IF(U184="","",IF($I$8="A",(RANK(U184,U$11:U$349)+COUNTIF(U$11:U184,U184)-1),(RANK(U184,U$11:U$349,1)+COUNTIF(U$11:U184,U184)-1)))</f>
        <v/>
      </c>
      <c r="W184" s="184"/>
      <c r="X184" s="5" t="str">
        <f>IF(L184="","",VLOOKUP($L184,classifications!$C:$J,6,FALSE))</f>
        <v/>
      </c>
      <c r="Y184" t="str">
        <f t="shared" si="80"/>
        <v/>
      </c>
      <c r="Z184" s="40" t="str">
        <f>IF(Y184="","",IF(I$8="A",(RANK(Y184,Y$11:Y$349,1)+COUNTIF(Y$11:Y184,Y184)-1),(RANK(Y184,Y$11:Y$349)+COUNTIF(Y$11:Y184,Y184)-1)))</f>
        <v/>
      </c>
      <c r="AA184" s="189" t="str">
        <f>IF(L184="","",VLOOKUP($L184,classifications!C:I,7,FALSE))</f>
        <v/>
      </c>
      <c r="AB184" s="183" t="str">
        <f t="shared" si="81"/>
        <v/>
      </c>
      <c r="AC184" s="183" t="str">
        <f>IF(AB184="","",IF($I$8="A",(RANK(AB184,AB$11:AB$349)+COUNTIF(AB$11:AB184,AB184)-1),(RANK(AB184,AB$11:AB$349,1)+COUNTIF(AB$11:AB184,AB184)-1)))</f>
        <v/>
      </c>
      <c r="AD184" s="183"/>
      <c r="AE184" s="49">
        <f>IF(I$8="A",(RANK(AG184,AG$11:AG$349,1)+COUNTIF(AG$11:AG184,AG184)-1),(RANK(AG184,AG$11:AG$349)+COUNTIF(AG$11:AG184,AG184)-1))</f>
        <v>174</v>
      </c>
      <c r="AF184" t="str">
        <f>VLOOKUP(Profile!$J$5,Families!$C:$R,6,FALSE)</f>
        <v>Herefordshire</v>
      </c>
      <c r="AG184" s="15">
        <f t="shared" si="82"/>
        <v>62.711864406779661</v>
      </c>
      <c r="AH184" s="50">
        <f t="shared" si="83"/>
        <v>174</v>
      </c>
      <c r="AI184" s="5" t="str">
        <f>IF(L184="","",VLOOKUP($L184,classifications!$C:$J,8,FALSE))</f>
        <v/>
      </c>
      <c r="AJ184" s="43" t="str">
        <f t="shared" si="84"/>
        <v/>
      </c>
      <c r="AK184" s="40" t="str">
        <f>IF(AJ184="","",IF(I$8="A",(RANK(AJ184,AJ$11:AJ$349,1)+COUNTIF(AJ$11:AJ184,AJ184)-1),(RANK(AJ184,AJ$11:AJ$349)+COUNTIF(AJ$11:AJ184,AJ184)-1)))</f>
        <v/>
      </c>
      <c r="AL184" s="3" t="str">
        <f t="shared" si="85"/>
        <v/>
      </c>
      <c r="AM184" t="str">
        <f t="shared" si="86"/>
        <v/>
      </c>
      <c r="AN184" t="str">
        <f t="shared" si="87"/>
        <v/>
      </c>
      <c r="AP184" s="5" t="str">
        <f>IF(L184="","",VLOOKUP($L184,classifications!$C:$E,3,FALSE))</f>
        <v/>
      </c>
      <c r="AQ184" s="43" t="str">
        <f t="shared" si="88"/>
        <v/>
      </c>
      <c r="AR184" s="40" t="str">
        <f>IF(AQ184="","",IF(I$8="A",(RANK(AQ184,AQ$11:AQ$349,1)+COUNTIF(AQ$11:AQ184,AQ184)-1),(RANK(AQ184,AQ$11:AQ$349)+COUNTIF(AQ$11:AQ184,AQ184)-1)))</f>
        <v/>
      </c>
      <c r="AS184" s="3" t="str">
        <f t="shared" si="89"/>
        <v/>
      </c>
      <c r="AT184" s="40" t="str">
        <f t="shared" si="90"/>
        <v/>
      </c>
      <c r="AU184" s="43" t="str">
        <f t="shared" si="91"/>
        <v/>
      </c>
      <c r="AX184">
        <f>HLOOKUP($AX$9&amp;$AX$10,Data!$A$1:$ZZ$1988,(MATCH($C184,Data!$A$1:$A$1988,0)),FALSE)</f>
        <v>87.5</v>
      </c>
    </row>
    <row r="185" spans="1:50">
      <c r="A185" s="59" t="str">
        <f>$D$1&amp;175</f>
        <v>UA175</v>
      </c>
      <c r="B185" s="60">
        <f>IF(ISERROR(VLOOKUP(A185,classifications!A:C,3,FALSE)),0,VLOOKUP(A185,classifications!A:C,3,FALSE))</f>
        <v>0</v>
      </c>
      <c r="C185" t="s">
        <v>103</v>
      </c>
      <c r="D185" t="str">
        <f>VLOOKUP($C185,classifications!$C:$J,4,FALSE)</f>
        <v>SD</v>
      </c>
      <c r="E185" t="str">
        <f>VLOOKUP(C185,classifications!C:K,9,FALSE)</f>
        <v>Sparse</v>
      </c>
      <c r="F185">
        <f t="shared" si="68"/>
        <v>90.163934426229503</v>
      </c>
      <c r="G185" s="15"/>
      <c r="H185" s="42" t="str">
        <f t="shared" si="69"/>
        <v/>
      </c>
      <c r="I185" s="79" t="str">
        <f>IF(H185="","",IF($I$8="A",(RANK(H185,H$11:H$349,1)+COUNTIF(H$11:H185,H185)-1),(RANK(H185,H$11:H$349)+COUNTIF(H$11:H185,H185)-1)))</f>
        <v/>
      </c>
      <c r="J185" s="41"/>
      <c r="K185" s="36" t="str">
        <f t="shared" si="70"/>
        <v/>
      </c>
      <c r="L185" t="str">
        <f t="shared" si="71"/>
        <v/>
      </c>
      <c r="M185" s="117" t="str">
        <f t="shared" si="72"/>
        <v/>
      </c>
      <c r="N185" s="112" t="str">
        <f t="shared" si="73"/>
        <v/>
      </c>
      <c r="O185" s="96" t="str">
        <f t="shared" si="74"/>
        <v/>
      </c>
      <c r="P185" s="96" t="str">
        <f t="shared" si="75"/>
        <v/>
      </c>
      <c r="Q185" s="96" t="str">
        <f t="shared" si="76"/>
        <v/>
      </c>
      <c r="R185" s="92" t="str">
        <f t="shared" si="77"/>
        <v/>
      </c>
      <c r="S185" s="42" t="str">
        <f t="shared" si="78"/>
        <v/>
      </c>
      <c r="T185" s="176" t="str">
        <f>IF(L185="","",VLOOKUP(L185,classifications!C:K,9,FALSE))</f>
        <v/>
      </c>
      <c r="U185" s="177" t="str">
        <f t="shared" si="79"/>
        <v/>
      </c>
      <c r="V185" s="183" t="str">
        <f>IF(U185="","",IF($I$8="A",(RANK(U185,U$11:U$349)+COUNTIF(U$11:U185,U185)-1),(RANK(U185,U$11:U$349,1)+COUNTIF(U$11:U185,U185)-1)))</f>
        <v/>
      </c>
      <c r="W185" s="184"/>
      <c r="X185" s="5" t="str">
        <f>IF(L185="","",VLOOKUP($L185,classifications!$C:$J,6,FALSE))</f>
        <v/>
      </c>
      <c r="Y185" t="str">
        <f t="shared" si="80"/>
        <v/>
      </c>
      <c r="Z185" s="40" t="str">
        <f>IF(Y185="","",IF(I$8="A",(RANK(Y185,Y$11:Y$349,1)+COUNTIF(Y$11:Y185,Y185)-1),(RANK(Y185,Y$11:Y$349)+COUNTIF(Y$11:Y185,Y185)-1)))</f>
        <v/>
      </c>
      <c r="AA185" s="189" t="str">
        <f>IF(L185="","",VLOOKUP($L185,classifications!C:I,7,FALSE))</f>
        <v/>
      </c>
      <c r="AB185" s="183" t="str">
        <f t="shared" si="81"/>
        <v/>
      </c>
      <c r="AC185" s="183" t="str">
        <f>IF(AB185="","",IF($I$8="A",(RANK(AB185,AB$11:AB$349)+COUNTIF(AB$11:AB185,AB185)-1),(RANK(AB185,AB$11:AB$349,1)+COUNTIF(AB$11:AB185,AB185)-1)))</f>
        <v/>
      </c>
      <c r="AD185" s="183"/>
      <c r="AE185" s="49">
        <f>IF(I$8="A",(RANK(AG185,AG$11:AG$349,1)+COUNTIF(AG$11:AG185,AG185)-1),(RANK(AG185,AG$11:AG$349)+COUNTIF(AG$11:AG185,AG185)-1))</f>
        <v>175</v>
      </c>
      <c r="AF185" t="str">
        <f>VLOOKUP(Profile!$J$5,Families!$C:$R,6,FALSE)</f>
        <v>Herefordshire</v>
      </c>
      <c r="AG185" s="15">
        <f t="shared" si="82"/>
        <v>62.711864406779661</v>
      </c>
      <c r="AH185" s="50">
        <f t="shared" si="83"/>
        <v>175</v>
      </c>
      <c r="AI185" s="5" t="str">
        <f>IF(L185="","",VLOOKUP($L185,classifications!$C:$J,8,FALSE))</f>
        <v/>
      </c>
      <c r="AJ185" s="43" t="str">
        <f t="shared" si="84"/>
        <v/>
      </c>
      <c r="AK185" s="40" t="str">
        <f>IF(AJ185="","",IF(I$8="A",(RANK(AJ185,AJ$11:AJ$349,1)+COUNTIF(AJ$11:AJ185,AJ185)-1),(RANK(AJ185,AJ$11:AJ$349)+COUNTIF(AJ$11:AJ185,AJ185)-1)))</f>
        <v/>
      </c>
      <c r="AL185" s="3" t="str">
        <f t="shared" si="85"/>
        <v/>
      </c>
      <c r="AM185" t="str">
        <f t="shared" si="86"/>
        <v/>
      </c>
      <c r="AN185" t="str">
        <f t="shared" si="87"/>
        <v/>
      </c>
      <c r="AP185" s="5" t="str">
        <f>IF(L185="","",VLOOKUP($L185,classifications!$C:$E,3,FALSE))</f>
        <v/>
      </c>
      <c r="AQ185" s="43" t="str">
        <f t="shared" si="88"/>
        <v/>
      </c>
      <c r="AR185" s="40" t="str">
        <f>IF(AQ185="","",IF(I$8="A",(RANK(AQ185,AQ$11:AQ$349,1)+COUNTIF(AQ$11:AQ185,AQ185)-1),(RANK(AQ185,AQ$11:AQ$349)+COUNTIF(AQ$11:AQ185,AQ185)-1)))</f>
        <v/>
      </c>
      <c r="AS185" s="3" t="str">
        <f t="shared" si="89"/>
        <v/>
      </c>
      <c r="AT185" s="40" t="str">
        <f t="shared" si="90"/>
        <v/>
      </c>
      <c r="AU185" s="43" t="str">
        <f t="shared" si="91"/>
        <v/>
      </c>
      <c r="AX185">
        <f>HLOOKUP($AX$9&amp;$AX$10,Data!$A$1:$ZZ$1988,(MATCH($C185,Data!$A$1:$A$1988,0)),FALSE)</f>
        <v>90.163934426229503</v>
      </c>
    </row>
    <row r="186" spans="1:50">
      <c r="A186" s="59" t="str">
        <f>$D$1&amp;176</f>
        <v>UA176</v>
      </c>
      <c r="B186" s="60">
        <f>IF(ISERROR(VLOOKUP(A186,classifications!A:C,3,FALSE)),0,VLOOKUP(A186,classifications!A:C,3,FALSE))</f>
        <v>0</v>
      </c>
      <c r="C186" t="s">
        <v>104</v>
      </c>
      <c r="D186" t="str">
        <f>VLOOKUP($C186,classifications!$C:$J,4,FALSE)</f>
        <v>SD</v>
      </c>
      <c r="E186">
        <f>VLOOKUP(C186,classifications!C:K,9,FALSE)</f>
        <v>0</v>
      </c>
      <c r="F186">
        <f t="shared" si="68"/>
        <v>97.777777777777771</v>
      </c>
      <c r="G186" s="15"/>
      <c r="H186" s="42" t="str">
        <f t="shared" si="69"/>
        <v/>
      </c>
      <c r="I186" s="79" t="str">
        <f>IF(H186="","",IF($I$8="A",(RANK(H186,H$11:H$349,1)+COUNTIF(H$11:H186,H186)-1),(RANK(H186,H$11:H$349)+COUNTIF(H$11:H186,H186)-1)))</f>
        <v/>
      </c>
      <c r="J186" s="41"/>
      <c r="K186" s="36" t="str">
        <f t="shared" si="70"/>
        <v/>
      </c>
      <c r="L186" t="str">
        <f t="shared" si="71"/>
        <v/>
      </c>
      <c r="M186" s="117" t="str">
        <f t="shared" si="72"/>
        <v/>
      </c>
      <c r="N186" s="112" t="str">
        <f t="shared" si="73"/>
        <v/>
      </c>
      <c r="O186" s="96" t="str">
        <f t="shared" si="74"/>
        <v/>
      </c>
      <c r="P186" s="96" t="str">
        <f t="shared" si="75"/>
        <v/>
      </c>
      <c r="Q186" s="96" t="str">
        <f t="shared" si="76"/>
        <v/>
      </c>
      <c r="R186" s="92" t="str">
        <f t="shared" si="77"/>
        <v/>
      </c>
      <c r="S186" s="42" t="str">
        <f t="shared" si="78"/>
        <v/>
      </c>
      <c r="T186" s="176" t="str">
        <f>IF(L186="","",VLOOKUP(L186,classifications!C:K,9,FALSE))</f>
        <v/>
      </c>
      <c r="U186" s="177" t="str">
        <f t="shared" si="79"/>
        <v/>
      </c>
      <c r="V186" s="183" t="str">
        <f>IF(U186="","",IF($I$8="A",(RANK(U186,U$11:U$349)+COUNTIF(U$11:U186,U186)-1),(RANK(U186,U$11:U$349,1)+COUNTIF(U$11:U186,U186)-1)))</f>
        <v/>
      </c>
      <c r="W186" s="184"/>
      <c r="X186" s="5" t="str">
        <f>IF(L186="","",VLOOKUP($L186,classifications!$C:$J,6,FALSE))</f>
        <v/>
      </c>
      <c r="Y186" t="str">
        <f t="shared" si="80"/>
        <v/>
      </c>
      <c r="Z186" s="40" t="str">
        <f>IF(Y186="","",IF(I$8="A",(RANK(Y186,Y$11:Y$349,1)+COUNTIF(Y$11:Y186,Y186)-1),(RANK(Y186,Y$11:Y$349)+COUNTIF(Y$11:Y186,Y186)-1)))</f>
        <v/>
      </c>
      <c r="AA186" s="189" t="str">
        <f>IF(L186="","",VLOOKUP($L186,classifications!C:I,7,FALSE))</f>
        <v/>
      </c>
      <c r="AB186" s="183" t="str">
        <f t="shared" si="81"/>
        <v/>
      </c>
      <c r="AC186" s="183" t="str">
        <f>IF(AB186="","",IF($I$8="A",(RANK(AB186,AB$11:AB$349)+COUNTIF(AB$11:AB186,AB186)-1),(RANK(AB186,AB$11:AB$349,1)+COUNTIF(AB$11:AB186,AB186)-1)))</f>
        <v/>
      </c>
      <c r="AD186" s="183"/>
      <c r="AE186" s="49">
        <f>IF(I$8="A",(RANK(AG186,AG$11:AG$349,1)+COUNTIF(AG$11:AG186,AG186)-1),(RANK(AG186,AG$11:AG$349)+COUNTIF(AG$11:AG186,AG186)-1))</f>
        <v>176</v>
      </c>
      <c r="AF186" t="str">
        <f>VLOOKUP(Profile!$J$5,Families!$C:$R,6,FALSE)</f>
        <v>Herefordshire</v>
      </c>
      <c r="AG186" s="15">
        <f t="shared" si="82"/>
        <v>62.711864406779661</v>
      </c>
      <c r="AH186" s="50">
        <f t="shared" si="83"/>
        <v>176</v>
      </c>
      <c r="AI186" s="5" t="str">
        <f>IF(L186="","",VLOOKUP($L186,classifications!$C:$J,8,FALSE))</f>
        <v/>
      </c>
      <c r="AJ186" s="43" t="str">
        <f t="shared" si="84"/>
        <v/>
      </c>
      <c r="AK186" s="40" t="str">
        <f>IF(AJ186="","",IF(I$8="A",(RANK(AJ186,AJ$11:AJ$349,1)+COUNTIF(AJ$11:AJ186,AJ186)-1),(RANK(AJ186,AJ$11:AJ$349)+COUNTIF(AJ$11:AJ186,AJ186)-1)))</f>
        <v/>
      </c>
      <c r="AL186" s="3" t="str">
        <f t="shared" si="85"/>
        <v/>
      </c>
      <c r="AM186" t="str">
        <f t="shared" si="86"/>
        <v/>
      </c>
      <c r="AN186" t="str">
        <f t="shared" si="87"/>
        <v/>
      </c>
      <c r="AP186" s="5" t="str">
        <f>IF(L186="","",VLOOKUP($L186,classifications!$C:$E,3,FALSE))</f>
        <v/>
      </c>
      <c r="AQ186" s="43" t="str">
        <f t="shared" si="88"/>
        <v/>
      </c>
      <c r="AR186" s="40" t="str">
        <f>IF(AQ186="","",IF(I$8="A",(RANK(AQ186,AQ$11:AQ$349,1)+COUNTIF(AQ$11:AQ186,AQ186)-1),(RANK(AQ186,AQ$11:AQ$349)+COUNTIF(AQ$11:AQ186,AQ186)-1)))</f>
        <v/>
      </c>
      <c r="AS186" s="3" t="str">
        <f t="shared" si="89"/>
        <v/>
      </c>
      <c r="AT186" s="40" t="str">
        <f t="shared" si="90"/>
        <v/>
      </c>
      <c r="AU186" s="43" t="str">
        <f t="shared" si="91"/>
        <v/>
      </c>
      <c r="AX186">
        <f>HLOOKUP($AX$9&amp;$AX$10,Data!$A$1:$ZZ$1988,(MATCH($C186,Data!$A$1:$A$1988,0)),FALSE)</f>
        <v>97.777777777777771</v>
      </c>
    </row>
    <row r="187" spans="1:50">
      <c r="A187" s="59" t="str">
        <f>$D$1&amp;177</f>
        <v>UA177</v>
      </c>
      <c r="B187" s="60">
        <f>IF(ISERROR(VLOOKUP(A187,classifications!A:C,3,FALSE)),0,VLOOKUP(A187,classifications!A:C,3,FALSE))</f>
        <v>0</v>
      </c>
      <c r="C187" t="s">
        <v>274</v>
      </c>
      <c r="D187" t="str">
        <f>VLOOKUP($C187,classifications!$C:$J,4,FALSE)</f>
        <v>UA</v>
      </c>
      <c r="E187">
        <f>VLOOKUP(C187,classifications!C:K,9,FALSE)</f>
        <v>0</v>
      </c>
      <c r="F187">
        <f t="shared" si="68"/>
        <v>45.454545454545453</v>
      </c>
      <c r="G187" s="15"/>
      <c r="H187" s="42">
        <f t="shared" si="69"/>
        <v>45.454545454545453</v>
      </c>
      <c r="I187" s="79">
        <f>IF(H187="","",IF($I$8="A",(RANK(H187,H$11:H$349,1)+COUNTIF(H$11:H187,H187)-1),(RANK(H187,H$11:H$349)+COUNTIF(H$11:H187,H187)-1)))</f>
        <v>57</v>
      </c>
      <c r="J187" s="41"/>
      <c r="K187" s="36" t="str">
        <f t="shared" si="70"/>
        <v/>
      </c>
      <c r="L187" t="str">
        <f t="shared" si="71"/>
        <v/>
      </c>
      <c r="M187" s="117" t="str">
        <f t="shared" si="72"/>
        <v/>
      </c>
      <c r="N187" s="112" t="str">
        <f t="shared" si="73"/>
        <v/>
      </c>
      <c r="O187" s="96" t="str">
        <f t="shared" si="74"/>
        <v/>
      </c>
      <c r="P187" s="96" t="str">
        <f t="shared" si="75"/>
        <v/>
      </c>
      <c r="Q187" s="96" t="str">
        <f t="shared" si="76"/>
        <v/>
      </c>
      <c r="R187" s="92" t="str">
        <f t="shared" si="77"/>
        <v/>
      </c>
      <c r="S187" s="42" t="str">
        <f t="shared" si="78"/>
        <v/>
      </c>
      <c r="T187" s="176" t="str">
        <f>IF(L187="","",VLOOKUP(L187,classifications!C:K,9,FALSE))</f>
        <v/>
      </c>
      <c r="U187" s="177" t="str">
        <f t="shared" si="79"/>
        <v/>
      </c>
      <c r="V187" s="183" t="str">
        <f>IF(U187="","",IF($I$8="A",(RANK(U187,U$11:U$349)+COUNTIF(U$11:U187,U187)-1),(RANK(U187,U$11:U$349,1)+COUNTIF(U$11:U187,U187)-1)))</f>
        <v/>
      </c>
      <c r="W187" s="184"/>
      <c r="X187" s="5" t="str">
        <f>IF(L187="","",VLOOKUP($L187,classifications!$C:$J,6,FALSE))</f>
        <v/>
      </c>
      <c r="Y187" t="str">
        <f t="shared" si="80"/>
        <v/>
      </c>
      <c r="Z187" s="40" t="str">
        <f>IF(Y187="","",IF(I$8="A",(RANK(Y187,Y$11:Y$349,1)+COUNTIF(Y$11:Y187,Y187)-1),(RANK(Y187,Y$11:Y$349)+COUNTIF(Y$11:Y187,Y187)-1)))</f>
        <v/>
      </c>
      <c r="AA187" s="189" t="str">
        <f>IF(L187="","",VLOOKUP($L187,classifications!C:I,7,FALSE))</f>
        <v/>
      </c>
      <c r="AB187" s="183" t="str">
        <f t="shared" si="81"/>
        <v/>
      </c>
      <c r="AC187" s="183" t="str">
        <f>IF(AB187="","",IF($I$8="A",(RANK(AB187,AB$11:AB$349)+COUNTIF(AB$11:AB187,AB187)-1),(RANK(AB187,AB$11:AB$349,1)+COUNTIF(AB$11:AB187,AB187)-1)))</f>
        <v/>
      </c>
      <c r="AD187" s="183"/>
      <c r="AE187" s="49">
        <f>IF(I$8="A",(RANK(AG187,AG$11:AG$349,1)+COUNTIF(AG$11:AG187,AG187)-1),(RANK(AG187,AG$11:AG$349)+COUNTIF(AG$11:AG187,AG187)-1))</f>
        <v>177</v>
      </c>
      <c r="AF187" t="str">
        <f>VLOOKUP(Profile!$J$5,Families!$C:$R,6,FALSE)</f>
        <v>Herefordshire</v>
      </c>
      <c r="AG187" s="15">
        <f t="shared" si="82"/>
        <v>62.711864406779661</v>
      </c>
      <c r="AH187" s="50">
        <f t="shared" si="83"/>
        <v>177</v>
      </c>
      <c r="AI187" s="5" t="str">
        <f>IF(L187="","",VLOOKUP($L187,classifications!$C:$J,8,FALSE))</f>
        <v/>
      </c>
      <c r="AJ187" s="43" t="str">
        <f t="shared" si="84"/>
        <v/>
      </c>
      <c r="AK187" s="40" t="str">
        <f>IF(AJ187="","",IF(I$8="A",(RANK(AJ187,AJ$11:AJ$349,1)+COUNTIF(AJ$11:AJ187,AJ187)-1),(RANK(AJ187,AJ$11:AJ$349)+COUNTIF(AJ$11:AJ187,AJ187)-1)))</f>
        <v/>
      </c>
      <c r="AL187" s="3" t="str">
        <f t="shared" si="85"/>
        <v/>
      </c>
      <c r="AM187" t="str">
        <f t="shared" si="86"/>
        <v/>
      </c>
      <c r="AN187" t="str">
        <f t="shared" si="87"/>
        <v/>
      </c>
      <c r="AP187" s="5" t="str">
        <f>IF(L187="","",VLOOKUP($L187,classifications!$C:$E,3,FALSE))</f>
        <v/>
      </c>
      <c r="AQ187" s="43" t="str">
        <f t="shared" si="88"/>
        <v/>
      </c>
      <c r="AR187" s="40" t="str">
        <f>IF(AQ187="","",IF(I$8="A",(RANK(AQ187,AQ$11:AQ$349,1)+COUNTIF(AQ$11:AQ187,AQ187)-1),(RANK(AQ187,AQ$11:AQ$349)+COUNTIF(AQ$11:AQ187,AQ187)-1)))</f>
        <v/>
      </c>
      <c r="AS187" s="3" t="str">
        <f t="shared" si="89"/>
        <v/>
      </c>
      <c r="AT187" s="40" t="str">
        <f t="shared" si="90"/>
        <v/>
      </c>
      <c r="AU187" s="43" t="str">
        <f t="shared" si="91"/>
        <v/>
      </c>
      <c r="AX187">
        <f>HLOOKUP($AX$9&amp;$AX$10,Data!$A$1:$ZZ$1988,(MATCH($C187,Data!$A$1:$A$1988,0)),FALSE)</f>
        <v>45.454545454545453</v>
      </c>
    </row>
    <row r="188" spans="1:50">
      <c r="A188" s="59" t="str">
        <f>$D$1&amp;178</f>
        <v>UA178</v>
      </c>
      <c r="B188" s="60">
        <f>IF(ISERROR(VLOOKUP(A188,classifications!A:C,3,FALSE)),0,VLOOKUP(A188,classifications!A:C,3,FALSE))</f>
        <v>0</v>
      </c>
      <c r="C188" t="s">
        <v>275</v>
      </c>
      <c r="D188" t="str">
        <f>VLOOKUP($C188,classifications!$C:$J,4,FALSE)</f>
        <v>UA</v>
      </c>
      <c r="E188">
        <f>VLOOKUP(C188,classifications!C:K,9,FALSE)</f>
        <v>0</v>
      </c>
      <c r="F188">
        <f t="shared" si="68"/>
        <v>95.890410958904098</v>
      </c>
      <c r="G188" s="15"/>
      <c r="H188" s="42">
        <f t="shared" si="69"/>
        <v>95.890410958904098</v>
      </c>
      <c r="I188" s="79">
        <f>IF(H188="","",IF($I$8="A",(RANK(H188,H$11:H$349,1)+COUNTIF(H$11:H188,H188)-1),(RANK(H188,H$11:H$349)+COUNTIF(H$11:H188,H188)-1)))</f>
        <v>15</v>
      </c>
      <c r="J188" s="41"/>
      <c r="K188" s="36" t="str">
        <f t="shared" si="70"/>
        <v/>
      </c>
      <c r="L188" t="str">
        <f t="shared" si="71"/>
        <v/>
      </c>
      <c r="M188" s="117" t="str">
        <f t="shared" si="72"/>
        <v/>
      </c>
      <c r="N188" s="112" t="str">
        <f t="shared" si="73"/>
        <v/>
      </c>
      <c r="O188" s="96" t="str">
        <f t="shared" si="74"/>
        <v/>
      </c>
      <c r="P188" s="96" t="str">
        <f t="shared" si="75"/>
        <v/>
      </c>
      <c r="Q188" s="96" t="str">
        <f t="shared" si="76"/>
        <v/>
      </c>
      <c r="R188" s="92" t="str">
        <f t="shared" si="77"/>
        <v/>
      </c>
      <c r="S188" s="42" t="str">
        <f t="shared" si="78"/>
        <v/>
      </c>
      <c r="T188" s="176" t="str">
        <f>IF(L188="","",VLOOKUP(L188,classifications!C:K,9,FALSE))</f>
        <v/>
      </c>
      <c r="U188" s="177" t="str">
        <f t="shared" si="79"/>
        <v/>
      </c>
      <c r="V188" s="183" t="str">
        <f>IF(U188="","",IF($I$8="A",(RANK(U188,U$11:U$349)+COUNTIF(U$11:U188,U188)-1),(RANK(U188,U$11:U$349,1)+COUNTIF(U$11:U188,U188)-1)))</f>
        <v/>
      </c>
      <c r="W188" s="184"/>
      <c r="X188" s="5" t="str">
        <f>IF(L188="","",VLOOKUP($L188,classifications!$C:$J,6,FALSE))</f>
        <v/>
      </c>
      <c r="Y188" t="str">
        <f t="shared" si="80"/>
        <v/>
      </c>
      <c r="Z188" s="40" t="str">
        <f>IF(Y188="","",IF(I$8="A",(RANK(Y188,Y$11:Y$349,1)+COUNTIF(Y$11:Y188,Y188)-1),(RANK(Y188,Y$11:Y$349)+COUNTIF(Y$11:Y188,Y188)-1)))</f>
        <v/>
      </c>
      <c r="AA188" s="189" t="str">
        <f>IF(L188="","",VLOOKUP($L188,classifications!C:I,7,FALSE))</f>
        <v/>
      </c>
      <c r="AB188" s="183" t="str">
        <f t="shared" si="81"/>
        <v/>
      </c>
      <c r="AC188" s="183" t="str">
        <f>IF(AB188="","",IF($I$8="A",(RANK(AB188,AB$11:AB$349)+COUNTIF(AB$11:AB188,AB188)-1),(RANK(AB188,AB$11:AB$349,1)+COUNTIF(AB$11:AB188,AB188)-1)))</f>
        <v/>
      </c>
      <c r="AD188" s="183"/>
      <c r="AE188" s="49">
        <f>IF(I$8="A",(RANK(AG188,AG$11:AG$349,1)+COUNTIF(AG$11:AG188,AG188)-1),(RANK(AG188,AG$11:AG$349)+COUNTIF(AG$11:AG188,AG188)-1))</f>
        <v>178</v>
      </c>
      <c r="AF188" t="str">
        <f>VLOOKUP(Profile!$J$5,Families!$C:$R,6,FALSE)</f>
        <v>Herefordshire</v>
      </c>
      <c r="AG188" s="15">
        <f t="shared" si="82"/>
        <v>62.711864406779661</v>
      </c>
      <c r="AH188" s="50">
        <f t="shared" si="83"/>
        <v>178</v>
      </c>
      <c r="AI188" s="5" t="str">
        <f>IF(L188="","",VLOOKUP($L188,classifications!$C:$J,8,FALSE))</f>
        <v/>
      </c>
      <c r="AJ188" s="43" t="str">
        <f t="shared" si="84"/>
        <v/>
      </c>
      <c r="AK188" s="40" t="str">
        <f>IF(AJ188="","",IF(I$8="A",(RANK(AJ188,AJ$11:AJ$349,1)+COUNTIF(AJ$11:AJ188,AJ188)-1),(RANK(AJ188,AJ$11:AJ$349)+COUNTIF(AJ$11:AJ188,AJ188)-1)))</f>
        <v/>
      </c>
      <c r="AL188" s="3" t="str">
        <f t="shared" si="85"/>
        <v/>
      </c>
      <c r="AM188" t="str">
        <f t="shared" si="86"/>
        <v/>
      </c>
      <c r="AN188" t="str">
        <f t="shared" si="87"/>
        <v/>
      </c>
      <c r="AP188" s="5" t="str">
        <f>IF(L188="","",VLOOKUP($L188,classifications!$C:$E,3,FALSE))</f>
        <v/>
      </c>
      <c r="AQ188" s="43" t="str">
        <f t="shared" si="88"/>
        <v/>
      </c>
      <c r="AR188" s="40" t="str">
        <f>IF(AQ188="","",IF(I$8="A",(RANK(AQ188,AQ$11:AQ$349,1)+COUNTIF(AQ$11:AQ188,AQ188)-1),(RANK(AQ188,AQ$11:AQ$349)+COUNTIF(AQ$11:AQ188,AQ188)-1)))</f>
        <v/>
      </c>
      <c r="AS188" s="3" t="str">
        <f t="shared" si="89"/>
        <v/>
      </c>
      <c r="AT188" s="40" t="str">
        <f t="shared" si="90"/>
        <v/>
      </c>
      <c r="AU188" s="43" t="str">
        <f t="shared" si="91"/>
        <v/>
      </c>
      <c r="AX188">
        <f>HLOOKUP($AX$9&amp;$AX$10,Data!$A$1:$ZZ$1988,(MATCH($C188,Data!$A$1:$A$1988,0)),FALSE)</f>
        <v>95.890410958904098</v>
      </c>
    </row>
    <row r="189" spans="1:50">
      <c r="A189" s="59" t="str">
        <f>$D$1&amp;179</f>
        <v>UA179</v>
      </c>
      <c r="B189" s="60">
        <f>IF(ISERROR(VLOOKUP(A189,classifications!A:C,3,FALSE)),0,VLOOKUP(A189,classifications!A:C,3,FALSE))</f>
        <v>0</v>
      </c>
      <c r="C189" t="s">
        <v>105</v>
      </c>
      <c r="D189" t="str">
        <f>VLOOKUP($C189,classifications!$C:$J,4,FALSE)</f>
        <v>SD</v>
      </c>
      <c r="E189">
        <f>VLOOKUP(C189,classifications!C:K,9,FALSE)</f>
        <v>0</v>
      </c>
      <c r="F189">
        <f t="shared" si="68"/>
        <v>83.333333333333343</v>
      </c>
      <c r="G189" s="15"/>
      <c r="H189" s="42" t="str">
        <f t="shared" si="69"/>
        <v/>
      </c>
      <c r="I189" s="79" t="str">
        <f>IF(H189="","",IF($I$8="A",(RANK(H189,H$11:H$349,1)+COUNTIF(H$11:H189,H189)-1),(RANK(H189,H$11:H$349)+COUNTIF(H$11:H189,H189)-1)))</f>
        <v/>
      </c>
      <c r="J189" s="41"/>
      <c r="K189" s="36" t="str">
        <f t="shared" si="70"/>
        <v/>
      </c>
      <c r="L189" t="str">
        <f t="shared" si="71"/>
        <v/>
      </c>
      <c r="M189" s="117" t="str">
        <f t="shared" si="72"/>
        <v/>
      </c>
      <c r="N189" s="112" t="str">
        <f t="shared" si="73"/>
        <v/>
      </c>
      <c r="O189" s="96" t="str">
        <f t="shared" si="74"/>
        <v/>
      </c>
      <c r="P189" s="96" t="str">
        <f t="shared" si="75"/>
        <v/>
      </c>
      <c r="Q189" s="96" t="str">
        <f t="shared" si="76"/>
        <v/>
      </c>
      <c r="R189" s="92" t="str">
        <f t="shared" si="77"/>
        <v/>
      </c>
      <c r="S189" s="42" t="str">
        <f t="shared" si="78"/>
        <v/>
      </c>
      <c r="T189" s="176" t="str">
        <f>IF(L189="","",VLOOKUP(L189,classifications!C:K,9,FALSE))</f>
        <v/>
      </c>
      <c r="U189" s="177" t="str">
        <f t="shared" si="79"/>
        <v/>
      </c>
      <c r="V189" s="183" t="str">
        <f>IF(U189="","",IF($I$8="A",(RANK(U189,U$11:U$349)+COUNTIF(U$11:U189,U189)-1),(RANK(U189,U$11:U$349,1)+COUNTIF(U$11:U189,U189)-1)))</f>
        <v/>
      </c>
      <c r="W189" s="184"/>
      <c r="X189" s="5" t="str">
        <f>IF(L189="","",VLOOKUP($L189,classifications!$C:$J,6,FALSE))</f>
        <v/>
      </c>
      <c r="Y189" t="str">
        <f t="shared" si="80"/>
        <v/>
      </c>
      <c r="Z189" s="40" t="str">
        <f>IF(Y189="","",IF(I$8="A",(RANK(Y189,Y$11:Y$349,1)+COUNTIF(Y$11:Y189,Y189)-1),(RANK(Y189,Y$11:Y$349)+COUNTIF(Y$11:Y189,Y189)-1)))</f>
        <v/>
      </c>
      <c r="AA189" s="189" t="str">
        <f>IF(L189="","",VLOOKUP($L189,classifications!C:I,7,FALSE))</f>
        <v/>
      </c>
      <c r="AB189" s="183" t="str">
        <f t="shared" si="81"/>
        <v/>
      </c>
      <c r="AC189" s="183" t="str">
        <f>IF(AB189="","",IF($I$8="A",(RANK(AB189,AB$11:AB$349)+COUNTIF(AB$11:AB189,AB189)-1),(RANK(AB189,AB$11:AB$349,1)+COUNTIF(AB$11:AB189,AB189)-1)))</f>
        <v/>
      </c>
      <c r="AD189" s="183"/>
      <c r="AE189" s="49">
        <f>IF(I$8="A",(RANK(AG189,AG$11:AG$349,1)+COUNTIF(AG$11:AG189,AG189)-1),(RANK(AG189,AG$11:AG$349)+COUNTIF(AG$11:AG189,AG189)-1))</f>
        <v>179</v>
      </c>
      <c r="AF189" t="str">
        <f>VLOOKUP(Profile!$J$5,Families!$C:$R,6,FALSE)</f>
        <v>Herefordshire</v>
      </c>
      <c r="AG189" s="15">
        <f t="shared" si="82"/>
        <v>62.711864406779661</v>
      </c>
      <c r="AH189" s="50">
        <f t="shared" si="83"/>
        <v>179</v>
      </c>
      <c r="AI189" s="5" t="str">
        <f>IF(L189="","",VLOOKUP($L189,classifications!$C:$J,8,FALSE))</f>
        <v/>
      </c>
      <c r="AJ189" s="43" t="str">
        <f t="shared" si="84"/>
        <v/>
      </c>
      <c r="AK189" s="40" t="str">
        <f>IF(AJ189="","",IF(I$8="A",(RANK(AJ189,AJ$11:AJ$349,1)+COUNTIF(AJ$11:AJ189,AJ189)-1),(RANK(AJ189,AJ$11:AJ$349)+COUNTIF(AJ$11:AJ189,AJ189)-1)))</f>
        <v/>
      </c>
      <c r="AL189" s="3" t="str">
        <f t="shared" si="85"/>
        <v/>
      </c>
      <c r="AM189" t="str">
        <f t="shared" si="86"/>
        <v/>
      </c>
      <c r="AN189" t="str">
        <f t="shared" si="87"/>
        <v/>
      </c>
      <c r="AP189" s="5" t="str">
        <f>IF(L189="","",VLOOKUP($L189,classifications!$C:$E,3,FALSE))</f>
        <v/>
      </c>
      <c r="AQ189" s="43" t="str">
        <f t="shared" si="88"/>
        <v/>
      </c>
      <c r="AR189" s="40" t="str">
        <f>IF(AQ189="","",IF(I$8="A",(RANK(AQ189,AQ$11:AQ$349,1)+COUNTIF(AQ$11:AQ189,AQ189)-1),(RANK(AQ189,AQ$11:AQ$349)+COUNTIF(AQ$11:AQ189,AQ189)-1)))</f>
        <v/>
      </c>
      <c r="AS189" s="3" t="str">
        <f t="shared" si="89"/>
        <v/>
      </c>
      <c r="AT189" s="40" t="str">
        <f t="shared" si="90"/>
        <v/>
      </c>
      <c r="AU189" s="43" t="str">
        <f t="shared" si="91"/>
        <v/>
      </c>
      <c r="AX189">
        <f>HLOOKUP($AX$9&amp;$AX$10,Data!$A$1:$ZZ$1988,(MATCH($C189,Data!$A$1:$A$1988,0)),FALSE)</f>
        <v>83.333333333333343</v>
      </c>
    </row>
    <row r="190" spans="1:50">
      <c r="A190" s="59" t="str">
        <f>$D$1&amp;180</f>
        <v>UA180</v>
      </c>
      <c r="B190" s="60">
        <f>IF(ISERROR(VLOOKUP(A190,classifications!A:C,3,FALSE)),0,VLOOKUP(A190,classifications!A:C,3,FALSE))</f>
        <v>0</v>
      </c>
      <c r="C190" t="s">
        <v>106</v>
      </c>
      <c r="D190" t="str">
        <f>VLOOKUP($C190,classifications!$C:$J,4,FALSE)</f>
        <v>SD</v>
      </c>
      <c r="E190" t="str">
        <f>VLOOKUP(C190,classifications!C:K,9,FALSE)</f>
        <v>Sparse</v>
      </c>
      <c r="F190">
        <f t="shared" si="68"/>
        <v>100</v>
      </c>
      <c r="G190" s="15"/>
      <c r="H190" s="42" t="str">
        <f t="shared" si="69"/>
        <v/>
      </c>
      <c r="I190" s="79" t="str">
        <f>IF(H190="","",IF($I$8="A",(RANK(H190,H$11:H$349,1)+COUNTIF(H$11:H190,H190)-1),(RANK(H190,H$11:H$349)+COUNTIF(H$11:H190,H190)-1)))</f>
        <v/>
      </c>
      <c r="J190" s="41"/>
      <c r="K190" s="36" t="str">
        <f t="shared" si="70"/>
        <v/>
      </c>
      <c r="L190" t="str">
        <f t="shared" si="71"/>
        <v/>
      </c>
      <c r="M190" s="117" t="str">
        <f t="shared" si="72"/>
        <v/>
      </c>
      <c r="N190" s="112" t="str">
        <f t="shared" si="73"/>
        <v/>
      </c>
      <c r="O190" s="96" t="str">
        <f t="shared" si="74"/>
        <v/>
      </c>
      <c r="P190" s="96" t="str">
        <f t="shared" si="75"/>
        <v/>
      </c>
      <c r="Q190" s="96" t="str">
        <f t="shared" si="76"/>
        <v/>
      </c>
      <c r="R190" s="92" t="str">
        <f t="shared" si="77"/>
        <v/>
      </c>
      <c r="S190" s="42" t="str">
        <f t="shared" si="78"/>
        <v/>
      </c>
      <c r="T190" s="176" t="str">
        <f>IF(L190="","",VLOOKUP(L190,classifications!C:K,9,FALSE))</f>
        <v/>
      </c>
      <c r="U190" s="177" t="str">
        <f t="shared" si="79"/>
        <v/>
      </c>
      <c r="V190" s="183" t="str">
        <f>IF(U190="","",IF($I$8="A",(RANK(U190,U$11:U$349)+COUNTIF(U$11:U190,U190)-1),(RANK(U190,U$11:U$349,1)+COUNTIF(U$11:U190,U190)-1)))</f>
        <v/>
      </c>
      <c r="W190" s="184"/>
      <c r="X190" s="5" t="str">
        <f>IF(L190="","",VLOOKUP($L190,classifications!$C:$J,6,FALSE))</f>
        <v/>
      </c>
      <c r="Y190" t="str">
        <f t="shared" si="80"/>
        <v/>
      </c>
      <c r="Z190" s="40" t="str">
        <f>IF(Y190="","",IF(I$8="A",(RANK(Y190,Y$11:Y$349,1)+COUNTIF(Y$11:Y190,Y190)-1),(RANK(Y190,Y$11:Y$349)+COUNTIF(Y$11:Y190,Y190)-1)))</f>
        <v/>
      </c>
      <c r="AA190" s="189" t="str">
        <f>IF(L190="","",VLOOKUP($L190,classifications!C:I,7,FALSE))</f>
        <v/>
      </c>
      <c r="AB190" s="183" t="str">
        <f t="shared" si="81"/>
        <v/>
      </c>
      <c r="AC190" s="183" t="str">
        <f>IF(AB190="","",IF($I$8="A",(RANK(AB190,AB$11:AB$349)+COUNTIF(AB$11:AB190,AB190)-1),(RANK(AB190,AB$11:AB$349,1)+COUNTIF(AB$11:AB190,AB190)-1)))</f>
        <v/>
      </c>
      <c r="AD190" s="183"/>
      <c r="AE190" s="49">
        <f>IF(I$8="A",(RANK(AG190,AG$11:AG$349,1)+COUNTIF(AG$11:AG190,AG190)-1),(RANK(AG190,AG$11:AG$349)+COUNTIF(AG$11:AG190,AG190)-1))</f>
        <v>180</v>
      </c>
      <c r="AF190" t="str">
        <f>VLOOKUP(Profile!$J$5,Families!$C:$R,6,FALSE)</f>
        <v>Herefordshire</v>
      </c>
      <c r="AG190" s="15">
        <f t="shared" si="82"/>
        <v>62.711864406779661</v>
      </c>
      <c r="AH190" s="50">
        <f t="shared" si="83"/>
        <v>180</v>
      </c>
      <c r="AI190" s="5" t="str">
        <f>IF(L190="","",VLOOKUP($L190,classifications!$C:$J,8,FALSE))</f>
        <v/>
      </c>
      <c r="AJ190" s="43" t="str">
        <f t="shared" si="84"/>
        <v/>
      </c>
      <c r="AK190" s="40" t="str">
        <f>IF(AJ190="","",IF(I$8="A",(RANK(AJ190,AJ$11:AJ$349,1)+COUNTIF(AJ$11:AJ190,AJ190)-1),(RANK(AJ190,AJ$11:AJ$349)+COUNTIF(AJ$11:AJ190,AJ190)-1)))</f>
        <v/>
      </c>
      <c r="AL190" s="3" t="str">
        <f t="shared" si="85"/>
        <v/>
      </c>
      <c r="AM190" t="str">
        <f t="shared" si="86"/>
        <v/>
      </c>
      <c r="AN190" t="str">
        <f t="shared" si="87"/>
        <v/>
      </c>
      <c r="AP190" s="5" t="str">
        <f>IF(L190="","",VLOOKUP($L190,classifications!$C:$E,3,FALSE))</f>
        <v/>
      </c>
      <c r="AQ190" s="43" t="str">
        <f t="shared" si="88"/>
        <v/>
      </c>
      <c r="AR190" s="40" t="str">
        <f>IF(AQ190="","",IF(I$8="A",(RANK(AQ190,AQ$11:AQ$349,1)+COUNTIF(AQ$11:AQ190,AQ190)-1),(RANK(AQ190,AQ$11:AQ$349)+COUNTIF(AQ$11:AQ190,AQ190)-1)))</f>
        <v/>
      </c>
      <c r="AS190" s="3" t="str">
        <f t="shared" si="89"/>
        <v/>
      </c>
      <c r="AT190" s="40" t="str">
        <f t="shared" si="90"/>
        <v/>
      </c>
      <c r="AU190" s="43" t="str">
        <f t="shared" si="91"/>
        <v/>
      </c>
      <c r="AX190">
        <f>HLOOKUP($AX$9&amp;$AX$10,Data!$A$1:$ZZ$1988,(MATCH($C190,Data!$A$1:$A$1988,0)),FALSE)</f>
        <v>100</v>
      </c>
    </row>
    <row r="191" spans="1:50">
      <c r="A191" s="59" t="str">
        <f>$D$1&amp;181</f>
        <v>UA181</v>
      </c>
      <c r="B191" s="60">
        <f>IF(ISERROR(VLOOKUP(A191,classifications!A:C,3,FALSE)),0,VLOOKUP(A191,classifications!A:C,3,FALSE))</f>
        <v>0</v>
      </c>
      <c r="C191" t="s">
        <v>345</v>
      </c>
      <c r="D191" t="str">
        <f>VLOOKUP($C191,classifications!$C:$J,4,FALSE)</f>
        <v>SD</v>
      </c>
      <c r="E191">
        <f>VLOOKUP(C191,classifications!C:K,9,FALSE)</f>
        <v>0</v>
      </c>
      <c r="F191">
        <f t="shared" si="68"/>
        <v>90.163934426229503</v>
      </c>
      <c r="G191" s="15"/>
      <c r="H191" s="42" t="str">
        <f t="shared" si="69"/>
        <v/>
      </c>
      <c r="I191" s="79" t="str">
        <f>IF(H191="","",IF($I$8="A",(RANK(H191,H$11:H$349,1)+COUNTIF(H$11:H191,H191)-1),(RANK(H191,H$11:H$349)+COUNTIF(H$11:H191,H191)-1)))</f>
        <v/>
      </c>
      <c r="J191" s="41"/>
      <c r="K191" s="36" t="str">
        <f t="shared" si="70"/>
        <v/>
      </c>
      <c r="L191" t="str">
        <f t="shared" si="71"/>
        <v/>
      </c>
      <c r="M191" s="117" t="str">
        <f t="shared" si="72"/>
        <v/>
      </c>
      <c r="N191" s="112" t="str">
        <f t="shared" si="73"/>
        <v/>
      </c>
      <c r="O191" s="96" t="str">
        <f t="shared" si="74"/>
        <v/>
      </c>
      <c r="P191" s="96" t="str">
        <f t="shared" si="75"/>
        <v/>
      </c>
      <c r="Q191" s="96" t="str">
        <f t="shared" si="76"/>
        <v/>
      </c>
      <c r="R191" s="92" t="str">
        <f t="shared" si="77"/>
        <v/>
      </c>
      <c r="S191" s="42" t="str">
        <f t="shared" si="78"/>
        <v/>
      </c>
      <c r="T191" s="176" t="str">
        <f>IF(L191="","",VLOOKUP(L191,classifications!C:K,9,FALSE))</f>
        <v/>
      </c>
      <c r="U191" s="177" t="str">
        <f t="shared" si="79"/>
        <v/>
      </c>
      <c r="V191" s="183" t="str">
        <f>IF(U191="","",IF($I$8="A",(RANK(U191,U$11:U$349)+COUNTIF(U$11:U191,U191)-1),(RANK(U191,U$11:U$349,1)+COUNTIF(U$11:U191,U191)-1)))</f>
        <v/>
      </c>
      <c r="W191" s="184"/>
      <c r="X191" s="5" t="str">
        <f>IF(L191="","",VLOOKUP($L191,classifications!$C:$J,6,FALSE))</f>
        <v/>
      </c>
      <c r="Y191" t="str">
        <f t="shared" si="80"/>
        <v/>
      </c>
      <c r="Z191" s="40" t="str">
        <f>IF(Y191="","",IF(I$8="A",(RANK(Y191,Y$11:Y$349,1)+COUNTIF(Y$11:Y191,Y191)-1),(RANK(Y191,Y$11:Y$349)+COUNTIF(Y$11:Y191,Y191)-1)))</f>
        <v/>
      </c>
      <c r="AA191" s="189" t="str">
        <f>IF(L191="","",VLOOKUP($L191,classifications!C:I,7,FALSE))</f>
        <v/>
      </c>
      <c r="AB191" s="183" t="str">
        <f t="shared" si="81"/>
        <v/>
      </c>
      <c r="AC191" s="183" t="str">
        <f>IF(AB191="","",IF($I$8="A",(RANK(AB191,AB$11:AB$349)+COUNTIF(AB$11:AB191,AB191)-1),(RANK(AB191,AB$11:AB$349,1)+COUNTIF(AB$11:AB191,AB191)-1)))</f>
        <v/>
      </c>
      <c r="AD191" s="183"/>
      <c r="AE191" s="49">
        <f>IF(I$8="A",(RANK(AG191,AG$11:AG$349,1)+COUNTIF(AG$11:AG191,AG191)-1),(RANK(AG191,AG$11:AG$349)+COUNTIF(AG$11:AG191,AG191)-1))</f>
        <v>181</v>
      </c>
      <c r="AF191" t="str">
        <f>VLOOKUP(Profile!$J$5,Families!$C:$R,6,FALSE)</f>
        <v>Herefordshire</v>
      </c>
      <c r="AG191" s="15">
        <f t="shared" si="82"/>
        <v>62.711864406779661</v>
      </c>
      <c r="AH191" s="50">
        <f t="shared" si="83"/>
        <v>181</v>
      </c>
      <c r="AI191" s="5" t="str">
        <f>IF(L191="","",VLOOKUP($L191,classifications!$C:$J,8,FALSE))</f>
        <v/>
      </c>
      <c r="AJ191" s="43" t="str">
        <f t="shared" si="84"/>
        <v/>
      </c>
      <c r="AK191" s="40" t="str">
        <f>IF(AJ191="","",IF(I$8="A",(RANK(AJ191,AJ$11:AJ$349,1)+COUNTIF(AJ$11:AJ191,AJ191)-1),(RANK(AJ191,AJ$11:AJ$349)+COUNTIF(AJ$11:AJ191,AJ191)-1)))</f>
        <v/>
      </c>
      <c r="AL191" s="3" t="str">
        <f t="shared" si="85"/>
        <v/>
      </c>
      <c r="AM191" t="str">
        <f t="shared" si="86"/>
        <v/>
      </c>
      <c r="AN191" t="str">
        <f t="shared" si="87"/>
        <v/>
      </c>
      <c r="AP191" s="5" t="str">
        <f>IF(L191="","",VLOOKUP($L191,classifications!$C:$E,3,FALSE))</f>
        <v/>
      </c>
      <c r="AQ191" s="43" t="str">
        <f t="shared" si="88"/>
        <v/>
      </c>
      <c r="AR191" s="40" t="str">
        <f>IF(AQ191="","",IF(I$8="A",(RANK(AQ191,AQ$11:AQ$349,1)+COUNTIF(AQ$11:AQ191,AQ191)-1),(RANK(AQ191,AQ$11:AQ$349)+COUNTIF(AQ$11:AQ191,AQ191)-1)))</f>
        <v/>
      </c>
      <c r="AS191" s="3" t="str">
        <f t="shared" si="89"/>
        <v/>
      </c>
      <c r="AT191" s="40" t="str">
        <f t="shared" si="90"/>
        <v/>
      </c>
      <c r="AU191" s="43" t="str">
        <f t="shared" si="91"/>
        <v/>
      </c>
      <c r="AX191">
        <f>HLOOKUP($AX$9&amp;$AX$10,Data!$A$1:$ZZ$1988,(MATCH($C191,Data!$A$1:$A$1988,0)),FALSE)</f>
        <v>90.163934426229503</v>
      </c>
    </row>
    <row r="192" spans="1:50">
      <c r="A192" s="59" t="str">
        <f>$D$1&amp;182</f>
        <v>UA182</v>
      </c>
      <c r="B192" s="60">
        <f>IF(ISERROR(VLOOKUP(A192,classifications!A:C,3,FALSE)),0,VLOOKUP(A192,classifications!A:C,3,FALSE))</f>
        <v>0</v>
      </c>
      <c r="C192" t="s">
        <v>237</v>
      </c>
      <c r="D192" t="str">
        <f>VLOOKUP($C192,classifications!$C:$J,4,FALSE)</f>
        <v>MD</v>
      </c>
      <c r="E192">
        <f>VLOOKUP(C192,classifications!C:K,9,FALSE)</f>
        <v>0</v>
      </c>
      <c r="F192">
        <f t="shared" si="68"/>
        <v>82.926829268292678</v>
      </c>
      <c r="G192" s="15"/>
      <c r="H192" s="42" t="str">
        <f t="shared" si="69"/>
        <v/>
      </c>
      <c r="I192" s="79" t="str">
        <f>IF(H192="","",IF($I$8="A",(RANK(H192,H$11:H$349,1)+COUNTIF(H$11:H192,H192)-1),(RANK(H192,H$11:H$349)+COUNTIF(H$11:H192,H192)-1)))</f>
        <v/>
      </c>
      <c r="J192" s="41"/>
      <c r="K192" s="36" t="str">
        <f t="shared" si="70"/>
        <v/>
      </c>
      <c r="L192" t="str">
        <f t="shared" si="71"/>
        <v/>
      </c>
      <c r="M192" s="117" t="str">
        <f t="shared" si="72"/>
        <v/>
      </c>
      <c r="N192" s="112" t="str">
        <f t="shared" si="73"/>
        <v/>
      </c>
      <c r="O192" s="96" t="str">
        <f t="shared" si="74"/>
        <v/>
      </c>
      <c r="P192" s="96" t="str">
        <f t="shared" si="75"/>
        <v/>
      </c>
      <c r="Q192" s="96" t="str">
        <f t="shared" si="76"/>
        <v/>
      </c>
      <c r="R192" s="92" t="str">
        <f t="shared" si="77"/>
        <v/>
      </c>
      <c r="S192" s="42" t="str">
        <f t="shared" si="78"/>
        <v/>
      </c>
      <c r="T192" s="176" t="str">
        <f>IF(L192="","",VLOOKUP(L192,classifications!C:K,9,FALSE))</f>
        <v/>
      </c>
      <c r="U192" s="177" t="str">
        <f t="shared" si="79"/>
        <v/>
      </c>
      <c r="V192" s="183" t="str">
        <f>IF(U192="","",IF($I$8="A",(RANK(U192,U$11:U$349)+COUNTIF(U$11:U192,U192)-1),(RANK(U192,U$11:U$349,1)+COUNTIF(U$11:U192,U192)-1)))</f>
        <v/>
      </c>
      <c r="W192" s="184"/>
      <c r="X192" s="5" t="str">
        <f>IF(L192="","",VLOOKUP($L192,classifications!$C:$J,6,FALSE))</f>
        <v/>
      </c>
      <c r="Y192" t="str">
        <f t="shared" si="80"/>
        <v/>
      </c>
      <c r="Z192" s="40" t="str">
        <f>IF(Y192="","",IF(I$8="A",(RANK(Y192,Y$11:Y$349,1)+COUNTIF(Y$11:Y192,Y192)-1),(RANK(Y192,Y$11:Y$349)+COUNTIF(Y$11:Y192,Y192)-1)))</f>
        <v/>
      </c>
      <c r="AA192" s="189" t="str">
        <f>IF(L192="","",VLOOKUP($L192,classifications!C:I,7,FALSE))</f>
        <v/>
      </c>
      <c r="AB192" s="183" t="str">
        <f t="shared" si="81"/>
        <v/>
      </c>
      <c r="AC192" s="183" t="str">
        <f>IF(AB192="","",IF($I$8="A",(RANK(AB192,AB$11:AB$349)+COUNTIF(AB$11:AB192,AB192)-1),(RANK(AB192,AB$11:AB$349,1)+COUNTIF(AB$11:AB192,AB192)-1)))</f>
        <v/>
      </c>
      <c r="AD192" s="183"/>
      <c r="AE192" s="49">
        <f>IF(I$8="A",(RANK(AG192,AG$11:AG$349,1)+COUNTIF(AG$11:AG192,AG192)-1),(RANK(AG192,AG$11:AG$349)+COUNTIF(AG$11:AG192,AG192)-1))</f>
        <v>182</v>
      </c>
      <c r="AF192" t="str">
        <f>VLOOKUP(Profile!$J$5,Families!$C:$R,6,FALSE)</f>
        <v>Herefordshire</v>
      </c>
      <c r="AG192" s="15">
        <f t="shared" si="82"/>
        <v>62.711864406779661</v>
      </c>
      <c r="AH192" s="50">
        <f t="shared" si="83"/>
        <v>182</v>
      </c>
      <c r="AI192" s="5" t="str">
        <f>IF(L192="","",VLOOKUP($L192,classifications!$C:$J,8,FALSE))</f>
        <v/>
      </c>
      <c r="AJ192" s="43" t="str">
        <f t="shared" si="84"/>
        <v/>
      </c>
      <c r="AK192" s="40" t="str">
        <f>IF(AJ192="","",IF(I$8="A",(RANK(AJ192,AJ$11:AJ$349,1)+COUNTIF(AJ$11:AJ192,AJ192)-1),(RANK(AJ192,AJ$11:AJ$349)+COUNTIF(AJ$11:AJ192,AJ192)-1)))</f>
        <v/>
      </c>
      <c r="AL192" s="3" t="str">
        <f t="shared" si="85"/>
        <v/>
      </c>
      <c r="AM192" t="str">
        <f t="shared" si="86"/>
        <v/>
      </c>
      <c r="AN192" t="str">
        <f t="shared" si="87"/>
        <v/>
      </c>
      <c r="AP192" s="5" t="str">
        <f>IF(L192="","",VLOOKUP($L192,classifications!$C:$E,3,FALSE))</f>
        <v/>
      </c>
      <c r="AQ192" s="43" t="str">
        <f t="shared" si="88"/>
        <v/>
      </c>
      <c r="AR192" s="40" t="str">
        <f>IF(AQ192="","",IF(I$8="A",(RANK(AQ192,AQ$11:AQ$349,1)+COUNTIF(AQ$11:AQ192,AQ192)-1),(RANK(AQ192,AQ$11:AQ$349)+COUNTIF(AQ$11:AQ192,AQ192)-1)))</f>
        <v/>
      </c>
      <c r="AS192" s="3" t="str">
        <f t="shared" si="89"/>
        <v/>
      </c>
      <c r="AT192" s="40" t="str">
        <f t="shared" si="90"/>
        <v/>
      </c>
      <c r="AU192" s="43" t="str">
        <f t="shared" si="91"/>
        <v/>
      </c>
      <c r="AX192">
        <f>HLOOKUP($AX$9&amp;$AX$10,Data!$A$1:$ZZ$1988,(MATCH($C192,Data!$A$1:$A$1988,0)),FALSE)</f>
        <v>82.926829268292678</v>
      </c>
    </row>
    <row r="193" spans="1:50">
      <c r="A193" s="59" t="str">
        <f>$D$1&amp;183</f>
        <v>UA183</v>
      </c>
      <c r="B193" s="60">
        <f>IF(ISERROR(VLOOKUP(A193,classifications!A:C,3,FALSE)),0,VLOOKUP(A193,classifications!A:C,3,FALSE))</f>
        <v>0</v>
      </c>
      <c r="C193" t="s">
        <v>107</v>
      </c>
      <c r="D193" t="str">
        <f>VLOOKUP($C193,classifications!$C:$J,4,FALSE)</f>
        <v>SD</v>
      </c>
      <c r="E193">
        <f>VLOOKUP(C193,classifications!C:K,9,FALSE)</f>
        <v>0</v>
      </c>
      <c r="F193">
        <f t="shared" si="68"/>
        <v>96</v>
      </c>
      <c r="G193" s="15"/>
      <c r="H193" s="42" t="str">
        <f t="shared" si="69"/>
        <v/>
      </c>
      <c r="I193" s="79" t="str">
        <f>IF(H193="","",IF($I$8="A",(RANK(H193,H$11:H$349,1)+COUNTIF(H$11:H193,H193)-1),(RANK(H193,H$11:H$349)+COUNTIF(H$11:H193,H193)-1)))</f>
        <v/>
      </c>
      <c r="J193" s="41"/>
      <c r="K193" s="36" t="str">
        <f t="shared" si="70"/>
        <v/>
      </c>
      <c r="L193" t="str">
        <f t="shared" si="71"/>
        <v/>
      </c>
      <c r="M193" s="117" t="str">
        <f t="shared" si="72"/>
        <v/>
      </c>
      <c r="N193" s="112" t="str">
        <f t="shared" si="73"/>
        <v/>
      </c>
      <c r="O193" s="96" t="str">
        <f t="shared" si="74"/>
        <v/>
      </c>
      <c r="P193" s="96" t="str">
        <f t="shared" si="75"/>
        <v/>
      </c>
      <c r="Q193" s="96" t="str">
        <f t="shared" si="76"/>
        <v/>
      </c>
      <c r="R193" s="92" t="str">
        <f t="shared" si="77"/>
        <v/>
      </c>
      <c r="S193" s="42" t="str">
        <f t="shared" si="78"/>
        <v/>
      </c>
      <c r="T193" s="176" t="str">
        <f>IF(L193="","",VLOOKUP(L193,classifications!C:K,9,FALSE))</f>
        <v/>
      </c>
      <c r="U193" s="177" t="str">
        <f t="shared" si="79"/>
        <v/>
      </c>
      <c r="V193" s="183" t="str">
        <f>IF(U193="","",IF($I$8="A",(RANK(U193,U$11:U$349)+COUNTIF(U$11:U193,U193)-1),(RANK(U193,U$11:U$349,1)+COUNTIF(U$11:U193,U193)-1)))</f>
        <v/>
      </c>
      <c r="W193" s="184"/>
      <c r="X193" s="5" t="str">
        <f>IF(L193="","",VLOOKUP($L193,classifications!$C:$J,6,FALSE))</f>
        <v/>
      </c>
      <c r="Y193" t="str">
        <f t="shared" si="80"/>
        <v/>
      </c>
      <c r="Z193" s="40" t="str">
        <f>IF(Y193="","",IF(I$8="A",(RANK(Y193,Y$11:Y$349,1)+COUNTIF(Y$11:Y193,Y193)-1),(RANK(Y193,Y$11:Y$349)+COUNTIF(Y$11:Y193,Y193)-1)))</f>
        <v/>
      </c>
      <c r="AA193" s="189" t="str">
        <f>IF(L193="","",VLOOKUP($L193,classifications!C:I,7,FALSE))</f>
        <v/>
      </c>
      <c r="AB193" s="183" t="str">
        <f t="shared" si="81"/>
        <v/>
      </c>
      <c r="AC193" s="183" t="str">
        <f>IF(AB193="","",IF($I$8="A",(RANK(AB193,AB$11:AB$349)+COUNTIF(AB$11:AB193,AB193)-1),(RANK(AB193,AB$11:AB$349,1)+COUNTIF(AB$11:AB193,AB193)-1)))</f>
        <v/>
      </c>
      <c r="AD193" s="183"/>
      <c r="AE193" s="49">
        <f>IF(I$8="A",(RANK(AG193,AG$11:AG$349,1)+COUNTIF(AG$11:AG193,AG193)-1),(RANK(AG193,AG$11:AG$349)+COUNTIF(AG$11:AG193,AG193)-1))</f>
        <v>183</v>
      </c>
      <c r="AF193" t="str">
        <f>VLOOKUP(Profile!$J$5,Families!$C:$R,6,FALSE)</f>
        <v>Herefordshire</v>
      </c>
      <c r="AG193" s="15">
        <f t="shared" si="82"/>
        <v>62.711864406779661</v>
      </c>
      <c r="AH193" s="50">
        <f t="shared" si="83"/>
        <v>183</v>
      </c>
      <c r="AI193" s="5" t="str">
        <f>IF(L193="","",VLOOKUP($L193,classifications!$C:$J,8,FALSE))</f>
        <v/>
      </c>
      <c r="AJ193" s="43" t="str">
        <f t="shared" si="84"/>
        <v/>
      </c>
      <c r="AK193" s="40" t="str">
        <f>IF(AJ193="","",IF(I$8="A",(RANK(AJ193,AJ$11:AJ$349,1)+COUNTIF(AJ$11:AJ193,AJ193)-1),(RANK(AJ193,AJ$11:AJ$349)+COUNTIF(AJ$11:AJ193,AJ193)-1)))</f>
        <v/>
      </c>
      <c r="AL193" s="3" t="str">
        <f t="shared" si="85"/>
        <v/>
      </c>
      <c r="AM193" t="str">
        <f t="shared" si="86"/>
        <v/>
      </c>
      <c r="AN193" t="str">
        <f t="shared" si="87"/>
        <v/>
      </c>
      <c r="AP193" s="5" t="str">
        <f>IF(L193="","",VLOOKUP($L193,classifications!$C:$E,3,FALSE))</f>
        <v/>
      </c>
      <c r="AQ193" s="43" t="str">
        <f t="shared" si="88"/>
        <v/>
      </c>
      <c r="AR193" s="40" t="str">
        <f>IF(AQ193="","",IF(I$8="A",(RANK(AQ193,AQ$11:AQ$349,1)+COUNTIF(AQ$11:AQ193,AQ193)-1),(RANK(AQ193,AQ$11:AQ$349)+COUNTIF(AQ$11:AQ193,AQ193)-1)))</f>
        <v/>
      </c>
      <c r="AS193" s="3" t="str">
        <f t="shared" si="89"/>
        <v/>
      </c>
      <c r="AT193" s="40" t="str">
        <f t="shared" si="90"/>
        <v/>
      </c>
      <c r="AU193" s="43" t="str">
        <f t="shared" si="91"/>
        <v/>
      </c>
      <c r="AX193">
        <f>HLOOKUP($AX$9&amp;$AX$10,Data!$A$1:$ZZ$1988,(MATCH($C193,Data!$A$1:$A$1988,0)),FALSE)</f>
        <v>96</v>
      </c>
    </row>
    <row r="194" spans="1:50">
      <c r="A194" s="59" t="str">
        <f>$D$1&amp;184</f>
        <v>UA184</v>
      </c>
      <c r="B194" s="60">
        <f>IF(ISERROR(VLOOKUP(A194,classifications!A:C,3,FALSE)),0,VLOOKUP(A194,classifications!A:C,3,FALSE))</f>
        <v>0</v>
      </c>
      <c r="C194" t="s">
        <v>215</v>
      </c>
      <c r="D194" t="str">
        <f>VLOOKUP($C194,classifications!$C:$J,4,FALSE)</f>
        <v>L</v>
      </c>
      <c r="E194">
        <f>VLOOKUP(C194,classifications!C:K,9,FALSE)</f>
        <v>0</v>
      </c>
      <c r="F194">
        <f t="shared" si="68"/>
        <v>100</v>
      </c>
      <c r="G194" s="15"/>
      <c r="H194" s="42" t="str">
        <f t="shared" si="69"/>
        <v/>
      </c>
      <c r="I194" s="79" t="str">
        <f>IF(H194="","",IF($I$8="A",(RANK(H194,H$11:H$349,1)+COUNTIF(H$11:H194,H194)-1),(RANK(H194,H$11:H$349)+COUNTIF(H$11:H194,H194)-1)))</f>
        <v/>
      </c>
      <c r="J194" s="41"/>
      <c r="K194" s="36" t="str">
        <f t="shared" si="70"/>
        <v/>
      </c>
      <c r="L194" t="str">
        <f t="shared" si="71"/>
        <v/>
      </c>
      <c r="M194" s="117" t="str">
        <f t="shared" si="72"/>
        <v/>
      </c>
      <c r="N194" s="112" t="str">
        <f t="shared" si="73"/>
        <v/>
      </c>
      <c r="O194" s="96" t="str">
        <f t="shared" si="74"/>
        <v/>
      </c>
      <c r="P194" s="96" t="str">
        <f t="shared" si="75"/>
        <v/>
      </c>
      <c r="Q194" s="96" t="str">
        <f t="shared" si="76"/>
        <v/>
      </c>
      <c r="R194" s="92" t="str">
        <f t="shared" si="77"/>
        <v/>
      </c>
      <c r="S194" s="42" t="str">
        <f t="shared" si="78"/>
        <v/>
      </c>
      <c r="T194" s="176" t="str">
        <f>IF(L194="","",VLOOKUP(L194,classifications!C:K,9,FALSE))</f>
        <v/>
      </c>
      <c r="U194" s="177" t="str">
        <f t="shared" si="79"/>
        <v/>
      </c>
      <c r="V194" s="183" t="str">
        <f>IF(U194="","",IF($I$8="A",(RANK(U194,U$11:U$349)+COUNTIF(U$11:U194,U194)-1),(RANK(U194,U$11:U$349,1)+COUNTIF(U$11:U194,U194)-1)))</f>
        <v/>
      </c>
      <c r="W194" s="184"/>
      <c r="X194" s="5" t="str">
        <f>IF(L194="","",VLOOKUP($L194,classifications!$C:$J,6,FALSE))</f>
        <v/>
      </c>
      <c r="Y194" t="str">
        <f t="shared" si="80"/>
        <v/>
      </c>
      <c r="Z194" s="40" t="str">
        <f>IF(Y194="","",IF(I$8="A",(RANK(Y194,Y$11:Y$349,1)+COUNTIF(Y$11:Y194,Y194)-1),(RANK(Y194,Y$11:Y$349)+COUNTIF(Y$11:Y194,Y194)-1)))</f>
        <v/>
      </c>
      <c r="AA194" s="189" t="str">
        <f>IF(L194="","",VLOOKUP($L194,classifications!C:I,7,FALSE))</f>
        <v/>
      </c>
      <c r="AB194" s="183" t="str">
        <f t="shared" si="81"/>
        <v/>
      </c>
      <c r="AC194" s="183" t="str">
        <f>IF(AB194="","",IF($I$8="A",(RANK(AB194,AB$11:AB$349)+COUNTIF(AB$11:AB194,AB194)-1),(RANK(AB194,AB$11:AB$349,1)+COUNTIF(AB$11:AB194,AB194)-1)))</f>
        <v/>
      </c>
      <c r="AD194" s="183"/>
      <c r="AE194" s="49">
        <f>IF(I$8="A",(RANK(AG194,AG$11:AG$349,1)+COUNTIF(AG$11:AG194,AG194)-1),(RANK(AG194,AG$11:AG$349)+COUNTIF(AG$11:AG194,AG194)-1))</f>
        <v>184</v>
      </c>
      <c r="AF194" t="str">
        <f>VLOOKUP(Profile!$J$5,Families!$C:$R,6,FALSE)</f>
        <v>Herefordshire</v>
      </c>
      <c r="AG194" s="15">
        <f t="shared" si="82"/>
        <v>62.711864406779661</v>
      </c>
      <c r="AH194" s="50">
        <f t="shared" si="83"/>
        <v>184</v>
      </c>
      <c r="AI194" s="5" t="str">
        <f>IF(L194="","",VLOOKUP($L194,classifications!$C:$J,8,FALSE))</f>
        <v/>
      </c>
      <c r="AJ194" s="43" t="str">
        <f t="shared" si="84"/>
        <v/>
      </c>
      <c r="AK194" s="40" t="str">
        <f>IF(AJ194="","",IF(I$8="A",(RANK(AJ194,AJ$11:AJ$349,1)+COUNTIF(AJ$11:AJ194,AJ194)-1),(RANK(AJ194,AJ$11:AJ$349)+COUNTIF(AJ$11:AJ194,AJ194)-1)))</f>
        <v/>
      </c>
      <c r="AL194" s="3" t="str">
        <f t="shared" si="85"/>
        <v/>
      </c>
      <c r="AM194" t="str">
        <f t="shared" si="86"/>
        <v/>
      </c>
      <c r="AN194" t="str">
        <f t="shared" si="87"/>
        <v/>
      </c>
      <c r="AP194" s="5" t="str">
        <f>IF(L194="","",VLOOKUP($L194,classifications!$C:$E,3,FALSE))</f>
        <v/>
      </c>
      <c r="AQ194" s="43" t="str">
        <f t="shared" si="88"/>
        <v/>
      </c>
      <c r="AR194" s="40" t="str">
        <f>IF(AQ194="","",IF(I$8="A",(RANK(AQ194,AQ$11:AQ$349,1)+COUNTIF(AQ$11:AQ194,AQ194)-1),(RANK(AQ194,AQ$11:AQ$349)+COUNTIF(AQ$11:AQ194,AQ194)-1)))</f>
        <v/>
      </c>
      <c r="AS194" s="3" t="str">
        <f t="shared" si="89"/>
        <v/>
      </c>
      <c r="AT194" s="40" t="str">
        <f t="shared" si="90"/>
        <v/>
      </c>
      <c r="AU194" s="43" t="str">
        <f t="shared" si="91"/>
        <v/>
      </c>
      <c r="AX194">
        <f>HLOOKUP($AX$9&amp;$AX$10,Data!$A$1:$ZZ$1988,(MATCH($C194,Data!$A$1:$A$1988,0)),FALSE)</f>
        <v>100</v>
      </c>
    </row>
    <row r="195" spans="1:50">
      <c r="A195" s="59" t="str">
        <f>$D$1&amp;185</f>
        <v>UA185</v>
      </c>
      <c r="B195" s="60">
        <f>IF(ISERROR(VLOOKUP(A195,classifications!A:C,3,FALSE)),0,VLOOKUP(A195,classifications!A:C,3,FALSE))</f>
        <v>0</v>
      </c>
      <c r="C195" t="s">
        <v>319</v>
      </c>
      <c r="D195" t="str">
        <f>VLOOKUP($C195,classifications!$C:$J,4,FALSE)</f>
        <v>SC</v>
      </c>
      <c r="E195" t="str">
        <f>VLOOKUP(C195,classifications!C:K,9,FALSE)</f>
        <v>Sparse</v>
      </c>
      <c r="F195" t="e">
        <f t="shared" si="68"/>
        <v>#N/A</v>
      </c>
      <c r="G195" s="15"/>
      <c r="H195" s="42" t="str">
        <f t="shared" si="69"/>
        <v/>
      </c>
      <c r="I195" s="79" t="str">
        <f>IF(H195="","",IF($I$8="A",(RANK(H195,H$11:H$349,1)+COUNTIF(H$11:H195,H195)-1),(RANK(H195,H$11:H$349)+COUNTIF(H$11:H195,H195)-1)))</f>
        <v/>
      </c>
      <c r="J195" s="41"/>
      <c r="K195" s="36" t="str">
        <f t="shared" si="70"/>
        <v/>
      </c>
      <c r="L195" t="str">
        <f t="shared" si="71"/>
        <v/>
      </c>
      <c r="M195" s="117" t="str">
        <f t="shared" si="72"/>
        <v/>
      </c>
      <c r="N195" s="112" t="str">
        <f t="shared" si="73"/>
        <v/>
      </c>
      <c r="O195" s="96" t="str">
        <f t="shared" si="74"/>
        <v/>
      </c>
      <c r="P195" s="96" t="str">
        <f t="shared" si="75"/>
        <v/>
      </c>
      <c r="Q195" s="96" t="str">
        <f t="shared" si="76"/>
        <v/>
      </c>
      <c r="R195" s="92" t="str">
        <f t="shared" si="77"/>
        <v/>
      </c>
      <c r="S195" s="42" t="str">
        <f t="shared" si="78"/>
        <v/>
      </c>
      <c r="T195" s="176" t="str">
        <f>IF(L195="","",VLOOKUP(L195,classifications!C:K,9,FALSE))</f>
        <v/>
      </c>
      <c r="U195" s="177" t="str">
        <f t="shared" si="79"/>
        <v/>
      </c>
      <c r="V195" s="183" t="str">
        <f>IF(U195="","",IF($I$8="A",(RANK(U195,U$11:U$349)+COUNTIF(U$11:U195,U195)-1),(RANK(U195,U$11:U$349,1)+COUNTIF(U$11:U195,U195)-1)))</f>
        <v/>
      </c>
      <c r="W195" s="184"/>
      <c r="X195" s="5" t="str">
        <f>IF(L195="","",VLOOKUP($L195,classifications!$C:$J,6,FALSE))</f>
        <v/>
      </c>
      <c r="Y195" t="str">
        <f t="shared" si="80"/>
        <v/>
      </c>
      <c r="Z195" s="40" t="str">
        <f>IF(Y195="","",IF(I$8="A",(RANK(Y195,Y$11:Y$349,1)+COUNTIF(Y$11:Y195,Y195)-1),(RANK(Y195,Y$11:Y$349)+COUNTIF(Y$11:Y195,Y195)-1)))</f>
        <v/>
      </c>
      <c r="AA195" s="189" t="str">
        <f>IF(L195="","",VLOOKUP($L195,classifications!C:I,7,FALSE))</f>
        <v/>
      </c>
      <c r="AB195" s="183" t="str">
        <f t="shared" si="81"/>
        <v/>
      </c>
      <c r="AC195" s="183" t="str">
        <f>IF(AB195="","",IF($I$8="A",(RANK(AB195,AB$11:AB$349)+COUNTIF(AB$11:AB195,AB195)-1),(RANK(AB195,AB$11:AB$349,1)+COUNTIF(AB$11:AB195,AB195)-1)))</f>
        <v/>
      </c>
      <c r="AD195" s="183"/>
      <c r="AE195" s="49">
        <f>IF(I$8="A",(RANK(AG195,AG$11:AG$349,1)+COUNTIF(AG$11:AG195,AG195)-1),(RANK(AG195,AG$11:AG$349)+COUNTIF(AG$11:AG195,AG195)-1))</f>
        <v>185</v>
      </c>
      <c r="AF195" t="str">
        <f>VLOOKUP(Profile!$J$5,Families!$C:$R,6,FALSE)</f>
        <v>Herefordshire</v>
      </c>
      <c r="AG195" s="15">
        <f t="shared" si="82"/>
        <v>62.711864406779661</v>
      </c>
      <c r="AH195" s="50">
        <f t="shared" si="83"/>
        <v>185</v>
      </c>
      <c r="AI195" s="5" t="str">
        <f>IF(L195="","",VLOOKUP($L195,classifications!$C:$J,8,FALSE))</f>
        <v/>
      </c>
      <c r="AJ195" s="43" t="str">
        <f t="shared" si="84"/>
        <v/>
      </c>
      <c r="AK195" s="40" t="str">
        <f>IF(AJ195="","",IF(I$8="A",(RANK(AJ195,AJ$11:AJ$349,1)+COUNTIF(AJ$11:AJ195,AJ195)-1),(RANK(AJ195,AJ$11:AJ$349)+COUNTIF(AJ$11:AJ195,AJ195)-1)))</f>
        <v/>
      </c>
      <c r="AL195" s="3" t="str">
        <f t="shared" si="85"/>
        <v/>
      </c>
      <c r="AM195" t="str">
        <f t="shared" si="86"/>
        <v/>
      </c>
      <c r="AN195" t="str">
        <f t="shared" si="87"/>
        <v/>
      </c>
      <c r="AP195" s="5" t="str">
        <f>IF(L195="","",VLOOKUP($L195,classifications!$C:$E,3,FALSE))</f>
        <v/>
      </c>
      <c r="AQ195" s="43" t="str">
        <f t="shared" si="88"/>
        <v/>
      </c>
      <c r="AR195" s="40" t="str">
        <f>IF(AQ195="","",IF(I$8="A",(RANK(AQ195,AQ$11:AQ$349,1)+COUNTIF(AQ$11:AQ195,AQ195)-1),(RANK(AQ195,AQ$11:AQ$349)+COUNTIF(AQ$11:AQ195,AQ195)-1)))</f>
        <v/>
      </c>
      <c r="AS195" s="3" t="str">
        <f t="shared" si="89"/>
        <v/>
      </c>
      <c r="AT195" s="40" t="str">
        <f t="shared" si="90"/>
        <v/>
      </c>
      <c r="AU195" s="43" t="str">
        <f t="shared" si="91"/>
        <v/>
      </c>
      <c r="AX195" t="e">
        <f>HLOOKUP($AX$9&amp;$AX$10,Data!$A$1:$ZZ$1988,(MATCH($C195,Data!$A$1:$A$1988,0)),FALSE)</f>
        <v>#N/A</v>
      </c>
    </row>
    <row r="196" spans="1:50">
      <c r="A196" s="59" t="str">
        <f>$D$1&amp;186</f>
        <v>UA186</v>
      </c>
      <c r="B196" s="60">
        <f>IF(ISERROR(VLOOKUP(A196,classifications!A:C,3,FALSE)),0,VLOOKUP(A196,classifications!A:C,3,FALSE))</f>
        <v>0</v>
      </c>
      <c r="C196" t="s">
        <v>108</v>
      </c>
      <c r="D196" t="str">
        <f>VLOOKUP($C196,classifications!$C:$J,4,FALSE)</f>
        <v>SD</v>
      </c>
      <c r="E196" t="str">
        <f>VLOOKUP(C196,classifications!C:K,9,FALSE)</f>
        <v>Sparse</v>
      </c>
      <c r="F196">
        <f t="shared" si="68"/>
        <v>85.714285714285708</v>
      </c>
      <c r="G196" s="15"/>
      <c r="H196" s="42" t="str">
        <f t="shared" si="69"/>
        <v/>
      </c>
      <c r="I196" s="79" t="str">
        <f>IF(H196="","",IF($I$8="A",(RANK(H196,H$11:H$349,1)+COUNTIF(H$11:H196,H196)-1),(RANK(H196,H$11:H$349)+COUNTIF(H$11:H196,H196)-1)))</f>
        <v/>
      </c>
      <c r="J196" s="41"/>
      <c r="K196" s="36" t="str">
        <f t="shared" si="70"/>
        <v/>
      </c>
      <c r="L196" t="str">
        <f t="shared" si="71"/>
        <v/>
      </c>
      <c r="M196" s="117" t="str">
        <f t="shared" si="72"/>
        <v/>
      </c>
      <c r="N196" s="112" t="str">
        <f t="shared" si="73"/>
        <v/>
      </c>
      <c r="O196" s="96" t="str">
        <f t="shared" si="74"/>
        <v/>
      </c>
      <c r="P196" s="96" t="str">
        <f t="shared" si="75"/>
        <v/>
      </c>
      <c r="Q196" s="96" t="str">
        <f t="shared" si="76"/>
        <v/>
      </c>
      <c r="R196" s="92" t="str">
        <f t="shared" si="77"/>
        <v/>
      </c>
      <c r="S196" s="42" t="str">
        <f t="shared" si="78"/>
        <v/>
      </c>
      <c r="T196" s="176" t="str">
        <f>IF(L196="","",VLOOKUP(L196,classifications!C:K,9,FALSE))</f>
        <v/>
      </c>
      <c r="U196" s="177" t="str">
        <f t="shared" si="79"/>
        <v/>
      </c>
      <c r="V196" s="183" t="str">
        <f>IF(U196="","",IF($I$8="A",(RANK(U196,U$11:U$349)+COUNTIF(U$11:U196,U196)-1),(RANK(U196,U$11:U$349,1)+COUNTIF(U$11:U196,U196)-1)))</f>
        <v/>
      </c>
      <c r="W196" s="184"/>
      <c r="X196" s="5" t="str">
        <f>IF(L196="","",VLOOKUP($L196,classifications!$C:$J,6,FALSE))</f>
        <v/>
      </c>
      <c r="Y196" t="str">
        <f t="shared" si="80"/>
        <v/>
      </c>
      <c r="Z196" s="40" t="str">
        <f>IF(Y196="","",IF(I$8="A",(RANK(Y196,Y$11:Y$349,1)+COUNTIF(Y$11:Y196,Y196)-1),(RANK(Y196,Y$11:Y$349)+COUNTIF(Y$11:Y196,Y196)-1)))</f>
        <v/>
      </c>
      <c r="AA196" s="189" t="str">
        <f>IF(L196="","",VLOOKUP($L196,classifications!C:I,7,FALSE))</f>
        <v/>
      </c>
      <c r="AB196" s="183" t="str">
        <f t="shared" si="81"/>
        <v/>
      </c>
      <c r="AC196" s="183" t="str">
        <f>IF(AB196="","",IF($I$8="A",(RANK(AB196,AB$11:AB$349)+COUNTIF(AB$11:AB196,AB196)-1),(RANK(AB196,AB$11:AB$349,1)+COUNTIF(AB$11:AB196,AB196)-1)))</f>
        <v/>
      </c>
      <c r="AD196" s="183"/>
      <c r="AE196" s="49">
        <f>IF(I$8="A",(RANK(AG196,AG$11:AG$349,1)+COUNTIF(AG$11:AG196,AG196)-1),(RANK(AG196,AG$11:AG$349)+COUNTIF(AG$11:AG196,AG196)-1))</f>
        <v>186</v>
      </c>
      <c r="AF196" t="str">
        <f>VLOOKUP(Profile!$J$5,Families!$C:$R,6,FALSE)</f>
        <v>Herefordshire</v>
      </c>
      <c r="AG196" s="15">
        <f t="shared" si="82"/>
        <v>62.711864406779661</v>
      </c>
      <c r="AH196" s="50">
        <f t="shared" si="83"/>
        <v>186</v>
      </c>
      <c r="AI196" s="5" t="str">
        <f>IF(L196="","",VLOOKUP($L196,classifications!$C:$J,8,FALSE))</f>
        <v/>
      </c>
      <c r="AJ196" s="43" t="str">
        <f t="shared" si="84"/>
        <v/>
      </c>
      <c r="AK196" s="40" t="str">
        <f>IF(AJ196="","",IF(I$8="A",(RANK(AJ196,AJ$11:AJ$349,1)+COUNTIF(AJ$11:AJ196,AJ196)-1),(RANK(AJ196,AJ$11:AJ$349)+COUNTIF(AJ$11:AJ196,AJ196)-1)))</f>
        <v/>
      </c>
      <c r="AL196" s="3" t="str">
        <f t="shared" si="85"/>
        <v/>
      </c>
      <c r="AM196" t="str">
        <f t="shared" si="86"/>
        <v/>
      </c>
      <c r="AN196" t="str">
        <f t="shared" si="87"/>
        <v/>
      </c>
      <c r="AP196" s="5" t="str">
        <f>IF(L196="","",VLOOKUP($L196,classifications!$C:$E,3,FALSE))</f>
        <v/>
      </c>
      <c r="AQ196" s="43" t="str">
        <f t="shared" si="88"/>
        <v/>
      </c>
      <c r="AR196" s="40" t="str">
        <f>IF(AQ196="","",IF(I$8="A",(RANK(AQ196,AQ$11:AQ$349,1)+COUNTIF(AQ$11:AQ196,AQ196)-1),(RANK(AQ196,AQ$11:AQ$349)+COUNTIF(AQ$11:AQ196,AQ196)-1)))</f>
        <v/>
      </c>
      <c r="AS196" s="3" t="str">
        <f t="shared" si="89"/>
        <v/>
      </c>
      <c r="AT196" s="40" t="str">
        <f t="shared" si="90"/>
        <v/>
      </c>
      <c r="AU196" s="43" t="str">
        <f t="shared" si="91"/>
        <v/>
      </c>
      <c r="AX196">
        <f>HLOOKUP($AX$9&amp;$AX$10,Data!$A$1:$ZZ$1988,(MATCH($C196,Data!$A$1:$A$1988,0)),FALSE)</f>
        <v>85.714285714285708</v>
      </c>
    </row>
    <row r="197" spans="1:50">
      <c r="A197" s="59" t="str">
        <f>$D$1&amp;187</f>
        <v>UA187</v>
      </c>
      <c r="B197" s="60">
        <f>IF(ISERROR(VLOOKUP(A197,classifications!A:C,3,FALSE)),0,VLOOKUP(A197,classifications!A:C,3,FALSE))</f>
        <v>0</v>
      </c>
      <c r="C197" t="s">
        <v>110</v>
      </c>
      <c r="D197" t="str">
        <f>VLOOKUP($C197,classifications!$C:$J,4,FALSE)</f>
        <v>SD</v>
      </c>
      <c r="E197">
        <f>VLOOKUP(C197,classifications!C:K,9,FALSE)</f>
        <v>0</v>
      </c>
      <c r="F197">
        <f t="shared" si="68"/>
        <v>82.926829268292678</v>
      </c>
      <c r="G197" s="15"/>
      <c r="H197" s="42" t="str">
        <f t="shared" si="69"/>
        <v/>
      </c>
      <c r="I197" s="79" t="str">
        <f>IF(H197="","",IF($I$8="A",(RANK(H197,H$11:H$349,1)+COUNTIF(H$11:H197,H197)-1),(RANK(H197,H$11:H$349)+COUNTIF(H$11:H197,H197)-1)))</f>
        <v/>
      </c>
      <c r="J197" s="41"/>
      <c r="K197" s="36" t="str">
        <f t="shared" si="70"/>
        <v/>
      </c>
      <c r="L197" t="str">
        <f t="shared" si="71"/>
        <v/>
      </c>
      <c r="M197" s="117" t="str">
        <f t="shared" si="72"/>
        <v/>
      </c>
      <c r="N197" s="112" t="str">
        <f t="shared" si="73"/>
        <v/>
      </c>
      <c r="O197" s="96" t="str">
        <f t="shared" si="74"/>
        <v/>
      </c>
      <c r="P197" s="96" t="str">
        <f t="shared" si="75"/>
        <v/>
      </c>
      <c r="Q197" s="96" t="str">
        <f t="shared" si="76"/>
        <v/>
      </c>
      <c r="R197" s="92" t="str">
        <f t="shared" si="77"/>
        <v/>
      </c>
      <c r="S197" s="42" t="str">
        <f t="shared" si="78"/>
        <v/>
      </c>
      <c r="T197" s="176" t="str">
        <f>IF(L197="","",VLOOKUP(L197,classifications!C:K,9,FALSE))</f>
        <v/>
      </c>
      <c r="U197" s="177" t="str">
        <f t="shared" si="79"/>
        <v/>
      </c>
      <c r="V197" s="183" t="str">
        <f>IF(U197="","",IF($I$8="A",(RANK(U197,U$11:U$349)+COUNTIF(U$11:U197,U197)-1),(RANK(U197,U$11:U$349,1)+COUNTIF(U$11:U197,U197)-1)))</f>
        <v/>
      </c>
      <c r="W197" s="184"/>
      <c r="X197" s="5" t="str">
        <f>IF(L197="","",VLOOKUP($L197,classifications!$C:$J,6,FALSE))</f>
        <v/>
      </c>
      <c r="Y197" t="str">
        <f t="shared" si="80"/>
        <v/>
      </c>
      <c r="Z197" s="40" t="str">
        <f>IF(Y197="","",IF(I$8="A",(RANK(Y197,Y$11:Y$349,1)+COUNTIF(Y$11:Y197,Y197)-1),(RANK(Y197,Y$11:Y$349)+COUNTIF(Y$11:Y197,Y197)-1)))</f>
        <v/>
      </c>
      <c r="AA197" s="189" t="str">
        <f>IF(L197="","",VLOOKUP($L197,classifications!C:I,7,FALSE))</f>
        <v/>
      </c>
      <c r="AB197" s="183" t="str">
        <f t="shared" si="81"/>
        <v/>
      </c>
      <c r="AC197" s="183" t="str">
        <f>IF(AB197="","",IF($I$8="A",(RANK(AB197,AB$11:AB$349)+COUNTIF(AB$11:AB197,AB197)-1),(RANK(AB197,AB$11:AB$349,1)+COUNTIF(AB$11:AB197,AB197)-1)))</f>
        <v/>
      </c>
      <c r="AD197" s="183"/>
      <c r="AE197" s="49">
        <f>IF(I$8="A",(RANK(AG197,AG$11:AG$349,1)+COUNTIF(AG$11:AG197,AG197)-1),(RANK(AG197,AG$11:AG$349)+COUNTIF(AG$11:AG197,AG197)-1))</f>
        <v>187</v>
      </c>
      <c r="AF197" t="str">
        <f>VLOOKUP(Profile!$J$5,Families!$C:$R,6,FALSE)</f>
        <v>Herefordshire</v>
      </c>
      <c r="AG197" s="15">
        <f t="shared" si="82"/>
        <v>62.711864406779661</v>
      </c>
      <c r="AH197" s="50">
        <f t="shared" si="83"/>
        <v>187</v>
      </c>
      <c r="AI197" s="5" t="str">
        <f>IF(L197="","",VLOOKUP($L197,classifications!$C:$J,8,FALSE))</f>
        <v/>
      </c>
      <c r="AJ197" s="43" t="str">
        <f t="shared" si="84"/>
        <v/>
      </c>
      <c r="AK197" s="40" t="str">
        <f>IF(AJ197="","",IF(I$8="A",(RANK(AJ197,AJ$11:AJ$349,1)+COUNTIF(AJ$11:AJ197,AJ197)-1),(RANK(AJ197,AJ$11:AJ$349)+COUNTIF(AJ$11:AJ197,AJ197)-1)))</f>
        <v/>
      </c>
      <c r="AL197" s="3" t="str">
        <f t="shared" si="85"/>
        <v/>
      </c>
      <c r="AM197" t="str">
        <f t="shared" si="86"/>
        <v/>
      </c>
      <c r="AN197" t="str">
        <f t="shared" si="87"/>
        <v/>
      </c>
      <c r="AP197" s="5" t="str">
        <f>IF(L197="","",VLOOKUP($L197,classifications!$C:$E,3,FALSE))</f>
        <v/>
      </c>
      <c r="AQ197" s="43" t="str">
        <f t="shared" si="88"/>
        <v/>
      </c>
      <c r="AR197" s="40" t="str">
        <f>IF(AQ197="","",IF(I$8="A",(RANK(AQ197,AQ$11:AQ$349,1)+COUNTIF(AQ$11:AQ197,AQ197)-1),(RANK(AQ197,AQ$11:AQ$349)+COUNTIF(AQ$11:AQ197,AQ197)-1)))</f>
        <v/>
      </c>
      <c r="AS197" s="3" t="str">
        <f t="shared" si="89"/>
        <v/>
      </c>
      <c r="AT197" s="40" t="str">
        <f t="shared" si="90"/>
        <v/>
      </c>
      <c r="AU197" s="43" t="str">
        <f t="shared" si="91"/>
        <v/>
      </c>
      <c r="AX197">
        <f>HLOOKUP($AX$9&amp;$AX$10,Data!$A$1:$ZZ$1988,(MATCH($C197,Data!$A$1:$A$1988,0)),FALSE)</f>
        <v>82.926829268292678</v>
      </c>
    </row>
    <row r="198" spans="1:50">
      <c r="A198" s="59" t="str">
        <f>$D$1&amp;188</f>
        <v>UA188</v>
      </c>
      <c r="B198" s="60">
        <f>IF(ISERROR(VLOOKUP(A198,classifications!A:C,3,FALSE)),0,VLOOKUP(A198,classifications!A:C,3,FALSE))</f>
        <v>0</v>
      </c>
      <c r="C198" t="s">
        <v>276</v>
      </c>
      <c r="D198" t="str">
        <f>VLOOKUP($C198,classifications!$C:$J,4,FALSE)</f>
        <v>UA</v>
      </c>
      <c r="E198">
        <f>VLOOKUP(C198,classifications!C:K,9,FALSE)</f>
        <v>0</v>
      </c>
      <c r="F198">
        <f t="shared" si="68"/>
        <v>100</v>
      </c>
      <c r="G198" s="15"/>
      <c r="H198" s="42">
        <f t="shared" si="69"/>
        <v>100</v>
      </c>
      <c r="I198" s="79">
        <f>IF(H198="","",IF($I$8="A",(RANK(H198,H$11:H$349,1)+COUNTIF(H$11:H198,H198)-1),(RANK(H198,H$11:H$349)+COUNTIF(H$11:H198,H198)-1)))</f>
        <v>5</v>
      </c>
      <c r="J198" s="41"/>
      <c r="K198" s="36" t="str">
        <f t="shared" si="70"/>
        <v/>
      </c>
      <c r="L198" t="str">
        <f t="shared" si="71"/>
        <v/>
      </c>
      <c r="M198" s="117" t="str">
        <f t="shared" si="72"/>
        <v/>
      </c>
      <c r="N198" s="112" t="str">
        <f t="shared" si="73"/>
        <v/>
      </c>
      <c r="O198" s="96" t="str">
        <f t="shared" si="74"/>
        <v/>
      </c>
      <c r="P198" s="96" t="str">
        <f t="shared" si="75"/>
        <v/>
      </c>
      <c r="Q198" s="96" t="str">
        <f t="shared" si="76"/>
        <v/>
      </c>
      <c r="R198" s="92" t="str">
        <f t="shared" si="77"/>
        <v/>
      </c>
      <c r="S198" s="42" t="str">
        <f t="shared" si="78"/>
        <v/>
      </c>
      <c r="T198" s="176" t="str">
        <f>IF(L198="","",VLOOKUP(L198,classifications!C:K,9,FALSE))</f>
        <v/>
      </c>
      <c r="U198" s="177" t="str">
        <f t="shared" si="79"/>
        <v/>
      </c>
      <c r="V198" s="183" t="str">
        <f>IF(U198="","",IF($I$8="A",(RANK(U198,U$11:U$349)+COUNTIF(U$11:U198,U198)-1),(RANK(U198,U$11:U$349,1)+COUNTIF(U$11:U198,U198)-1)))</f>
        <v/>
      </c>
      <c r="W198" s="184"/>
      <c r="X198" s="5" t="str">
        <f>IF(L198="","",VLOOKUP($L198,classifications!$C:$J,6,FALSE))</f>
        <v/>
      </c>
      <c r="Y198" t="str">
        <f t="shared" si="80"/>
        <v/>
      </c>
      <c r="Z198" s="40" t="str">
        <f>IF(Y198="","",IF(I$8="A",(RANK(Y198,Y$11:Y$349,1)+COUNTIF(Y$11:Y198,Y198)-1),(RANK(Y198,Y$11:Y$349)+COUNTIF(Y$11:Y198,Y198)-1)))</f>
        <v/>
      </c>
      <c r="AA198" s="189" t="str">
        <f>IF(L198="","",VLOOKUP($L198,classifications!C:I,7,FALSE))</f>
        <v/>
      </c>
      <c r="AB198" s="183" t="str">
        <f t="shared" si="81"/>
        <v/>
      </c>
      <c r="AC198" s="183" t="str">
        <f>IF(AB198="","",IF($I$8="A",(RANK(AB198,AB$11:AB$349)+COUNTIF(AB$11:AB198,AB198)-1),(RANK(AB198,AB$11:AB$349,1)+COUNTIF(AB$11:AB198,AB198)-1)))</f>
        <v/>
      </c>
      <c r="AD198" s="183"/>
      <c r="AE198" s="49">
        <f>IF(I$8="A",(RANK(AG198,AG$11:AG$349,1)+COUNTIF(AG$11:AG198,AG198)-1),(RANK(AG198,AG$11:AG$349)+COUNTIF(AG$11:AG198,AG198)-1))</f>
        <v>188</v>
      </c>
      <c r="AF198" t="str">
        <f>VLOOKUP(Profile!$J$5,Families!$C:$R,6,FALSE)</f>
        <v>Herefordshire</v>
      </c>
      <c r="AG198" s="15">
        <f t="shared" si="82"/>
        <v>62.711864406779661</v>
      </c>
      <c r="AH198" s="50">
        <f t="shared" si="83"/>
        <v>188</v>
      </c>
      <c r="AI198" s="5" t="str">
        <f>IF(L198="","",VLOOKUP($L198,classifications!$C:$J,8,FALSE))</f>
        <v/>
      </c>
      <c r="AJ198" s="43" t="str">
        <f t="shared" si="84"/>
        <v/>
      </c>
      <c r="AK198" s="40" t="str">
        <f>IF(AJ198="","",IF(I$8="A",(RANK(AJ198,AJ$11:AJ$349,1)+COUNTIF(AJ$11:AJ198,AJ198)-1),(RANK(AJ198,AJ$11:AJ$349)+COUNTIF(AJ$11:AJ198,AJ198)-1)))</f>
        <v/>
      </c>
      <c r="AL198" s="3" t="str">
        <f t="shared" si="85"/>
        <v/>
      </c>
      <c r="AM198" t="str">
        <f t="shared" si="86"/>
        <v/>
      </c>
      <c r="AN198" t="str">
        <f t="shared" si="87"/>
        <v/>
      </c>
      <c r="AP198" s="5" t="str">
        <f>IF(L198="","",VLOOKUP($L198,classifications!$C:$E,3,FALSE))</f>
        <v/>
      </c>
      <c r="AQ198" s="43" t="str">
        <f t="shared" si="88"/>
        <v/>
      </c>
      <c r="AR198" s="40" t="str">
        <f>IF(AQ198="","",IF(I$8="A",(RANK(AQ198,AQ$11:AQ$349,1)+COUNTIF(AQ$11:AQ198,AQ198)-1),(RANK(AQ198,AQ$11:AQ$349)+COUNTIF(AQ$11:AQ198,AQ198)-1)))</f>
        <v/>
      </c>
      <c r="AS198" s="3" t="str">
        <f t="shared" si="89"/>
        <v/>
      </c>
      <c r="AT198" s="40" t="str">
        <f t="shared" si="90"/>
        <v/>
      </c>
      <c r="AU198" s="43" t="str">
        <f t="shared" si="91"/>
        <v/>
      </c>
      <c r="AX198">
        <f>HLOOKUP($AX$9&amp;$AX$10,Data!$A$1:$ZZ$1988,(MATCH($C198,Data!$A$1:$A$1988,0)),FALSE)</f>
        <v>100</v>
      </c>
    </row>
    <row r="199" spans="1:50">
      <c r="A199" s="59" t="str">
        <f>$D$1&amp;189</f>
        <v>UA189</v>
      </c>
      <c r="B199" s="60">
        <f>IF(ISERROR(VLOOKUP(A199,classifications!A:C,3,FALSE)),0,VLOOKUP(A199,classifications!A:C,3,FALSE))</f>
        <v>0</v>
      </c>
      <c r="C199" t="s">
        <v>111</v>
      </c>
      <c r="D199" t="str">
        <f>VLOOKUP($C199,classifications!$C:$J,4,FALSE)</f>
        <v>SD</v>
      </c>
      <c r="E199">
        <f>VLOOKUP(C199,classifications!C:K,9,FALSE)</f>
        <v>0</v>
      </c>
      <c r="F199">
        <f t="shared" si="68"/>
        <v>80.645161290322577</v>
      </c>
      <c r="G199" s="15"/>
      <c r="H199" s="42" t="str">
        <f t="shared" si="69"/>
        <v/>
      </c>
      <c r="I199" s="79" t="str">
        <f>IF(H199="","",IF($I$8="A",(RANK(H199,H$11:H$349,1)+COUNTIF(H$11:H199,H199)-1),(RANK(H199,H$11:H$349)+COUNTIF(H$11:H199,H199)-1)))</f>
        <v/>
      </c>
      <c r="J199" s="41"/>
      <c r="K199" s="36" t="str">
        <f t="shared" si="70"/>
        <v/>
      </c>
      <c r="L199" t="str">
        <f t="shared" si="71"/>
        <v/>
      </c>
      <c r="M199" s="117" t="str">
        <f t="shared" si="72"/>
        <v/>
      </c>
      <c r="N199" s="112" t="str">
        <f t="shared" si="73"/>
        <v/>
      </c>
      <c r="O199" s="96" t="str">
        <f t="shared" si="74"/>
        <v/>
      </c>
      <c r="P199" s="96" t="str">
        <f t="shared" si="75"/>
        <v/>
      </c>
      <c r="Q199" s="96" t="str">
        <f t="shared" si="76"/>
        <v/>
      </c>
      <c r="R199" s="92" t="str">
        <f t="shared" si="77"/>
        <v/>
      </c>
      <c r="S199" s="42" t="str">
        <f t="shared" si="78"/>
        <v/>
      </c>
      <c r="T199" s="176" t="str">
        <f>IF(L199="","",VLOOKUP(L199,classifications!C:K,9,FALSE))</f>
        <v/>
      </c>
      <c r="U199" s="177" t="str">
        <f t="shared" si="79"/>
        <v/>
      </c>
      <c r="V199" s="183" t="str">
        <f>IF(U199="","",IF($I$8="A",(RANK(U199,U$11:U$349)+COUNTIF(U$11:U199,U199)-1),(RANK(U199,U$11:U$349,1)+COUNTIF(U$11:U199,U199)-1)))</f>
        <v/>
      </c>
      <c r="W199" s="184"/>
      <c r="X199" s="5" t="str">
        <f>IF(L199="","",VLOOKUP($L199,classifications!$C:$J,6,FALSE))</f>
        <v/>
      </c>
      <c r="Y199" t="str">
        <f t="shared" si="80"/>
        <v/>
      </c>
      <c r="Z199" s="40" t="str">
        <f>IF(Y199="","",IF(I$8="A",(RANK(Y199,Y$11:Y$349,1)+COUNTIF(Y$11:Y199,Y199)-1),(RANK(Y199,Y$11:Y$349)+COUNTIF(Y$11:Y199,Y199)-1)))</f>
        <v/>
      </c>
      <c r="AA199" s="189" t="str">
        <f>IF(L199="","",VLOOKUP($L199,classifications!C:I,7,FALSE))</f>
        <v/>
      </c>
      <c r="AB199" s="183" t="str">
        <f t="shared" si="81"/>
        <v/>
      </c>
      <c r="AC199" s="183" t="str">
        <f>IF(AB199="","",IF($I$8="A",(RANK(AB199,AB$11:AB$349)+COUNTIF(AB$11:AB199,AB199)-1),(RANK(AB199,AB$11:AB$349,1)+COUNTIF(AB$11:AB199,AB199)-1)))</f>
        <v/>
      </c>
      <c r="AD199" s="183"/>
      <c r="AE199" s="49">
        <f>IF(I$8="A",(RANK(AG199,AG$11:AG$349,1)+COUNTIF(AG$11:AG199,AG199)-1),(RANK(AG199,AG$11:AG$349)+COUNTIF(AG$11:AG199,AG199)-1))</f>
        <v>189</v>
      </c>
      <c r="AF199" t="str">
        <f>VLOOKUP(Profile!$J$5,Families!$C:$R,6,FALSE)</f>
        <v>Herefordshire</v>
      </c>
      <c r="AG199" s="15">
        <f t="shared" si="82"/>
        <v>62.711864406779661</v>
      </c>
      <c r="AH199" s="50">
        <f t="shared" si="83"/>
        <v>189</v>
      </c>
      <c r="AI199" s="5" t="str">
        <f>IF(L199="","",VLOOKUP($L199,classifications!$C:$J,8,FALSE))</f>
        <v/>
      </c>
      <c r="AJ199" s="43" t="str">
        <f t="shared" si="84"/>
        <v/>
      </c>
      <c r="AK199" s="40" t="str">
        <f>IF(AJ199="","",IF(I$8="A",(RANK(AJ199,AJ$11:AJ$349,1)+COUNTIF(AJ$11:AJ199,AJ199)-1),(RANK(AJ199,AJ$11:AJ$349)+COUNTIF(AJ$11:AJ199,AJ199)-1)))</f>
        <v/>
      </c>
      <c r="AL199" s="3" t="str">
        <f t="shared" si="85"/>
        <v/>
      </c>
      <c r="AM199" t="str">
        <f t="shared" si="86"/>
        <v/>
      </c>
      <c r="AN199" t="str">
        <f t="shared" si="87"/>
        <v/>
      </c>
      <c r="AP199" s="5" t="str">
        <f>IF(L199="","",VLOOKUP($L199,classifications!$C:$E,3,FALSE))</f>
        <v/>
      </c>
      <c r="AQ199" s="43" t="str">
        <f t="shared" si="88"/>
        <v/>
      </c>
      <c r="AR199" s="40" t="str">
        <f>IF(AQ199="","",IF(I$8="A",(RANK(AQ199,AQ$11:AQ$349,1)+COUNTIF(AQ$11:AQ199,AQ199)-1),(RANK(AQ199,AQ$11:AQ$349)+COUNTIF(AQ$11:AQ199,AQ199)-1)))</f>
        <v/>
      </c>
      <c r="AS199" s="3" t="str">
        <f t="shared" si="89"/>
        <v/>
      </c>
      <c r="AT199" s="40" t="str">
        <f t="shared" si="90"/>
        <v/>
      </c>
      <c r="AU199" s="43" t="str">
        <f t="shared" si="91"/>
        <v/>
      </c>
      <c r="AX199">
        <f>HLOOKUP($AX$9&amp;$AX$10,Data!$A$1:$ZZ$1988,(MATCH($C199,Data!$A$1:$A$1988,0)),FALSE)</f>
        <v>80.645161290322577</v>
      </c>
    </row>
    <row r="200" spans="1:50">
      <c r="A200" s="59" t="str">
        <f>$D$1&amp;190</f>
        <v>UA190</v>
      </c>
      <c r="B200" s="60">
        <f>IF(ISERROR(VLOOKUP(A200,classifications!A:C,3,FALSE)),0,VLOOKUP(A200,classifications!A:C,3,FALSE))</f>
        <v>0</v>
      </c>
      <c r="C200" t="s">
        <v>112</v>
      </c>
      <c r="D200" t="str">
        <f>VLOOKUP($C200,classifications!$C:$J,4,FALSE)</f>
        <v>SD</v>
      </c>
      <c r="E200" t="str">
        <f>VLOOKUP(C200,classifications!C:K,9,FALSE)</f>
        <v>Sparse</v>
      </c>
      <c r="F200">
        <f t="shared" si="68"/>
        <v>98.214285714285708</v>
      </c>
      <c r="G200" s="15"/>
      <c r="H200" s="42" t="str">
        <f t="shared" si="69"/>
        <v/>
      </c>
      <c r="I200" s="79" t="str">
        <f>IF(H200="","",IF($I$8="A",(RANK(H200,H$11:H$349,1)+COUNTIF(H$11:H200,H200)-1),(RANK(H200,H$11:H$349)+COUNTIF(H$11:H200,H200)-1)))</f>
        <v/>
      </c>
      <c r="J200" s="41"/>
      <c r="K200" s="36" t="str">
        <f t="shared" si="70"/>
        <v/>
      </c>
      <c r="L200" t="str">
        <f t="shared" si="71"/>
        <v/>
      </c>
      <c r="M200" s="117" t="str">
        <f t="shared" si="72"/>
        <v/>
      </c>
      <c r="N200" s="112" t="str">
        <f t="shared" si="73"/>
        <v/>
      </c>
      <c r="O200" s="96" t="str">
        <f t="shared" si="74"/>
        <v/>
      </c>
      <c r="P200" s="96" t="str">
        <f t="shared" si="75"/>
        <v/>
      </c>
      <c r="Q200" s="96" t="str">
        <f t="shared" si="76"/>
        <v/>
      </c>
      <c r="R200" s="92" t="str">
        <f t="shared" si="77"/>
        <v/>
      </c>
      <c r="S200" s="42" t="str">
        <f t="shared" si="78"/>
        <v/>
      </c>
      <c r="T200" s="176" t="str">
        <f>IF(L200="","",VLOOKUP(L200,classifications!C:K,9,FALSE))</f>
        <v/>
      </c>
      <c r="U200" s="177" t="str">
        <f t="shared" si="79"/>
        <v/>
      </c>
      <c r="V200" s="183" t="str">
        <f>IF(U200="","",IF($I$8="A",(RANK(U200,U$11:U$349)+COUNTIF(U$11:U200,U200)-1),(RANK(U200,U$11:U$349,1)+COUNTIF(U$11:U200,U200)-1)))</f>
        <v/>
      </c>
      <c r="W200" s="184"/>
      <c r="X200" s="5" t="str">
        <f>IF(L200="","",VLOOKUP($L200,classifications!$C:$J,6,FALSE))</f>
        <v/>
      </c>
      <c r="Y200" t="str">
        <f t="shared" si="80"/>
        <v/>
      </c>
      <c r="Z200" s="40" t="str">
        <f>IF(Y200="","",IF(I$8="A",(RANK(Y200,Y$11:Y$349,1)+COUNTIF(Y$11:Y200,Y200)-1),(RANK(Y200,Y$11:Y$349)+COUNTIF(Y$11:Y200,Y200)-1)))</f>
        <v/>
      </c>
      <c r="AA200" s="189" t="str">
        <f>IF(L200="","",VLOOKUP($L200,classifications!C:I,7,FALSE))</f>
        <v/>
      </c>
      <c r="AB200" s="183" t="str">
        <f t="shared" si="81"/>
        <v/>
      </c>
      <c r="AC200" s="183" t="str">
        <f>IF(AB200="","",IF($I$8="A",(RANK(AB200,AB$11:AB$349)+COUNTIF(AB$11:AB200,AB200)-1),(RANK(AB200,AB$11:AB$349,1)+COUNTIF(AB$11:AB200,AB200)-1)))</f>
        <v/>
      </c>
      <c r="AD200" s="183"/>
      <c r="AE200" s="49">
        <f>IF(I$8="A",(RANK(AG200,AG$11:AG$349,1)+COUNTIF(AG$11:AG200,AG200)-1),(RANK(AG200,AG$11:AG$349)+COUNTIF(AG$11:AG200,AG200)-1))</f>
        <v>190</v>
      </c>
      <c r="AF200" t="str">
        <f>VLOOKUP(Profile!$J$5,Families!$C:$R,6,FALSE)</f>
        <v>Herefordshire</v>
      </c>
      <c r="AG200" s="15">
        <f t="shared" si="82"/>
        <v>62.711864406779661</v>
      </c>
      <c r="AH200" s="50">
        <f t="shared" si="83"/>
        <v>190</v>
      </c>
      <c r="AI200" s="5" t="str">
        <f>IF(L200="","",VLOOKUP($L200,classifications!$C:$J,8,FALSE))</f>
        <v/>
      </c>
      <c r="AJ200" s="43" t="str">
        <f t="shared" si="84"/>
        <v/>
      </c>
      <c r="AK200" s="40" t="str">
        <f>IF(AJ200="","",IF(I$8="A",(RANK(AJ200,AJ$11:AJ$349,1)+COUNTIF(AJ$11:AJ200,AJ200)-1),(RANK(AJ200,AJ$11:AJ$349)+COUNTIF(AJ$11:AJ200,AJ200)-1)))</f>
        <v/>
      </c>
      <c r="AL200" s="3" t="str">
        <f t="shared" si="85"/>
        <v/>
      </c>
      <c r="AM200" t="str">
        <f t="shared" si="86"/>
        <v/>
      </c>
      <c r="AN200" t="str">
        <f t="shared" si="87"/>
        <v/>
      </c>
      <c r="AP200" s="5" t="str">
        <f>IF(L200="","",VLOOKUP($L200,classifications!$C:$E,3,FALSE))</f>
        <v/>
      </c>
      <c r="AQ200" s="43" t="str">
        <f t="shared" si="88"/>
        <v/>
      </c>
      <c r="AR200" s="40" t="str">
        <f>IF(AQ200="","",IF(I$8="A",(RANK(AQ200,AQ$11:AQ$349,1)+COUNTIF(AQ$11:AQ200,AQ200)-1),(RANK(AQ200,AQ$11:AQ$349)+COUNTIF(AQ$11:AQ200,AQ200)-1)))</f>
        <v/>
      </c>
      <c r="AS200" s="3" t="str">
        <f t="shared" si="89"/>
        <v/>
      </c>
      <c r="AT200" s="40" t="str">
        <f t="shared" si="90"/>
        <v/>
      </c>
      <c r="AU200" s="43" t="str">
        <f t="shared" si="91"/>
        <v/>
      </c>
      <c r="AX200">
        <f>HLOOKUP($AX$9&amp;$AX$10,Data!$A$1:$ZZ$1988,(MATCH($C200,Data!$A$1:$A$1988,0)),FALSE)</f>
        <v>98.214285714285708</v>
      </c>
    </row>
    <row r="201" spans="1:50">
      <c r="A201" s="59" t="str">
        <f>$D$1&amp;191</f>
        <v>UA191</v>
      </c>
      <c r="B201" s="60">
        <f>IF(ISERROR(VLOOKUP(A201,classifications!A:C,3,FALSE)),0,VLOOKUP(A201,classifications!A:C,3,FALSE))</f>
        <v>0</v>
      </c>
      <c r="C201" t="s">
        <v>277</v>
      </c>
      <c r="D201" t="str">
        <f>VLOOKUP($C201,classifications!$C:$J,4,FALSE)</f>
        <v>UA</v>
      </c>
      <c r="E201" t="str">
        <f>VLOOKUP(C201,classifications!C:K,9,FALSE)</f>
        <v>Sparse</v>
      </c>
      <c r="F201">
        <f t="shared" si="68"/>
        <v>78.94736842105263</v>
      </c>
      <c r="G201" s="15"/>
      <c r="H201" s="42">
        <f t="shared" si="69"/>
        <v>78.94736842105263</v>
      </c>
      <c r="I201" s="79">
        <f>IF(H201="","",IF($I$8="A",(RANK(H201,H$11:H$349,1)+COUNTIF(H$11:H201,H201)-1),(RANK(H201,H$11:H$349)+COUNTIF(H$11:H201,H201)-1)))</f>
        <v>48</v>
      </c>
      <c r="J201" s="41"/>
      <c r="K201" s="36" t="str">
        <f t="shared" si="70"/>
        <v/>
      </c>
      <c r="L201" t="str">
        <f t="shared" si="71"/>
        <v/>
      </c>
      <c r="M201" s="117" t="str">
        <f t="shared" si="72"/>
        <v/>
      </c>
      <c r="N201" s="112" t="str">
        <f t="shared" si="73"/>
        <v/>
      </c>
      <c r="O201" s="96" t="str">
        <f t="shared" si="74"/>
        <v/>
      </c>
      <c r="P201" s="96" t="str">
        <f t="shared" si="75"/>
        <v/>
      </c>
      <c r="Q201" s="96" t="str">
        <f t="shared" si="76"/>
        <v/>
      </c>
      <c r="R201" s="92" t="str">
        <f t="shared" si="77"/>
        <v/>
      </c>
      <c r="S201" s="42" t="str">
        <f t="shared" si="78"/>
        <v/>
      </c>
      <c r="T201" s="176" t="str">
        <f>IF(L201="","",VLOOKUP(L201,classifications!C:K,9,FALSE))</f>
        <v/>
      </c>
      <c r="U201" s="177" t="str">
        <f t="shared" si="79"/>
        <v/>
      </c>
      <c r="V201" s="183" t="str">
        <f>IF(U201="","",IF($I$8="A",(RANK(U201,U$11:U$349)+COUNTIF(U$11:U201,U201)-1),(RANK(U201,U$11:U$349,1)+COUNTIF(U$11:U201,U201)-1)))</f>
        <v/>
      </c>
      <c r="W201" s="184"/>
      <c r="X201" s="5" t="str">
        <f>IF(L201="","",VLOOKUP($L201,classifications!$C:$J,6,FALSE))</f>
        <v/>
      </c>
      <c r="Y201" t="str">
        <f t="shared" si="80"/>
        <v/>
      </c>
      <c r="Z201" s="40" t="str">
        <f>IF(Y201="","",IF(I$8="A",(RANK(Y201,Y$11:Y$349,1)+COUNTIF(Y$11:Y201,Y201)-1),(RANK(Y201,Y$11:Y$349)+COUNTIF(Y$11:Y201,Y201)-1)))</f>
        <v/>
      </c>
      <c r="AA201" s="189" t="str">
        <f>IF(L201="","",VLOOKUP($L201,classifications!C:I,7,FALSE))</f>
        <v/>
      </c>
      <c r="AB201" s="183" t="str">
        <f t="shared" si="81"/>
        <v/>
      </c>
      <c r="AC201" s="183" t="str">
        <f>IF(AB201="","",IF($I$8="A",(RANK(AB201,AB$11:AB$349)+COUNTIF(AB$11:AB201,AB201)-1),(RANK(AB201,AB$11:AB$349,1)+COUNTIF(AB$11:AB201,AB201)-1)))</f>
        <v/>
      </c>
      <c r="AD201" s="183"/>
      <c r="AE201" s="49">
        <f>IF(I$8="A",(RANK(AG201,AG$11:AG$349,1)+COUNTIF(AG$11:AG201,AG201)-1),(RANK(AG201,AG$11:AG$349)+COUNTIF(AG$11:AG201,AG201)-1))</f>
        <v>191</v>
      </c>
      <c r="AF201" t="str">
        <f>VLOOKUP(Profile!$J$5,Families!$C:$R,6,FALSE)</f>
        <v>Herefordshire</v>
      </c>
      <c r="AG201" s="15">
        <f t="shared" si="82"/>
        <v>62.711864406779661</v>
      </c>
      <c r="AH201" s="50">
        <f t="shared" si="83"/>
        <v>191</v>
      </c>
      <c r="AI201" s="5" t="str">
        <f>IF(L201="","",VLOOKUP($L201,classifications!$C:$J,8,FALSE))</f>
        <v/>
      </c>
      <c r="AJ201" s="43" t="str">
        <f t="shared" si="84"/>
        <v/>
      </c>
      <c r="AK201" s="40" t="str">
        <f>IF(AJ201="","",IF(I$8="A",(RANK(AJ201,AJ$11:AJ$349,1)+COUNTIF(AJ$11:AJ201,AJ201)-1),(RANK(AJ201,AJ$11:AJ$349)+COUNTIF(AJ$11:AJ201,AJ201)-1)))</f>
        <v/>
      </c>
      <c r="AL201" s="3" t="str">
        <f t="shared" si="85"/>
        <v/>
      </c>
      <c r="AM201" t="str">
        <f t="shared" si="86"/>
        <v/>
      </c>
      <c r="AN201" t="str">
        <f t="shared" si="87"/>
        <v/>
      </c>
      <c r="AP201" s="5" t="str">
        <f>IF(L201="","",VLOOKUP($L201,classifications!$C:$E,3,FALSE))</f>
        <v/>
      </c>
      <c r="AQ201" s="43" t="str">
        <f t="shared" si="88"/>
        <v/>
      </c>
      <c r="AR201" s="40" t="str">
        <f>IF(AQ201="","",IF(I$8="A",(RANK(AQ201,AQ$11:AQ$349,1)+COUNTIF(AQ$11:AQ201,AQ201)-1),(RANK(AQ201,AQ$11:AQ$349)+COUNTIF(AQ$11:AQ201,AQ201)-1)))</f>
        <v/>
      </c>
      <c r="AS201" s="3" t="str">
        <f t="shared" si="89"/>
        <v/>
      </c>
      <c r="AT201" s="40" t="str">
        <f t="shared" si="90"/>
        <v/>
      </c>
      <c r="AU201" s="43" t="str">
        <f t="shared" si="91"/>
        <v/>
      </c>
      <c r="AX201">
        <f>HLOOKUP($AX$9&amp;$AX$10,Data!$A$1:$ZZ$1988,(MATCH($C201,Data!$A$1:$A$1988,0)),FALSE)</f>
        <v>78.94736842105263</v>
      </c>
    </row>
    <row r="202" spans="1:50">
      <c r="A202" s="59" t="str">
        <f>$D$1&amp;192</f>
        <v>UA192</v>
      </c>
      <c r="B202" s="60">
        <f>IF(ISERROR(VLOOKUP(A202,classifications!A:C,3,FALSE)),0,VLOOKUP(A202,classifications!A:C,3,FALSE))</f>
        <v>0</v>
      </c>
      <c r="C202" t="s">
        <v>113</v>
      </c>
      <c r="D202" t="str">
        <f>VLOOKUP($C202,classifications!$C:$J,4,FALSE)</f>
        <v>SD</v>
      </c>
      <c r="E202" t="str">
        <f>VLOOKUP(C202,classifications!C:K,9,FALSE)</f>
        <v>Sparse</v>
      </c>
      <c r="F202">
        <f t="shared" si="68"/>
        <v>100</v>
      </c>
      <c r="G202" s="15"/>
      <c r="H202" s="42" t="str">
        <f t="shared" si="69"/>
        <v/>
      </c>
      <c r="I202" s="79" t="str">
        <f>IF(H202="","",IF($I$8="A",(RANK(H202,H$11:H$349,1)+COUNTIF(H$11:H202,H202)-1),(RANK(H202,H$11:H$349)+COUNTIF(H$11:H202,H202)-1)))</f>
        <v/>
      </c>
      <c r="J202" s="41"/>
      <c r="K202" s="36" t="str">
        <f t="shared" si="70"/>
        <v/>
      </c>
      <c r="L202" t="str">
        <f t="shared" si="71"/>
        <v/>
      </c>
      <c r="M202" s="117" t="str">
        <f t="shared" si="72"/>
        <v/>
      </c>
      <c r="N202" s="112" t="str">
        <f t="shared" si="73"/>
        <v/>
      </c>
      <c r="O202" s="96" t="str">
        <f t="shared" si="74"/>
        <v/>
      </c>
      <c r="P202" s="96" t="str">
        <f t="shared" si="75"/>
        <v/>
      </c>
      <c r="Q202" s="96" t="str">
        <f t="shared" si="76"/>
        <v/>
      </c>
      <c r="R202" s="92" t="str">
        <f t="shared" si="77"/>
        <v/>
      </c>
      <c r="S202" s="42" t="str">
        <f t="shared" si="78"/>
        <v/>
      </c>
      <c r="T202" s="176" t="str">
        <f>IF(L202="","",VLOOKUP(L202,classifications!C:K,9,FALSE))</f>
        <v/>
      </c>
      <c r="U202" s="177" t="str">
        <f t="shared" si="79"/>
        <v/>
      </c>
      <c r="V202" s="183" t="str">
        <f>IF(U202="","",IF($I$8="A",(RANK(U202,U$11:U$349)+COUNTIF(U$11:U202,U202)-1),(RANK(U202,U$11:U$349,1)+COUNTIF(U$11:U202,U202)-1)))</f>
        <v/>
      </c>
      <c r="W202" s="184"/>
      <c r="X202" s="5" t="str">
        <f>IF(L202="","",VLOOKUP($L202,classifications!$C:$J,6,FALSE))</f>
        <v/>
      </c>
      <c r="Y202" t="str">
        <f t="shared" si="80"/>
        <v/>
      </c>
      <c r="Z202" s="40" t="str">
        <f>IF(Y202="","",IF(I$8="A",(RANK(Y202,Y$11:Y$349,1)+COUNTIF(Y$11:Y202,Y202)-1),(RANK(Y202,Y$11:Y$349)+COUNTIF(Y$11:Y202,Y202)-1)))</f>
        <v/>
      </c>
      <c r="AA202" s="189" t="str">
        <f>IF(L202="","",VLOOKUP($L202,classifications!C:I,7,FALSE))</f>
        <v/>
      </c>
      <c r="AB202" s="183" t="str">
        <f t="shared" si="81"/>
        <v/>
      </c>
      <c r="AC202" s="183" t="str">
        <f>IF(AB202="","",IF($I$8="A",(RANK(AB202,AB$11:AB$349)+COUNTIF(AB$11:AB202,AB202)-1),(RANK(AB202,AB$11:AB$349,1)+COUNTIF(AB$11:AB202,AB202)-1)))</f>
        <v/>
      </c>
      <c r="AD202" s="183"/>
      <c r="AE202" s="49">
        <f>IF(I$8="A",(RANK(AG202,AG$11:AG$349,1)+COUNTIF(AG$11:AG202,AG202)-1),(RANK(AG202,AG$11:AG$349)+COUNTIF(AG$11:AG202,AG202)-1))</f>
        <v>192</v>
      </c>
      <c r="AF202" t="str">
        <f>VLOOKUP(Profile!$J$5,Families!$C:$R,6,FALSE)</f>
        <v>Herefordshire</v>
      </c>
      <c r="AG202" s="15">
        <f t="shared" si="82"/>
        <v>62.711864406779661</v>
      </c>
      <c r="AH202" s="50">
        <f t="shared" si="83"/>
        <v>192</v>
      </c>
      <c r="AI202" s="5" t="str">
        <f>IF(L202="","",VLOOKUP($L202,classifications!$C:$J,8,FALSE))</f>
        <v/>
      </c>
      <c r="AJ202" s="43" t="str">
        <f t="shared" si="84"/>
        <v/>
      </c>
      <c r="AK202" s="40" t="str">
        <f>IF(AJ202="","",IF(I$8="A",(RANK(AJ202,AJ$11:AJ$349,1)+COUNTIF(AJ$11:AJ202,AJ202)-1),(RANK(AJ202,AJ$11:AJ$349)+COUNTIF(AJ$11:AJ202,AJ202)-1)))</f>
        <v/>
      </c>
      <c r="AL202" s="3" t="str">
        <f t="shared" si="85"/>
        <v/>
      </c>
      <c r="AM202" t="str">
        <f t="shared" si="86"/>
        <v/>
      </c>
      <c r="AN202" t="str">
        <f t="shared" si="87"/>
        <v/>
      </c>
      <c r="AP202" s="5" t="str">
        <f>IF(L202="","",VLOOKUP($L202,classifications!$C:$E,3,FALSE))</f>
        <v/>
      </c>
      <c r="AQ202" s="43" t="str">
        <f t="shared" si="88"/>
        <v/>
      </c>
      <c r="AR202" s="40" t="str">
        <f>IF(AQ202="","",IF(I$8="A",(RANK(AQ202,AQ$11:AQ$349,1)+COUNTIF(AQ$11:AQ202,AQ202)-1),(RANK(AQ202,AQ$11:AQ$349)+COUNTIF(AQ$11:AQ202,AQ202)-1)))</f>
        <v/>
      </c>
      <c r="AS202" s="3" t="str">
        <f t="shared" si="89"/>
        <v/>
      </c>
      <c r="AT202" s="40" t="str">
        <f t="shared" si="90"/>
        <v/>
      </c>
      <c r="AU202" s="43" t="str">
        <f t="shared" si="91"/>
        <v/>
      </c>
      <c r="AX202">
        <f>HLOOKUP($AX$9&amp;$AX$10,Data!$A$1:$ZZ$1988,(MATCH($C202,Data!$A$1:$A$1988,0)),FALSE)</f>
        <v>100</v>
      </c>
    </row>
    <row r="203" spans="1:50">
      <c r="A203" s="59" t="str">
        <f>$D$1&amp;193</f>
        <v>UA193</v>
      </c>
      <c r="B203" s="60">
        <f>IF(ISERROR(VLOOKUP(A203,classifications!A:C,3,FALSE)),0,VLOOKUP(A203,classifications!A:C,3,FALSE))</f>
        <v>0</v>
      </c>
      <c r="C203" t="s">
        <v>901</v>
      </c>
      <c r="D203" t="str">
        <f>VLOOKUP($C203,classifications!$C:$J,4,FALSE)</f>
        <v>UA</v>
      </c>
      <c r="E203">
        <f>VLOOKUP(C203,classifications!C:K,9,FALSE)</f>
        <v>0</v>
      </c>
      <c r="F203">
        <f t="shared" si="68"/>
        <v>93.684210526315795</v>
      </c>
      <c r="G203" s="15"/>
      <c r="H203" s="42">
        <f t="shared" si="69"/>
        <v>93.684210526315795</v>
      </c>
      <c r="I203" s="79">
        <f>IF(H203="","",IF($I$8="A",(RANK(H203,H$11:H$349,1)+COUNTIF(H$11:H203,H203)-1),(RANK(H203,H$11:H$349)+COUNTIF(H$11:H203,H203)-1)))</f>
        <v>24</v>
      </c>
      <c r="J203" s="41"/>
      <c r="K203" s="36" t="str">
        <f t="shared" si="70"/>
        <v/>
      </c>
      <c r="L203" t="str">
        <f t="shared" si="71"/>
        <v/>
      </c>
      <c r="M203" s="117" t="str">
        <f t="shared" si="72"/>
        <v/>
      </c>
      <c r="N203" s="112" t="str">
        <f t="shared" si="73"/>
        <v/>
      </c>
      <c r="O203" s="96" t="str">
        <f t="shared" si="74"/>
        <v/>
      </c>
      <c r="P203" s="96" t="str">
        <f t="shared" si="75"/>
        <v/>
      </c>
      <c r="Q203" s="96" t="str">
        <f t="shared" si="76"/>
        <v/>
      </c>
      <c r="R203" s="92" t="str">
        <f t="shared" si="77"/>
        <v/>
      </c>
      <c r="S203" s="42" t="str">
        <f t="shared" si="78"/>
        <v/>
      </c>
      <c r="T203" s="176" t="str">
        <f>IF(L203="","",VLOOKUP(L203,classifications!C:K,9,FALSE))</f>
        <v/>
      </c>
      <c r="U203" s="177" t="str">
        <f t="shared" si="79"/>
        <v/>
      </c>
      <c r="V203" s="183" t="str">
        <f>IF(U203="","",IF($I$8="A",(RANK(U203,U$11:U$349)+COUNTIF(U$11:U203,U203)-1),(RANK(U203,U$11:U$349,1)+COUNTIF(U$11:U203,U203)-1)))</f>
        <v/>
      </c>
      <c r="W203" s="184"/>
      <c r="X203" s="5" t="str">
        <f>IF(L203="","",VLOOKUP($L203,classifications!$C:$J,6,FALSE))</f>
        <v/>
      </c>
      <c r="Y203" t="str">
        <f t="shared" si="80"/>
        <v/>
      </c>
      <c r="Z203" s="40" t="str">
        <f>IF(Y203="","",IF(I$8="A",(RANK(Y203,Y$11:Y$349,1)+COUNTIF(Y$11:Y203,Y203)-1),(RANK(Y203,Y$11:Y$349)+COUNTIF(Y$11:Y203,Y203)-1)))</f>
        <v/>
      </c>
      <c r="AA203" s="189" t="str">
        <f>IF(L203="","",VLOOKUP($L203,classifications!C:I,7,FALSE))</f>
        <v/>
      </c>
      <c r="AB203" s="183" t="str">
        <f t="shared" si="81"/>
        <v/>
      </c>
      <c r="AC203" s="183" t="str">
        <f>IF(AB203="","",IF($I$8="A",(RANK(AB203,AB$11:AB$349)+COUNTIF(AB$11:AB203,AB203)-1),(RANK(AB203,AB$11:AB$349,1)+COUNTIF(AB$11:AB203,AB203)-1)))</f>
        <v/>
      </c>
      <c r="AD203" s="183"/>
      <c r="AE203" s="49">
        <f>IF(I$8="A",(RANK(AG203,AG$11:AG$349,1)+COUNTIF(AG$11:AG203,AG203)-1),(RANK(AG203,AG$11:AG$349)+COUNTIF(AG$11:AG203,AG203)-1))</f>
        <v>193</v>
      </c>
      <c r="AF203" t="str">
        <f>VLOOKUP(Profile!$J$5,Families!$C:$R,6,FALSE)</f>
        <v>Herefordshire</v>
      </c>
      <c r="AG203" s="15">
        <f t="shared" si="82"/>
        <v>62.711864406779661</v>
      </c>
      <c r="AH203" s="50">
        <f t="shared" si="83"/>
        <v>193</v>
      </c>
      <c r="AI203" s="5" t="str">
        <f>IF(L203="","",VLOOKUP($L203,classifications!$C:$J,8,FALSE))</f>
        <v/>
      </c>
      <c r="AJ203" s="43" t="str">
        <f t="shared" si="84"/>
        <v/>
      </c>
      <c r="AK203" s="40" t="str">
        <f>IF(AJ203="","",IF(I$8="A",(RANK(AJ203,AJ$11:AJ$349,1)+COUNTIF(AJ$11:AJ203,AJ203)-1),(RANK(AJ203,AJ$11:AJ$349)+COUNTIF(AJ$11:AJ203,AJ203)-1)))</f>
        <v/>
      </c>
      <c r="AL203" s="3" t="str">
        <f t="shared" si="85"/>
        <v/>
      </c>
      <c r="AM203" t="str">
        <f t="shared" si="86"/>
        <v/>
      </c>
      <c r="AN203" t="str">
        <f t="shared" si="87"/>
        <v/>
      </c>
      <c r="AP203" s="5" t="str">
        <f>IF(L203="","",VLOOKUP($L203,classifications!$C:$E,3,FALSE))</f>
        <v/>
      </c>
      <c r="AQ203" s="43" t="str">
        <f t="shared" si="88"/>
        <v/>
      </c>
      <c r="AR203" s="40" t="str">
        <f>IF(AQ203="","",IF(I$8="A",(RANK(AQ203,AQ$11:AQ$349,1)+COUNTIF(AQ$11:AQ203,AQ203)-1),(RANK(AQ203,AQ$11:AQ$349)+COUNTIF(AQ$11:AQ203,AQ203)-1)))</f>
        <v/>
      </c>
      <c r="AS203" s="3" t="str">
        <f t="shared" si="89"/>
        <v/>
      </c>
      <c r="AT203" s="40" t="str">
        <f t="shared" si="90"/>
        <v/>
      </c>
      <c r="AU203" s="43" t="str">
        <f t="shared" si="91"/>
        <v/>
      </c>
      <c r="AX203">
        <f>HLOOKUP($AX$9&amp;$AX$10,Data!$A$1:$ZZ$1988,(MATCH($C203,Data!$A$1:$A$1988,0)),FALSE)</f>
        <v>93.684210526315795</v>
      </c>
    </row>
    <row r="204" spans="1:50">
      <c r="A204" s="59" t="str">
        <f>$D$1&amp;194</f>
        <v>UA194</v>
      </c>
      <c r="B204" s="60">
        <f>IF(ISERROR(VLOOKUP(A204,classifications!A:C,3,FALSE)),0,VLOOKUP(A204,classifications!A:C,3,FALSE))</f>
        <v>0</v>
      </c>
      <c r="C204" t="s">
        <v>278</v>
      </c>
      <c r="D204" t="str">
        <f>VLOOKUP($C204,classifications!$C:$J,4,FALSE)</f>
        <v>UA</v>
      </c>
      <c r="E204" t="str">
        <f>VLOOKUP(C204,classifications!C:K,9,FALSE)</f>
        <v>Sparse</v>
      </c>
      <c r="F204">
        <f t="shared" si="68"/>
        <v>72.972972972972968</v>
      </c>
      <c r="G204" s="15"/>
      <c r="H204" s="42">
        <f t="shared" si="69"/>
        <v>72.972972972972968</v>
      </c>
      <c r="I204" s="79">
        <f>IF(H204="","",IF($I$8="A",(RANK(H204,H$11:H$349,1)+COUNTIF(H$11:H204,H204)-1),(RANK(H204,H$11:H$349)+COUNTIF(H$11:H204,H204)-1)))</f>
        <v>50</v>
      </c>
      <c r="J204" s="41"/>
      <c r="K204" s="36" t="str">
        <f t="shared" si="70"/>
        <v/>
      </c>
      <c r="L204" t="str">
        <f t="shared" si="71"/>
        <v/>
      </c>
      <c r="M204" s="117" t="str">
        <f t="shared" si="72"/>
        <v/>
      </c>
      <c r="N204" s="112" t="str">
        <f t="shared" si="73"/>
        <v/>
      </c>
      <c r="O204" s="96" t="str">
        <f t="shared" si="74"/>
        <v/>
      </c>
      <c r="P204" s="96" t="str">
        <f t="shared" si="75"/>
        <v/>
      </c>
      <c r="Q204" s="96" t="str">
        <f t="shared" si="76"/>
        <v/>
      </c>
      <c r="R204" s="92" t="str">
        <f t="shared" si="77"/>
        <v/>
      </c>
      <c r="S204" s="42" t="str">
        <f t="shared" si="78"/>
        <v/>
      </c>
      <c r="T204" s="176" t="str">
        <f>IF(L204="","",VLOOKUP(L204,classifications!C:K,9,FALSE))</f>
        <v/>
      </c>
      <c r="U204" s="177" t="str">
        <f t="shared" si="79"/>
        <v/>
      </c>
      <c r="V204" s="183" t="str">
        <f>IF(U204="","",IF($I$8="A",(RANK(U204,U$11:U$349)+COUNTIF(U$11:U204,U204)-1),(RANK(U204,U$11:U$349,1)+COUNTIF(U$11:U204,U204)-1)))</f>
        <v/>
      </c>
      <c r="W204" s="184"/>
      <c r="X204" s="5" t="str">
        <f>IF(L204="","",VLOOKUP($L204,classifications!$C:$J,6,FALSE))</f>
        <v/>
      </c>
      <c r="Y204" t="str">
        <f t="shared" si="80"/>
        <v/>
      </c>
      <c r="Z204" s="40" t="str">
        <f>IF(Y204="","",IF(I$8="A",(RANK(Y204,Y$11:Y$349,1)+COUNTIF(Y$11:Y204,Y204)-1),(RANK(Y204,Y$11:Y$349)+COUNTIF(Y$11:Y204,Y204)-1)))</f>
        <v/>
      </c>
      <c r="AA204" s="189" t="str">
        <f>IF(L204="","",VLOOKUP($L204,classifications!C:I,7,FALSE))</f>
        <v/>
      </c>
      <c r="AB204" s="183" t="str">
        <f t="shared" si="81"/>
        <v/>
      </c>
      <c r="AC204" s="183" t="str">
        <f>IF(AB204="","",IF($I$8="A",(RANK(AB204,AB$11:AB$349)+COUNTIF(AB$11:AB204,AB204)-1),(RANK(AB204,AB$11:AB$349,1)+COUNTIF(AB$11:AB204,AB204)-1)))</f>
        <v/>
      </c>
      <c r="AD204" s="183"/>
      <c r="AE204" s="49">
        <f>IF(I$8="A",(RANK(AG204,AG$11:AG$349,1)+COUNTIF(AG$11:AG204,AG204)-1),(RANK(AG204,AG$11:AG$349)+COUNTIF(AG$11:AG204,AG204)-1))</f>
        <v>194</v>
      </c>
      <c r="AF204" t="str">
        <f>VLOOKUP(Profile!$J$5,Families!$C:$R,6,FALSE)</f>
        <v>Herefordshire</v>
      </c>
      <c r="AG204" s="15">
        <f t="shared" si="82"/>
        <v>62.711864406779661</v>
      </c>
      <c r="AH204" s="50">
        <f t="shared" si="83"/>
        <v>194</v>
      </c>
      <c r="AI204" s="5" t="str">
        <f>IF(L204="","",VLOOKUP($L204,classifications!$C:$J,8,FALSE))</f>
        <v/>
      </c>
      <c r="AJ204" s="43" t="str">
        <f t="shared" si="84"/>
        <v/>
      </c>
      <c r="AK204" s="40" t="str">
        <f>IF(AJ204="","",IF(I$8="A",(RANK(AJ204,AJ$11:AJ$349,1)+COUNTIF(AJ$11:AJ204,AJ204)-1),(RANK(AJ204,AJ$11:AJ$349)+COUNTIF(AJ$11:AJ204,AJ204)-1)))</f>
        <v/>
      </c>
      <c r="AL204" s="3" t="str">
        <f t="shared" si="85"/>
        <v/>
      </c>
      <c r="AM204" t="str">
        <f t="shared" si="86"/>
        <v/>
      </c>
      <c r="AN204" t="str">
        <f t="shared" si="87"/>
        <v/>
      </c>
      <c r="AP204" s="5" t="str">
        <f>IF(L204="","",VLOOKUP($L204,classifications!$C:$E,3,FALSE))</f>
        <v/>
      </c>
      <c r="AQ204" s="43" t="str">
        <f t="shared" si="88"/>
        <v/>
      </c>
      <c r="AR204" s="40" t="str">
        <f>IF(AQ204="","",IF(I$8="A",(RANK(AQ204,AQ$11:AQ$349,1)+COUNTIF(AQ$11:AQ204,AQ204)-1),(RANK(AQ204,AQ$11:AQ$349)+COUNTIF(AQ$11:AQ204,AQ204)-1)))</f>
        <v/>
      </c>
      <c r="AS204" s="3" t="str">
        <f t="shared" si="89"/>
        <v/>
      </c>
      <c r="AT204" s="40" t="str">
        <f t="shared" si="90"/>
        <v/>
      </c>
      <c r="AU204" s="43" t="str">
        <f t="shared" si="91"/>
        <v/>
      </c>
      <c r="AX204">
        <f>HLOOKUP($AX$9&amp;$AX$10,Data!$A$1:$ZZ$1988,(MATCH($C204,Data!$A$1:$A$1988,0)),FALSE)</f>
        <v>72.972972972972968</v>
      </c>
    </row>
    <row r="205" spans="1:50">
      <c r="A205" s="59" t="str">
        <f>$D$1&amp;195</f>
        <v>UA195</v>
      </c>
      <c r="B205" s="60">
        <f>IF(ISERROR(VLOOKUP(A205,classifications!A:C,3,FALSE)),0,VLOOKUP(A205,classifications!A:C,3,FALSE))</f>
        <v>0</v>
      </c>
      <c r="C205" t="s">
        <v>238</v>
      </c>
      <c r="D205" t="str">
        <f>VLOOKUP($C205,classifications!$C:$J,4,FALSE)</f>
        <v>MD</v>
      </c>
      <c r="E205">
        <f>VLOOKUP(C205,classifications!C:K,9,FALSE)</f>
        <v>0</v>
      </c>
      <c r="F205">
        <f t="shared" si="68"/>
        <v>100</v>
      </c>
      <c r="G205" s="15"/>
      <c r="H205" s="42" t="str">
        <f t="shared" si="69"/>
        <v/>
      </c>
      <c r="I205" s="79" t="str">
        <f>IF(H205="","",IF($I$8="A",(RANK(H205,H$11:H$349,1)+COUNTIF(H$11:H205,H205)-1),(RANK(H205,H$11:H$349)+COUNTIF(H$11:H205,H205)-1)))</f>
        <v/>
      </c>
      <c r="J205" s="41"/>
      <c r="K205" s="36" t="str">
        <f t="shared" si="70"/>
        <v/>
      </c>
      <c r="L205" t="str">
        <f t="shared" si="71"/>
        <v/>
      </c>
      <c r="M205" s="117" t="str">
        <f t="shared" si="72"/>
        <v/>
      </c>
      <c r="N205" s="112" t="str">
        <f t="shared" si="73"/>
        <v/>
      </c>
      <c r="O205" s="96" t="str">
        <f t="shared" si="74"/>
        <v/>
      </c>
      <c r="P205" s="96" t="str">
        <f t="shared" si="75"/>
        <v/>
      </c>
      <c r="Q205" s="96" t="str">
        <f t="shared" si="76"/>
        <v/>
      </c>
      <c r="R205" s="92" t="str">
        <f t="shared" si="77"/>
        <v/>
      </c>
      <c r="S205" s="42" t="str">
        <f t="shared" si="78"/>
        <v/>
      </c>
      <c r="T205" s="176" t="str">
        <f>IF(L205="","",VLOOKUP(L205,classifications!C:K,9,FALSE))</f>
        <v/>
      </c>
      <c r="U205" s="177" t="str">
        <f t="shared" si="79"/>
        <v/>
      </c>
      <c r="V205" s="183" t="str">
        <f>IF(U205="","",IF($I$8="A",(RANK(U205,U$11:U$349)+COUNTIF(U$11:U205,U205)-1),(RANK(U205,U$11:U$349,1)+COUNTIF(U$11:U205,U205)-1)))</f>
        <v/>
      </c>
      <c r="W205" s="184"/>
      <c r="X205" s="5" t="str">
        <f>IF(L205="","",VLOOKUP($L205,classifications!$C:$J,6,FALSE))</f>
        <v/>
      </c>
      <c r="Y205" t="str">
        <f t="shared" si="80"/>
        <v/>
      </c>
      <c r="Z205" s="40" t="str">
        <f>IF(Y205="","",IF(I$8="A",(RANK(Y205,Y$11:Y$349,1)+COUNTIF(Y$11:Y205,Y205)-1),(RANK(Y205,Y$11:Y$349)+COUNTIF(Y$11:Y205,Y205)-1)))</f>
        <v/>
      </c>
      <c r="AA205" s="189" t="str">
        <f>IF(L205="","",VLOOKUP($L205,classifications!C:I,7,FALSE))</f>
        <v/>
      </c>
      <c r="AB205" s="183" t="str">
        <f t="shared" si="81"/>
        <v/>
      </c>
      <c r="AC205" s="183" t="str">
        <f>IF(AB205="","",IF($I$8="A",(RANK(AB205,AB$11:AB$349)+COUNTIF(AB$11:AB205,AB205)-1),(RANK(AB205,AB$11:AB$349,1)+COUNTIF(AB$11:AB205,AB205)-1)))</f>
        <v/>
      </c>
      <c r="AD205" s="183"/>
      <c r="AE205" s="49">
        <f>IF(I$8="A",(RANK(AG205,AG$11:AG$349,1)+COUNTIF(AG$11:AG205,AG205)-1),(RANK(AG205,AG$11:AG$349)+COUNTIF(AG$11:AG205,AG205)-1))</f>
        <v>195</v>
      </c>
      <c r="AF205" t="str">
        <f>VLOOKUP(Profile!$J$5,Families!$C:$R,6,FALSE)</f>
        <v>Herefordshire</v>
      </c>
      <c r="AG205" s="15">
        <f t="shared" si="82"/>
        <v>62.711864406779661</v>
      </c>
      <c r="AH205" s="50">
        <f t="shared" si="83"/>
        <v>195</v>
      </c>
      <c r="AI205" s="5" t="str">
        <f>IF(L205="","",VLOOKUP($L205,classifications!$C:$J,8,FALSE))</f>
        <v/>
      </c>
      <c r="AJ205" s="43" t="str">
        <f t="shared" si="84"/>
        <v/>
      </c>
      <c r="AK205" s="40" t="str">
        <f>IF(AJ205="","",IF(I$8="A",(RANK(AJ205,AJ$11:AJ$349,1)+COUNTIF(AJ$11:AJ205,AJ205)-1),(RANK(AJ205,AJ$11:AJ$349)+COUNTIF(AJ$11:AJ205,AJ205)-1)))</f>
        <v/>
      </c>
      <c r="AL205" s="3" t="str">
        <f t="shared" si="85"/>
        <v/>
      </c>
      <c r="AM205" t="str">
        <f t="shared" si="86"/>
        <v/>
      </c>
      <c r="AN205" t="str">
        <f t="shared" si="87"/>
        <v/>
      </c>
      <c r="AP205" s="5" t="str">
        <f>IF(L205="","",VLOOKUP($L205,classifications!$C:$E,3,FALSE))</f>
        <v/>
      </c>
      <c r="AQ205" s="43" t="str">
        <f t="shared" si="88"/>
        <v/>
      </c>
      <c r="AR205" s="40" t="str">
        <f>IF(AQ205="","",IF(I$8="A",(RANK(AQ205,AQ$11:AQ$349,1)+COUNTIF(AQ$11:AQ205,AQ205)-1),(RANK(AQ205,AQ$11:AQ$349)+COUNTIF(AQ$11:AQ205,AQ205)-1)))</f>
        <v/>
      </c>
      <c r="AS205" s="3" t="str">
        <f t="shared" si="89"/>
        <v/>
      </c>
      <c r="AT205" s="40" t="str">
        <f t="shared" si="90"/>
        <v/>
      </c>
      <c r="AU205" s="43" t="str">
        <f t="shared" si="91"/>
        <v/>
      </c>
      <c r="AX205">
        <f>HLOOKUP($AX$9&amp;$AX$10,Data!$A$1:$ZZ$1988,(MATCH($C205,Data!$A$1:$A$1988,0)),FALSE)</f>
        <v>100</v>
      </c>
    </row>
    <row r="206" spans="1:50">
      <c r="A206" s="59" t="str">
        <f>$D$1&amp;196</f>
        <v>UA196</v>
      </c>
      <c r="B206" s="60">
        <f>IF(ISERROR(VLOOKUP(A206,classifications!A:C,3,FALSE)),0,VLOOKUP(A206,classifications!A:C,3,FALSE))</f>
        <v>0</v>
      </c>
      <c r="C206" t="s">
        <v>114</v>
      </c>
      <c r="D206" t="str">
        <f>VLOOKUP($C206,classifications!$C:$J,4,FALSE)</f>
        <v>SD</v>
      </c>
      <c r="E206">
        <f>VLOOKUP(C206,classifications!C:K,9,FALSE)</f>
        <v>0</v>
      </c>
      <c r="F206">
        <f t="shared" si="68"/>
        <v>87.5</v>
      </c>
      <c r="G206" s="15"/>
      <c r="H206" s="42" t="str">
        <f t="shared" si="69"/>
        <v/>
      </c>
      <c r="I206" s="79" t="str">
        <f>IF(H206="","",IF($I$8="A",(RANK(H206,H$11:H$349,1)+COUNTIF(H$11:H206,H206)-1),(RANK(H206,H$11:H$349)+COUNTIF(H$11:H206,H206)-1)))</f>
        <v/>
      </c>
      <c r="J206" s="41"/>
      <c r="K206" s="36" t="str">
        <f t="shared" si="70"/>
        <v/>
      </c>
      <c r="L206" t="str">
        <f t="shared" si="71"/>
        <v/>
      </c>
      <c r="M206" s="117" t="str">
        <f t="shared" si="72"/>
        <v/>
      </c>
      <c r="N206" s="112" t="str">
        <f t="shared" si="73"/>
        <v/>
      </c>
      <c r="O206" s="96" t="str">
        <f t="shared" si="74"/>
        <v/>
      </c>
      <c r="P206" s="96" t="str">
        <f t="shared" si="75"/>
        <v/>
      </c>
      <c r="Q206" s="96" t="str">
        <f t="shared" si="76"/>
        <v/>
      </c>
      <c r="R206" s="92" t="str">
        <f t="shared" si="77"/>
        <v/>
      </c>
      <c r="S206" s="42" t="str">
        <f t="shared" si="78"/>
        <v/>
      </c>
      <c r="T206" s="176" t="str">
        <f>IF(L206="","",VLOOKUP(L206,classifications!C:K,9,FALSE))</f>
        <v/>
      </c>
      <c r="U206" s="177" t="str">
        <f t="shared" si="79"/>
        <v/>
      </c>
      <c r="V206" s="183" t="str">
        <f>IF(U206="","",IF($I$8="A",(RANK(U206,U$11:U$349)+COUNTIF(U$11:U206,U206)-1),(RANK(U206,U$11:U$349,1)+COUNTIF(U$11:U206,U206)-1)))</f>
        <v/>
      </c>
      <c r="W206" s="184"/>
      <c r="X206" s="5" t="str">
        <f>IF(L206="","",VLOOKUP($L206,classifications!$C:$J,6,FALSE))</f>
        <v/>
      </c>
      <c r="Y206" t="str">
        <f t="shared" si="80"/>
        <v/>
      </c>
      <c r="Z206" s="40" t="str">
        <f>IF(Y206="","",IF(I$8="A",(RANK(Y206,Y$11:Y$349,1)+COUNTIF(Y$11:Y206,Y206)-1),(RANK(Y206,Y$11:Y$349)+COUNTIF(Y$11:Y206,Y206)-1)))</f>
        <v/>
      </c>
      <c r="AA206" s="189" t="str">
        <f>IF(L206="","",VLOOKUP($L206,classifications!C:I,7,FALSE))</f>
        <v/>
      </c>
      <c r="AB206" s="183" t="str">
        <f t="shared" si="81"/>
        <v/>
      </c>
      <c r="AC206" s="183" t="str">
        <f>IF(AB206="","",IF($I$8="A",(RANK(AB206,AB$11:AB$349)+COUNTIF(AB$11:AB206,AB206)-1),(RANK(AB206,AB$11:AB$349,1)+COUNTIF(AB$11:AB206,AB206)-1)))</f>
        <v/>
      </c>
      <c r="AD206" s="183"/>
      <c r="AE206" s="49">
        <f>IF(I$8="A",(RANK(AG206,AG$11:AG$349,1)+COUNTIF(AG$11:AG206,AG206)-1),(RANK(AG206,AG$11:AG$349)+COUNTIF(AG$11:AG206,AG206)-1))</f>
        <v>196</v>
      </c>
      <c r="AF206" t="str">
        <f>VLOOKUP(Profile!$J$5,Families!$C:$R,6,FALSE)</f>
        <v>Herefordshire</v>
      </c>
      <c r="AG206" s="15">
        <f t="shared" si="82"/>
        <v>62.711864406779661</v>
      </c>
      <c r="AH206" s="50">
        <f t="shared" si="83"/>
        <v>196</v>
      </c>
      <c r="AI206" s="5" t="str">
        <f>IF(L206="","",VLOOKUP($L206,classifications!$C:$J,8,FALSE))</f>
        <v/>
      </c>
      <c r="AJ206" s="43" t="str">
        <f t="shared" si="84"/>
        <v/>
      </c>
      <c r="AK206" s="40" t="str">
        <f>IF(AJ206="","",IF(I$8="A",(RANK(AJ206,AJ$11:AJ$349,1)+COUNTIF(AJ$11:AJ206,AJ206)-1),(RANK(AJ206,AJ$11:AJ$349)+COUNTIF(AJ$11:AJ206,AJ206)-1)))</f>
        <v/>
      </c>
      <c r="AL206" s="3" t="str">
        <f t="shared" si="85"/>
        <v/>
      </c>
      <c r="AM206" t="str">
        <f t="shared" si="86"/>
        <v/>
      </c>
      <c r="AN206" t="str">
        <f t="shared" si="87"/>
        <v/>
      </c>
      <c r="AP206" s="5" t="str">
        <f>IF(L206="","",VLOOKUP($L206,classifications!$C:$E,3,FALSE))</f>
        <v/>
      </c>
      <c r="AQ206" s="43" t="str">
        <f t="shared" si="88"/>
        <v/>
      </c>
      <c r="AR206" s="40" t="str">
        <f>IF(AQ206="","",IF(I$8="A",(RANK(AQ206,AQ$11:AQ$349,1)+COUNTIF(AQ$11:AQ206,AQ206)-1),(RANK(AQ206,AQ$11:AQ$349)+COUNTIF(AQ$11:AQ206,AQ206)-1)))</f>
        <v/>
      </c>
      <c r="AS206" s="3" t="str">
        <f t="shared" si="89"/>
        <v/>
      </c>
      <c r="AT206" s="40" t="str">
        <f t="shared" si="90"/>
        <v/>
      </c>
      <c r="AU206" s="43" t="str">
        <f t="shared" si="91"/>
        <v/>
      </c>
      <c r="AX206">
        <f>HLOOKUP($AX$9&amp;$AX$10,Data!$A$1:$ZZ$1988,(MATCH($C206,Data!$A$1:$A$1988,0)),FALSE)</f>
        <v>87.5</v>
      </c>
    </row>
    <row r="207" spans="1:50">
      <c r="A207" s="59" t="str">
        <f>$D$1&amp;197</f>
        <v>UA197</v>
      </c>
      <c r="B207" s="60">
        <f>IF(ISERROR(VLOOKUP(A207,classifications!A:C,3,FALSE)),0,VLOOKUP(A207,classifications!A:C,3,FALSE))</f>
        <v>0</v>
      </c>
      <c r="C207" t="s">
        <v>115</v>
      </c>
      <c r="D207" t="str">
        <f>VLOOKUP($C207,classifications!$C:$J,4,FALSE)</f>
        <v>SD</v>
      </c>
      <c r="E207">
        <f>VLOOKUP(C207,classifications!C:K,9,FALSE)</f>
        <v>0</v>
      </c>
      <c r="F207">
        <f t="shared" si="68"/>
        <v>93.181818181818173</v>
      </c>
      <c r="G207" s="15"/>
      <c r="H207" s="42" t="str">
        <f t="shared" si="69"/>
        <v/>
      </c>
      <c r="I207" s="79" t="str">
        <f>IF(H207="","",IF($I$8="A",(RANK(H207,H$11:H$349,1)+COUNTIF(H$11:H207,H207)-1),(RANK(H207,H$11:H$349)+COUNTIF(H$11:H207,H207)-1)))</f>
        <v/>
      </c>
      <c r="J207" s="41"/>
      <c r="K207" s="36" t="str">
        <f t="shared" si="70"/>
        <v/>
      </c>
      <c r="L207" t="str">
        <f t="shared" si="71"/>
        <v/>
      </c>
      <c r="M207" s="117" t="str">
        <f t="shared" si="72"/>
        <v/>
      </c>
      <c r="N207" s="112" t="str">
        <f t="shared" si="73"/>
        <v/>
      </c>
      <c r="O207" s="96" t="str">
        <f t="shared" si="74"/>
        <v/>
      </c>
      <c r="P207" s="96" t="str">
        <f t="shared" si="75"/>
        <v/>
      </c>
      <c r="Q207" s="96" t="str">
        <f t="shared" si="76"/>
        <v/>
      </c>
      <c r="R207" s="92" t="str">
        <f t="shared" si="77"/>
        <v/>
      </c>
      <c r="S207" s="42" t="str">
        <f t="shared" si="78"/>
        <v/>
      </c>
      <c r="T207" s="176" t="str">
        <f>IF(L207="","",VLOOKUP(L207,classifications!C:K,9,FALSE))</f>
        <v/>
      </c>
      <c r="U207" s="177" t="str">
        <f t="shared" si="79"/>
        <v/>
      </c>
      <c r="V207" s="183" t="str">
        <f>IF(U207="","",IF($I$8="A",(RANK(U207,U$11:U$349)+COUNTIF(U$11:U207,U207)-1),(RANK(U207,U$11:U$349,1)+COUNTIF(U$11:U207,U207)-1)))</f>
        <v/>
      </c>
      <c r="W207" s="184"/>
      <c r="X207" s="5" t="str">
        <f>IF(L207="","",VLOOKUP($L207,classifications!$C:$J,6,FALSE))</f>
        <v/>
      </c>
      <c r="Y207" t="str">
        <f t="shared" si="80"/>
        <v/>
      </c>
      <c r="Z207" s="40" t="str">
        <f>IF(Y207="","",IF(I$8="A",(RANK(Y207,Y$11:Y$349,1)+COUNTIF(Y$11:Y207,Y207)-1),(RANK(Y207,Y$11:Y$349)+COUNTIF(Y$11:Y207,Y207)-1)))</f>
        <v/>
      </c>
      <c r="AA207" s="189" t="str">
        <f>IF(L207="","",VLOOKUP($L207,classifications!C:I,7,FALSE))</f>
        <v/>
      </c>
      <c r="AB207" s="183" t="str">
        <f t="shared" si="81"/>
        <v/>
      </c>
      <c r="AC207" s="183" t="str">
        <f>IF(AB207="","",IF($I$8="A",(RANK(AB207,AB$11:AB$349)+COUNTIF(AB$11:AB207,AB207)-1),(RANK(AB207,AB$11:AB$349,1)+COUNTIF(AB$11:AB207,AB207)-1)))</f>
        <v/>
      </c>
      <c r="AD207" s="183"/>
      <c r="AE207" s="49">
        <f>IF(I$8="A",(RANK(AG207,AG$11:AG$349,1)+COUNTIF(AG$11:AG207,AG207)-1),(RANK(AG207,AG$11:AG$349)+COUNTIF(AG$11:AG207,AG207)-1))</f>
        <v>197</v>
      </c>
      <c r="AF207" t="str">
        <f>VLOOKUP(Profile!$J$5,Families!$C:$R,6,FALSE)</f>
        <v>Herefordshire</v>
      </c>
      <c r="AG207" s="15">
        <f t="shared" si="82"/>
        <v>62.711864406779661</v>
      </c>
      <c r="AH207" s="50">
        <f t="shared" si="83"/>
        <v>197</v>
      </c>
      <c r="AI207" s="5" t="str">
        <f>IF(L207="","",VLOOKUP($L207,classifications!$C:$J,8,FALSE))</f>
        <v/>
      </c>
      <c r="AJ207" s="43" t="str">
        <f t="shared" si="84"/>
        <v/>
      </c>
      <c r="AK207" s="40" t="str">
        <f>IF(AJ207="","",IF(I$8="A",(RANK(AJ207,AJ$11:AJ$349,1)+COUNTIF(AJ$11:AJ207,AJ207)-1),(RANK(AJ207,AJ$11:AJ$349)+COUNTIF(AJ$11:AJ207,AJ207)-1)))</f>
        <v/>
      </c>
      <c r="AL207" s="3" t="str">
        <f t="shared" si="85"/>
        <v/>
      </c>
      <c r="AM207" t="str">
        <f t="shared" si="86"/>
        <v/>
      </c>
      <c r="AN207" t="str">
        <f t="shared" si="87"/>
        <v/>
      </c>
      <c r="AP207" s="5" t="str">
        <f>IF(L207="","",VLOOKUP($L207,classifications!$C:$E,3,FALSE))</f>
        <v/>
      </c>
      <c r="AQ207" s="43" t="str">
        <f t="shared" si="88"/>
        <v/>
      </c>
      <c r="AR207" s="40" t="str">
        <f>IF(AQ207="","",IF(I$8="A",(RANK(AQ207,AQ$11:AQ$349,1)+COUNTIF(AQ$11:AQ207,AQ207)-1),(RANK(AQ207,AQ$11:AQ$349)+COUNTIF(AQ$11:AQ207,AQ207)-1)))</f>
        <v/>
      </c>
      <c r="AS207" s="3" t="str">
        <f t="shared" si="89"/>
        <v/>
      </c>
      <c r="AT207" s="40" t="str">
        <f t="shared" si="90"/>
        <v/>
      </c>
      <c r="AU207" s="43" t="str">
        <f t="shared" si="91"/>
        <v/>
      </c>
      <c r="AX207">
        <f>HLOOKUP($AX$9&amp;$AX$10,Data!$A$1:$ZZ$1988,(MATCH($C207,Data!$A$1:$A$1988,0)),FALSE)</f>
        <v>93.181818181818173</v>
      </c>
    </row>
    <row r="208" spans="1:50">
      <c r="A208" s="59" t="str">
        <f>$D$1&amp;198</f>
        <v>UA198</v>
      </c>
      <c r="B208" s="60">
        <f>IF(ISERROR(VLOOKUP(A208,classifications!A:C,3,FALSE)),0,VLOOKUP(A208,classifications!A:C,3,FALSE))</f>
        <v>0</v>
      </c>
      <c r="C208" t="s">
        <v>320</v>
      </c>
      <c r="D208" t="str">
        <f>VLOOKUP($C208,classifications!$C:$J,4,FALSE)</f>
        <v>SC</v>
      </c>
      <c r="E208" t="str">
        <f>VLOOKUP(C208,classifications!C:K,9,FALSE)</f>
        <v>Sparse</v>
      </c>
      <c r="F208" t="e">
        <f t="shared" si="68"/>
        <v>#N/A</v>
      </c>
      <c r="G208" s="15"/>
      <c r="H208" s="42" t="str">
        <f t="shared" si="69"/>
        <v/>
      </c>
      <c r="I208" s="79" t="str">
        <f>IF(H208="","",IF($I$8="A",(RANK(H208,H$11:H$349,1)+COUNTIF(H$11:H208,H208)-1),(RANK(H208,H$11:H$349)+COUNTIF(H$11:H208,H208)-1)))</f>
        <v/>
      </c>
      <c r="J208" s="41"/>
      <c r="K208" s="36" t="str">
        <f t="shared" si="70"/>
        <v/>
      </c>
      <c r="L208" t="str">
        <f t="shared" si="71"/>
        <v/>
      </c>
      <c r="M208" s="117" t="str">
        <f t="shared" si="72"/>
        <v/>
      </c>
      <c r="N208" s="112" t="str">
        <f t="shared" si="73"/>
        <v/>
      </c>
      <c r="O208" s="96" t="str">
        <f t="shared" si="74"/>
        <v/>
      </c>
      <c r="P208" s="96" t="str">
        <f t="shared" si="75"/>
        <v/>
      </c>
      <c r="Q208" s="96" t="str">
        <f t="shared" si="76"/>
        <v/>
      </c>
      <c r="R208" s="92" t="str">
        <f t="shared" si="77"/>
        <v/>
      </c>
      <c r="S208" s="42" t="str">
        <f t="shared" si="78"/>
        <v/>
      </c>
      <c r="T208" s="176" t="str">
        <f>IF(L208="","",VLOOKUP(L208,classifications!C:K,9,FALSE))</f>
        <v/>
      </c>
      <c r="U208" s="177" t="str">
        <f t="shared" si="79"/>
        <v/>
      </c>
      <c r="V208" s="183" t="str">
        <f>IF(U208="","",IF($I$8="A",(RANK(U208,U$11:U$349)+COUNTIF(U$11:U208,U208)-1),(RANK(U208,U$11:U$349,1)+COUNTIF(U$11:U208,U208)-1)))</f>
        <v/>
      </c>
      <c r="W208" s="184"/>
      <c r="X208" s="5" t="str">
        <f>IF(L208="","",VLOOKUP($L208,classifications!$C:$J,6,FALSE))</f>
        <v/>
      </c>
      <c r="Y208" t="str">
        <f t="shared" si="80"/>
        <v/>
      </c>
      <c r="Z208" s="40" t="str">
        <f>IF(Y208="","",IF(I$8="A",(RANK(Y208,Y$11:Y$349,1)+COUNTIF(Y$11:Y208,Y208)-1),(RANK(Y208,Y$11:Y$349)+COUNTIF(Y$11:Y208,Y208)-1)))</f>
        <v/>
      </c>
      <c r="AA208" s="189" t="str">
        <f>IF(L208="","",VLOOKUP($L208,classifications!C:I,7,FALSE))</f>
        <v/>
      </c>
      <c r="AB208" s="183" t="str">
        <f t="shared" si="81"/>
        <v/>
      </c>
      <c r="AC208" s="183" t="str">
        <f>IF(AB208="","",IF($I$8="A",(RANK(AB208,AB$11:AB$349)+COUNTIF(AB$11:AB208,AB208)-1),(RANK(AB208,AB$11:AB$349,1)+COUNTIF(AB$11:AB208,AB208)-1)))</f>
        <v/>
      </c>
      <c r="AD208" s="183"/>
      <c r="AE208" s="49">
        <f>IF(I$8="A",(RANK(AG208,AG$11:AG$349,1)+COUNTIF(AG$11:AG208,AG208)-1),(RANK(AG208,AG$11:AG$349)+COUNTIF(AG$11:AG208,AG208)-1))</f>
        <v>198</v>
      </c>
      <c r="AF208" t="str">
        <f>VLOOKUP(Profile!$J$5,Families!$C:$R,6,FALSE)</f>
        <v>Herefordshire</v>
      </c>
      <c r="AG208" s="15">
        <f t="shared" si="82"/>
        <v>62.711864406779661</v>
      </c>
      <c r="AH208" s="50">
        <f t="shared" si="83"/>
        <v>198</v>
      </c>
      <c r="AI208" s="5" t="str">
        <f>IF(L208="","",VLOOKUP($L208,classifications!$C:$J,8,FALSE))</f>
        <v/>
      </c>
      <c r="AJ208" s="43" t="str">
        <f t="shared" si="84"/>
        <v/>
      </c>
      <c r="AK208" s="40" t="str">
        <f>IF(AJ208="","",IF(I$8="A",(RANK(AJ208,AJ$11:AJ$349,1)+COUNTIF(AJ$11:AJ208,AJ208)-1),(RANK(AJ208,AJ$11:AJ$349)+COUNTIF(AJ$11:AJ208,AJ208)-1)))</f>
        <v/>
      </c>
      <c r="AL208" s="3" t="str">
        <f t="shared" si="85"/>
        <v/>
      </c>
      <c r="AM208" t="str">
        <f t="shared" si="86"/>
        <v/>
      </c>
      <c r="AN208" t="str">
        <f t="shared" si="87"/>
        <v/>
      </c>
      <c r="AP208" s="5" t="str">
        <f>IF(L208="","",VLOOKUP($L208,classifications!$C:$E,3,FALSE))</f>
        <v/>
      </c>
      <c r="AQ208" s="43" t="str">
        <f t="shared" si="88"/>
        <v/>
      </c>
      <c r="AR208" s="40" t="str">
        <f>IF(AQ208="","",IF(I$8="A",(RANK(AQ208,AQ$11:AQ$349,1)+COUNTIF(AQ$11:AQ208,AQ208)-1),(RANK(AQ208,AQ$11:AQ$349)+COUNTIF(AQ$11:AQ208,AQ208)-1)))</f>
        <v/>
      </c>
      <c r="AS208" s="3" t="str">
        <f t="shared" si="89"/>
        <v/>
      </c>
      <c r="AT208" s="40" t="str">
        <f t="shared" si="90"/>
        <v/>
      </c>
      <c r="AU208" s="43" t="str">
        <f t="shared" si="91"/>
        <v/>
      </c>
      <c r="AX208" t="e">
        <f>HLOOKUP($AX$9&amp;$AX$10,Data!$A$1:$ZZ$1988,(MATCH($C208,Data!$A$1:$A$1988,0)),FALSE)</f>
        <v>#N/A</v>
      </c>
    </row>
    <row r="209" spans="1:50">
      <c r="A209" s="59" t="str">
        <f>$D$1&amp;199</f>
        <v>UA199</v>
      </c>
      <c r="B209" s="60">
        <f>IF(ISERROR(VLOOKUP(A209,classifications!A:C,3,FALSE)),0,VLOOKUP(A209,classifications!A:C,3,FALSE))</f>
        <v>0</v>
      </c>
      <c r="C209" t="s">
        <v>322</v>
      </c>
      <c r="D209" t="str">
        <f>VLOOKUP($C209,classifications!$C:$J,4,FALSE)</f>
        <v>UA</v>
      </c>
      <c r="E209" t="str">
        <f>VLOOKUP(C209,classifications!C:K,9,FALSE)</f>
        <v>Sparse</v>
      </c>
      <c r="F209">
        <f t="shared" ref="F209:F272" si="92">HLOOKUP($D$6,AX$10:ZX$353,ROW()-9,FALSE)</f>
        <v>80</v>
      </c>
      <c r="G209" s="15"/>
      <c r="H209" s="42">
        <f t="shared" ref="H209:H272" si="93">IF(D209=$D$1,HLOOKUP($D$6,$AX$10:$ZZ$353,ROW()-9,FALSE),"")</f>
        <v>80</v>
      </c>
      <c r="I209" s="79">
        <f>IF(H209="","",IF($I$8="A",(RANK(H209,H$11:H$349,1)+COUNTIF(H$11:H209,H209)-1),(RANK(H209,H$11:H$349)+COUNTIF(H$11:H209,H209)-1)))</f>
        <v>46</v>
      </c>
      <c r="J209" s="41"/>
      <c r="K209" s="36" t="str">
        <f t="shared" ref="K209:K272" si="94">IF(K208="","",IF(K208+1&gt;(COUNT(H$11:H$349)),"",K208+1))</f>
        <v/>
      </c>
      <c r="L209" t="str">
        <f t="shared" ref="L209:L272" si="95">IF(K209="","",INDEX(C$11:C$349,MATCH(K209,I$11:I$349,0)))</f>
        <v/>
      </c>
      <c r="M209" s="117" t="str">
        <f t="shared" ref="M209:M272" si="96">IF(L209="","",IF(VLOOKUP(L209,C:D,2,FALSE)=$F$3,VLOOKUP(L209,C:H,6,FALSE),""))</f>
        <v/>
      </c>
      <c r="N209" s="112" t="str">
        <f t="shared" ref="N209:N272" si="97">IF(L209="","",IF($H$8="%%",M209*100,M209))</f>
        <v/>
      </c>
      <c r="O209" s="96" t="str">
        <f t="shared" ref="O209:O272" si="98">IF(I$8="A",IF(N209&gt;=$P$7,IF(N209&lt;=$O$10,N209,""),""),IF(N209&lt;=$P$7,IF(N209&gt;=$O$10,N209,""),""))</f>
        <v/>
      </c>
      <c r="P209" s="96" t="str">
        <f t="shared" ref="P209:P272" si="99">IF(I$8="A",IF(N209&gt;$O$10,IF(N209&lt;=$P$10,N209,""),""),IF(N209&lt;$O$10,IF(N209&gt;=$P$10,N209,""),""))</f>
        <v/>
      </c>
      <c r="Q209" s="96" t="str">
        <f t="shared" ref="Q209:Q272" si="100">IF(I$8="A",IF(N209&gt;$P$10,IF(N209&lt;=$Q$10,N209,""),""),IF(N209&lt;$P$10,IF(N209&gt;=$Q$10,N209,""),""))</f>
        <v/>
      </c>
      <c r="R209" s="92" t="str">
        <f t="shared" ref="R209:R272" si="101">IF(I$8="A",IF(N209&gt;$Q$10,N209,""),IF(N209&lt;$Q$10,N209,""))</f>
        <v/>
      </c>
      <c r="S209" s="42" t="str">
        <f t="shared" ref="S209:S272" si="102">IF(L209=D$3,"u","")</f>
        <v/>
      </c>
      <c r="T209" s="176" t="str">
        <f>IF(L209="","",VLOOKUP(L209,classifications!C:K,9,FALSE))</f>
        <v/>
      </c>
      <c r="U209" s="177" t="str">
        <f t="shared" ref="U209:U272" si="103">IF(T209="Sparse",M209,"")</f>
        <v/>
      </c>
      <c r="V209" s="183" t="str">
        <f>IF(U209="","",IF($I$8="A",(RANK(U209,U$11:U$349)+COUNTIF(U$11:U209,U209)-1),(RANK(U209,U$11:U$349,1)+COUNTIF(U$11:U209,U209)-1)))</f>
        <v/>
      </c>
      <c r="W209" s="184"/>
      <c r="X209" s="5" t="str">
        <f>IF(L209="","",VLOOKUP($L209,classifications!$C:$J,6,FALSE))</f>
        <v/>
      </c>
      <c r="Y209" t="str">
        <f t="shared" ref="Y209:Y272" si="104">IF($D$1="UA",IF(X209="Predominantly Rural ",M209,IF(X209="Predominantly Rural ",M209,IF(X209="Urban with Significant Rural",M209,""))),IF($D$1="SD",IF(X209=$H$3,M209,"")))</f>
        <v/>
      </c>
      <c r="Z209" s="40" t="str">
        <f>IF(Y209="","",IF(I$8="A",(RANK(Y209,Y$11:Y$349,1)+COUNTIF(Y$11:Y209,Y209)-1),(RANK(Y209,Y$11:Y$349)+COUNTIF(Y$11:Y209,Y209)-1)))</f>
        <v/>
      </c>
      <c r="AA209" s="189" t="str">
        <f>IF(L209="","",VLOOKUP($L209,classifications!C:I,7,FALSE))</f>
        <v/>
      </c>
      <c r="AB209" s="183" t="str">
        <f t="shared" ref="AB209:AB272" si="105">IF(AA209=$J$3,M209,"")</f>
        <v/>
      </c>
      <c r="AC209" s="183" t="str">
        <f>IF(AB209="","",IF($I$8="A",(RANK(AB209,AB$11:AB$349)+COUNTIF(AB$11:AB209,AB209)-1),(RANK(AB209,AB$11:AB$349,1)+COUNTIF(AB$11:AB209,AB209)-1)))</f>
        <v/>
      </c>
      <c r="AD209" s="183"/>
      <c r="AE209" s="49">
        <f>IF(I$8="A",(RANK(AG209,AG$11:AG$349,1)+COUNTIF(AG$11:AG209,AG209)-1),(RANK(AG209,AG$11:AG$349)+COUNTIF(AG$11:AG209,AG209)-1))</f>
        <v>199</v>
      </c>
      <c r="AF209" t="str">
        <f>VLOOKUP(Profile!$J$5,Families!$C:$R,6,FALSE)</f>
        <v>Herefordshire</v>
      </c>
      <c r="AG209" s="15">
        <f t="shared" ref="AG209:AG272" si="106">VLOOKUP(AF209,$C$11:$H$349,4,FALSE)</f>
        <v>62.711864406779661</v>
      </c>
      <c r="AH209" s="50">
        <f t="shared" ref="AH209:AH272" si="107">AE209</f>
        <v>199</v>
      </c>
      <c r="AI209" s="5" t="str">
        <f>IF(L209="","",VLOOKUP($L209,classifications!$C:$J,8,FALSE))</f>
        <v/>
      </c>
      <c r="AJ209" s="43" t="str">
        <f t="shared" ref="AJ209:AJ272" si="108">IF(AI209=$I$3,M209,"")</f>
        <v/>
      </c>
      <c r="AK209" s="40" t="str">
        <f>IF(AJ209="","",IF(I$8="A",(RANK(AJ209,AJ$11:AJ$349,1)+COUNTIF(AJ$11:AJ209,AJ209)-1),(RANK(AJ209,AJ$11:AJ$349)+COUNTIF(AJ$11:AJ209,AJ209)-1)))</f>
        <v/>
      </c>
      <c r="AL209" s="3" t="str">
        <f t="shared" ref="AL209:AL272" si="109">IF(AL208="","",IF(AL208+1&gt;(COUNT(AJ$11:AJ$349)),"",AL208+1))</f>
        <v/>
      </c>
      <c r="AM209" t="str">
        <f t="shared" ref="AM209:AM272" si="110">IF(ISNA(IF(AL209="","",INDEX(L$11:L$349,MATCH(AL209,AK$11:AK$349,0)))),"",(IF(AL209="","",INDEX(L$11:L$349,MATCH(AL209,AK$11:AK$349,0)))))</f>
        <v/>
      </c>
      <c r="AN209" t="str">
        <f t="shared" ref="AN209:AN272" si="111">(VLOOKUP(AM209,L:M,2,FALSE))</f>
        <v/>
      </c>
      <c r="AP209" s="5" t="str">
        <f>IF(L209="","",VLOOKUP($L209,classifications!$C:$E,3,FALSE))</f>
        <v/>
      </c>
      <c r="AQ209" s="43" t="str">
        <f t="shared" ref="AQ209:AQ272" si="112">IF(AP209=$G$3,$M209,"")</f>
        <v/>
      </c>
      <c r="AR209" s="40" t="str">
        <f>IF(AQ209="","",IF(I$8="A",(RANK(AQ209,AQ$11:AQ$349,1)+COUNTIF(AQ$11:AQ209,AQ209)-1),(RANK(AQ209,AQ$11:AQ$349)+COUNTIF(AQ$11:AQ209,AQ209)-1)))</f>
        <v/>
      </c>
      <c r="AS209" s="3" t="str">
        <f t="shared" ref="AS209:AS272" si="113">IF(AS208="","",IF(AS208+1&gt;(COUNT(AQ$11:AQ$349)),"",AS208+1))</f>
        <v/>
      </c>
      <c r="AT209" s="40" t="str">
        <f t="shared" ref="AT209:AT272" si="114">IF(AS209="","",INDEX(L$11:L$349,MATCH(AS209,AR$11:AR$349,0)))</f>
        <v/>
      </c>
      <c r="AU209" s="43" t="str">
        <f t="shared" ref="AU209:AU272" si="115">IF(AT209="","",VLOOKUP(AT209,L:M,2,FALSE))</f>
        <v/>
      </c>
      <c r="AX209">
        <f>HLOOKUP($AX$9&amp;$AX$10,Data!$A$1:$ZZ$1988,(MATCH($C209,Data!$A$1:$A$1988,0)),FALSE)</f>
        <v>80</v>
      </c>
    </row>
    <row r="210" spans="1:50">
      <c r="A210" s="59" t="str">
        <f>$D$1&amp;200</f>
        <v>UA200</v>
      </c>
      <c r="B210" s="60">
        <f>IF(ISERROR(VLOOKUP(A210,classifications!A:C,3,FALSE)),0,VLOOKUP(A210,classifications!A:C,3,FALSE))</f>
        <v>0</v>
      </c>
      <c r="C210" t="s">
        <v>117</v>
      </c>
      <c r="D210" t="str">
        <f>VLOOKUP($C210,classifications!$C:$J,4,FALSE)</f>
        <v>SD</v>
      </c>
      <c r="E210">
        <f>VLOOKUP(C210,classifications!C:K,9,FALSE)</f>
        <v>0</v>
      </c>
      <c r="F210">
        <f t="shared" si="92"/>
        <v>72.727272727272734</v>
      </c>
      <c r="G210" s="15"/>
      <c r="H210" s="42" t="str">
        <f t="shared" si="93"/>
        <v/>
      </c>
      <c r="I210" s="79" t="str">
        <f>IF(H210="","",IF($I$8="A",(RANK(H210,H$11:H$349,1)+COUNTIF(H$11:H210,H210)-1),(RANK(H210,H$11:H$349)+COUNTIF(H$11:H210,H210)-1)))</f>
        <v/>
      </c>
      <c r="J210" s="41"/>
      <c r="K210" s="36" t="str">
        <f t="shared" si="94"/>
        <v/>
      </c>
      <c r="L210" t="str">
        <f t="shared" si="95"/>
        <v/>
      </c>
      <c r="M210" s="117" t="str">
        <f t="shared" si="96"/>
        <v/>
      </c>
      <c r="N210" s="112" t="str">
        <f t="shared" si="97"/>
        <v/>
      </c>
      <c r="O210" s="96" t="str">
        <f t="shared" si="98"/>
        <v/>
      </c>
      <c r="P210" s="96" t="str">
        <f t="shared" si="99"/>
        <v/>
      </c>
      <c r="Q210" s="96" t="str">
        <f t="shared" si="100"/>
        <v/>
      </c>
      <c r="R210" s="92" t="str">
        <f t="shared" si="101"/>
        <v/>
      </c>
      <c r="S210" s="42" t="str">
        <f t="shared" si="102"/>
        <v/>
      </c>
      <c r="T210" s="176" t="str">
        <f>IF(L210="","",VLOOKUP(L210,classifications!C:K,9,FALSE))</f>
        <v/>
      </c>
      <c r="U210" s="177" t="str">
        <f t="shared" si="103"/>
        <v/>
      </c>
      <c r="V210" s="183" t="str">
        <f>IF(U210="","",IF($I$8="A",(RANK(U210,U$11:U$349)+COUNTIF(U$11:U210,U210)-1),(RANK(U210,U$11:U$349,1)+COUNTIF(U$11:U210,U210)-1)))</f>
        <v/>
      </c>
      <c r="W210" s="184"/>
      <c r="X210" s="5" t="str">
        <f>IF(L210="","",VLOOKUP($L210,classifications!$C:$J,6,FALSE))</f>
        <v/>
      </c>
      <c r="Y210" t="str">
        <f t="shared" si="104"/>
        <v/>
      </c>
      <c r="Z210" s="40" t="str">
        <f>IF(Y210="","",IF(I$8="A",(RANK(Y210,Y$11:Y$349,1)+COUNTIF(Y$11:Y210,Y210)-1),(RANK(Y210,Y$11:Y$349)+COUNTIF(Y$11:Y210,Y210)-1)))</f>
        <v/>
      </c>
      <c r="AA210" s="189" t="str">
        <f>IF(L210="","",VLOOKUP($L210,classifications!C:I,7,FALSE))</f>
        <v/>
      </c>
      <c r="AB210" s="183" t="str">
        <f t="shared" si="105"/>
        <v/>
      </c>
      <c r="AC210" s="183" t="str">
        <f>IF(AB210="","",IF($I$8="A",(RANK(AB210,AB$11:AB$349)+COUNTIF(AB$11:AB210,AB210)-1),(RANK(AB210,AB$11:AB$349,1)+COUNTIF(AB$11:AB210,AB210)-1)))</f>
        <v/>
      </c>
      <c r="AD210" s="183"/>
      <c r="AE210" s="49">
        <f>IF(I$8="A",(RANK(AG210,AG$11:AG$349,1)+COUNTIF(AG$11:AG210,AG210)-1),(RANK(AG210,AG$11:AG$349)+COUNTIF(AG$11:AG210,AG210)-1))</f>
        <v>200</v>
      </c>
      <c r="AF210" t="str">
        <f>VLOOKUP(Profile!$J$5,Families!$C:$R,6,FALSE)</f>
        <v>Herefordshire</v>
      </c>
      <c r="AG210" s="15">
        <f t="shared" si="106"/>
        <v>62.711864406779661</v>
      </c>
      <c r="AH210" s="50">
        <f t="shared" si="107"/>
        <v>200</v>
      </c>
      <c r="AI210" s="5" t="str">
        <f>IF(L210="","",VLOOKUP($L210,classifications!$C:$J,8,FALSE))</f>
        <v/>
      </c>
      <c r="AJ210" s="43" t="str">
        <f t="shared" si="108"/>
        <v/>
      </c>
      <c r="AK210" s="40" t="str">
        <f>IF(AJ210="","",IF(I$8="A",(RANK(AJ210,AJ$11:AJ$349,1)+COUNTIF(AJ$11:AJ210,AJ210)-1),(RANK(AJ210,AJ$11:AJ$349)+COUNTIF(AJ$11:AJ210,AJ210)-1)))</f>
        <v/>
      </c>
      <c r="AL210" s="3" t="str">
        <f t="shared" si="109"/>
        <v/>
      </c>
      <c r="AM210" t="str">
        <f t="shared" si="110"/>
        <v/>
      </c>
      <c r="AN210" t="str">
        <f t="shared" si="111"/>
        <v/>
      </c>
      <c r="AP210" s="5" t="str">
        <f>IF(L210="","",VLOOKUP($L210,classifications!$C:$E,3,FALSE))</f>
        <v/>
      </c>
      <c r="AQ210" s="43" t="str">
        <f t="shared" si="112"/>
        <v/>
      </c>
      <c r="AR210" s="40" t="str">
        <f>IF(AQ210="","",IF(I$8="A",(RANK(AQ210,AQ$11:AQ$349,1)+COUNTIF(AQ$11:AQ210,AQ210)-1),(RANK(AQ210,AQ$11:AQ$349)+COUNTIF(AQ$11:AQ210,AQ210)-1)))</f>
        <v/>
      </c>
      <c r="AS210" s="3" t="str">
        <f t="shared" si="113"/>
        <v/>
      </c>
      <c r="AT210" s="40" t="str">
        <f t="shared" si="114"/>
        <v/>
      </c>
      <c r="AU210" s="43" t="str">
        <f t="shared" si="115"/>
        <v/>
      </c>
      <c r="AX210">
        <f>HLOOKUP($AX$9&amp;$AX$10,Data!$A$1:$ZZ$1988,(MATCH($C210,Data!$A$1:$A$1988,0)),FALSE)</f>
        <v>72.727272727272734</v>
      </c>
    </row>
    <row r="211" spans="1:50">
      <c r="A211" s="59" t="str">
        <f>$D$1&amp;201</f>
        <v>UA201</v>
      </c>
      <c r="B211" s="60">
        <f>IF(ISERROR(VLOOKUP(A211,classifications!A:C,3,FALSE)),0,VLOOKUP(A211,classifications!A:C,3,FALSE))</f>
        <v>0</v>
      </c>
      <c r="C211" t="s">
        <v>279</v>
      </c>
      <c r="D211" t="str">
        <f>VLOOKUP($C211,classifications!$C:$J,4,FALSE)</f>
        <v>UA</v>
      </c>
      <c r="E211">
        <f>VLOOKUP(C211,classifications!C:K,9,FALSE)</f>
        <v>0</v>
      </c>
      <c r="F211">
        <f t="shared" si="92"/>
        <v>94.444444444444443</v>
      </c>
      <c r="G211" s="15"/>
      <c r="H211" s="42">
        <f t="shared" si="93"/>
        <v>94.444444444444443</v>
      </c>
      <c r="I211" s="79">
        <f>IF(H211="","",IF($I$8="A",(RANK(H211,H$11:H$349,1)+COUNTIF(H$11:H211,H211)-1),(RANK(H211,H$11:H$349)+COUNTIF(H$11:H211,H211)-1)))</f>
        <v>19</v>
      </c>
      <c r="J211" s="41"/>
      <c r="K211" s="36" t="str">
        <f t="shared" si="94"/>
        <v/>
      </c>
      <c r="L211" t="str">
        <f t="shared" si="95"/>
        <v/>
      </c>
      <c r="M211" s="117" t="str">
        <f t="shared" si="96"/>
        <v/>
      </c>
      <c r="N211" s="112" t="str">
        <f t="shared" si="97"/>
        <v/>
      </c>
      <c r="O211" s="96" t="str">
        <f t="shared" si="98"/>
        <v/>
      </c>
      <c r="P211" s="96" t="str">
        <f t="shared" si="99"/>
        <v/>
      </c>
      <c r="Q211" s="96" t="str">
        <f t="shared" si="100"/>
        <v/>
      </c>
      <c r="R211" s="92" t="str">
        <f t="shared" si="101"/>
        <v/>
      </c>
      <c r="S211" s="42" t="str">
        <f t="shared" si="102"/>
        <v/>
      </c>
      <c r="T211" s="176" t="str">
        <f>IF(L211="","",VLOOKUP(L211,classifications!C:K,9,FALSE))</f>
        <v/>
      </c>
      <c r="U211" s="177" t="str">
        <f t="shared" si="103"/>
        <v/>
      </c>
      <c r="V211" s="183" t="str">
        <f>IF(U211="","",IF($I$8="A",(RANK(U211,U$11:U$349)+COUNTIF(U$11:U211,U211)-1),(RANK(U211,U$11:U$349,1)+COUNTIF(U$11:U211,U211)-1)))</f>
        <v/>
      </c>
      <c r="W211" s="184"/>
      <c r="X211" s="5" t="str">
        <f>IF(L211="","",VLOOKUP($L211,classifications!$C:$J,6,FALSE))</f>
        <v/>
      </c>
      <c r="Y211" t="str">
        <f t="shared" si="104"/>
        <v/>
      </c>
      <c r="Z211" s="40" t="str">
        <f>IF(Y211="","",IF(I$8="A",(RANK(Y211,Y$11:Y$349,1)+COUNTIF(Y$11:Y211,Y211)-1),(RANK(Y211,Y$11:Y$349)+COUNTIF(Y$11:Y211,Y211)-1)))</f>
        <v/>
      </c>
      <c r="AA211" s="189" t="str">
        <f>IF(L211="","",VLOOKUP($L211,classifications!C:I,7,FALSE))</f>
        <v/>
      </c>
      <c r="AB211" s="183" t="str">
        <f t="shared" si="105"/>
        <v/>
      </c>
      <c r="AC211" s="183" t="str">
        <f>IF(AB211="","",IF($I$8="A",(RANK(AB211,AB$11:AB$349)+COUNTIF(AB$11:AB211,AB211)-1),(RANK(AB211,AB$11:AB$349,1)+COUNTIF(AB$11:AB211,AB211)-1)))</f>
        <v/>
      </c>
      <c r="AD211" s="183"/>
      <c r="AE211" s="49">
        <f>IF(I$8="A",(RANK(AG211,AG$11:AG$349,1)+COUNTIF(AG$11:AG211,AG211)-1),(RANK(AG211,AG$11:AG$349)+COUNTIF(AG$11:AG211,AG211)-1))</f>
        <v>201</v>
      </c>
      <c r="AF211" t="str">
        <f>VLOOKUP(Profile!$J$5,Families!$C:$R,6,FALSE)</f>
        <v>Herefordshire</v>
      </c>
      <c r="AG211" s="15">
        <f t="shared" si="106"/>
        <v>62.711864406779661</v>
      </c>
      <c r="AH211" s="50">
        <f t="shared" si="107"/>
        <v>201</v>
      </c>
      <c r="AI211" s="5" t="str">
        <f>IF(L211="","",VLOOKUP($L211,classifications!$C:$J,8,FALSE))</f>
        <v/>
      </c>
      <c r="AJ211" s="43" t="str">
        <f t="shared" si="108"/>
        <v/>
      </c>
      <c r="AK211" s="40" t="str">
        <f>IF(AJ211="","",IF(I$8="A",(RANK(AJ211,AJ$11:AJ$349,1)+COUNTIF(AJ$11:AJ211,AJ211)-1),(RANK(AJ211,AJ$11:AJ$349)+COUNTIF(AJ$11:AJ211,AJ211)-1)))</f>
        <v/>
      </c>
      <c r="AL211" s="3" t="str">
        <f t="shared" si="109"/>
        <v/>
      </c>
      <c r="AM211" t="str">
        <f t="shared" si="110"/>
        <v/>
      </c>
      <c r="AN211" t="str">
        <f t="shared" si="111"/>
        <v/>
      </c>
      <c r="AP211" s="5" t="str">
        <f>IF(L211="","",VLOOKUP($L211,classifications!$C:$E,3,FALSE))</f>
        <v/>
      </c>
      <c r="AQ211" s="43" t="str">
        <f t="shared" si="112"/>
        <v/>
      </c>
      <c r="AR211" s="40" t="str">
        <f>IF(AQ211="","",IF(I$8="A",(RANK(AQ211,AQ$11:AQ$349,1)+COUNTIF(AQ$11:AQ211,AQ211)-1),(RANK(AQ211,AQ$11:AQ$349)+COUNTIF(AQ$11:AQ211,AQ211)-1)))</f>
        <v/>
      </c>
      <c r="AS211" s="3" t="str">
        <f t="shared" si="113"/>
        <v/>
      </c>
      <c r="AT211" s="40" t="str">
        <f t="shared" si="114"/>
        <v/>
      </c>
      <c r="AU211" s="43" t="str">
        <f t="shared" si="115"/>
        <v/>
      </c>
      <c r="AX211">
        <f>HLOOKUP($AX$9&amp;$AX$10,Data!$A$1:$ZZ$1988,(MATCH($C211,Data!$A$1:$A$1988,0)),FALSE)</f>
        <v>94.444444444444443</v>
      </c>
    </row>
    <row r="212" spans="1:50">
      <c r="A212" s="59" t="str">
        <f>$D$1&amp;202</f>
        <v>UA202</v>
      </c>
      <c r="B212" s="60">
        <f>IF(ISERROR(VLOOKUP(A212,classifications!A:C,3,FALSE)),0,VLOOKUP(A212,classifications!A:C,3,FALSE))</f>
        <v>0</v>
      </c>
      <c r="C212" t="s">
        <v>323</v>
      </c>
      <c r="D212" t="str">
        <f>VLOOKUP($C212,classifications!$C:$J,4,FALSE)</f>
        <v>SC</v>
      </c>
      <c r="E212" t="str">
        <f>VLOOKUP(C212,classifications!C:K,9,FALSE)</f>
        <v>Sparse</v>
      </c>
      <c r="F212" t="e">
        <f t="shared" si="92"/>
        <v>#N/A</v>
      </c>
      <c r="G212" s="15"/>
      <c r="H212" s="42" t="str">
        <f t="shared" si="93"/>
        <v/>
      </c>
      <c r="I212" s="79" t="str">
        <f>IF(H212="","",IF($I$8="A",(RANK(H212,H$11:H$349,1)+COUNTIF(H$11:H212,H212)-1),(RANK(H212,H$11:H$349)+COUNTIF(H$11:H212,H212)-1)))</f>
        <v/>
      </c>
      <c r="J212" s="41"/>
      <c r="K212" s="36" t="str">
        <f t="shared" si="94"/>
        <v/>
      </c>
      <c r="L212" t="str">
        <f t="shared" si="95"/>
        <v/>
      </c>
      <c r="M212" s="117" t="str">
        <f t="shared" si="96"/>
        <v/>
      </c>
      <c r="N212" s="112" t="str">
        <f t="shared" si="97"/>
        <v/>
      </c>
      <c r="O212" s="96" t="str">
        <f t="shared" si="98"/>
        <v/>
      </c>
      <c r="P212" s="96" t="str">
        <f t="shared" si="99"/>
        <v/>
      </c>
      <c r="Q212" s="96" t="str">
        <f t="shared" si="100"/>
        <v/>
      </c>
      <c r="R212" s="92" t="str">
        <f t="shared" si="101"/>
        <v/>
      </c>
      <c r="S212" s="42" t="str">
        <f t="shared" si="102"/>
        <v/>
      </c>
      <c r="T212" s="176" t="str">
        <f>IF(L212="","",VLOOKUP(L212,classifications!C:K,9,FALSE))</f>
        <v/>
      </c>
      <c r="U212" s="177" t="str">
        <f t="shared" si="103"/>
        <v/>
      </c>
      <c r="V212" s="183" t="str">
        <f>IF(U212="","",IF($I$8="A",(RANK(U212,U$11:U$349)+COUNTIF(U$11:U212,U212)-1),(RANK(U212,U$11:U$349,1)+COUNTIF(U$11:U212,U212)-1)))</f>
        <v/>
      </c>
      <c r="W212" s="184"/>
      <c r="X212" s="5" t="str">
        <f>IF(L212="","",VLOOKUP($L212,classifications!$C:$J,6,FALSE))</f>
        <v/>
      </c>
      <c r="Y212" t="str">
        <f t="shared" si="104"/>
        <v/>
      </c>
      <c r="Z212" s="40" t="str">
        <f>IF(Y212="","",IF(I$8="A",(RANK(Y212,Y$11:Y$349,1)+COUNTIF(Y$11:Y212,Y212)-1),(RANK(Y212,Y$11:Y$349)+COUNTIF(Y$11:Y212,Y212)-1)))</f>
        <v/>
      </c>
      <c r="AA212" s="189" t="str">
        <f>IF(L212="","",VLOOKUP($L212,classifications!C:I,7,FALSE))</f>
        <v/>
      </c>
      <c r="AB212" s="183" t="str">
        <f t="shared" si="105"/>
        <v/>
      </c>
      <c r="AC212" s="183" t="str">
        <f>IF(AB212="","",IF($I$8="A",(RANK(AB212,AB$11:AB$349)+COUNTIF(AB$11:AB212,AB212)-1),(RANK(AB212,AB$11:AB$349,1)+COUNTIF(AB$11:AB212,AB212)-1)))</f>
        <v/>
      </c>
      <c r="AD212" s="183"/>
      <c r="AE212" s="49">
        <f>IF(I$8="A",(RANK(AG212,AG$11:AG$349,1)+COUNTIF(AG$11:AG212,AG212)-1),(RANK(AG212,AG$11:AG$349)+COUNTIF(AG$11:AG212,AG212)-1))</f>
        <v>202</v>
      </c>
      <c r="AF212" t="str">
        <f>VLOOKUP(Profile!$J$5,Families!$C:$R,6,FALSE)</f>
        <v>Herefordshire</v>
      </c>
      <c r="AG212" s="15">
        <f t="shared" si="106"/>
        <v>62.711864406779661</v>
      </c>
      <c r="AH212" s="50">
        <f t="shared" si="107"/>
        <v>202</v>
      </c>
      <c r="AI212" s="5" t="str">
        <f>IF(L212="","",VLOOKUP($L212,classifications!$C:$J,8,FALSE))</f>
        <v/>
      </c>
      <c r="AJ212" s="43" t="str">
        <f t="shared" si="108"/>
        <v/>
      </c>
      <c r="AK212" s="40" t="str">
        <f>IF(AJ212="","",IF(I$8="A",(RANK(AJ212,AJ$11:AJ$349,1)+COUNTIF(AJ$11:AJ212,AJ212)-1),(RANK(AJ212,AJ$11:AJ$349)+COUNTIF(AJ$11:AJ212,AJ212)-1)))</f>
        <v/>
      </c>
      <c r="AL212" s="3" t="str">
        <f t="shared" si="109"/>
        <v/>
      </c>
      <c r="AM212" t="str">
        <f t="shared" si="110"/>
        <v/>
      </c>
      <c r="AN212" t="str">
        <f t="shared" si="111"/>
        <v/>
      </c>
      <c r="AP212" s="5" t="str">
        <f>IF(L212="","",VLOOKUP($L212,classifications!$C:$E,3,FALSE))</f>
        <v/>
      </c>
      <c r="AQ212" s="43" t="str">
        <f t="shared" si="112"/>
        <v/>
      </c>
      <c r="AR212" s="40" t="str">
        <f>IF(AQ212="","",IF(I$8="A",(RANK(AQ212,AQ$11:AQ$349,1)+COUNTIF(AQ$11:AQ212,AQ212)-1),(RANK(AQ212,AQ$11:AQ$349)+COUNTIF(AQ$11:AQ212,AQ212)-1)))</f>
        <v/>
      </c>
      <c r="AS212" s="3" t="str">
        <f t="shared" si="113"/>
        <v/>
      </c>
      <c r="AT212" s="40" t="str">
        <f t="shared" si="114"/>
        <v/>
      </c>
      <c r="AU212" s="43" t="str">
        <f t="shared" si="115"/>
        <v/>
      </c>
      <c r="AX212" t="e">
        <f>HLOOKUP($AX$9&amp;$AX$10,Data!$A$1:$ZZ$1988,(MATCH($C212,Data!$A$1:$A$1988,0)),FALSE)</f>
        <v>#N/A</v>
      </c>
    </row>
    <row r="213" spans="1:50">
      <c r="A213" s="59" t="str">
        <f>$D$1&amp;203</f>
        <v>UA203</v>
      </c>
      <c r="B213" s="60">
        <f>IF(ISERROR(VLOOKUP(A213,classifications!A:C,3,FALSE)),0,VLOOKUP(A213,classifications!A:C,3,FALSE))</f>
        <v>0</v>
      </c>
      <c r="C213" t="s">
        <v>346</v>
      </c>
      <c r="D213" t="str">
        <f>VLOOKUP($C213,classifications!$C:$J,4,FALSE)</f>
        <v>SD</v>
      </c>
      <c r="E213">
        <f>VLOOKUP(C213,classifications!C:K,9,FALSE)</f>
        <v>0</v>
      </c>
      <c r="F213">
        <f t="shared" si="92"/>
        <v>87.5</v>
      </c>
      <c r="G213" s="15"/>
      <c r="H213" s="42" t="str">
        <f t="shared" si="93"/>
        <v/>
      </c>
      <c r="I213" s="79" t="str">
        <f>IF(H213="","",IF($I$8="A",(RANK(H213,H$11:H$349,1)+COUNTIF(H$11:H213,H213)-1),(RANK(H213,H$11:H$349)+COUNTIF(H$11:H213,H213)-1)))</f>
        <v/>
      </c>
      <c r="J213" s="41"/>
      <c r="K213" s="36" t="str">
        <f t="shared" si="94"/>
        <v/>
      </c>
      <c r="L213" t="str">
        <f t="shared" si="95"/>
        <v/>
      </c>
      <c r="M213" s="117" t="str">
        <f t="shared" si="96"/>
        <v/>
      </c>
      <c r="N213" s="112" t="str">
        <f t="shared" si="97"/>
        <v/>
      </c>
      <c r="O213" s="96" t="str">
        <f t="shared" si="98"/>
        <v/>
      </c>
      <c r="P213" s="96" t="str">
        <f t="shared" si="99"/>
        <v/>
      </c>
      <c r="Q213" s="96" t="str">
        <f t="shared" si="100"/>
        <v/>
      </c>
      <c r="R213" s="92" t="str">
        <f t="shared" si="101"/>
        <v/>
      </c>
      <c r="S213" s="42" t="str">
        <f t="shared" si="102"/>
        <v/>
      </c>
      <c r="T213" s="176" t="str">
        <f>IF(L213="","",VLOOKUP(L213,classifications!C:K,9,FALSE))</f>
        <v/>
      </c>
      <c r="U213" s="177" t="str">
        <f t="shared" si="103"/>
        <v/>
      </c>
      <c r="V213" s="183" t="str">
        <f>IF(U213="","",IF($I$8="A",(RANK(U213,U$11:U$349)+COUNTIF(U$11:U213,U213)-1),(RANK(U213,U$11:U$349,1)+COUNTIF(U$11:U213,U213)-1)))</f>
        <v/>
      </c>
      <c r="W213" s="184"/>
      <c r="X213" s="5" t="str">
        <f>IF(L213="","",VLOOKUP($L213,classifications!$C:$J,6,FALSE))</f>
        <v/>
      </c>
      <c r="Y213" t="str">
        <f t="shared" si="104"/>
        <v/>
      </c>
      <c r="Z213" s="40" t="str">
        <f>IF(Y213="","",IF(I$8="A",(RANK(Y213,Y$11:Y$349,1)+COUNTIF(Y$11:Y213,Y213)-1),(RANK(Y213,Y$11:Y$349)+COUNTIF(Y$11:Y213,Y213)-1)))</f>
        <v/>
      </c>
      <c r="AA213" s="189" t="str">
        <f>IF(L213="","",VLOOKUP($L213,classifications!C:I,7,FALSE))</f>
        <v/>
      </c>
      <c r="AB213" s="183" t="str">
        <f t="shared" si="105"/>
        <v/>
      </c>
      <c r="AC213" s="183" t="str">
        <f>IF(AB213="","",IF($I$8="A",(RANK(AB213,AB$11:AB$349)+COUNTIF(AB$11:AB213,AB213)-1),(RANK(AB213,AB$11:AB$349,1)+COUNTIF(AB$11:AB213,AB213)-1)))</f>
        <v/>
      </c>
      <c r="AD213" s="183"/>
      <c r="AE213" s="49">
        <f>IF(I$8="A",(RANK(AG213,AG$11:AG$349,1)+COUNTIF(AG$11:AG213,AG213)-1),(RANK(AG213,AG$11:AG$349)+COUNTIF(AG$11:AG213,AG213)-1))</f>
        <v>203</v>
      </c>
      <c r="AF213" t="str">
        <f>VLOOKUP(Profile!$J$5,Families!$C:$R,6,FALSE)</f>
        <v>Herefordshire</v>
      </c>
      <c r="AG213" s="15">
        <f t="shared" si="106"/>
        <v>62.711864406779661</v>
      </c>
      <c r="AH213" s="50">
        <f t="shared" si="107"/>
        <v>203</v>
      </c>
      <c r="AI213" s="5" t="str">
        <f>IF(L213="","",VLOOKUP($L213,classifications!$C:$J,8,FALSE))</f>
        <v/>
      </c>
      <c r="AJ213" s="43" t="str">
        <f t="shared" si="108"/>
        <v/>
      </c>
      <c r="AK213" s="40" t="str">
        <f>IF(AJ213="","",IF(I$8="A",(RANK(AJ213,AJ$11:AJ$349,1)+COUNTIF(AJ$11:AJ213,AJ213)-1),(RANK(AJ213,AJ$11:AJ$349)+COUNTIF(AJ$11:AJ213,AJ213)-1)))</f>
        <v/>
      </c>
      <c r="AL213" s="3" t="str">
        <f t="shared" si="109"/>
        <v/>
      </c>
      <c r="AM213" t="str">
        <f t="shared" si="110"/>
        <v/>
      </c>
      <c r="AN213" t="str">
        <f t="shared" si="111"/>
        <v/>
      </c>
      <c r="AP213" s="5" t="str">
        <f>IF(L213="","",VLOOKUP($L213,classifications!$C:$E,3,FALSE))</f>
        <v/>
      </c>
      <c r="AQ213" s="43" t="str">
        <f t="shared" si="112"/>
        <v/>
      </c>
      <c r="AR213" s="40" t="str">
        <f>IF(AQ213="","",IF(I$8="A",(RANK(AQ213,AQ$11:AQ$349,1)+COUNTIF(AQ$11:AQ213,AQ213)-1),(RANK(AQ213,AQ$11:AQ$349)+COUNTIF(AQ$11:AQ213,AQ213)-1)))</f>
        <v/>
      </c>
      <c r="AS213" s="3" t="str">
        <f t="shared" si="113"/>
        <v/>
      </c>
      <c r="AT213" s="40" t="str">
        <f t="shared" si="114"/>
        <v/>
      </c>
      <c r="AU213" s="43" t="str">
        <f t="shared" si="115"/>
        <v/>
      </c>
      <c r="AX213">
        <f>HLOOKUP($AX$9&amp;$AX$10,Data!$A$1:$ZZ$1988,(MATCH($C213,Data!$A$1:$A$1988,0)),FALSE)</f>
        <v>87.5</v>
      </c>
    </row>
    <row r="214" spans="1:50">
      <c r="A214" s="59" t="str">
        <f>$D$1&amp;204</f>
        <v>UA204</v>
      </c>
      <c r="B214" s="60">
        <f>IF(ISERROR(VLOOKUP(A214,classifications!A:C,3,FALSE)),0,VLOOKUP(A214,classifications!A:C,3,FALSE))</f>
        <v>0</v>
      </c>
      <c r="C214" t="s">
        <v>347</v>
      </c>
      <c r="D214" t="str">
        <f>VLOOKUP($C214,classifications!$C:$J,4,FALSE)</f>
        <v>SD</v>
      </c>
      <c r="E214">
        <f>VLOOKUP(C214,classifications!C:K,9,FALSE)</f>
        <v>0</v>
      </c>
      <c r="F214">
        <f t="shared" si="92"/>
        <v>100</v>
      </c>
      <c r="G214" s="15"/>
      <c r="H214" s="42" t="str">
        <f t="shared" si="93"/>
        <v/>
      </c>
      <c r="I214" s="79" t="str">
        <f>IF(H214="","",IF($I$8="A",(RANK(H214,H$11:H$349,1)+COUNTIF(H$11:H214,H214)-1),(RANK(H214,H$11:H$349)+COUNTIF(H$11:H214,H214)-1)))</f>
        <v/>
      </c>
      <c r="J214" s="41"/>
      <c r="K214" s="36" t="str">
        <f t="shared" si="94"/>
        <v/>
      </c>
      <c r="L214" t="str">
        <f t="shared" si="95"/>
        <v/>
      </c>
      <c r="M214" s="117" t="str">
        <f t="shared" si="96"/>
        <v/>
      </c>
      <c r="N214" s="112" t="str">
        <f t="shared" si="97"/>
        <v/>
      </c>
      <c r="O214" s="96" t="str">
        <f t="shared" si="98"/>
        <v/>
      </c>
      <c r="P214" s="96" t="str">
        <f t="shared" si="99"/>
        <v/>
      </c>
      <c r="Q214" s="96" t="str">
        <f t="shared" si="100"/>
        <v/>
      </c>
      <c r="R214" s="92" t="str">
        <f t="shared" si="101"/>
        <v/>
      </c>
      <c r="S214" s="42" t="str">
        <f t="shared" si="102"/>
        <v/>
      </c>
      <c r="T214" s="176" t="str">
        <f>IF(L214="","",VLOOKUP(L214,classifications!C:K,9,FALSE))</f>
        <v/>
      </c>
      <c r="U214" s="177" t="str">
        <f t="shared" si="103"/>
        <v/>
      </c>
      <c r="V214" s="183" t="str">
        <f>IF(U214="","",IF($I$8="A",(RANK(U214,U$11:U$349)+COUNTIF(U$11:U214,U214)-1),(RANK(U214,U$11:U$349,1)+COUNTIF(U$11:U214,U214)-1)))</f>
        <v/>
      </c>
      <c r="W214" s="184"/>
      <c r="X214" s="5" t="str">
        <f>IF(L214="","",VLOOKUP($L214,classifications!$C:$J,6,FALSE))</f>
        <v/>
      </c>
      <c r="Y214" t="str">
        <f t="shared" si="104"/>
        <v/>
      </c>
      <c r="Z214" s="40" t="str">
        <f>IF(Y214="","",IF(I$8="A",(RANK(Y214,Y$11:Y$349,1)+COUNTIF(Y$11:Y214,Y214)-1),(RANK(Y214,Y$11:Y$349)+COUNTIF(Y$11:Y214,Y214)-1)))</f>
        <v/>
      </c>
      <c r="AA214" s="189" t="str">
        <f>IF(L214="","",VLOOKUP($L214,classifications!C:I,7,FALSE))</f>
        <v/>
      </c>
      <c r="AB214" s="183" t="str">
        <f t="shared" si="105"/>
        <v/>
      </c>
      <c r="AC214" s="183" t="str">
        <f>IF(AB214="","",IF($I$8="A",(RANK(AB214,AB$11:AB$349)+COUNTIF(AB$11:AB214,AB214)-1),(RANK(AB214,AB$11:AB$349,1)+COUNTIF(AB$11:AB214,AB214)-1)))</f>
        <v/>
      </c>
      <c r="AD214" s="183"/>
      <c r="AE214" s="49">
        <f>IF(I$8="A",(RANK(AG214,AG$11:AG$349,1)+COUNTIF(AG$11:AG214,AG214)-1),(RANK(AG214,AG$11:AG$349)+COUNTIF(AG$11:AG214,AG214)-1))</f>
        <v>204</v>
      </c>
      <c r="AF214" t="str">
        <f>VLOOKUP(Profile!$J$5,Families!$C:$R,6,FALSE)</f>
        <v>Herefordshire</v>
      </c>
      <c r="AG214" s="15">
        <f t="shared" si="106"/>
        <v>62.711864406779661</v>
      </c>
      <c r="AH214" s="50">
        <f t="shared" si="107"/>
        <v>204</v>
      </c>
      <c r="AI214" s="5" t="str">
        <f>IF(L214="","",VLOOKUP($L214,classifications!$C:$J,8,FALSE))</f>
        <v/>
      </c>
      <c r="AJ214" s="43" t="str">
        <f t="shared" si="108"/>
        <v/>
      </c>
      <c r="AK214" s="40" t="str">
        <f>IF(AJ214="","",IF(I$8="A",(RANK(AJ214,AJ$11:AJ$349,1)+COUNTIF(AJ$11:AJ214,AJ214)-1),(RANK(AJ214,AJ$11:AJ$349)+COUNTIF(AJ$11:AJ214,AJ214)-1)))</f>
        <v/>
      </c>
      <c r="AL214" s="3" t="str">
        <f t="shared" si="109"/>
        <v/>
      </c>
      <c r="AM214" t="str">
        <f t="shared" si="110"/>
        <v/>
      </c>
      <c r="AN214" t="str">
        <f t="shared" si="111"/>
        <v/>
      </c>
      <c r="AP214" s="5" t="str">
        <f>IF(L214="","",VLOOKUP($L214,classifications!$C:$E,3,FALSE))</f>
        <v/>
      </c>
      <c r="AQ214" s="43" t="str">
        <f t="shared" si="112"/>
        <v/>
      </c>
      <c r="AR214" s="40" t="str">
        <f>IF(AQ214="","",IF(I$8="A",(RANK(AQ214,AQ$11:AQ$349,1)+COUNTIF(AQ$11:AQ214,AQ214)-1),(RANK(AQ214,AQ$11:AQ$349)+COUNTIF(AQ$11:AQ214,AQ214)-1)))</f>
        <v/>
      </c>
      <c r="AS214" s="3" t="str">
        <f t="shared" si="113"/>
        <v/>
      </c>
      <c r="AT214" s="40" t="str">
        <f t="shared" si="114"/>
        <v/>
      </c>
      <c r="AU214" s="43" t="str">
        <f t="shared" si="115"/>
        <v/>
      </c>
      <c r="AX214">
        <f>HLOOKUP($AX$9&amp;$AX$10,Data!$A$1:$ZZ$1988,(MATCH($C214,Data!$A$1:$A$1988,0)),FALSE)</f>
        <v>100</v>
      </c>
    </row>
    <row r="215" spans="1:50">
      <c r="A215" s="59" t="str">
        <f>$D$1&amp;205</f>
        <v>UA205</v>
      </c>
      <c r="B215" s="60">
        <f>IF(ISERROR(VLOOKUP(A215,classifications!A:C,3,FALSE)),0,VLOOKUP(A215,classifications!A:C,3,FALSE))</f>
        <v>0</v>
      </c>
      <c r="C215" t="s">
        <v>239</v>
      </c>
      <c r="D215" t="str">
        <f>VLOOKUP($C215,classifications!$C:$J,4,FALSE)</f>
        <v>MD</v>
      </c>
      <c r="E215">
        <f>VLOOKUP(C215,classifications!C:K,9,FALSE)</f>
        <v>0</v>
      </c>
      <c r="F215">
        <f t="shared" si="92"/>
        <v>97.368421052631575</v>
      </c>
      <c r="G215" s="15"/>
      <c r="H215" s="42" t="str">
        <f t="shared" si="93"/>
        <v/>
      </c>
      <c r="I215" s="79" t="str">
        <f>IF(H215="","",IF($I$8="A",(RANK(H215,H$11:H$349,1)+COUNTIF(H$11:H215,H215)-1),(RANK(H215,H$11:H$349)+COUNTIF(H$11:H215,H215)-1)))</f>
        <v/>
      </c>
      <c r="J215" s="41"/>
      <c r="K215" s="36" t="str">
        <f t="shared" si="94"/>
        <v/>
      </c>
      <c r="L215" t="str">
        <f t="shared" si="95"/>
        <v/>
      </c>
      <c r="M215" s="117" t="str">
        <f t="shared" si="96"/>
        <v/>
      </c>
      <c r="N215" s="112" t="str">
        <f t="shared" si="97"/>
        <v/>
      </c>
      <c r="O215" s="96" t="str">
        <f t="shared" si="98"/>
        <v/>
      </c>
      <c r="P215" s="96" t="str">
        <f t="shared" si="99"/>
        <v/>
      </c>
      <c r="Q215" s="96" t="str">
        <f t="shared" si="100"/>
        <v/>
      </c>
      <c r="R215" s="92" t="str">
        <f t="shared" si="101"/>
        <v/>
      </c>
      <c r="S215" s="42" t="str">
        <f t="shared" si="102"/>
        <v/>
      </c>
      <c r="T215" s="176" t="str">
        <f>IF(L215="","",VLOOKUP(L215,classifications!C:K,9,FALSE))</f>
        <v/>
      </c>
      <c r="U215" s="177" t="str">
        <f t="shared" si="103"/>
        <v/>
      </c>
      <c r="V215" s="183" t="str">
        <f>IF(U215="","",IF($I$8="A",(RANK(U215,U$11:U$349)+COUNTIF(U$11:U215,U215)-1),(RANK(U215,U$11:U$349,1)+COUNTIF(U$11:U215,U215)-1)))</f>
        <v/>
      </c>
      <c r="W215" s="184"/>
      <c r="X215" s="5" t="str">
        <f>IF(L215="","",VLOOKUP($L215,classifications!$C:$J,6,FALSE))</f>
        <v/>
      </c>
      <c r="Y215" t="str">
        <f t="shared" si="104"/>
        <v/>
      </c>
      <c r="Z215" s="40" t="str">
        <f>IF(Y215="","",IF(I$8="A",(RANK(Y215,Y$11:Y$349,1)+COUNTIF(Y$11:Y215,Y215)-1),(RANK(Y215,Y$11:Y$349)+COUNTIF(Y$11:Y215,Y215)-1)))</f>
        <v/>
      </c>
      <c r="AA215" s="189" t="str">
        <f>IF(L215="","",VLOOKUP($L215,classifications!C:I,7,FALSE))</f>
        <v/>
      </c>
      <c r="AB215" s="183" t="str">
        <f t="shared" si="105"/>
        <v/>
      </c>
      <c r="AC215" s="183" t="str">
        <f>IF(AB215="","",IF($I$8="A",(RANK(AB215,AB$11:AB$349)+COUNTIF(AB$11:AB215,AB215)-1),(RANK(AB215,AB$11:AB$349,1)+COUNTIF(AB$11:AB215,AB215)-1)))</f>
        <v/>
      </c>
      <c r="AD215" s="183"/>
      <c r="AE215" s="49">
        <f>IF(I$8="A",(RANK(AG215,AG$11:AG$349,1)+COUNTIF(AG$11:AG215,AG215)-1),(RANK(AG215,AG$11:AG$349)+COUNTIF(AG$11:AG215,AG215)-1))</f>
        <v>205</v>
      </c>
      <c r="AF215" t="str">
        <f>VLOOKUP(Profile!$J$5,Families!$C:$R,6,FALSE)</f>
        <v>Herefordshire</v>
      </c>
      <c r="AG215" s="15">
        <f t="shared" si="106"/>
        <v>62.711864406779661</v>
      </c>
      <c r="AH215" s="50">
        <f t="shared" si="107"/>
        <v>205</v>
      </c>
      <c r="AI215" s="5" t="str">
        <f>IF(L215="","",VLOOKUP($L215,classifications!$C:$J,8,FALSE))</f>
        <v/>
      </c>
      <c r="AJ215" s="43" t="str">
        <f t="shared" si="108"/>
        <v/>
      </c>
      <c r="AK215" s="40" t="str">
        <f>IF(AJ215="","",IF(I$8="A",(RANK(AJ215,AJ$11:AJ$349,1)+COUNTIF(AJ$11:AJ215,AJ215)-1),(RANK(AJ215,AJ$11:AJ$349)+COUNTIF(AJ$11:AJ215,AJ215)-1)))</f>
        <v/>
      </c>
      <c r="AL215" s="3" t="str">
        <f t="shared" si="109"/>
        <v/>
      </c>
      <c r="AM215" t="str">
        <f t="shared" si="110"/>
        <v/>
      </c>
      <c r="AN215" t="str">
        <f t="shared" si="111"/>
        <v/>
      </c>
      <c r="AP215" s="5" t="str">
        <f>IF(L215="","",VLOOKUP($L215,classifications!$C:$E,3,FALSE))</f>
        <v/>
      </c>
      <c r="AQ215" s="43" t="str">
        <f t="shared" si="112"/>
        <v/>
      </c>
      <c r="AR215" s="40" t="str">
        <f>IF(AQ215="","",IF(I$8="A",(RANK(AQ215,AQ$11:AQ$349,1)+COUNTIF(AQ$11:AQ215,AQ215)-1),(RANK(AQ215,AQ$11:AQ$349)+COUNTIF(AQ$11:AQ215,AQ215)-1)))</f>
        <v/>
      </c>
      <c r="AS215" s="3" t="str">
        <f t="shared" si="113"/>
        <v/>
      </c>
      <c r="AT215" s="40" t="str">
        <f t="shared" si="114"/>
        <v/>
      </c>
      <c r="AU215" s="43" t="str">
        <f t="shared" si="115"/>
        <v/>
      </c>
      <c r="AX215">
        <f>HLOOKUP($AX$9&amp;$AX$10,Data!$A$1:$ZZ$1988,(MATCH($C215,Data!$A$1:$A$1988,0)),FALSE)</f>
        <v>97.368421052631575</v>
      </c>
    </row>
    <row r="216" spans="1:50">
      <c r="A216" s="59" t="str">
        <f>$D$1&amp;206</f>
        <v>UA206</v>
      </c>
      <c r="B216" s="60">
        <f>IF(ISERROR(VLOOKUP(A216,classifications!A:C,3,FALSE)),0,VLOOKUP(A216,classifications!A:C,3,FALSE))</f>
        <v>0</v>
      </c>
      <c r="C216" t="s">
        <v>118</v>
      </c>
      <c r="D216" t="str">
        <f>VLOOKUP($C216,classifications!$C:$J,4,FALSE)</f>
        <v>SD</v>
      </c>
      <c r="E216">
        <f>VLOOKUP(C216,classifications!C:K,9,FALSE)</f>
        <v>0</v>
      </c>
      <c r="F216">
        <f t="shared" si="92"/>
        <v>89.65517241379311</v>
      </c>
      <c r="G216" s="15"/>
      <c r="H216" s="42" t="str">
        <f t="shared" si="93"/>
        <v/>
      </c>
      <c r="I216" s="79" t="str">
        <f>IF(H216="","",IF($I$8="A",(RANK(H216,H$11:H$349,1)+COUNTIF(H$11:H216,H216)-1),(RANK(H216,H$11:H$349)+COUNTIF(H$11:H216,H216)-1)))</f>
        <v/>
      </c>
      <c r="J216" s="41"/>
      <c r="K216" s="36" t="str">
        <f t="shared" si="94"/>
        <v/>
      </c>
      <c r="L216" t="str">
        <f t="shared" si="95"/>
        <v/>
      </c>
      <c r="M216" s="117" t="str">
        <f t="shared" si="96"/>
        <v/>
      </c>
      <c r="N216" s="112" t="str">
        <f t="shared" si="97"/>
        <v/>
      </c>
      <c r="O216" s="96" t="str">
        <f t="shared" si="98"/>
        <v/>
      </c>
      <c r="P216" s="96" t="str">
        <f t="shared" si="99"/>
        <v/>
      </c>
      <c r="Q216" s="96" t="str">
        <f t="shared" si="100"/>
        <v/>
      </c>
      <c r="R216" s="92" t="str">
        <f t="shared" si="101"/>
        <v/>
      </c>
      <c r="S216" s="42" t="str">
        <f t="shared" si="102"/>
        <v/>
      </c>
      <c r="T216" s="176" t="str">
        <f>IF(L216="","",VLOOKUP(L216,classifications!C:K,9,FALSE))</f>
        <v/>
      </c>
      <c r="U216" s="177" t="str">
        <f t="shared" si="103"/>
        <v/>
      </c>
      <c r="V216" s="183" t="str">
        <f>IF(U216="","",IF($I$8="A",(RANK(U216,U$11:U$349)+COUNTIF(U$11:U216,U216)-1),(RANK(U216,U$11:U$349,1)+COUNTIF(U$11:U216,U216)-1)))</f>
        <v/>
      </c>
      <c r="W216" s="184"/>
      <c r="X216" s="5" t="str">
        <f>IF(L216="","",VLOOKUP($L216,classifications!$C:$J,6,FALSE))</f>
        <v/>
      </c>
      <c r="Y216" t="str">
        <f t="shared" si="104"/>
        <v/>
      </c>
      <c r="Z216" s="40" t="str">
        <f>IF(Y216="","",IF(I$8="A",(RANK(Y216,Y$11:Y$349,1)+COUNTIF(Y$11:Y216,Y216)-1),(RANK(Y216,Y$11:Y$349)+COUNTIF(Y$11:Y216,Y216)-1)))</f>
        <v/>
      </c>
      <c r="AA216" s="189" t="str">
        <f>IF(L216="","",VLOOKUP($L216,classifications!C:I,7,FALSE))</f>
        <v/>
      </c>
      <c r="AB216" s="183" t="str">
        <f t="shared" si="105"/>
        <v/>
      </c>
      <c r="AC216" s="183" t="str">
        <f>IF(AB216="","",IF($I$8="A",(RANK(AB216,AB$11:AB$349)+COUNTIF(AB$11:AB216,AB216)-1),(RANK(AB216,AB$11:AB$349,1)+COUNTIF(AB$11:AB216,AB216)-1)))</f>
        <v/>
      </c>
      <c r="AD216" s="183"/>
      <c r="AE216" s="49">
        <f>IF(I$8="A",(RANK(AG216,AG$11:AG$349,1)+COUNTIF(AG$11:AG216,AG216)-1),(RANK(AG216,AG$11:AG$349)+COUNTIF(AG$11:AG216,AG216)-1))</f>
        <v>206</v>
      </c>
      <c r="AF216" t="str">
        <f>VLOOKUP(Profile!$J$5,Families!$C:$R,6,FALSE)</f>
        <v>Herefordshire</v>
      </c>
      <c r="AG216" s="15">
        <f t="shared" si="106"/>
        <v>62.711864406779661</v>
      </c>
      <c r="AH216" s="50">
        <f t="shared" si="107"/>
        <v>206</v>
      </c>
      <c r="AI216" s="5" t="str">
        <f>IF(L216="","",VLOOKUP($L216,classifications!$C:$J,8,FALSE))</f>
        <v/>
      </c>
      <c r="AJ216" s="43" t="str">
        <f t="shared" si="108"/>
        <v/>
      </c>
      <c r="AK216" s="40" t="str">
        <f>IF(AJ216="","",IF(I$8="A",(RANK(AJ216,AJ$11:AJ$349,1)+COUNTIF(AJ$11:AJ216,AJ216)-1),(RANK(AJ216,AJ$11:AJ$349)+COUNTIF(AJ$11:AJ216,AJ216)-1)))</f>
        <v/>
      </c>
      <c r="AL216" s="3" t="str">
        <f t="shared" si="109"/>
        <v/>
      </c>
      <c r="AM216" t="str">
        <f t="shared" si="110"/>
        <v/>
      </c>
      <c r="AN216" t="str">
        <f t="shared" si="111"/>
        <v/>
      </c>
      <c r="AP216" s="5" t="str">
        <f>IF(L216="","",VLOOKUP($L216,classifications!$C:$E,3,FALSE))</f>
        <v/>
      </c>
      <c r="AQ216" s="43" t="str">
        <f t="shared" si="112"/>
        <v/>
      </c>
      <c r="AR216" s="40" t="str">
        <f>IF(AQ216="","",IF(I$8="A",(RANK(AQ216,AQ$11:AQ$349,1)+COUNTIF(AQ$11:AQ216,AQ216)-1),(RANK(AQ216,AQ$11:AQ$349)+COUNTIF(AQ$11:AQ216,AQ216)-1)))</f>
        <v/>
      </c>
      <c r="AS216" s="3" t="str">
        <f t="shared" si="113"/>
        <v/>
      </c>
      <c r="AT216" s="40" t="str">
        <f t="shared" si="114"/>
        <v/>
      </c>
      <c r="AU216" s="43" t="str">
        <f t="shared" si="115"/>
        <v/>
      </c>
      <c r="AX216">
        <f>HLOOKUP($AX$9&amp;$AX$10,Data!$A$1:$ZZ$1988,(MATCH($C216,Data!$A$1:$A$1988,0)),FALSE)</f>
        <v>89.65517241379311</v>
      </c>
    </row>
    <row r="217" spans="1:50">
      <c r="A217" s="59" t="str">
        <f>$D$1&amp;207</f>
        <v>UA207</v>
      </c>
      <c r="B217" s="60">
        <f>IF(ISERROR(VLOOKUP(A217,classifications!A:C,3,FALSE)),0,VLOOKUP(A217,classifications!A:C,3,FALSE))</f>
        <v>0</v>
      </c>
      <c r="C217" t="s">
        <v>324</v>
      </c>
      <c r="D217" t="str">
        <f>VLOOKUP($C217,classifications!$C:$J,4,FALSE)</f>
        <v>SC</v>
      </c>
      <c r="E217">
        <f>VLOOKUP(C217,classifications!C:K,9,FALSE)</f>
        <v>0</v>
      </c>
      <c r="F217" t="e">
        <f t="shared" si="92"/>
        <v>#N/A</v>
      </c>
      <c r="G217" s="15"/>
      <c r="H217" s="42" t="str">
        <f t="shared" si="93"/>
        <v/>
      </c>
      <c r="I217" s="79" t="str">
        <f>IF(H217="","",IF($I$8="A",(RANK(H217,H$11:H$349,1)+COUNTIF(H$11:H217,H217)-1),(RANK(H217,H$11:H$349)+COUNTIF(H$11:H217,H217)-1)))</f>
        <v/>
      </c>
      <c r="J217" s="41"/>
      <c r="K217" s="36" t="str">
        <f t="shared" si="94"/>
        <v/>
      </c>
      <c r="L217" t="str">
        <f t="shared" si="95"/>
        <v/>
      </c>
      <c r="M217" s="117" t="str">
        <f t="shared" si="96"/>
        <v/>
      </c>
      <c r="N217" s="112" t="str">
        <f t="shared" si="97"/>
        <v/>
      </c>
      <c r="O217" s="96" t="str">
        <f t="shared" si="98"/>
        <v/>
      </c>
      <c r="P217" s="96" t="str">
        <f t="shared" si="99"/>
        <v/>
      </c>
      <c r="Q217" s="96" t="str">
        <f t="shared" si="100"/>
        <v/>
      </c>
      <c r="R217" s="92" t="str">
        <f t="shared" si="101"/>
        <v/>
      </c>
      <c r="S217" s="42" t="str">
        <f t="shared" si="102"/>
        <v/>
      </c>
      <c r="T217" s="176" t="str">
        <f>IF(L217="","",VLOOKUP(L217,classifications!C:K,9,FALSE))</f>
        <v/>
      </c>
      <c r="U217" s="177" t="str">
        <f t="shared" si="103"/>
        <v/>
      </c>
      <c r="V217" s="183" t="str">
        <f>IF(U217="","",IF($I$8="A",(RANK(U217,U$11:U$349)+COUNTIF(U$11:U217,U217)-1),(RANK(U217,U$11:U$349,1)+COUNTIF(U$11:U217,U217)-1)))</f>
        <v/>
      </c>
      <c r="W217" s="184"/>
      <c r="X217" s="5" t="str">
        <f>IF(L217="","",VLOOKUP($L217,classifications!$C:$J,6,FALSE))</f>
        <v/>
      </c>
      <c r="Y217" t="str">
        <f t="shared" si="104"/>
        <v/>
      </c>
      <c r="Z217" s="40" t="str">
        <f>IF(Y217="","",IF(I$8="A",(RANK(Y217,Y$11:Y$349,1)+COUNTIF(Y$11:Y217,Y217)-1),(RANK(Y217,Y$11:Y$349)+COUNTIF(Y$11:Y217,Y217)-1)))</f>
        <v/>
      </c>
      <c r="AA217" s="189" t="str">
        <f>IF(L217="","",VLOOKUP($L217,classifications!C:I,7,FALSE))</f>
        <v/>
      </c>
      <c r="AB217" s="183" t="str">
        <f t="shared" si="105"/>
        <v/>
      </c>
      <c r="AC217" s="183" t="str">
        <f>IF(AB217="","",IF($I$8="A",(RANK(AB217,AB$11:AB$349)+COUNTIF(AB$11:AB217,AB217)-1),(RANK(AB217,AB$11:AB$349,1)+COUNTIF(AB$11:AB217,AB217)-1)))</f>
        <v/>
      </c>
      <c r="AD217" s="183"/>
      <c r="AE217" s="49">
        <f>IF(I$8="A",(RANK(AG217,AG$11:AG$349,1)+COUNTIF(AG$11:AG217,AG217)-1),(RANK(AG217,AG$11:AG$349)+COUNTIF(AG$11:AG217,AG217)-1))</f>
        <v>207</v>
      </c>
      <c r="AF217" t="str">
        <f>VLOOKUP(Profile!$J$5,Families!$C:$R,6,FALSE)</f>
        <v>Herefordshire</v>
      </c>
      <c r="AG217" s="15">
        <f t="shared" si="106"/>
        <v>62.711864406779661</v>
      </c>
      <c r="AH217" s="50">
        <f t="shared" si="107"/>
        <v>207</v>
      </c>
      <c r="AI217" s="5" t="str">
        <f>IF(L217="","",VLOOKUP($L217,classifications!$C:$J,8,FALSE))</f>
        <v/>
      </c>
      <c r="AJ217" s="43" t="str">
        <f t="shared" si="108"/>
        <v/>
      </c>
      <c r="AK217" s="40" t="str">
        <f>IF(AJ217="","",IF(I$8="A",(RANK(AJ217,AJ$11:AJ$349,1)+COUNTIF(AJ$11:AJ217,AJ217)-1),(RANK(AJ217,AJ$11:AJ$349)+COUNTIF(AJ$11:AJ217,AJ217)-1)))</f>
        <v/>
      </c>
      <c r="AL217" s="3" t="str">
        <f t="shared" si="109"/>
        <v/>
      </c>
      <c r="AM217" t="str">
        <f t="shared" si="110"/>
        <v/>
      </c>
      <c r="AN217" t="str">
        <f t="shared" si="111"/>
        <v/>
      </c>
      <c r="AP217" s="5" t="str">
        <f>IF(L217="","",VLOOKUP($L217,classifications!$C:$E,3,FALSE))</f>
        <v/>
      </c>
      <c r="AQ217" s="43" t="str">
        <f t="shared" si="112"/>
        <v/>
      </c>
      <c r="AR217" s="40" t="str">
        <f>IF(AQ217="","",IF(I$8="A",(RANK(AQ217,AQ$11:AQ$349,1)+COUNTIF(AQ$11:AQ217,AQ217)-1),(RANK(AQ217,AQ$11:AQ$349)+COUNTIF(AQ$11:AQ217,AQ217)-1)))</f>
        <v/>
      </c>
      <c r="AS217" s="3" t="str">
        <f t="shared" si="113"/>
        <v/>
      </c>
      <c r="AT217" s="40" t="str">
        <f t="shared" si="114"/>
        <v/>
      </c>
      <c r="AU217" s="43" t="str">
        <f t="shared" si="115"/>
        <v/>
      </c>
      <c r="AX217" t="e">
        <f>HLOOKUP($AX$9&amp;$AX$10,Data!$A$1:$ZZ$1988,(MATCH($C217,Data!$A$1:$A$1988,0)),FALSE)</f>
        <v>#N/A</v>
      </c>
    </row>
    <row r="218" spans="1:50">
      <c r="A218" s="59" t="str">
        <f>$D$1&amp;208</f>
        <v>UA208</v>
      </c>
      <c r="B218" s="60">
        <f>IF(ISERROR(VLOOKUP(A218,classifications!A:C,3,FALSE)),0,VLOOKUP(A218,classifications!A:C,3,FALSE))</f>
        <v>0</v>
      </c>
      <c r="C218" t="s">
        <v>119</v>
      </c>
      <c r="D218" t="str">
        <f>VLOOKUP($C218,classifications!$C:$J,4,FALSE)</f>
        <v>SD</v>
      </c>
      <c r="E218">
        <f>VLOOKUP(C218,classifications!C:K,9,FALSE)</f>
        <v>0</v>
      </c>
      <c r="F218">
        <f t="shared" si="92"/>
        <v>69.230769230769226</v>
      </c>
      <c r="G218" s="15"/>
      <c r="H218" s="42" t="str">
        <f t="shared" si="93"/>
        <v/>
      </c>
      <c r="I218" s="79" t="str">
        <f>IF(H218="","",IF($I$8="A",(RANK(H218,H$11:H$349,1)+COUNTIF(H$11:H218,H218)-1),(RANK(H218,H$11:H$349)+COUNTIF(H$11:H218,H218)-1)))</f>
        <v/>
      </c>
      <c r="J218" s="41"/>
      <c r="K218" s="36" t="str">
        <f t="shared" si="94"/>
        <v/>
      </c>
      <c r="L218" t="str">
        <f t="shared" si="95"/>
        <v/>
      </c>
      <c r="M218" s="117" t="str">
        <f t="shared" si="96"/>
        <v/>
      </c>
      <c r="N218" s="112" t="str">
        <f t="shared" si="97"/>
        <v/>
      </c>
      <c r="O218" s="96" t="str">
        <f t="shared" si="98"/>
        <v/>
      </c>
      <c r="P218" s="96" t="str">
        <f t="shared" si="99"/>
        <v/>
      </c>
      <c r="Q218" s="96" t="str">
        <f t="shared" si="100"/>
        <v/>
      </c>
      <c r="R218" s="92" t="str">
        <f t="shared" si="101"/>
        <v/>
      </c>
      <c r="S218" s="42" t="str">
        <f t="shared" si="102"/>
        <v/>
      </c>
      <c r="T218" s="176" t="str">
        <f>IF(L218="","",VLOOKUP(L218,classifications!C:K,9,FALSE))</f>
        <v/>
      </c>
      <c r="U218" s="177" t="str">
        <f t="shared" si="103"/>
        <v/>
      </c>
      <c r="V218" s="183" t="str">
        <f>IF(U218="","",IF($I$8="A",(RANK(U218,U$11:U$349)+COUNTIF(U$11:U218,U218)-1),(RANK(U218,U$11:U$349,1)+COUNTIF(U$11:U218,U218)-1)))</f>
        <v/>
      </c>
      <c r="W218" s="184"/>
      <c r="X218" s="5" t="str">
        <f>IF(L218="","",VLOOKUP($L218,classifications!$C:$J,6,FALSE))</f>
        <v/>
      </c>
      <c r="Y218" t="str">
        <f t="shared" si="104"/>
        <v/>
      </c>
      <c r="Z218" s="40" t="str">
        <f>IF(Y218="","",IF(I$8="A",(RANK(Y218,Y$11:Y$349,1)+COUNTIF(Y$11:Y218,Y218)-1),(RANK(Y218,Y$11:Y$349)+COUNTIF(Y$11:Y218,Y218)-1)))</f>
        <v/>
      </c>
      <c r="AA218" s="189" t="str">
        <f>IF(L218="","",VLOOKUP($L218,classifications!C:I,7,FALSE))</f>
        <v/>
      </c>
      <c r="AB218" s="183" t="str">
        <f t="shared" si="105"/>
        <v/>
      </c>
      <c r="AC218" s="183" t="str">
        <f>IF(AB218="","",IF($I$8="A",(RANK(AB218,AB$11:AB$349)+COUNTIF(AB$11:AB218,AB218)-1),(RANK(AB218,AB$11:AB$349,1)+COUNTIF(AB$11:AB218,AB218)-1)))</f>
        <v/>
      </c>
      <c r="AD218" s="183"/>
      <c r="AE218" s="49">
        <f>IF(I$8="A",(RANK(AG218,AG$11:AG$349,1)+COUNTIF(AG$11:AG218,AG218)-1),(RANK(AG218,AG$11:AG$349)+COUNTIF(AG$11:AG218,AG218)-1))</f>
        <v>208</v>
      </c>
      <c r="AF218" t="str">
        <f>VLOOKUP(Profile!$J$5,Families!$C:$R,6,FALSE)</f>
        <v>Herefordshire</v>
      </c>
      <c r="AG218" s="15">
        <f t="shared" si="106"/>
        <v>62.711864406779661</v>
      </c>
      <c r="AH218" s="50">
        <f t="shared" si="107"/>
        <v>208</v>
      </c>
      <c r="AI218" s="5" t="str">
        <f>IF(L218="","",VLOOKUP($L218,classifications!$C:$J,8,FALSE))</f>
        <v/>
      </c>
      <c r="AJ218" s="43" t="str">
        <f t="shared" si="108"/>
        <v/>
      </c>
      <c r="AK218" s="40" t="str">
        <f>IF(AJ218="","",IF(I$8="A",(RANK(AJ218,AJ$11:AJ$349,1)+COUNTIF(AJ$11:AJ218,AJ218)-1),(RANK(AJ218,AJ$11:AJ$349)+COUNTIF(AJ$11:AJ218,AJ218)-1)))</f>
        <v/>
      </c>
      <c r="AL218" s="3" t="str">
        <f t="shared" si="109"/>
        <v/>
      </c>
      <c r="AM218" t="str">
        <f t="shared" si="110"/>
        <v/>
      </c>
      <c r="AN218" t="str">
        <f t="shared" si="111"/>
        <v/>
      </c>
      <c r="AP218" s="5" t="str">
        <f>IF(L218="","",VLOOKUP($L218,classifications!$C:$E,3,FALSE))</f>
        <v/>
      </c>
      <c r="AQ218" s="43" t="str">
        <f t="shared" si="112"/>
        <v/>
      </c>
      <c r="AR218" s="40" t="str">
        <f>IF(AQ218="","",IF(I$8="A",(RANK(AQ218,AQ$11:AQ$349,1)+COUNTIF(AQ$11:AQ218,AQ218)-1),(RANK(AQ218,AQ$11:AQ$349)+COUNTIF(AQ$11:AQ218,AQ218)-1)))</f>
        <v/>
      </c>
      <c r="AS218" s="3" t="str">
        <f t="shared" si="113"/>
        <v/>
      </c>
      <c r="AT218" s="40" t="str">
        <f t="shared" si="114"/>
        <v/>
      </c>
      <c r="AU218" s="43" t="str">
        <f t="shared" si="115"/>
        <v/>
      </c>
      <c r="AX218">
        <f>HLOOKUP($AX$9&amp;$AX$10,Data!$A$1:$ZZ$1988,(MATCH($C218,Data!$A$1:$A$1988,0)),FALSE)</f>
        <v>69.230769230769226</v>
      </c>
    </row>
    <row r="219" spans="1:50">
      <c r="A219" s="59" t="str">
        <f>$D$1&amp;209</f>
        <v>UA209</v>
      </c>
      <c r="B219" s="60">
        <f>IF(ISERROR(VLOOKUP(A219,classifications!A:C,3,FALSE)),0,VLOOKUP(A219,classifications!A:C,3,FALSE))</f>
        <v>0</v>
      </c>
      <c r="C219" t="s">
        <v>280</v>
      </c>
      <c r="D219" t="str">
        <f>VLOOKUP($C219,classifications!$C:$J,4,FALSE)</f>
        <v>UA</v>
      </c>
      <c r="E219">
        <f>VLOOKUP(C219,classifications!C:K,9,FALSE)</f>
        <v>0</v>
      </c>
      <c r="F219">
        <f t="shared" si="92"/>
        <v>90</v>
      </c>
      <c r="G219" s="15"/>
      <c r="H219" s="42">
        <f t="shared" si="93"/>
        <v>90</v>
      </c>
      <c r="I219" s="79">
        <f>IF(H219="","",IF($I$8="A",(RANK(H219,H$11:H$349,1)+COUNTIF(H$11:H219,H219)-1),(RANK(H219,H$11:H$349)+COUNTIF(H$11:H219,H219)-1)))</f>
        <v>29</v>
      </c>
      <c r="J219" s="41"/>
      <c r="K219" s="36" t="str">
        <f t="shared" si="94"/>
        <v/>
      </c>
      <c r="L219" t="str">
        <f t="shared" si="95"/>
        <v/>
      </c>
      <c r="M219" s="117" t="str">
        <f t="shared" si="96"/>
        <v/>
      </c>
      <c r="N219" s="112" t="str">
        <f t="shared" si="97"/>
        <v/>
      </c>
      <c r="O219" s="96" t="str">
        <f t="shared" si="98"/>
        <v/>
      </c>
      <c r="P219" s="96" t="str">
        <f t="shared" si="99"/>
        <v/>
      </c>
      <c r="Q219" s="96" t="str">
        <f t="shared" si="100"/>
        <v/>
      </c>
      <c r="R219" s="92" t="str">
        <f t="shared" si="101"/>
        <v/>
      </c>
      <c r="S219" s="42" t="str">
        <f t="shared" si="102"/>
        <v/>
      </c>
      <c r="T219" s="176" t="str">
        <f>IF(L219="","",VLOOKUP(L219,classifications!C:K,9,FALSE))</f>
        <v/>
      </c>
      <c r="U219" s="177" t="str">
        <f t="shared" si="103"/>
        <v/>
      </c>
      <c r="V219" s="183" t="str">
        <f>IF(U219="","",IF($I$8="A",(RANK(U219,U$11:U$349)+COUNTIF(U$11:U219,U219)-1),(RANK(U219,U$11:U$349,1)+COUNTIF(U$11:U219,U219)-1)))</f>
        <v/>
      </c>
      <c r="W219" s="184"/>
      <c r="X219" s="5" t="str">
        <f>IF(L219="","",VLOOKUP($L219,classifications!$C:$J,6,FALSE))</f>
        <v/>
      </c>
      <c r="Y219" t="str">
        <f t="shared" si="104"/>
        <v/>
      </c>
      <c r="Z219" s="40" t="str">
        <f>IF(Y219="","",IF(I$8="A",(RANK(Y219,Y$11:Y$349,1)+COUNTIF(Y$11:Y219,Y219)-1),(RANK(Y219,Y$11:Y$349)+COUNTIF(Y$11:Y219,Y219)-1)))</f>
        <v/>
      </c>
      <c r="AA219" s="189" t="str">
        <f>IF(L219="","",VLOOKUP($L219,classifications!C:I,7,FALSE))</f>
        <v/>
      </c>
      <c r="AB219" s="183" t="str">
        <f t="shared" si="105"/>
        <v/>
      </c>
      <c r="AC219" s="183" t="str">
        <f>IF(AB219="","",IF($I$8="A",(RANK(AB219,AB$11:AB$349)+COUNTIF(AB$11:AB219,AB219)-1),(RANK(AB219,AB$11:AB$349,1)+COUNTIF(AB$11:AB219,AB219)-1)))</f>
        <v/>
      </c>
      <c r="AD219" s="183"/>
      <c r="AE219" s="49">
        <f>IF(I$8="A",(RANK(AG219,AG$11:AG$349,1)+COUNTIF(AG$11:AG219,AG219)-1),(RANK(AG219,AG$11:AG$349)+COUNTIF(AG$11:AG219,AG219)-1))</f>
        <v>209</v>
      </c>
      <c r="AF219" t="str">
        <f>VLOOKUP(Profile!$J$5,Families!$C:$R,6,FALSE)</f>
        <v>Herefordshire</v>
      </c>
      <c r="AG219" s="15">
        <f t="shared" si="106"/>
        <v>62.711864406779661</v>
      </c>
      <c r="AH219" s="50">
        <f t="shared" si="107"/>
        <v>209</v>
      </c>
      <c r="AI219" s="5" t="str">
        <f>IF(L219="","",VLOOKUP($L219,classifications!$C:$J,8,FALSE))</f>
        <v/>
      </c>
      <c r="AJ219" s="43" t="str">
        <f t="shared" si="108"/>
        <v/>
      </c>
      <c r="AK219" s="40" t="str">
        <f>IF(AJ219="","",IF(I$8="A",(RANK(AJ219,AJ$11:AJ$349,1)+COUNTIF(AJ$11:AJ219,AJ219)-1),(RANK(AJ219,AJ$11:AJ$349)+COUNTIF(AJ$11:AJ219,AJ219)-1)))</f>
        <v/>
      </c>
      <c r="AL219" s="3" t="str">
        <f t="shared" si="109"/>
        <v/>
      </c>
      <c r="AM219" t="str">
        <f t="shared" si="110"/>
        <v/>
      </c>
      <c r="AN219" t="str">
        <f t="shared" si="111"/>
        <v/>
      </c>
      <c r="AP219" s="5" t="str">
        <f>IF(L219="","",VLOOKUP($L219,classifications!$C:$E,3,FALSE))</f>
        <v/>
      </c>
      <c r="AQ219" s="43" t="str">
        <f t="shared" si="112"/>
        <v/>
      </c>
      <c r="AR219" s="40" t="str">
        <f>IF(AQ219="","",IF(I$8="A",(RANK(AQ219,AQ$11:AQ$349,1)+COUNTIF(AQ$11:AQ219,AQ219)-1),(RANK(AQ219,AQ$11:AQ$349)+COUNTIF(AQ$11:AQ219,AQ219)-1)))</f>
        <v/>
      </c>
      <c r="AS219" s="3" t="str">
        <f t="shared" si="113"/>
        <v/>
      </c>
      <c r="AT219" s="40" t="str">
        <f t="shared" si="114"/>
        <v/>
      </c>
      <c r="AU219" s="43" t="str">
        <f t="shared" si="115"/>
        <v/>
      </c>
      <c r="AX219">
        <f>HLOOKUP($AX$9&amp;$AX$10,Data!$A$1:$ZZ$1988,(MATCH($C219,Data!$A$1:$A$1988,0)),FALSE)</f>
        <v>90</v>
      </c>
    </row>
    <row r="220" spans="1:50">
      <c r="A220" s="59" t="str">
        <f>$D$1&amp;210</f>
        <v>UA210</v>
      </c>
      <c r="B220" s="60">
        <f>IF(ISERROR(VLOOKUP(A220,classifications!A:C,3,FALSE)),0,VLOOKUP(A220,classifications!A:C,3,FALSE))</f>
        <v>0</v>
      </c>
      <c r="C220" t="s">
        <v>281</v>
      </c>
      <c r="D220" t="str">
        <f>VLOOKUP($C220,classifications!$C:$J,4,FALSE)</f>
        <v>UA</v>
      </c>
      <c r="E220">
        <f>VLOOKUP(C220,classifications!C:K,9,FALSE)</f>
        <v>0</v>
      </c>
      <c r="F220">
        <f t="shared" si="92"/>
        <v>100</v>
      </c>
      <c r="G220" s="15"/>
      <c r="H220" s="42">
        <f t="shared" si="93"/>
        <v>100</v>
      </c>
      <c r="I220" s="79">
        <f>IF(H220="","",IF($I$8="A",(RANK(H220,H$11:H$349,1)+COUNTIF(H$11:H220,H220)-1),(RANK(H220,H$11:H$349)+COUNTIF(H$11:H220,H220)-1)))</f>
        <v>6</v>
      </c>
      <c r="J220" s="41"/>
      <c r="K220" s="36" t="str">
        <f t="shared" si="94"/>
        <v/>
      </c>
      <c r="L220" t="str">
        <f t="shared" si="95"/>
        <v/>
      </c>
      <c r="M220" s="117" t="str">
        <f t="shared" si="96"/>
        <v/>
      </c>
      <c r="N220" s="112" t="str">
        <f t="shared" si="97"/>
        <v/>
      </c>
      <c r="O220" s="96" t="str">
        <f t="shared" si="98"/>
        <v/>
      </c>
      <c r="P220" s="96" t="str">
        <f t="shared" si="99"/>
        <v/>
      </c>
      <c r="Q220" s="96" t="str">
        <f t="shared" si="100"/>
        <v/>
      </c>
      <c r="R220" s="92" t="str">
        <f t="shared" si="101"/>
        <v/>
      </c>
      <c r="S220" s="42" t="str">
        <f t="shared" si="102"/>
        <v/>
      </c>
      <c r="T220" s="176" t="str">
        <f>IF(L220="","",VLOOKUP(L220,classifications!C:K,9,FALSE))</f>
        <v/>
      </c>
      <c r="U220" s="177" t="str">
        <f t="shared" si="103"/>
        <v/>
      </c>
      <c r="V220" s="183" t="str">
        <f>IF(U220="","",IF($I$8="A",(RANK(U220,U$11:U$349)+COUNTIF(U$11:U220,U220)-1),(RANK(U220,U$11:U$349,1)+COUNTIF(U$11:U220,U220)-1)))</f>
        <v/>
      </c>
      <c r="W220" s="184"/>
      <c r="X220" s="5" t="str">
        <f>IF(L220="","",VLOOKUP($L220,classifications!$C:$J,6,FALSE))</f>
        <v/>
      </c>
      <c r="Y220" t="str">
        <f t="shared" si="104"/>
        <v/>
      </c>
      <c r="Z220" s="40" t="str">
        <f>IF(Y220="","",IF(I$8="A",(RANK(Y220,Y$11:Y$349,1)+COUNTIF(Y$11:Y220,Y220)-1),(RANK(Y220,Y$11:Y$349)+COUNTIF(Y$11:Y220,Y220)-1)))</f>
        <v/>
      </c>
      <c r="AA220" s="189" t="str">
        <f>IF(L220="","",VLOOKUP($L220,classifications!C:I,7,FALSE))</f>
        <v/>
      </c>
      <c r="AB220" s="183" t="str">
        <f t="shared" si="105"/>
        <v/>
      </c>
      <c r="AC220" s="183" t="str">
        <f>IF(AB220="","",IF($I$8="A",(RANK(AB220,AB$11:AB$349)+COUNTIF(AB$11:AB220,AB220)-1),(RANK(AB220,AB$11:AB$349,1)+COUNTIF(AB$11:AB220,AB220)-1)))</f>
        <v/>
      </c>
      <c r="AD220" s="183"/>
      <c r="AE220" s="49">
        <f>IF(I$8="A",(RANK(AG220,AG$11:AG$349,1)+COUNTIF(AG$11:AG220,AG220)-1),(RANK(AG220,AG$11:AG$349)+COUNTIF(AG$11:AG220,AG220)-1))</f>
        <v>210</v>
      </c>
      <c r="AF220" t="str">
        <f>VLOOKUP(Profile!$J$5,Families!$C:$R,6,FALSE)</f>
        <v>Herefordshire</v>
      </c>
      <c r="AG220" s="15">
        <f t="shared" si="106"/>
        <v>62.711864406779661</v>
      </c>
      <c r="AH220" s="50">
        <f t="shared" si="107"/>
        <v>210</v>
      </c>
      <c r="AI220" s="5" t="str">
        <f>IF(L220="","",VLOOKUP($L220,classifications!$C:$J,8,FALSE))</f>
        <v/>
      </c>
      <c r="AJ220" s="43" t="str">
        <f t="shared" si="108"/>
        <v/>
      </c>
      <c r="AK220" s="40" t="str">
        <f>IF(AJ220="","",IF(I$8="A",(RANK(AJ220,AJ$11:AJ$349,1)+COUNTIF(AJ$11:AJ220,AJ220)-1),(RANK(AJ220,AJ$11:AJ$349)+COUNTIF(AJ$11:AJ220,AJ220)-1)))</f>
        <v/>
      </c>
      <c r="AL220" s="3" t="str">
        <f t="shared" si="109"/>
        <v/>
      </c>
      <c r="AM220" t="str">
        <f t="shared" si="110"/>
        <v/>
      </c>
      <c r="AN220" t="str">
        <f t="shared" si="111"/>
        <v/>
      </c>
      <c r="AP220" s="5" t="str">
        <f>IF(L220="","",VLOOKUP($L220,classifications!$C:$E,3,FALSE))</f>
        <v/>
      </c>
      <c r="AQ220" s="43" t="str">
        <f t="shared" si="112"/>
        <v/>
      </c>
      <c r="AR220" s="40" t="str">
        <f>IF(AQ220="","",IF(I$8="A",(RANK(AQ220,AQ$11:AQ$349,1)+COUNTIF(AQ$11:AQ220,AQ220)-1),(RANK(AQ220,AQ$11:AQ$349)+COUNTIF(AQ$11:AQ220,AQ220)-1)))</f>
        <v/>
      </c>
      <c r="AS220" s="3" t="str">
        <f t="shared" si="113"/>
        <v/>
      </c>
      <c r="AT220" s="40" t="str">
        <f t="shared" si="114"/>
        <v/>
      </c>
      <c r="AU220" s="43" t="str">
        <f t="shared" si="115"/>
        <v/>
      </c>
      <c r="AX220">
        <f>HLOOKUP($AX$9&amp;$AX$10,Data!$A$1:$ZZ$1988,(MATCH($C220,Data!$A$1:$A$1988,0)),FALSE)</f>
        <v>100</v>
      </c>
    </row>
    <row r="221" spans="1:50">
      <c r="A221" s="59" t="str">
        <f>$D$1&amp;211</f>
        <v>UA211</v>
      </c>
      <c r="B221" s="60">
        <f>IF(ISERROR(VLOOKUP(A221,classifications!A:C,3,FALSE)),0,VLOOKUP(A221,classifications!A:C,3,FALSE))</f>
        <v>0</v>
      </c>
      <c r="C221" t="s">
        <v>283</v>
      </c>
      <c r="D221" t="str">
        <f>VLOOKUP($C221,classifications!$C:$J,4,FALSE)</f>
        <v>UA</v>
      </c>
      <c r="E221">
        <f>VLOOKUP(C221,classifications!C:K,9,FALSE)</f>
        <v>0</v>
      </c>
      <c r="F221">
        <f t="shared" si="92"/>
        <v>40.909090909090914</v>
      </c>
      <c r="G221" s="15"/>
      <c r="H221" s="42">
        <f t="shared" si="93"/>
        <v>40.909090909090914</v>
      </c>
      <c r="I221" s="79">
        <f>IF(H221="","",IF($I$8="A",(RANK(H221,H$11:H$349,1)+COUNTIF(H$11:H221,H221)-1),(RANK(H221,H$11:H$349)+COUNTIF(H$11:H221,H221)-1)))</f>
        <v>58</v>
      </c>
      <c r="J221" s="41"/>
      <c r="K221" s="36" t="str">
        <f t="shared" si="94"/>
        <v/>
      </c>
      <c r="L221" t="str">
        <f t="shared" si="95"/>
        <v/>
      </c>
      <c r="M221" s="117" t="str">
        <f t="shared" si="96"/>
        <v/>
      </c>
      <c r="N221" s="112" t="str">
        <f t="shared" si="97"/>
        <v/>
      </c>
      <c r="O221" s="96" t="str">
        <f t="shared" si="98"/>
        <v/>
      </c>
      <c r="P221" s="96" t="str">
        <f t="shared" si="99"/>
        <v/>
      </c>
      <c r="Q221" s="96" t="str">
        <f t="shared" si="100"/>
        <v/>
      </c>
      <c r="R221" s="92" t="str">
        <f t="shared" si="101"/>
        <v/>
      </c>
      <c r="S221" s="42" t="str">
        <f t="shared" si="102"/>
        <v/>
      </c>
      <c r="T221" s="176" t="str">
        <f>IF(L221="","",VLOOKUP(L221,classifications!C:K,9,FALSE))</f>
        <v/>
      </c>
      <c r="U221" s="177" t="str">
        <f t="shared" si="103"/>
        <v/>
      </c>
      <c r="V221" s="183" t="str">
        <f>IF(U221="","",IF($I$8="A",(RANK(U221,U$11:U$349)+COUNTIF(U$11:U221,U221)-1),(RANK(U221,U$11:U$349,1)+COUNTIF(U$11:U221,U221)-1)))</f>
        <v/>
      </c>
      <c r="W221" s="184"/>
      <c r="X221" s="5" t="str">
        <f>IF(L221="","",VLOOKUP($L221,classifications!$C:$J,6,FALSE))</f>
        <v/>
      </c>
      <c r="Y221" t="str">
        <f t="shared" si="104"/>
        <v/>
      </c>
      <c r="Z221" s="40" t="str">
        <f>IF(Y221="","",IF(I$8="A",(RANK(Y221,Y$11:Y$349,1)+COUNTIF(Y$11:Y221,Y221)-1),(RANK(Y221,Y$11:Y$349)+COUNTIF(Y$11:Y221,Y221)-1)))</f>
        <v/>
      </c>
      <c r="AA221" s="189" t="str">
        <f>IF(L221="","",VLOOKUP($L221,classifications!C:I,7,FALSE))</f>
        <v/>
      </c>
      <c r="AB221" s="183" t="str">
        <f t="shared" si="105"/>
        <v/>
      </c>
      <c r="AC221" s="183" t="str">
        <f>IF(AB221="","",IF($I$8="A",(RANK(AB221,AB$11:AB$349)+COUNTIF(AB$11:AB221,AB221)-1),(RANK(AB221,AB$11:AB$349,1)+COUNTIF(AB$11:AB221,AB221)-1)))</f>
        <v/>
      </c>
      <c r="AD221" s="183"/>
      <c r="AE221" s="49">
        <f>IF(I$8="A",(RANK(AG221,AG$11:AG$349,1)+COUNTIF(AG$11:AG221,AG221)-1),(RANK(AG221,AG$11:AG$349)+COUNTIF(AG$11:AG221,AG221)-1))</f>
        <v>211</v>
      </c>
      <c r="AF221" t="str">
        <f>VLOOKUP(Profile!$J$5,Families!$C:$R,6,FALSE)</f>
        <v>Herefordshire</v>
      </c>
      <c r="AG221" s="15">
        <f t="shared" si="106"/>
        <v>62.711864406779661</v>
      </c>
      <c r="AH221" s="50">
        <f t="shared" si="107"/>
        <v>211</v>
      </c>
      <c r="AI221" s="5" t="str">
        <f>IF(L221="","",VLOOKUP($L221,classifications!$C:$J,8,FALSE))</f>
        <v/>
      </c>
      <c r="AJ221" s="43" t="str">
        <f t="shared" si="108"/>
        <v/>
      </c>
      <c r="AK221" s="40" t="str">
        <f>IF(AJ221="","",IF(I$8="A",(RANK(AJ221,AJ$11:AJ$349,1)+COUNTIF(AJ$11:AJ221,AJ221)-1),(RANK(AJ221,AJ$11:AJ$349)+COUNTIF(AJ$11:AJ221,AJ221)-1)))</f>
        <v/>
      </c>
      <c r="AL221" s="3" t="str">
        <f t="shared" si="109"/>
        <v/>
      </c>
      <c r="AM221" t="str">
        <f t="shared" si="110"/>
        <v/>
      </c>
      <c r="AN221" t="str">
        <f t="shared" si="111"/>
        <v/>
      </c>
      <c r="AP221" s="5" t="str">
        <f>IF(L221="","",VLOOKUP($L221,classifications!$C:$E,3,FALSE))</f>
        <v/>
      </c>
      <c r="AQ221" s="43" t="str">
        <f t="shared" si="112"/>
        <v/>
      </c>
      <c r="AR221" s="40" t="str">
        <f>IF(AQ221="","",IF(I$8="A",(RANK(AQ221,AQ$11:AQ$349,1)+COUNTIF(AQ$11:AQ221,AQ221)-1),(RANK(AQ221,AQ$11:AQ$349)+COUNTIF(AQ$11:AQ221,AQ221)-1)))</f>
        <v/>
      </c>
      <c r="AS221" s="3" t="str">
        <f t="shared" si="113"/>
        <v/>
      </c>
      <c r="AT221" s="40" t="str">
        <f t="shared" si="114"/>
        <v/>
      </c>
      <c r="AU221" s="43" t="str">
        <f t="shared" si="115"/>
        <v/>
      </c>
      <c r="AX221">
        <f>HLOOKUP($AX$9&amp;$AX$10,Data!$A$1:$ZZ$1988,(MATCH($C221,Data!$A$1:$A$1988,0)),FALSE)</f>
        <v>40.909090909090914</v>
      </c>
    </row>
    <row r="222" spans="1:50">
      <c r="A222" s="59" t="str">
        <f>$D$1&amp;212</f>
        <v>UA212</v>
      </c>
      <c r="B222" s="60">
        <f>IF(ISERROR(VLOOKUP(A222,classifications!A:C,3,FALSE)),0,VLOOKUP(A222,classifications!A:C,3,FALSE))</f>
        <v>0</v>
      </c>
      <c r="C222" t="s">
        <v>120</v>
      </c>
      <c r="D222" t="str">
        <f>VLOOKUP($C222,classifications!$C:$J,4,FALSE)</f>
        <v>SD</v>
      </c>
      <c r="E222">
        <f>VLOOKUP(C222,classifications!C:K,9,FALSE)</f>
        <v>0</v>
      </c>
      <c r="F222">
        <f t="shared" si="92"/>
        <v>100</v>
      </c>
      <c r="G222" s="15"/>
      <c r="H222" s="42" t="str">
        <f t="shared" si="93"/>
        <v/>
      </c>
      <c r="I222" s="79" t="str">
        <f>IF(H222="","",IF($I$8="A",(RANK(H222,H$11:H$349,1)+COUNTIF(H$11:H222,H222)-1),(RANK(H222,H$11:H$349)+COUNTIF(H$11:H222,H222)-1)))</f>
        <v/>
      </c>
      <c r="J222" s="41"/>
      <c r="K222" s="36" t="str">
        <f t="shared" si="94"/>
        <v/>
      </c>
      <c r="L222" t="str">
        <f t="shared" si="95"/>
        <v/>
      </c>
      <c r="M222" s="117" t="str">
        <f t="shared" si="96"/>
        <v/>
      </c>
      <c r="N222" s="112" t="str">
        <f t="shared" si="97"/>
        <v/>
      </c>
      <c r="O222" s="96" t="str">
        <f t="shared" si="98"/>
        <v/>
      </c>
      <c r="P222" s="96" t="str">
        <f t="shared" si="99"/>
        <v/>
      </c>
      <c r="Q222" s="96" t="str">
        <f t="shared" si="100"/>
        <v/>
      </c>
      <c r="R222" s="92" t="str">
        <f t="shared" si="101"/>
        <v/>
      </c>
      <c r="S222" s="42" t="str">
        <f t="shared" si="102"/>
        <v/>
      </c>
      <c r="T222" s="176" t="str">
        <f>IF(L222="","",VLOOKUP(L222,classifications!C:K,9,FALSE))</f>
        <v/>
      </c>
      <c r="U222" s="177" t="str">
        <f t="shared" si="103"/>
        <v/>
      </c>
      <c r="V222" s="183" t="str">
        <f>IF(U222="","",IF($I$8="A",(RANK(U222,U$11:U$349)+COUNTIF(U$11:U222,U222)-1),(RANK(U222,U$11:U$349,1)+COUNTIF(U$11:U222,U222)-1)))</f>
        <v/>
      </c>
      <c r="W222" s="184"/>
      <c r="X222" s="5" t="str">
        <f>IF(L222="","",VLOOKUP($L222,classifications!$C:$J,6,FALSE))</f>
        <v/>
      </c>
      <c r="Y222" t="str">
        <f t="shared" si="104"/>
        <v/>
      </c>
      <c r="Z222" s="40" t="str">
        <f>IF(Y222="","",IF(I$8="A",(RANK(Y222,Y$11:Y$349,1)+COUNTIF(Y$11:Y222,Y222)-1),(RANK(Y222,Y$11:Y$349)+COUNTIF(Y$11:Y222,Y222)-1)))</f>
        <v/>
      </c>
      <c r="AA222" s="189" t="str">
        <f>IF(L222="","",VLOOKUP($L222,classifications!C:I,7,FALSE))</f>
        <v/>
      </c>
      <c r="AB222" s="183" t="str">
        <f t="shared" si="105"/>
        <v/>
      </c>
      <c r="AC222" s="183" t="str">
        <f>IF(AB222="","",IF($I$8="A",(RANK(AB222,AB$11:AB$349)+COUNTIF(AB$11:AB222,AB222)-1),(RANK(AB222,AB$11:AB$349,1)+COUNTIF(AB$11:AB222,AB222)-1)))</f>
        <v/>
      </c>
      <c r="AD222" s="183"/>
      <c r="AE222" s="49">
        <f>IF(I$8="A",(RANK(AG222,AG$11:AG$349,1)+COUNTIF(AG$11:AG222,AG222)-1),(RANK(AG222,AG$11:AG$349)+COUNTIF(AG$11:AG222,AG222)-1))</f>
        <v>212</v>
      </c>
      <c r="AF222" t="str">
        <f>VLOOKUP(Profile!$J$5,Families!$C:$R,6,FALSE)</f>
        <v>Herefordshire</v>
      </c>
      <c r="AG222" s="15">
        <f t="shared" si="106"/>
        <v>62.711864406779661</v>
      </c>
      <c r="AH222" s="50">
        <f t="shared" si="107"/>
        <v>212</v>
      </c>
      <c r="AI222" s="5" t="str">
        <f>IF(L222="","",VLOOKUP($L222,classifications!$C:$J,8,FALSE))</f>
        <v/>
      </c>
      <c r="AJ222" s="43" t="str">
        <f t="shared" si="108"/>
        <v/>
      </c>
      <c r="AK222" s="40" t="str">
        <f>IF(AJ222="","",IF(I$8="A",(RANK(AJ222,AJ$11:AJ$349,1)+COUNTIF(AJ$11:AJ222,AJ222)-1),(RANK(AJ222,AJ$11:AJ$349)+COUNTIF(AJ$11:AJ222,AJ222)-1)))</f>
        <v/>
      </c>
      <c r="AL222" s="3" t="str">
        <f t="shared" si="109"/>
        <v/>
      </c>
      <c r="AM222" t="str">
        <f t="shared" si="110"/>
        <v/>
      </c>
      <c r="AN222" t="str">
        <f t="shared" si="111"/>
        <v/>
      </c>
      <c r="AP222" s="5" t="str">
        <f>IF(L222="","",VLOOKUP($L222,classifications!$C:$E,3,FALSE))</f>
        <v/>
      </c>
      <c r="AQ222" s="43" t="str">
        <f t="shared" si="112"/>
        <v/>
      </c>
      <c r="AR222" s="40" t="str">
        <f>IF(AQ222="","",IF(I$8="A",(RANK(AQ222,AQ$11:AQ$349,1)+COUNTIF(AQ$11:AQ222,AQ222)-1),(RANK(AQ222,AQ$11:AQ$349)+COUNTIF(AQ$11:AQ222,AQ222)-1)))</f>
        <v/>
      </c>
      <c r="AS222" s="3" t="str">
        <f t="shared" si="113"/>
        <v/>
      </c>
      <c r="AT222" s="40" t="str">
        <f t="shared" si="114"/>
        <v/>
      </c>
      <c r="AU222" s="43" t="str">
        <f t="shared" si="115"/>
        <v/>
      </c>
      <c r="AX222">
        <f>HLOOKUP($AX$9&amp;$AX$10,Data!$A$1:$ZZ$1988,(MATCH($C222,Data!$A$1:$A$1988,0)),FALSE)</f>
        <v>100</v>
      </c>
    </row>
    <row r="223" spans="1:50">
      <c r="A223" s="59" t="str">
        <f>$D$1&amp;213</f>
        <v>UA213</v>
      </c>
      <c r="B223" s="60">
        <f>IF(ISERROR(VLOOKUP(A223,classifications!A:C,3,FALSE)),0,VLOOKUP(A223,classifications!A:C,3,FALSE))</f>
        <v>0</v>
      </c>
      <c r="C223" t="s">
        <v>284</v>
      </c>
      <c r="D223" t="str">
        <f>VLOOKUP($C223,classifications!$C:$J,4,FALSE)</f>
        <v>UA</v>
      </c>
      <c r="E223">
        <f>VLOOKUP(C223,classifications!C:K,9,FALSE)</f>
        <v>0</v>
      </c>
      <c r="F223">
        <f t="shared" si="92"/>
        <v>82.35294117647058</v>
      </c>
      <c r="G223" s="15"/>
      <c r="H223" s="42">
        <f t="shared" si="93"/>
        <v>82.35294117647058</v>
      </c>
      <c r="I223" s="79">
        <f>IF(H223="","",IF($I$8="A",(RANK(H223,H$11:H$349,1)+COUNTIF(H$11:H223,H223)-1),(RANK(H223,H$11:H$349)+COUNTIF(H$11:H223,H223)-1)))</f>
        <v>44</v>
      </c>
      <c r="J223" s="41"/>
      <c r="K223" s="36" t="str">
        <f t="shared" si="94"/>
        <v/>
      </c>
      <c r="L223" t="str">
        <f t="shared" si="95"/>
        <v/>
      </c>
      <c r="M223" s="117" t="str">
        <f t="shared" si="96"/>
        <v/>
      </c>
      <c r="N223" s="112" t="str">
        <f t="shared" si="97"/>
        <v/>
      </c>
      <c r="O223" s="96" t="str">
        <f t="shared" si="98"/>
        <v/>
      </c>
      <c r="P223" s="96" t="str">
        <f t="shared" si="99"/>
        <v/>
      </c>
      <c r="Q223" s="96" t="str">
        <f t="shared" si="100"/>
        <v/>
      </c>
      <c r="R223" s="92" t="str">
        <f t="shared" si="101"/>
        <v/>
      </c>
      <c r="S223" s="42" t="str">
        <f t="shared" si="102"/>
        <v/>
      </c>
      <c r="T223" s="176" t="str">
        <f>IF(L223="","",VLOOKUP(L223,classifications!C:K,9,FALSE))</f>
        <v/>
      </c>
      <c r="U223" s="177" t="str">
        <f t="shared" si="103"/>
        <v/>
      </c>
      <c r="V223" s="183" t="str">
        <f>IF(U223="","",IF($I$8="A",(RANK(U223,U$11:U$349)+COUNTIF(U$11:U223,U223)-1),(RANK(U223,U$11:U$349,1)+COUNTIF(U$11:U223,U223)-1)))</f>
        <v/>
      </c>
      <c r="W223" s="184"/>
      <c r="X223" s="5" t="str">
        <f>IF(L223="","",VLOOKUP($L223,classifications!$C:$J,6,FALSE))</f>
        <v/>
      </c>
      <c r="Y223" t="str">
        <f t="shared" si="104"/>
        <v/>
      </c>
      <c r="Z223" s="40" t="str">
        <f>IF(Y223="","",IF(I$8="A",(RANK(Y223,Y$11:Y$349,1)+COUNTIF(Y$11:Y223,Y223)-1),(RANK(Y223,Y$11:Y$349)+COUNTIF(Y$11:Y223,Y223)-1)))</f>
        <v/>
      </c>
      <c r="AA223" s="189" t="str">
        <f>IF(L223="","",VLOOKUP($L223,classifications!C:I,7,FALSE))</f>
        <v/>
      </c>
      <c r="AB223" s="183" t="str">
        <f t="shared" si="105"/>
        <v/>
      </c>
      <c r="AC223" s="183" t="str">
        <f>IF(AB223="","",IF($I$8="A",(RANK(AB223,AB$11:AB$349)+COUNTIF(AB$11:AB223,AB223)-1),(RANK(AB223,AB$11:AB$349,1)+COUNTIF(AB$11:AB223,AB223)-1)))</f>
        <v/>
      </c>
      <c r="AD223" s="183"/>
      <c r="AE223" s="49">
        <f>IF(I$8="A",(RANK(AG223,AG$11:AG$349,1)+COUNTIF(AG$11:AG223,AG223)-1),(RANK(AG223,AG$11:AG$349)+COUNTIF(AG$11:AG223,AG223)-1))</f>
        <v>213</v>
      </c>
      <c r="AF223" t="str">
        <f>VLOOKUP(Profile!$J$5,Families!$C:$R,6,FALSE)</f>
        <v>Herefordshire</v>
      </c>
      <c r="AG223" s="15">
        <f t="shared" si="106"/>
        <v>62.711864406779661</v>
      </c>
      <c r="AH223" s="50">
        <f t="shared" si="107"/>
        <v>213</v>
      </c>
      <c r="AI223" s="5" t="str">
        <f>IF(L223="","",VLOOKUP($L223,classifications!$C:$J,8,FALSE))</f>
        <v/>
      </c>
      <c r="AJ223" s="43" t="str">
        <f t="shared" si="108"/>
        <v/>
      </c>
      <c r="AK223" s="40" t="str">
        <f>IF(AJ223="","",IF(I$8="A",(RANK(AJ223,AJ$11:AJ$349,1)+COUNTIF(AJ$11:AJ223,AJ223)-1),(RANK(AJ223,AJ$11:AJ$349)+COUNTIF(AJ$11:AJ223,AJ223)-1)))</f>
        <v/>
      </c>
      <c r="AL223" s="3" t="str">
        <f t="shared" si="109"/>
        <v/>
      </c>
      <c r="AM223" t="str">
        <f t="shared" si="110"/>
        <v/>
      </c>
      <c r="AN223" t="str">
        <f t="shared" si="111"/>
        <v/>
      </c>
      <c r="AP223" s="5" t="str">
        <f>IF(L223="","",VLOOKUP($L223,classifications!$C:$E,3,FALSE))</f>
        <v/>
      </c>
      <c r="AQ223" s="43" t="str">
        <f t="shared" si="112"/>
        <v/>
      </c>
      <c r="AR223" s="40" t="str">
        <f>IF(AQ223="","",IF(I$8="A",(RANK(AQ223,AQ$11:AQ$349,1)+COUNTIF(AQ$11:AQ223,AQ223)-1),(RANK(AQ223,AQ$11:AQ$349)+COUNTIF(AQ$11:AQ223,AQ223)-1)))</f>
        <v/>
      </c>
      <c r="AS223" s="3" t="str">
        <f t="shared" si="113"/>
        <v/>
      </c>
      <c r="AT223" s="40" t="str">
        <f t="shared" si="114"/>
        <v/>
      </c>
      <c r="AU223" s="43" t="str">
        <f t="shared" si="115"/>
        <v/>
      </c>
      <c r="AX223">
        <f>HLOOKUP($AX$9&amp;$AX$10,Data!$A$1:$ZZ$1988,(MATCH($C223,Data!$A$1:$A$1988,0)),FALSE)</f>
        <v>82.35294117647058</v>
      </c>
    </row>
    <row r="224" spans="1:50">
      <c r="A224" s="59" t="str">
        <f>$D$1&amp;214</f>
        <v>UA214</v>
      </c>
      <c r="B224" s="60">
        <f>IF(ISERROR(VLOOKUP(A224,classifications!A:C,3,FALSE)),0,VLOOKUP(A224,classifications!A:C,3,FALSE))</f>
        <v>0</v>
      </c>
      <c r="C224" t="s">
        <v>216</v>
      </c>
      <c r="D224" t="str">
        <f>VLOOKUP($C224,classifications!$C:$J,4,FALSE)</f>
        <v>L</v>
      </c>
      <c r="E224">
        <f>VLOOKUP(C224,classifications!C:K,9,FALSE)</f>
        <v>0</v>
      </c>
      <c r="F224">
        <f t="shared" si="92"/>
        <v>96.15384615384616</v>
      </c>
      <c r="G224" s="15"/>
      <c r="H224" s="42" t="str">
        <f t="shared" si="93"/>
        <v/>
      </c>
      <c r="I224" s="79" t="str">
        <f>IF(H224="","",IF($I$8="A",(RANK(H224,H$11:H$349,1)+COUNTIF(H$11:H224,H224)-1),(RANK(H224,H$11:H$349)+COUNTIF(H$11:H224,H224)-1)))</f>
        <v/>
      </c>
      <c r="J224" s="41"/>
      <c r="K224" s="36" t="str">
        <f t="shared" si="94"/>
        <v/>
      </c>
      <c r="L224" t="str">
        <f t="shared" si="95"/>
        <v/>
      </c>
      <c r="M224" s="117" t="str">
        <f t="shared" si="96"/>
        <v/>
      </c>
      <c r="N224" s="112" t="str">
        <f t="shared" si="97"/>
        <v/>
      </c>
      <c r="O224" s="96" t="str">
        <f t="shared" si="98"/>
        <v/>
      </c>
      <c r="P224" s="96" t="str">
        <f t="shared" si="99"/>
        <v/>
      </c>
      <c r="Q224" s="96" t="str">
        <f t="shared" si="100"/>
        <v/>
      </c>
      <c r="R224" s="92" t="str">
        <f t="shared" si="101"/>
        <v/>
      </c>
      <c r="S224" s="42" t="str">
        <f t="shared" si="102"/>
        <v/>
      </c>
      <c r="T224" s="176" t="str">
        <f>IF(L224="","",VLOOKUP(L224,classifications!C:K,9,FALSE))</f>
        <v/>
      </c>
      <c r="U224" s="177" t="str">
        <f t="shared" si="103"/>
        <v/>
      </c>
      <c r="V224" s="183" t="str">
        <f>IF(U224="","",IF($I$8="A",(RANK(U224,U$11:U$349)+COUNTIF(U$11:U224,U224)-1),(RANK(U224,U$11:U$349,1)+COUNTIF(U$11:U224,U224)-1)))</f>
        <v/>
      </c>
      <c r="W224" s="184"/>
      <c r="X224" s="5" t="str">
        <f>IF(L224="","",VLOOKUP($L224,classifications!$C:$J,6,FALSE))</f>
        <v/>
      </c>
      <c r="Y224" t="str">
        <f t="shared" si="104"/>
        <v/>
      </c>
      <c r="Z224" s="40" t="str">
        <f>IF(Y224="","",IF(I$8="A",(RANK(Y224,Y$11:Y$349,1)+COUNTIF(Y$11:Y224,Y224)-1),(RANK(Y224,Y$11:Y$349)+COUNTIF(Y$11:Y224,Y224)-1)))</f>
        <v/>
      </c>
      <c r="AA224" s="189" t="str">
        <f>IF(L224="","",VLOOKUP($L224,classifications!C:I,7,FALSE))</f>
        <v/>
      </c>
      <c r="AB224" s="183" t="str">
        <f t="shared" si="105"/>
        <v/>
      </c>
      <c r="AC224" s="183" t="str">
        <f>IF(AB224="","",IF($I$8="A",(RANK(AB224,AB$11:AB$349)+COUNTIF(AB$11:AB224,AB224)-1),(RANK(AB224,AB$11:AB$349,1)+COUNTIF(AB$11:AB224,AB224)-1)))</f>
        <v/>
      </c>
      <c r="AD224" s="183"/>
      <c r="AE224" s="49">
        <f>IF(I$8="A",(RANK(AG224,AG$11:AG$349,1)+COUNTIF(AG$11:AG224,AG224)-1),(RANK(AG224,AG$11:AG$349)+COUNTIF(AG$11:AG224,AG224)-1))</f>
        <v>214</v>
      </c>
      <c r="AF224" t="str">
        <f>VLOOKUP(Profile!$J$5,Families!$C:$R,6,FALSE)</f>
        <v>Herefordshire</v>
      </c>
      <c r="AG224" s="15">
        <f t="shared" si="106"/>
        <v>62.711864406779661</v>
      </c>
      <c r="AH224" s="50">
        <f t="shared" si="107"/>
        <v>214</v>
      </c>
      <c r="AI224" s="5" t="str">
        <f>IF(L224="","",VLOOKUP($L224,classifications!$C:$J,8,FALSE))</f>
        <v/>
      </c>
      <c r="AJ224" s="43" t="str">
        <f t="shared" si="108"/>
        <v/>
      </c>
      <c r="AK224" s="40" t="str">
        <f>IF(AJ224="","",IF(I$8="A",(RANK(AJ224,AJ$11:AJ$349,1)+COUNTIF(AJ$11:AJ224,AJ224)-1),(RANK(AJ224,AJ$11:AJ$349)+COUNTIF(AJ$11:AJ224,AJ224)-1)))</f>
        <v/>
      </c>
      <c r="AL224" s="3" t="str">
        <f t="shared" si="109"/>
        <v/>
      </c>
      <c r="AM224" t="str">
        <f t="shared" si="110"/>
        <v/>
      </c>
      <c r="AN224" t="str">
        <f t="shared" si="111"/>
        <v/>
      </c>
      <c r="AP224" s="5" t="str">
        <f>IF(L224="","",VLOOKUP($L224,classifications!$C:$E,3,FALSE))</f>
        <v/>
      </c>
      <c r="AQ224" s="43" t="str">
        <f t="shared" si="112"/>
        <v/>
      </c>
      <c r="AR224" s="40" t="str">
        <f>IF(AQ224="","",IF(I$8="A",(RANK(AQ224,AQ$11:AQ$349,1)+COUNTIF(AQ$11:AQ224,AQ224)-1),(RANK(AQ224,AQ$11:AQ$349)+COUNTIF(AQ$11:AQ224,AQ224)-1)))</f>
        <v/>
      </c>
      <c r="AS224" s="3" t="str">
        <f t="shared" si="113"/>
        <v/>
      </c>
      <c r="AT224" s="40" t="str">
        <f t="shared" si="114"/>
        <v/>
      </c>
      <c r="AU224" s="43" t="str">
        <f t="shared" si="115"/>
        <v/>
      </c>
      <c r="AX224">
        <f>HLOOKUP($AX$9&amp;$AX$10,Data!$A$1:$ZZ$1988,(MATCH($C224,Data!$A$1:$A$1988,0)),FALSE)</f>
        <v>96.15384615384616</v>
      </c>
    </row>
    <row r="225" spans="1:50">
      <c r="A225" s="59" t="str">
        <f>$D$1&amp;215</f>
        <v>UA215</v>
      </c>
      <c r="B225" s="60">
        <f>IF(ISERROR(VLOOKUP(A225,classifications!A:C,3,FALSE)),0,VLOOKUP(A225,classifications!A:C,3,FALSE))</f>
        <v>0</v>
      </c>
      <c r="C225" t="s">
        <v>808</v>
      </c>
      <c r="D225" t="str">
        <f>VLOOKUP($C225,classifications!$C:$J,4,FALSE)</f>
        <v>UA</v>
      </c>
      <c r="E225">
        <f>VLOOKUP(C225,classifications!C:K,9,FALSE)</f>
        <v>0</v>
      </c>
      <c r="F225">
        <f t="shared" si="92"/>
        <v>93.939393939393938</v>
      </c>
      <c r="G225" s="15"/>
      <c r="H225" s="42">
        <f t="shared" si="93"/>
        <v>93.939393939393938</v>
      </c>
      <c r="I225" s="79">
        <f>IF(H225="","",IF($I$8="A",(RANK(H225,H$11:H$349,1)+COUNTIF(H$11:H225,H225)-1),(RANK(H225,H$11:H$349)+COUNTIF(H$11:H225,H225)-1)))</f>
        <v>22</v>
      </c>
      <c r="J225" s="41"/>
      <c r="K225" s="36" t="str">
        <f t="shared" si="94"/>
        <v/>
      </c>
      <c r="L225" t="str">
        <f t="shared" si="95"/>
        <v/>
      </c>
      <c r="M225" s="117" t="str">
        <f t="shared" si="96"/>
        <v/>
      </c>
      <c r="N225" s="112" t="str">
        <f t="shared" si="97"/>
        <v/>
      </c>
      <c r="O225" s="96" t="str">
        <f t="shared" si="98"/>
        <v/>
      </c>
      <c r="P225" s="96" t="str">
        <f t="shared" si="99"/>
        <v/>
      </c>
      <c r="Q225" s="96" t="str">
        <f t="shared" si="100"/>
        <v/>
      </c>
      <c r="R225" s="92" t="str">
        <f t="shared" si="101"/>
        <v/>
      </c>
      <c r="S225" s="42" t="str">
        <f t="shared" si="102"/>
        <v/>
      </c>
      <c r="T225" s="176" t="str">
        <f>IF(L225="","",VLOOKUP(L225,classifications!C:K,9,FALSE))</f>
        <v/>
      </c>
      <c r="U225" s="177" t="str">
        <f t="shared" si="103"/>
        <v/>
      </c>
      <c r="V225" s="183" t="str">
        <f>IF(U225="","",IF($I$8="A",(RANK(U225,U$11:U$349)+COUNTIF(U$11:U225,U225)-1),(RANK(U225,U$11:U$349,1)+COUNTIF(U$11:U225,U225)-1)))</f>
        <v/>
      </c>
      <c r="W225" s="184"/>
      <c r="X225" s="5" t="str">
        <f>IF(L225="","",VLOOKUP($L225,classifications!$C:$J,6,FALSE))</f>
        <v/>
      </c>
      <c r="Y225" t="str">
        <f t="shared" si="104"/>
        <v/>
      </c>
      <c r="Z225" s="40" t="str">
        <f>IF(Y225="","",IF(I$8="A",(RANK(Y225,Y$11:Y$349,1)+COUNTIF(Y$11:Y225,Y225)-1),(RANK(Y225,Y$11:Y$349)+COUNTIF(Y$11:Y225,Y225)-1)))</f>
        <v/>
      </c>
      <c r="AA225" s="189" t="str">
        <f>IF(L225="","",VLOOKUP($L225,classifications!C:I,7,FALSE))</f>
        <v/>
      </c>
      <c r="AB225" s="183" t="str">
        <f t="shared" si="105"/>
        <v/>
      </c>
      <c r="AC225" s="183" t="str">
        <f>IF(AB225="","",IF($I$8="A",(RANK(AB225,AB$11:AB$349)+COUNTIF(AB$11:AB225,AB225)-1),(RANK(AB225,AB$11:AB$349,1)+COUNTIF(AB$11:AB225,AB225)-1)))</f>
        <v/>
      </c>
      <c r="AD225" s="183"/>
      <c r="AE225" s="49">
        <f>IF(I$8="A",(RANK(AG225,AG$11:AG$349,1)+COUNTIF(AG$11:AG225,AG225)-1),(RANK(AG225,AG$11:AG$349)+COUNTIF(AG$11:AG225,AG225)-1))</f>
        <v>215</v>
      </c>
      <c r="AF225" t="str">
        <f>VLOOKUP(Profile!$J$5,Families!$C:$R,6,FALSE)</f>
        <v>Herefordshire</v>
      </c>
      <c r="AG225" s="15">
        <f t="shared" si="106"/>
        <v>62.711864406779661</v>
      </c>
      <c r="AH225" s="50">
        <f t="shared" si="107"/>
        <v>215</v>
      </c>
      <c r="AI225" s="5" t="str">
        <f>IF(L225="","",VLOOKUP($L225,classifications!$C:$J,8,FALSE))</f>
        <v/>
      </c>
      <c r="AJ225" s="43" t="str">
        <f t="shared" si="108"/>
        <v/>
      </c>
      <c r="AK225" s="40" t="str">
        <f>IF(AJ225="","",IF(I$8="A",(RANK(AJ225,AJ$11:AJ$349,1)+COUNTIF(AJ$11:AJ225,AJ225)-1),(RANK(AJ225,AJ$11:AJ$349)+COUNTIF(AJ$11:AJ225,AJ225)-1)))</f>
        <v/>
      </c>
      <c r="AL225" s="3" t="str">
        <f t="shared" si="109"/>
        <v/>
      </c>
      <c r="AM225" t="str">
        <f t="shared" si="110"/>
        <v/>
      </c>
      <c r="AN225" t="str">
        <f t="shared" si="111"/>
        <v/>
      </c>
      <c r="AP225" s="5" t="str">
        <f>IF(L225="","",VLOOKUP($L225,classifications!$C:$E,3,FALSE))</f>
        <v/>
      </c>
      <c r="AQ225" s="43" t="str">
        <f t="shared" si="112"/>
        <v/>
      </c>
      <c r="AR225" s="40" t="str">
        <f>IF(AQ225="","",IF(I$8="A",(RANK(AQ225,AQ$11:AQ$349,1)+COUNTIF(AQ$11:AQ225,AQ225)-1),(RANK(AQ225,AQ$11:AQ$349)+COUNTIF(AQ$11:AQ225,AQ225)-1)))</f>
        <v/>
      </c>
      <c r="AS225" s="3" t="str">
        <f t="shared" si="113"/>
        <v/>
      </c>
      <c r="AT225" s="40" t="str">
        <f t="shared" si="114"/>
        <v/>
      </c>
      <c r="AU225" s="43" t="str">
        <f t="shared" si="115"/>
        <v/>
      </c>
      <c r="AX225">
        <f>HLOOKUP($AX$9&amp;$AX$10,Data!$A$1:$ZZ$1988,(MATCH($C225,Data!$A$1:$A$1988,0)),FALSE)</f>
        <v>93.939393939393938</v>
      </c>
    </row>
    <row r="226" spans="1:50">
      <c r="A226" s="59" t="str">
        <f>$D$1&amp;216</f>
        <v>UA216</v>
      </c>
      <c r="B226" s="60">
        <f>IF(ISERROR(VLOOKUP(A226,classifications!A:C,3,FALSE)),0,VLOOKUP(A226,classifications!A:C,3,FALSE))</f>
        <v>0</v>
      </c>
      <c r="C226" t="s">
        <v>122</v>
      </c>
      <c r="D226" t="str">
        <f>VLOOKUP($C226,classifications!$C:$J,4,FALSE)</f>
        <v>SD</v>
      </c>
      <c r="E226">
        <f>VLOOKUP(C226,classifications!C:K,9,FALSE)</f>
        <v>0</v>
      </c>
      <c r="F226">
        <f t="shared" si="92"/>
        <v>100</v>
      </c>
      <c r="G226" s="15"/>
      <c r="H226" s="42" t="str">
        <f t="shared" si="93"/>
        <v/>
      </c>
      <c r="I226" s="79" t="str">
        <f>IF(H226="","",IF($I$8="A",(RANK(H226,H$11:H$349,1)+COUNTIF(H$11:H226,H226)-1),(RANK(H226,H$11:H$349)+COUNTIF(H$11:H226,H226)-1)))</f>
        <v/>
      </c>
      <c r="J226" s="41"/>
      <c r="K226" s="36" t="str">
        <f t="shared" si="94"/>
        <v/>
      </c>
      <c r="L226" t="str">
        <f t="shared" si="95"/>
        <v/>
      </c>
      <c r="M226" s="117" t="str">
        <f t="shared" si="96"/>
        <v/>
      </c>
      <c r="N226" s="112" t="str">
        <f t="shared" si="97"/>
        <v/>
      </c>
      <c r="O226" s="96" t="str">
        <f t="shared" si="98"/>
        <v/>
      </c>
      <c r="P226" s="96" t="str">
        <f t="shared" si="99"/>
        <v/>
      </c>
      <c r="Q226" s="96" t="str">
        <f t="shared" si="100"/>
        <v/>
      </c>
      <c r="R226" s="92" t="str">
        <f t="shared" si="101"/>
        <v/>
      </c>
      <c r="S226" s="42" t="str">
        <f t="shared" si="102"/>
        <v/>
      </c>
      <c r="T226" s="176" t="str">
        <f>IF(L226="","",VLOOKUP(L226,classifications!C:K,9,FALSE))</f>
        <v/>
      </c>
      <c r="U226" s="177" t="str">
        <f t="shared" si="103"/>
        <v/>
      </c>
      <c r="V226" s="183" t="str">
        <f>IF(U226="","",IF($I$8="A",(RANK(U226,U$11:U$349)+COUNTIF(U$11:U226,U226)-1),(RANK(U226,U$11:U$349,1)+COUNTIF(U$11:U226,U226)-1)))</f>
        <v/>
      </c>
      <c r="W226" s="184"/>
      <c r="X226" s="5" t="str">
        <f>IF(L226="","",VLOOKUP($L226,classifications!$C:$J,6,FALSE))</f>
        <v/>
      </c>
      <c r="Y226" t="str">
        <f t="shared" si="104"/>
        <v/>
      </c>
      <c r="Z226" s="40" t="str">
        <f>IF(Y226="","",IF(I$8="A",(RANK(Y226,Y$11:Y$349,1)+COUNTIF(Y$11:Y226,Y226)-1),(RANK(Y226,Y$11:Y$349)+COUNTIF(Y$11:Y226,Y226)-1)))</f>
        <v/>
      </c>
      <c r="AA226" s="189" t="str">
        <f>IF(L226="","",VLOOKUP($L226,classifications!C:I,7,FALSE))</f>
        <v/>
      </c>
      <c r="AB226" s="183" t="str">
        <f t="shared" si="105"/>
        <v/>
      </c>
      <c r="AC226" s="183" t="str">
        <f>IF(AB226="","",IF($I$8="A",(RANK(AB226,AB$11:AB$349)+COUNTIF(AB$11:AB226,AB226)-1),(RANK(AB226,AB$11:AB$349,1)+COUNTIF(AB$11:AB226,AB226)-1)))</f>
        <v/>
      </c>
      <c r="AD226" s="183"/>
      <c r="AE226" s="49">
        <f>IF(I$8="A",(RANK(AG226,AG$11:AG$349,1)+COUNTIF(AG$11:AG226,AG226)-1),(RANK(AG226,AG$11:AG$349)+COUNTIF(AG$11:AG226,AG226)-1))</f>
        <v>216</v>
      </c>
      <c r="AF226" t="str">
        <f>VLOOKUP(Profile!$J$5,Families!$C:$R,6,FALSE)</f>
        <v>Herefordshire</v>
      </c>
      <c r="AG226" s="15">
        <f t="shared" si="106"/>
        <v>62.711864406779661</v>
      </c>
      <c r="AH226" s="50">
        <f t="shared" si="107"/>
        <v>216</v>
      </c>
      <c r="AI226" s="5" t="str">
        <f>IF(L226="","",VLOOKUP($L226,classifications!$C:$J,8,FALSE))</f>
        <v/>
      </c>
      <c r="AJ226" s="43" t="str">
        <f t="shared" si="108"/>
        <v/>
      </c>
      <c r="AK226" s="40" t="str">
        <f>IF(AJ226="","",IF(I$8="A",(RANK(AJ226,AJ$11:AJ$349,1)+COUNTIF(AJ$11:AJ226,AJ226)-1),(RANK(AJ226,AJ$11:AJ$349)+COUNTIF(AJ$11:AJ226,AJ226)-1)))</f>
        <v/>
      </c>
      <c r="AL226" s="3" t="str">
        <f t="shared" si="109"/>
        <v/>
      </c>
      <c r="AM226" t="str">
        <f t="shared" si="110"/>
        <v/>
      </c>
      <c r="AN226" t="str">
        <f t="shared" si="111"/>
        <v/>
      </c>
      <c r="AP226" s="5" t="str">
        <f>IF(L226="","",VLOOKUP($L226,classifications!$C:$E,3,FALSE))</f>
        <v/>
      </c>
      <c r="AQ226" s="43" t="str">
        <f t="shared" si="112"/>
        <v/>
      </c>
      <c r="AR226" s="40" t="str">
        <f>IF(AQ226="","",IF(I$8="A",(RANK(AQ226,AQ$11:AQ$349,1)+COUNTIF(AQ$11:AQ226,AQ226)-1),(RANK(AQ226,AQ$11:AQ$349)+COUNTIF(AQ$11:AQ226,AQ226)-1)))</f>
        <v/>
      </c>
      <c r="AS226" s="3" t="str">
        <f t="shared" si="113"/>
        <v/>
      </c>
      <c r="AT226" s="40" t="str">
        <f t="shared" si="114"/>
        <v/>
      </c>
      <c r="AU226" s="43" t="str">
        <f t="shared" si="115"/>
        <v/>
      </c>
      <c r="AX226">
        <f>HLOOKUP($AX$9&amp;$AX$10,Data!$A$1:$ZZ$1988,(MATCH($C226,Data!$A$1:$A$1988,0)),FALSE)</f>
        <v>100</v>
      </c>
    </row>
    <row r="227" spans="1:50">
      <c r="A227" s="59" t="str">
        <f>$D$1&amp;217</f>
        <v>UA217</v>
      </c>
      <c r="B227" s="60">
        <f>IF(ISERROR(VLOOKUP(A227,classifications!A:C,3,FALSE)),0,VLOOKUP(A227,classifications!A:C,3,FALSE))</f>
        <v>0</v>
      </c>
      <c r="C227" t="s">
        <v>348</v>
      </c>
      <c r="D227" t="str">
        <f>VLOOKUP($C227,classifications!$C:$J,4,FALSE)</f>
        <v>SD</v>
      </c>
      <c r="E227">
        <f>VLOOKUP(C227,classifications!C:K,9,FALSE)</f>
        <v>0</v>
      </c>
      <c r="F227">
        <f t="shared" si="92"/>
        <v>82.758620689655174</v>
      </c>
      <c r="G227" s="15"/>
      <c r="H227" s="42" t="str">
        <f t="shared" si="93"/>
        <v/>
      </c>
      <c r="I227" s="79" t="str">
        <f>IF(H227="","",IF($I$8="A",(RANK(H227,H$11:H$349,1)+COUNTIF(H$11:H227,H227)-1),(RANK(H227,H$11:H$349)+COUNTIF(H$11:H227,H227)-1)))</f>
        <v/>
      </c>
      <c r="J227" s="41"/>
      <c r="K227" s="36" t="str">
        <f t="shared" si="94"/>
        <v/>
      </c>
      <c r="L227" t="str">
        <f t="shared" si="95"/>
        <v/>
      </c>
      <c r="M227" s="117" t="str">
        <f t="shared" si="96"/>
        <v/>
      </c>
      <c r="N227" s="112" t="str">
        <f t="shared" si="97"/>
        <v/>
      </c>
      <c r="O227" s="96" t="str">
        <f t="shared" si="98"/>
        <v/>
      </c>
      <c r="P227" s="96" t="str">
        <f t="shared" si="99"/>
        <v/>
      </c>
      <c r="Q227" s="96" t="str">
        <f t="shared" si="100"/>
        <v/>
      </c>
      <c r="R227" s="92" t="str">
        <f t="shared" si="101"/>
        <v/>
      </c>
      <c r="S227" s="42" t="str">
        <f t="shared" si="102"/>
        <v/>
      </c>
      <c r="T227" s="176" t="str">
        <f>IF(L227="","",VLOOKUP(L227,classifications!C:K,9,FALSE))</f>
        <v/>
      </c>
      <c r="U227" s="177" t="str">
        <f t="shared" si="103"/>
        <v/>
      </c>
      <c r="V227" s="183" t="str">
        <f>IF(U227="","",IF($I$8="A",(RANK(U227,U$11:U$349)+COUNTIF(U$11:U227,U227)-1),(RANK(U227,U$11:U$349,1)+COUNTIF(U$11:U227,U227)-1)))</f>
        <v/>
      </c>
      <c r="W227" s="184"/>
      <c r="X227" s="5" t="str">
        <f>IF(L227="","",VLOOKUP($L227,classifications!$C:$J,6,FALSE))</f>
        <v/>
      </c>
      <c r="Y227" t="str">
        <f t="shared" si="104"/>
        <v/>
      </c>
      <c r="Z227" s="40" t="str">
        <f>IF(Y227="","",IF(I$8="A",(RANK(Y227,Y$11:Y$349,1)+COUNTIF(Y$11:Y227,Y227)-1),(RANK(Y227,Y$11:Y$349)+COUNTIF(Y$11:Y227,Y227)-1)))</f>
        <v/>
      </c>
      <c r="AA227" s="189" t="str">
        <f>IF(L227="","",VLOOKUP($L227,classifications!C:I,7,FALSE))</f>
        <v/>
      </c>
      <c r="AB227" s="183" t="str">
        <f t="shared" si="105"/>
        <v/>
      </c>
      <c r="AC227" s="183" t="str">
        <f>IF(AB227="","",IF($I$8="A",(RANK(AB227,AB$11:AB$349)+COUNTIF(AB$11:AB227,AB227)-1),(RANK(AB227,AB$11:AB$349,1)+COUNTIF(AB$11:AB227,AB227)-1)))</f>
        <v/>
      </c>
      <c r="AD227" s="183"/>
      <c r="AE227" s="49">
        <f>IF(I$8="A",(RANK(AG227,AG$11:AG$349,1)+COUNTIF(AG$11:AG227,AG227)-1),(RANK(AG227,AG$11:AG$349)+COUNTIF(AG$11:AG227,AG227)-1))</f>
        <v>217</v>
      </c>
      <c r="AF227" t="str">
        <f>VLOOKUP(Profile!$J$5,Families!$C:$R,6,FALSE)</f>
        <v>Herefordshire</v>
      </c>
      <c r="AG227" s="15">
        <f t="shared" si="106"/>
        <v>62.711864406779661</v>
      </c>
      <c r="AH227" s="50">
        <f t="shared" si="107"/>
        <v>217</v>
      </c>
      <c r="AI227" s="5" t="str">
        <f>IF(L227="","",VLOOKUP($L227,classifications!$C:$J,8,FALSE))</f>
        <v/>
      </c>
      <c r="AJ227" s="43" t="str">
        <f t="shared" si="108"/>
        <v/>
      </c>
      <c r="AK227" s="40" t="str">
        <f>IF(AJ227="","",IF(I$8="A",(RANK(AJ227,AJ$11:AJ$349,1)+COUNTIF(AJ$11:AJ227,AJ227)-1),(RANK(AJ227,AJ$11:AJ$349)+COUNTIF(AJ$11:AJ227,AJ227)-1)))</f>
        <v/>
      </c>
      <c r="AL227" s="3" t="str">
        <f t="shared" si="109"/>
        <v/>
      </c>
      <c r="AM227" t="str">
        <f t="shared" si="110"/>
        <v/>
      </c>
      <c r="AN227" t="str">
        <f t="shared" si="111"/>
        <v/>
      </c>
      <c r="AP227" s="5" t="str">
        <f>IF(L227="","",VLOOKUP($L227,classifications!$C:$E,3,FALSE))</f>
        <v/>
      </c>
      <c r="AQ227" s="43" t="str">
        <f t="shared" si="112"/>
        <v/>
      </c>
      <c r="AR227" s="40" t="str">
        <f>IF(AQ227="","",IF(I$8="A",(RANK(AQ227,AQ$11:AQ$349,1)+COUNTIF(AQ$11:AQ227,AQ227)-1),(RANK(AQ227,AQ$11:AQ$349)+COUNTIF(AQ$11:AQ227,AQ227)-1)))</f>
        <v/>
      </c>
      <c r="AS227" s="3" t="str">
        <f t="shared" si="113"/>
        <v/>
      </c>
      <c r="AT227" s="40" t="str">
        <f t="shared" si="114"/>
        <v/>
      </c>
      <c r="AU227" s="43" t="str">
        <f t="shared" si="115"/>
        <v/>
      </c>
      <c r="AX227">
        <f>HLOOKUP($AX$9&amp;$AX$10,Data!$A$1:$ZZ$1988,(MATCH($C227,Data!$A$1:$A$1988,0)),FALSE)</f>
        <v>82.758620689655174</v>
      </c>
    </row>
    <row r="228" spans="1:50">
      <c r="A228" s="59" t="str">
        <f>$D$1&amp;218</f>
        <v>UA218</v>
      </c>
      <c r="B228" s="60">
        <f>IF(ISERROR(VLOOKUP(A228,classifications!A:C,3,FALSE)),0,VLOOKUP(A228,classifications!A:C,3,FALSE))</f>
        <v>0</v>
      </c>
      <c r="C228" t="s">
        <v>123</v>
      </c>
      <c r="D228" t="str">
        <f>VLOOKUP($C228,classifications!$C:$J,4,FALSE)</f>
        <v>SD</v>
      </c>
      <c r="E228" t="str">
        <f>VLOOKUP(C228,classifications!C:K,9,FALSE)</f>
        <v>Sparse</v>
      </c>
      <c r="F228">
        <f t="shared" si="92"/>
        <v>79.310344827586206</v>
      </c>
      <c r="G228" s="15"/>
      <c r="H228" s="42" t="str">
        <f t="shared" si="93"/>
        <v/>
      </c>
      <c r="I228" s="79" t="str">
        <f>IF(H228="","",IF($I$8="A",(RANK(H228,H$11:H$349,1)+COUNTIF(H$11:H228,H228)-1),(RANK(H228,H$11:H$349)+COUNTIF(H$11:H228,H228)-1)))</f>
        <v/>
      </c>
      <c r="J228" s="41"/>
      <c r="K228" s="36" t="str">
        <f t="shared" si="94"/>
        <v/>
      </c>
      <c r="L228" t="str">
        <f t="shared" si="95"/>
        <v/>
      </c>
      <c r="M228" s="117" t="str">
        <f t="shared" si="96"/>
        <v/>
      </c>
      <c r="N228" s="112" t="str">
        <f t="shared" si="97"/>
        <v/>
      </c>
      <c r="O228" s="96" t="str">
        <f t="shared" si="98"/>
        <v/>
      </c>
      <c r="P228" s="96" t="str">
        <f t="shared" si="99"/>
        <v/>
      </c>
      <c r="Q228" s="96" t="str">
        <f t="shared" si="100"/>
        <v/>
      </c>
      <c r="R228" s="92" t="str">
        <f t="shared" si="101"/>
        <v/>
      </c>
      <c r="S228" s="42" t="str">
        <f t="shared" si="102"/>
        <v/>
      </c>
      <c r="T228" s="176" t="str">
        <f>IF(L228="","",VLOOKUP(L228,classifications!C:K,9,FALSE))</f>
        <v/>
      </c>
      <c r="U228" s="177" t="str">
        <f t="shared" si="103"/>
        <v/>
      </c>
      <c r="V228" s="183" t="str">
        <f>IF(U228="","",IF($I$8="A",(RANK(U228,U$11:U$349)+COUNTIF(U$11:U228,U228)-1),(RANK(U228,U$11:U$349,1)+COUNTIF(U$11:U228,U228)-1)))</f>
        <v/>
      </c>
      <c r="W228" s="184"/>
      <c r="X228" s="5" t="str">
        <f>IF(L228="","",VLOOKUP($L228,classifications!$C:$J,6,FALSE))</f>
        <v/>
      </c>
      <c r="Y228" t="str">
        <f t="shared" si="104"/>
        <v/>
      </c>
      <c r="Z228" s="40" t="str">
        <f>IF(Y228="","",IF(I$8="A",(RANK(Y228,Y$11:Y$349,1)+COUNTIF(Y$11:Y228,Y228)-1),(RANK(Y228,Y$11:Y$349)+COUNTIF(Y$11:Y228,Y228)-1)))</f>
        <v/>
      </c>
      <c r="AA228" s="189" t="str">
        <f>IF(L228="","",VLOOKUP($L228,classifications!C:I,7,FALSE))</f>
        <v/>
      </c>
      <c r="AB228" s="183" t="str">
        <f t="shared" si="105"/>
        <v/>
      </c>
      <c r="AC228" s="183" t="str">
        <f>IF(AB228="","",IF($I$8="A",(RANK(AB228,AB$11:AB$349)+COUNTIF(AB$11:AB228,AB228)-1),(RANK(AB228,AB$11:AB$349,1)+COUNTIF(AB$11:AB228,AB228)-1)))</f>
        <v/>
      </c>
      <c r="AD228" s="183"/>
      <c r="AE228" s="49">
        <f>IF(I$8="A",(RANK(AG228,AG$11:AG$349,1)+COUNTIF(AG$11:AG228,AG228)-1),(RANK(AG228,AG$11:AG$349)+COUNTIF(AG$11:AG228,AG228)-1))</f>
        <v>218</v>
      </c>
      <c r="AF228" t="str">
        <f>VLOOKUP(Profile!$J$5,Families!$C:$R,6,FALSE)</f>
        <v>Herefordshire</v>
      </c>
      <c r="AG228" s="15">
        <f t="shared" si="106"/>
        <v>62.711864406779661</v>
      </c>
      <c r="AH228" s="50">
        <f t="shared" si="107"/>
        <v>218</v>
      </c>
      <c r="AI228" s="5" t="str">
        <f>IF(L228="","",VLOOKUP($L228,classifications!$C:$J,8,FALSE))</f>
        <v/>
      </c>
      <c r="AJ228" s="43" t="str">
        <f t="shared" si="108"/>
        <v/>
      </c>
      <c r="AK228" s="40" t="str">
        <f>IF(AJ228="","",IF(I$8="A",(RANK(AJ228,AJ$11:AJ$349,1)+COUNTIF(AJ$11:AJ228,AJ228)-1),(RANK(AJ228,AJ$11:AJ$349)+COUNTIF(AJ$11:AJ228,AJ228)-1)))</f>
        <v/>
      </c>
      <c r="AL228" s="3" t="str">
        <f t="shared" si="109"/>
        <v/>
      </c>
      <c r="AM228" t="str">
        <f t="shared" si="110"/>
        <v/>
      </c>
      <c r="AN228" t="str">
        <f t="shared" si="111"/>
        <v/>
      </c>
      <c r="AP228" s="5" t="str">
        <f>IF(L228="","",VLOOKUP($L228,classifications!$C:$E,3,FALSE))</f>
        <v/>
      </c>
      <c r="AQ228" s="43" t="str">
        <f t="shared" si="112"/>
        <v/>
      </c>
      <c r="AR228" s="40" t="str">
        <f>IF(AQ228="","",IF(I$8="A",(RANK(AQ228,AQ$11:AQ$349,1)+COUNTIF(AQ$11:AQ228,AQ228)-1),(RANK(AQ228,AQ$11:AQ$349)+COUNTIF(AQ$11:AQ228,AQ228)-1)))</f>
        <v/>
      </c>
      <c r="AS228" s="3" t="str">
        <f t="shared" si="113"/>
        <v/>
      </c>
      <c r="AT228" s="40" t="str">
        <f t="shared" si="114"/>
        <v/>
      </c>
      <c r="AU228" s="43" t="str">
        <f t="shared" si="115"/>
        <v/>
      </c>
      <c r="AX228">
        <f>HLOOKUP($AX$9&amp;$AX$10,Data!$A$1:$ZZ$1988,(MATCH($C228,Data!$A$1:$A$1988,0)),FALSE)</f>
        <v>79.310344827586206</v>
      </c>
    </row>
    <row r="229" spans="1:50">
      <c r="A229" s="59" t="str">
        <f>$D$1&amp;219</f>
        <v>UA219</v>
      </c>
      <c r="B229" s="60">
        <f>IF(ISERROR(VLOOKUP(A229,classifications!A:C,3,FALSE)),0,VLOOKUP(A229,classifications!A:C,3,FALSE))</f>
        <v>0</v>
      </c>
      <c r="C229" t="s">
        <v>392</v>
      </c>
      <c r="D229" t="str">
        <f>VLOOKUP($C229,classifications!$C:$J,4,FALSE)</f>
        <v>L</v>
      </c>
      <c r="E229">
        <f>VLOOKUP(C229,classifications!C:K,9,FALSE)</f>
        <v>0</v>
      </c>
      <c r="F229">
        <f t="shared" si="92"/>
        <v>90.909090909090907</v>
      </c>
      <c r="G229" s="15"/>
      <c r="H229" s="42" t="str">
        <f t="shared" si="93"/>
        <v/>
      </c>
      <c r="I229" s="79" t="str">
        <f>IF(H229="","",IF($I$8="A",(RANK(H229,H$11:H$349,1)+COUNTIF(H$11:H229,H229)-1),(RANK(H229,H$11:H$349)+COUNTIF(H$11:H229,H229)-1)))</f>
        <v/>
      </c>
      <c r="J229" s="41"/>
      <c r="K229" s="36" t="str">
        <f t="shared" si="94"/>
        <v/>
      </c>
      <c r="L229" t="str">
        <f t="shared" si="95"/>
        <v/>
      </c>
      <c r="M229" s="117" t="str">
        <f t="shared" si="96"/>
        <v/>
      </c>
      <c r="N229" s="112" t="str">
        <f t="shared" si="97"/>
        <v/>
      </c>
      <c r="O229" s="96" t="str">
        <f t="shared" si="98"/>
        <v/>
      </c>
      <c r="P229" s="96" t="str">
        <f t="shared" si="99"/>
        <v/>
      </c>
      <c r="Q229" s="96" t="str">
        <f t="shared" si="100"/>
        <v/>
      </c>
      <c r="R229" s="92" t="str">
        <f t="shared" si="101"/>
        <v/>
      </c>
      <c r="S229" s="42" t="str">
        <f t="shared" si="102"/>
        <v/>
      </c>
      <c r="T229" s="176" t="str">
        <f>IF(L229="","",VLOOKUP(L229,classifications!C:K,9,FALSE))</f>
        <v/>
      </c>
      <c r="U229" s="177" t="str">
        <f t="shared" si="103"/>
        <v/>
      </c>
      <c r="V229" s="183" t="str">
        <f>IF(U229="","",IF($I$8="A",(RANK(U229,U$11:U$349)+COUNTIF(U$11:U229,U229)-1),(RANK(U229,U$11:U$349,1)+COUNTIF(U$11:U229,U229)-1)))</f>
        <v/>
      </c>
      <c r="W229" s="184"/>
      <c r="X229" s="5" t="str">
        <f>IF(L229="","",VLOOKUP($L229,classifications!$C:$J,6,FALSE))</f>
        <v/>
      </c>
      <c r="Y229" t="str">
        <f t="shared" si="104"/>
        <v/>
      </c>
      <c r="Z229" s="40" t="str">
        <f>IF(Y229="","",IF(I$8="A",(RANK(Y229,Y$11:Y$349,1)+COUNTIF(Y$11:Y229,Y229)-1),(RANK(Y229,Y$11:Y$349)+COUNTIF(Y$11:Y229,Y229)-1)))</f>
        <v/>
      </c>
      <c r="AA229" s="189" t="str">
        <f>IF(L229="","",VLOOKUP($L229,classifications!C:I,7,FALSE))</f>
        <v/>
      </c>
      <c r="AB229" s="183" t="str">
        <f t="shared" si="105"/>
        <v/>
      </c>
      <c r="AC229" s="183" t="str">
        <f>IF(AB229="","",IF($I$8="A",(RANK(AB229,AB$11:AB$349)+COUNTIF(AB$11:AB229,AB229)-1),(RANK(AB229,AB$11:AB$349,1)+COUNTIF(AB$11:AB229,AB229)-1)))</f>
        <v/>
      </c>
      <c r="AD229" s="183"/>
      <c r="AE229" s="49">
        <f>IF(I$8="A",(RANK(AG229,AG$11:AG$349,1)+COUNTIF(AG$11:AG229,AG229)-1),(RANK(AG229,AG$11:AG$349)+COUNTIF(AG$11:AG229,AG229)-1))</f>
        <v>219</v>
      </c>
      <c r="AF229" t="str">
        <f>VLOOKUP(Profile!$J$5,Families!$C:$R,6,FALSE)</f>
        <v>Herefordshire</v>
      </c>
      <c r="AG229" s="15">
        <f t="shared" si="106"/>
        <v>62.711864406779661</v>
      </c>
      <c r="AH229" s="50">
        <f t="shared" si="107"/>
        <v>219</v>
      </c>
      <c r="AI229" s="5" t="str">
        <f>IF(L229="","",VLOOKUP($L229,classifications!$C:$J,8,FALSE))</f>
        <v/>
      </c>
      <c r="AJ229" s="43" t="str">
        <f t="shared" si="108"/>
        <v/>
      </c>
      <c r="AK229" s="40" t="str">
        <f>IF(AJ229="","",IF(I$8="A",(RANK(AJ229,AJ$11:AJ$349,1)+COUNTIF(AJ$11:AJ229,AJ229)-1),(RANK(AJ229,AJ$11:AJ$349)+COUNTIF(AJ$11:AJ229,AJ229)-1)))</f>
        <v/>
      </c>
      <c r="AL229" s="3" t="str">
        <f t="shared" si="109"/>
        <v/>
      </c>
      <c r="AM229" t="str">
        <f t="shared" si="110"/>
        <v/>
      </c>
      <c r="AN229" t="str">
        <f t="shared" si="111"/>
        <v/>
      </c>
      <c r="AP229" s="5" t="str">
        <f>IF(L229="","",VLOOKUP($L229,classifications!$C:$E,3,FALSE))</f>
        <v/>
      </c>
      <c r="AQ229" s="43" t="str">
        <f t="shared" si="112"/>
        <v/>
      </c>
      <c r="AR229" s="40" t="str">
        <f>IF(AQ229="","",IF(I$8="A",(RANK(AQ229,AQ$11:AQ$349,1)+COUNTIF(AQ$11:AQ229,AQ229)-1),(RANK(AQ229,AQ$11:AQ$349)+COUNTIF(AQ$11:AQ229,AQ229)-1)))</f>
        <v/>
      </c>
      <c r="AS229" s="3" t="str">
        <f t="shared" si="113"/>
        <v/>
      </c>
      <c r="AT229" s="40" t="str">
        <f t="shared" si="114"/>
        <v/>
      </c>
      <c r="AU229" s="43" t="str">
        <f t="shared" si="115"/>
        <v/>
      </c>
      <c r="AX229">
        <f>HLOOKUP($AX$9&amp;$AX$10,Data!$A$1:$ZZ$1988,(MATCH($C229,Data!$A$1:$A$1988,0)),FALSE)</f>
        <v>90.909090909090907</v>
      </c>
    </row>
    <row r="230" spans="1:50">
      <c r="A230" s="59" t="str">
        <f>$D$1&amp;220</f>
        <v>UA220</v>
      </c>
      <c r="B230" s="60">
        <f>IF(ISERROR(VLOOKUP(A230,classifications!A:C,3,FALSE)),0,VLOOKUP(A230,classifications!A:C,3,FALSE))</f>
        <v>0</v>
      </c>
      <c r="C230" t="s">
        <v>124</v>
      </c>
      <c r="D230" t="str">
        <f>VLOOKUP($C230,classifications!$C:$J,4,FALSE)</f>
        <v>SD</v>
      </c>
      <c r="E230" t="str">
        <f>VLOOKUP(C230,classifications!C:K,9,FALSE)</f>
        <v>Sparse</v>
      </c>
      <c r="F230">
        <f t="shared" si="92"/>
        <v>56.25</v>
      </c>
      <c r="G230" s="15"/>
      <c r="H230" s="42" t="str">
        <f t="shared" si="93"/>
        <v/>
      </c>
      <c r="I230" s="79" t="str">
        <f>IF(H230="","",IF($I$8="A",(RANK(H230,H$11:H$349,1)+COUNTIF(H$11:H230,H230)-1),(RANK(H230,H$11:H$349)+COUNTIF(H$11:H230,H230)-1)))</f>
        <v/>
      </c>
      <c r="J230" s="41"/>
      <c r="K230" s="36" t="str">
        <f t="shared" si="94"/>
        <v/>
      </c>
      <c r="L230" t="str">
        <f t="shared" si="95"/>
        <v/>
      </c>
      <c r="M230" s="117" t="str">
        <f t="shared" si="96"/>
        <v/>
      </c>
      <c r="N230" s="112" t="str">
        <f t="shared" si="97"/>
        <v/>
      </c>
      <c r="O230" s="96" t="str">
        <f t="shared" si="98"/>
        <v/>
      </c>
      <c r="P230" s="96" t="str">
        <f t="shared" si="99"/>
        <v/>
      </c>
      <c r="Q230" s="96" t="str">
        <f t="shared" si="100"/>
        <v/>
      </c>
      <c r="R230" s="92" t="str">
        <f t="shared" si="101"/>
        <v/>
      </c>
      <c r="S230" s="42" t="str">
        <f t="shared" si="102"/>
        <v/>
      </c>
      <c r="T230" s="176" t="str">
        <f>IF(L230="","",VLOOKUP(L230,classifications!C:K,9,FALSE))</f>
        <v/>
      </c>
      <c r="U230" s="177" t="str">
        <f t="shared" si="103"/>
        <v/>
      </c>
      <c r="V230" s="183" t="str">
        <f>IF(U230="","",IF($I$8="A",(RANK(U230,U$11:U$349)+COUNTIF(U$11:U230,U230)-1),(RANK(U230,U$11:U$349,1)+COUNTIF(U$11:U230,U230)-1)))</f>
        <v/>
      </c>
      <c r="W230" s="184"/>
      <c r="X230" s="5" t="str">
        <f>IF(L230="","",VLOOKUP($L230,classifications!$C:$J,6,FALSE))</f>
        <v/>
      </c>
      <c r="Y230" t="str">
        <f t="shared" si="104"/>
        <v/>
      </c>
      <c r="Z230" s="40" t="str">
        <f>IF(Y230="","",IF(I$8="A",(RANK(Y230,Y$11:Y$349,1)+COUNTIF(Y$11:Y230,Y230)-1),(RANK(Y230,Y$11:Y$349)+COUNTIF(Y$11:Y230,Y230)-1)))</f>
        <v/>
      </c>
      <c r="AA230" s="189" t="str">
        <f>IF(L230="","",VLOOKUP($L230,classifications!C:I,7,FALSE))</f>
        <v/>
      </c>
      <c r="AB230" s="183" t="str">
        <f t="shared" si="105"/>
        <v/>
      </c>
      <c r="AC230" s="183" t="str">
        <f>IF(AB230="","",IF($I$8="A",(RANK(AB230,AB$11:AB$349)+COUNTIF(AB$11:AB230,AB230)-1),(RANK(AB230,AB$11:AB$349,1)+COUNTIF(AB$11:AB230,AB230)-1)))</f>
        <v/>
      </c>
      <c r="AD230" s="183"/>
      <c r="AE230" s="49">
        <f>IF(I$8="A",(RANK(AG230,AG$11:AG$349,1)+COUNTIF(AG$11:AG230,AG230)-1),(RANK(AG230,AG$11:AG$349)+COUNTIF(AG$11:AG230,AG230)-1))</f>
        <v>220</v>
      </c>
      <c r="AF230" t="str">
        <f>VLOOKUP(Profile!$J$5,Families!$C:$R,6,FALSE)</f>
        <v>Herefordshire</v>
      </c>
      <c r="AG230" s="15">
        <f t="shared" si="106"/>
        <v>62.711864406779661</v>
      </c>
      <c r="AH230" s="50">
        <f t="shared" si="107"/>
        <v>220</v>
      </c>
      <c r="AI230" s="5" t="str">
        <f>IF(L230="","",VLOOKUP($L230,classifications!$C:$J,8,FALSE))</f>
        <v/>
      </c>
      <c r="AJ230" s="43" t="str">
        <f t="shared" si="108"/>
        <v/>
      </c>
      <c r="AK230" s="40" t="str">
        <f>IF(AJ230="","",IF(I$8="A",(RANK(AJ230,AJ$11:AJ$349,1)+COUNTIF(AJ$11:AJ230,AJ230)-1),(RANK(AJ230,AJ$11:AJ$349)+COUNTIF(AJ$11:AJ230,AJ230)-1)))</f>
        <v/>
      </c>
      <c r="AL230" s="3" t="str">
        <f t="shared" si="109"/>
        <v/>
      </c>
      <c r="AM230" t="str">
        <f t="shared" si="110"/>
        <v/>
      </c>
      <c r="AN230" t="str">
        <f t="shared" si="111"/>
        <v/>
      </c>
      <c r="AP230" s="5" t="str">
        <f>IF(L230="","",VLOOKUP($L230,classifications!$C:$E,3,FALSE))</f>
        <v/>
      </c>
      <c r="AQ230" s="43" t="str">
        <f t="shared" si="112"/>
        <v/>
      </c>
      <c r="AR230" s="40" t="str">
        <f>IF(AQ230="","",IF(I$8="A",(RANK(AQ230,AQ$11:AQ$349,1)+COUNTIF(AQ$11:AQ230,AQ230)-1),(RANK(AQ230,AQ$11:AQ$349)+COUNTIF(AQ$11:AQ230,AQ230)-1)))</f>
        <v/>
      </c>
      <c r="AS230" s="3" t="str">
        <f t="shared" si="113"/>
        <v/>
      </c>
      <c r="AT230" s="40" t="str">
        <f t="shared" si="114"/>
        <v/>
      </c>
      <c r="AU230" s="43" t="str">
        <f t="shared" si="115"/>
        <v/>
      </c>
      <c r="AX230">
        <f>HLOOKUP($AX$9&amp;$AX$10,Data!$A$1:$ZZ$1988,(MATCH($C230,Data!$A$1:$A$1988,0)),FALSE)</f>
        <v>56.25</v>
      </c>
    </row>
    <row r="231" spans="1:50">
      <c r="A231" s="59" t="str">
        <f>$D$1&amp;221</f>
        <v>UA221</v>
      </c>
      <c r="B231" s="60">
        <f>IF(ISERROR(VLOOKUP(A231,classifications!A:C,3,FALSE)),0,VLOOKUP(A231,classifications!A:C,3,FALSE))</f>
        <v>0</v>
      </c>
      <c r="C231" t="s">
        <v>240</v>
      </c>
      <c r="D231" t="str">
        <f>VLOOKUP($C231,classifications!$C:$J,4,FALSE)</f>
        <v>MD</v>
      </c>
      <c r="E231">
        <f>VLOOKUP(C231,classifications!C:K,9,FALSE)</f>
        <v>0</v>
      </c>
      <c r="F231">
        <f t="shared" si="92"/>
        <v>78.94736842105263</v>
      </c>
      <c r="G231" s="15"/>
      <c r="H231" s="42" t="str">
        <f t="shared" si="93"/>
        <v/>
      </c>
      <c r="I231" s="79" t="str">
        <f>IF(H231="","",IF($I$8="A",(RANK(H231,H$11:H$349,1)+COUNTIF(H$11:H231,H231)-1),(RANK(H231,H$11:H$349)+COUNTIF(H$11:H231,H231)-1)))</f>
        <v/>
      </c>
      <c r="J231" s="41"/>
      <c r="K231" s="36" t="str">
        <f t="shared" si="94"/>
        <v/>
      </c>
      <c r="L231" t="str">
        <f t="shared" si="95"/>
        <v/>
      </c>
      <c r="M231" s="117" t="str">
        <f t="shared" si="96"/>
        <v/>
      </c>
      <c r="N231" s="112" t="str">
        <f t="shared" si="97"/>
        <v/>
      </c>
      <c r="O231" s="96" t="str">
        <f t="shared" si="98"/>
        <v/>
      </c>
      <c r="P231" s="96" t="str">
        <f t="shared" si="99"/>
        <v/>
      </c>
      <c r="Q231" s="96" t="str">
        <f t="shared" si="100"/>
        <v/>
      </c>
      <c r="R231" s="92" t="str">
        <f t="shared" si="101"/>
        <v/>
      </c>
      <c r="S231" s="42" t="str">
        <f t="shared" si="102"/>
        <v/>
      </c>
      <c r="T231" s="176" t="str">
        <f>IF(L231="","",VLOOKUP(L231,classifications!C:K,9,FALSE))</f>
        <v/>
      </c>
      <c r="U231" s="177" t="str">
        <f t="shared" si="103"/>
        <v/>
      </c>
      <c r="V231" s="183" t="str">
        <f>IF(U231="","",IF($I$8="A",(RANK(U231,U$11:U$349)+COUNTIF(U$11:U231,U231)-1),(RANK(U231,U$11:U$349,1)+COUNTIF(U$11:U231,U231)-1)))</f>
        <v/>
      </c>
      <c r="W231" s="184"/>
      <c r="X231" s="5" t="str">
        <f>IF(L231="","",VLOOKUP($L231,classifications!$C:$J,6,FALSE))</f>
        <v/>
      </c>
      <c r="Y231" t="str">
        <f t="shared" si="104"/>
        <v/>
      </c>
      <c r="Z231" s="40" t="str">
        <f>IF(Y231="","",IF(I$8="A",(RANK(Y231,Y$11:Y$349,1)+COUNTIF(Y$11:Y231,Y231)-1),(RANK(Y231,Y$11:Y$349)+COUNTIF(Y$11:Y231,Y231)-1)))</f>
        <v/>
      </c>
      <c r="AA231" s="189" t="str">
        <f>IF(L231="","",VLOOKUP($L231,classifications!C:I,7,FALSE))</f>
        <v/>
      </c>
      <c r="AB231" s="183" t="str">
        <f t="shared" si="105"/>
        <v/>
      </c>
      <c r="AC231" s="183" t="str">
        <f>IF(AB231="","",IF($I$8="A",(RANK(AB231,AB$11:AB$349)+COUNTIF(AB$11:AB231,AB231)-1),(RANK(AB231,AB$11:AB$349,1)+COUNTIF(AB$11:AB231,AB231)-1)))</f>
        <v/>
      </c>
      <c r="AD231" s="183"/>
      <c r="AE231" s="49">
        <f>IF(I$8="A",(RANK(AG231,AG$11:AG$349,1)+COUNTIF(AG$11:AG231,AG231)-1),(RANK(AG231,AG$11:AG$349)+COUNTIF(AG$11:AG231,AG231)-1))</f>
        <v>221</v>
      </c>
      <c r="AF231" t="str">
        <f>VLOOKUP(Profile!$J$5,Families!$C:$R,6,FALSE)</f>
        <v>Herefordshire</v>
      </c>
      <c r="AG231" s="15">
        <f t="shared" si="106"/>
        <v>62.711864406779661</v>
      </c>
      <c r="AH231" s="50">
        <f t="shared" si="107"/>
        <v>221</v>
      </c>
      <c r="AI231" s="5" t="str">
        <f>IF(L231="","",VLOOKUP($L231,classifications!$C:$J,8,FALSE))</f>
        <v/>
      </c>
      <c r="AJ231" s="43" t="str">
        <f t="shared" si="108"/>
        <v/>
      </c>
      <c r="AK231" s="40" t="str">
        <f>IF(AJ231="","",IF(I$8="A",(RANK(AJ231,AJ$11:AJ$349,1)+COUNTIF(AJ$11:AJ231,AJ231)-1),(RANK(AJ231,AJ$11:AJ$349)+COUNTIF(AJ$11:AJ231,AJ231)-1)))</f>
        <v/>
      </c>
      <c r="AL231" s="3" t="str">
        <f t="shared" si="109"/>
        <v/>
      </c>
      <c r="AM231" t="str">
        <f t="shared" si="110"/>
        <v/>
      </c>
      <c r="AN231" t="str">
        <f t="shared" si="111"/>
        <v/>
      </c>
      <c r="AP231" s="5" t="str">
        <f>IF(L231="","",VLOOKUP($L231,classifications!$C:$E,3,FALSE))</f>
        <v/>
      </c>
      <c r="AQ231" s="43" t="str">
        <f t="shared" si="112"/>
        <v/>
      </c>
      <c r="AR231" s="40" t="str">
        <f>IF(AQ231="","",IF(I$8="A",(RANK(AQ231,AQ$11:AQ$349,1)+COUNTIF(AQ$11:AQ231,AQ231)-1),(RANK(AQ231,AQ$11:AQ$349)+COUNTIF(AQ$11:AQ231,AQ231)-1)))</f>
        <v/>
      </c>
      <c r="AS231" s="3" t="str">
        <f t="shared" si="113"/>
        <v/>
      </c>
      <c r="AT231" s="40" t="str">
        <f t="shared" si="114"/>
        <v/>
      </c>
      <c r="AU231" s="43" t="str">
        <f t="shared" si="115"/>
        <v/>
      </c>
      <c r="AX231">
        <f>HLOOKUP($AX$9&amp;$AX$10,Data!$A$1:$ZZ$1988,(MATCH($C231,Data!$A$1:$A$1988,0)),FALSE)</f>
        <v>78.94736842105263</v>
      </c>
    </row>
    <row r="232" spans="1:50">
      <c r="A232" s="59" t="str">
        <f>$D$1&amp;222</f>
        <v>UA222</v>
      </c>
      <c r="B232" s="60">
        <f>IF(ISERROR(VLOOKUP(A232,classifications!A:C,3,FALSE)),0,VLOOKUP(A232,classifications!A:C,3,FALSE))</f>
        <v>0</v>
      </c>
      <c r="C232" t="s">
        <v>125</v>
      </c>
      <c r="D232" t="str">
        <f>VLOOKUP($C232,classifications!$C:$J,4,FALSE)</f>
        <v>SD</v>
      </c>
      <c r="E232">
        <f>VLOOKUP(C232,classifications!C:K,9,FALSE)</f>
        <v>0</v>
      </c>
      <c r="F232">
        <f t="shared" si="92"/>
        <v>100</v>
      </c>
      <c r="G232" s="15"/>
      <c r="H232" s="42" t="str">
        <f t="shared" si="93"/>
        <v/>
      </c>
      <c r="I232" s="79" t="str">
        <f>IF(H232="","",IF($I$8="A",(RANK(H232,H$11:H$349,1)+COUNTIF(H$11:H232,H232)-1),(RANK(H232,H$11:H$349)+COUNTIF(H$11:H232,H232)-1)))</f>
        <v/>
      </c>
      <c r="J232" s="41"/>
      <c r="K232" s="36" t="str">
        <f t="shared" si="94"/>
        <v/>
      </c>
      <c r="L232" t="str">
        <f t="shared" si="95"/>
        <v/>
      </c>
      <c r="M232" s="117" t="str">
        <f t="shared" si="96"/>
        <v/>
      </c>
      <c r="N232" s="112" t="str">
        <f t="shared" si="97"/>
        <v/>
      </c>
      <c r="O232" s="96" t="str">
        <f t="shared" si="98"/>
        <v/>
      </c>
      <c r="P232" s="96" t="str">
        <f t="shared" si="99"/>
        <v/>
      </c>
      <c r="Q232" s="96" t="str">
        <f t="shared" si="100"/>
        <v/>
      </c>
      <c r="R232" s="92" t="str">
        <f t="shared" si="101"/>
        <v/>
      </c>
      <c r="S232" s="42" t="str">
        <f t="shared" si="102"/>
        <v/>
      </c>
      <c r="T232" s="176" t="str">
        <f>IF(L232="","",VLOOKUP(L232,classifications!C:K,9,FALSE))</f>
        <v/>
      </c>
      <c r="U232" s="177" t="str">
        <f t="shared" si="103"/>
        <v/>
      </c>
      <c r="V232" s="183" t="str">
        <f>IF(U232="","",IF($I$8="A",(RANK(U232,U$11:U$349)+COUNTIF(U$11:U232,U232)-1),(RANK(U232,U$11:U$349,1)+COUNTIF(U$11:U232,U232)-1)))</f>
        <v/>
      </c>
      <c r="W232" s="184"/>
      <c r="X232" s="5" t="str">
        <f>IF(L232="","",VLOOKUP($L232,classifications!$C:$J,6,FALSE))</f>
        <v/>
      </c>
      <c r="Y232" t="str">
        <f t="shared" si="104"/>
        <v/>
      </c>
      <c r="Z232" s="40" t="str">
        <f>IF(Y232="","",IF(I$8="A",(RANK(Y232,Y$11:Y$349,1)+COUNTIF(Y$11:Y232,Y232)-1),(RANK(Y232,Y$11:Y$349)+COUNTIF(Y$11:Y232,Y232)-1)))</f>
        <v/>
      </c>
      <c r="AA232" s="189" t="str">
        <f>IF(L232="","",VLOOKUP($L232,classifications!C:I,7,FALSE))</f>
        <v/>
      </c>
      <c r="AB232" s="183" t="str">
        <f t="shared" si="105"/>
        <v/>
      </c>
      <c r="AC232" s="183" t="str">
        <f>IF(AB232="","",IF($I$8="A",(RANK(AB232,AB$11:AB$349)+COUNTIF(AB$11:AB232,AB232)-1),(RANK(AB232,AB$11:AB$349,1)+COUNTIF(AB$11:AB232,AB232)-1)))</f>
        <v/>
      </c>
      <c r="AD232" s="183"/>
      <c r="AE232" s="49">
        <f>IF(I$8="A",(RANK(AG232,AG$11:AG$349,1)+COUNTIF(AG$11:AG232,AG232)-1),(RANK(AG232,AG$11:AG$349)+COUNTIF(AG$11:AG232,AG232)-1))</f>
        <v>222</v>
      </c>
      <c r="AF232" t="str">
        <f>VLOOKUP(Profile!$J$5,Families!$C:$R,6,FALSE)</f>
        <v>Herefordshire</v>
      </c>
      <c r="AG232" s="15">
        <f t="shared" si="106"/>
        <v>62.711864406779661</v>
      </c>
      <c r="AH232" s="50">
        <f t="shared" si="107"/>
        <v>222</v>
      </c>
      <c r="AI232" s="5" t="str">
        <f>IF(L232="","",VLOOKUP($L232,classifications!$C:$J,8,FALSE))</f>
        <v/>
      </c>
      <c r="AJ232" s="43" t="str">
        <f t="shared" si="108"/>
        <v/>
      </c>
      <c r="AK232" s="40" t="str">
        <f>IF(AJ232="","",IF(I$8="A",(RANK(AJ232,AJ$11:AJ$349,1)+COUNTIF(AJ$11:AJ232,AJ232)-1),(RANK(AJ232,AJ$11:AJ$349)+COUNTIF(AJ$11:AJ232,AJ232)-1)))</f>
        <v/>
      </c>
      <c r="AL232" s="3" t="str">
        <f t="shared" si="109"/>
        <v/>
      </c>
      <c r="AM232" t="str">
        <f t="shared" si="110"/>
        <v/>
      </c>
      <c r="AN232" t="str">
        <f t="shared" si="111"/>
        <v/>
      </c>
      <c r="AP232" s="5" t="str">
        <f>IF(L232="","",VLOOKUP($L232,classifications!$C:$E,3,FALSE))</f>
        <v/>
      </c>
      <c r="AQ232" s="43" t="str">
        <f t="shared" si="112"/>
        <v/>
      </c>
      <c r="AR232" s="40" t="str">
        <f>IF(AQ232="","",IF(I$8="A",(RANK(AQ232,AQ$11:AQ$349,1)+COUNTIF(AQ$11:AQ232,AQ232)-1),(RANK(AQ232,AQ$11:AQ$349)+COUNTIF(AQ$11:AQ232,AQ232)-1)))</f>
        <v/>
      </c>
      <c r="AS232" s="3" t="str">
        <f t="shared" si="113"/>
        <v/>
      </c>
      <c r="AT232" s="40" t="str">
        <f t="shared" si="114"/>
        <v/>
      </c>
      <c r="AU232" s="43" t="str">
        <f t="shared" si="115"/>
        <v/>
      </c>
      <c r="AX232">
        <f>HLOOKUP($AX$9&amp;$AX$10,Data!$A$1:$ZZ$1988,(MATCH($C232,Data!$A$1:$A$1988,0)),FALSE)</f>
        <v>100</v>
      </c>
    </row>
    <row r="233" spans="1:50">
      <c r="A233" s="59" t="str">
        <f>$D$1&amp;223</f>
        <v>UA223</v>
      </c>
      <c r="B233" s="60">
        <f>IF(ISERROR(VLOOKUP(A233,classifications!A:C,3,FALSE)),0,VLOOKUP(A233,classifications!A:C,3,FALSE))</f>
        <v>0</v>
      </c>
      <c r="C233" t="s">
        <v>126</v>
      </c>
      <c r="D233" t="str">
        <f>VLOOKUP($C233,classifications!$C:$J,4,FALSE)</f>
        <v>SD</v>
      </c>
      <c r="E233">
        <f>VLOOKUP(C233,classifications!C:K,9,FALSE)</f>
        <v>0</v>
      </c>
      <c r="F233">
        <f t="shared" si="92"/>
        <v>66.666666666666657</v>
      </c>
      <c r="G233" s="15"/>
      <c r="H233" s="42" t="str">
        <f t="shared" si="93"/>
        <v/>
      </c>
      <c r="I233" s="79" t="str">
        <f>IF(H233="","",IF($I$8="A",(RANK(H233,H$11:H$349,1)+COUNTIF(H$11:H233,H233)-1),(RANK(H233,H$11:H$349)+COUNTIF(H$11:H233,H233)-1)))</f>
        <v/>
      </c>
      <c r="J233" s="41"/>
      <c r="K233" s="36" t="str">
        <f t="shared" si="94"/>
        <v/>
      </c>
      <c r="L233" t="str">
        <f t="shared" si="95"/>
        <v/>
      </c>
      <c r="M233" s="117" t="str">
        <f t="shared" si="96"/>
        <v/>
      </c>
      <c r="N233" s="112" t="str">
        <f t="shared" si="97"/>
        <v/>
      </c>
      <c r="O233" s="96" t="str">
        <f t="shared" si="98"/>
        <v/>
      </c>
      <c r="P233" s="96" t="str">
        <f t="shared" si="99"/>
        <v/>
      </c>
      <c r="Q233" s="96" t="str">
        <f t="shared" si="100"/>
        <v/>
      </c>
      <c r="R233" s="92" t="str">
        <f t="shared" si="101"/>
        <v/>
      </c>
      <c r="S233" s="42" t="str">
        <f t="shared" si="102"/>
        <v/>
      </c>
      <c r="T233" s="176" t="str">
        <f>IF(L233="","",VLOOKUP(L233,classifications!C:K,9,FALSE))</f>
        <v/>
      </c>
      <c r="U233" s="177" t="str">
        <f t="shared" si="103"/>
        <v/>
      </c>
      <c r="V233" s="183" t="str">
        <f>IF(U233="","",IF($I$8="A",(RANK(U233,U$11:U$349)+COUNTIF(U$11:U233,U233)-1),(RANK(U233,U$11:U$349,1)+COUNTIF(U$11:U233,U233)-1)))</f>
        <v/>
      </c>
      <c r="W233" s="184"/>
      <c r="X233" s="5" t="str">
        <f>IF(L233="","",VLOOKUP($L233,classifications!$C:$J,6,FALSE))</f>
        <v/>
      </c>
      <c r="Y233" t="str">
        <f t="shared" si="104"/>
        <v/>
      </c>
      <c r="Z233" s="40" t="str">
        <f>IF(Y233="","",IF(I$8="A",(RANK(Y233,Y$11:Y$349,1)+COUNTIF(Y$11:Y233,Y233)-1),(RANK(Y233,Y$11:Y$349)+COUNTIF(Y$11:Y233,Y233)-1)))</f>
        <v/>
      </c>
      <c r="AA233" s="189" t="str">
        <f>IF(L233="","",VLOOKUP($L233,classifications!C:I,7,FALSE))</f>
        <v/>
      </c>
      <c r="AB233" s="183" t="str">
        <f t="shared" si="105"/>
        <v/>
      </c>
      <c r="AC233" s="183" t="str">
        <f>IF(AB233="","",IF($I$8="A",(RANK(AB233,AB$11:AB$349)+COUNTIF(AB$11:AB233,AB233)-1),(RANK(AB233,AB$11:AB$349,1)+COUNTIF(AB$11:AB233,AB233)-1)))</f>
        <v/>
      </c>
      <c r="AD233" s="183"/>
      <c r="AE233" s="49">
        <f>IF(I$8="A",(RANK(AG233,AG$11:AG$349,1)+COUNTIF(AG$11:AG233,AG233)-1),(RANK(AG233,AG$11:AG$349)+COUNTIF(AG$11:AG233,AG233)-1))</f>
        <v>223</v>
      </c>
      <c r="AF233" t="str">
        <f>VLOOKUP(Profile!$J$5,Families!$C:$R,6,FALSE)</f>
        <v>Herefordshire</v>
      </c>
      <c r="AG233" s="15">
        <f t="shared" si="106"/>
        <v>62.711864406779661</v>
      </c>
      <c r="AH233" s="50">
        <f t="shared" si="107"/>
        <v>223</v>
      </c>
      <c r="AI233" s="5" t="str">
        <f>IF(L233="","",VLOOKUP($L233,classifications!$C:$J,8,FALSE))</f>
        <v/>
      </c>
      <c r="AJ233" s="43" t="str">
        <f t="shared" si="108"/>
        <v/>
      </c>
      <c r="AK233" s="40" t="str">
        <f>IF(AJ233="","",IF(I$8="A",(RANK(AJ233,AJ$11:AJ$349,1)+COUNTIF(AJ$11:AJ233,AJ233)-1),(RANK(AJ233,AJ$11:AJ$349)+COUNTIF(AJ$11:AJ233,AJ233)-1)))</f>
        <v/>
      </c>
      <c r="AL233" s="3" t="str">
        <f t="shared" si="109"/>
        <v/>
      </c>
      <c r="AM233" t="str">
        <f t="shared" si="110"/>
        <v/>
      </c>
      <c r="AN233" t="str">
        <f t="shared" si="111"/>
        <v/>
      </c>
      <c r="AP233" s="5" t="str">
        <f>IF(L233="","",VLOOKUP($L233,classifications!$C:$E,3,FALSE))</f>
        <v/>
      </c>
      <c r="AQ233" s="43" t="str">
        <f t="shared" si="112"/>
        <v/>
      </c>
      <c r="AR233" s="40" t="str">
        <f>IF(AQ233="","",IF(I$8="A",(RANK(AQ233,AQ$11:AQ$349,1)+COUNTIF(AQ$11:AQ233,AQ233)-1),(RANK(AQ233,AQ$11:AQ$349)+COUNTIF(AQ$11:AQ233,AQ233)-1)))</f>
        <v/>
      </c>
      <c r="AS233" s="3" t="str">
        <f t="shared" si="113"/>
        <v/>
      </c>
      <c r="AT233" s="40" t="str">
        <f t="shared" si="114"/>
        <v/>
      </c>
      <c r="AU233" s="43" t="str">
        <f t="shared" si="115"/>
        <v/>
      </c>
      <c r="AX233">
        <f>HLOOKUP($AX$9&amp;$AX$10,Data!$A$1:$ZZ$1988,(MATCH($C233,Data!$A$1:$A$1988,0)),FALSE)</f>
        <v>66.666666666666657</v>
      </c>
    </row>
    <row r="234" spans="1:50">
      <c r="A234" s="59" t="str">
        <f>$D$1&amp;224</f>
        <v>UA224</v>
      </c>
      <c r="B234" s="60">
        <f>IF(ISERROR(VLOOKUP(A234,classifications!A:C,3,FALSE)),0,VLOOKUP(A234,classifications!A:C,3,FALSE))</f>
        <v>0</v>
      </c>
      <c r="C234" t="s">
        <v>127</v>
      </c>
      <c r="D234" t="str">
        <f>VLOOKUP($C234,classifications!$C:$J,4,FALSE)</f>
        <v>SD</v>
      </c>
      <c r="E234" t="str">
        <f>VLOOKUP(C234,classifications!C:K,9,FALSE)</f>
        <v>Sparse</v>
      </c>
      <c r="F234">
        <f t="shared" si="92"/>
        <v>96.666666666666671</v>
      </c>
      <c r="G234" s="15"/>
      <c r="H234" s="42" t="str">
        <f t="shared" si="93"/>
        <v/>
      </c>
      <c r="I234" s="79" t="str">
        <f>IF(H234="","",IF($I$8="A",(RANK(H234,H$11:H$349,1)+COUNTIF(H$11:H234,H234)-1),(RANK(H234,H$11:H$349)+COUNTIF(H$11:H234,H234)-1)))</f>
        <v/>
      </c>
      <c r="J234" s="41"/>
      <c r="K234" s="36" t="str">
        <f t="shared" si="94"/>
        <v/>
      </c>
      <c r="L234" t="str">
        <f t="shared" si="95"/>
        <v/>
      </c>
      <c r="M234" s="117" t="str">
        <f t="shared" si="96"/>
        <v/>
      </c>
      <c r="N234" s="112" t="str">
        <f t="shared" si="97"/>
        <v/>
      </c>
      <c r="O234" s="96" t="str">
        <f t="shared" si="98"/>
        <v/>
      </c>
      <c r="P234" s="96" t="str">
        <f t="shared" si="99"/>
        <v/>
      </c>
      <c r="Q234" s="96" t="str">
        <f t="shared" si="100"/>
        <v/>
      </c>
      <c r="R234" s="92" t="str">
        <f t="shared" si="101"/>
        <v/>
      </c>
      <c r="S234" s="42" t="str">
        <f t="shared" si="102"/>
        <v/>
      </c>
      <c r="T234" s="176" t="str">
        <f>IF(L234="","",VLOOKUP(L234,classifications!C:K,9,FALSE))</f>
        <v/>
      </c>
      <c r="U234" s="177" t="str">
        <f t="shared" si="103"/>
        <v/>
      </c>
      <c r="V234" s="183" t="str">
        <f>IF(U234="","",IF($I$8="A",(RANK(U234,U$11:U$349)+COUNTIF(U$11:U234,U234)-1),(RANK(U234,U$11:U$349,1)+COUNTIF(U$11:U234,U234)-1)))</f>
        <v/>
      </c>
      <c r="W234" s="184"/>
      <c r="X234" s="5" t="str">
        <f>IF(L234="","",VLOOKUP($L234,classifications!$C:$J,6,FALSE))</f>
        <v/>
      </c>
      <c r="Y234" t="str">
        <f t="shared" si="104"/>
        <v/>
      </c>
      <c r="Z234" s="40" t="str">
        <f>IF(Y234="","",IF(I$8="A",(RANK(Y234,Y$11:Y$349,1)+COUNTIF(Y$11:Y234,Y234)-1),(RANK(Y234,Y$11:Y$349)+COUNTIF(Y$11:Y234,Y234)-1)))</f>
        <v/>
      </c>
      <c r="AA234" s="189" t="str">
        <f>IF(L234="","",VLOOKUP($L234,classifications!C:I,7,FALSE))</f>
        <v/>
      </c>
      <c r="AB234" s="183" t="str">
        <f t="shared" si="105"/>
        <v/>
      </c>
      <c r="AC234" s="183" t="str">
        <f>IF(AB234="","",IF($I$8="A",(RANK(AB234,AB$11:AB$349)+COUNTIF(AB$11:AB234,AB234)-1),(RANK(AB234,AB$11:AB$349,1)+COUNTIF(AB$11:AB234,AB234)-1)))</f>
        <v/>
      </c>
      <c r="AD234" s="183"/>
      <c r="AE234" s="49">
        <f>IF(I$8="A",(RANK(AG234,AG$11:AG$349,1)+COUNTIF(AG$11:AG234,AG234)-1),(RANK(AG234,AG$11:AG$349)+COUNTIF(AG$11:AG234,AG234)-1))</f>
        <v>224</v>
      </c>
      <c r="AF234" t="str">
        <f>VLOOKUP(Profile!$J$5,Families!$C:$R,6,FALSE)</f>
        <v>Herefordshire</v>
      </c>
      <c r="AG234" s="15">
        <f t="shared" si="106"/>
        <v>62.711864406779661</v>
      </c>
      <c r="AH234" s="50">
        <f t="shared" si="107"/>
        <v>224</v>
      </c>
      <c r="AI234" s="5" t="str">
        <f>IF(L234="","",VLOOKUP($L234,classifications!$C:$J,8,FALSE))</f>
        <v/>
      </c>
      <c r="AJ234" s="43" t="str">
        <f t="shared" si="108"/>
        <v/>
      </c>
      <c r="AK234" s="40" t="str">
        <f>IF(AJ234="","",IF(I$8="A",(RANK(AJ234,AJ$11:AJ$349,1)+COUNTIF(AJ$11:AJ234,AJ234)-1),(RANK(AJ234,AJ$11:AJ$349)+COUNTIF(AJ$11:AJ234,AJ234)-1)))</f>
        <v/>
      </c>
      <c r="AL234" s="3" t="str">
        <f t="shared" si="109"/>
        <v/>
      </c>
      <c r="AM234" t="str">
        <f t="shared" si="110"/>
        <v/>
      </c>
      <c r="AN234" t="str">
        <f t="shared" si="111"/>
        <v/>
      </c>
      <c r="AP234" s="5" t="str">
        <f>IF(L234="","",VLOOKUP($L234,classifications!$C:$E,3,FALSE))</f>
        <v/>
      </c>
      <c r="AQ234" s="43" t="str">
        <f t="shared" si="112"/>
        <v/>
      </c>
      <c r="AR234" s="40" t="str">
        <f>IF(AQ234="","",IF(I$8="A",(RANK(AQ234,AQ$11:AQ$349,1)+COUNTIF(AQ$11:AQ234,AQ234)-1),(RANK(AQ234,AQ$11:AQ$349)+COUNTIF(AQ$11:AQ234,AQ234)-1)))</f>
        <v/>
      </c>
      <c r="AS234" s="3" t="str">
        <f t="shared" si="113"/>
        <v/>
      </c>
      <c r="AT234" s="40" t="str">
        <f t="shared" si="114"/>
        <v/>
      </c>
      <c r="AU234" s="43" t="str">
        <f t="shared" si="115"/>
        <v/>
      </c>
      <c r="AX234">
        <f>HLOOKUP($AX$9&amp;$AX$10,Data!$A$1:$ZZ$1988,(MATCH($C234,Data!$A$1:$A$1988,0)),FALSE)</f>
        <v>96.666666666666671</v>
      </c>
    </row>
    <row r="235" spans="1:50">
      <c r="A235" s="59" t="str">
        <f>$D$1&amp;225</f>
        <v>UA225</v>
      </c>
      <c r="B235" s="60">
        <f>IF(ISERROR(VLOOKUP(A235,classifications!A:C,3,FALSE)),0,VLOOKUP(A235,classifications!A:C,3,FALSE))</f>
        <v>0</v>
      </c>
      <c r="C235" t="s">
        <v>241</v>
      </c>
      <c r="D235" t="str">
        <f>VLOOKUP($C235,classifications!$C:$J,4,FALSE)</f>
        <v>MD</v>
      </c>
      <c r="E235">
        <f>VLOOKUP(C235,classifications!C:K,9,FALSE)</f>
        <v>0</v>
      </c>
      <c r="F235">
        <f t="shared" si="92"/>
        <v>100</v>
      </c>
      <c r="G235" s="15"/>
      <c r="H235" s="42" t="str">
        <f t="shared" si="93"/>
        <v/>
      </c>
      <c r="I235" s="79" t="str">
        <f>IF(H235="","",IF($I$8="A",(RANK(H235,H$11:H$349,1)+COUNTIF(H$11:H235,H235)-1),(RANK(H235,H$11:H$349)+COUNTIF(H$11:H235,H235)-1)))</f>
        <v/>
      </c>
      <c r="J235" s="41"/>
      <c r="K235" s="36" t="str">
        <f t="shared" si="94"/>
        <v/>
      </c>
      <c r="L235" t="str">
        <f t="shared" si="95"/>
        <v/>
      </c>
      <c r="M235" s="117" t="str">
        <f t="shared" si="96"/>
        <v/>
      </c>
      <c r="N235" s="112" t="str">
        <f t="shared" si="97"/>
        <v/>
      </c>
      <c r="O235" s="96" t="str">
        <f t="shared" si="98"/>
        <v/>
      </c>
      <c r="P235" s="96" t="str">
        <f t="shared" si="99"/>
        <v/>
      </c>
      <c r="Q235" s="96" t="str">
        <f t="shared" si="100"/>
        <v/>
      </c>
      <c r="R235" s="92" t="str">
        <f t="shared" si="101"/>
        <v/>
      </c>
      <c r="S235" s="42" t="str">
        <f t="shared" si="102"/>
        <v/>
      </c>
      <c r="T235" s="176" t="str">
        <f>IF(L235="","",VLOOKUP(L235,classifications!C:K,9,FALSE))</f>
        <v/>
      </c>
      <c r="U235" s="177" t="str">
        <f t="shared" si="103"/>
        <v/>
      </c>
      <c r="V235" s="183" t="str">
        <f>IF(U235="","",IF($I$8="A",(RANK(U235,U$11:U$349)+COUNTIF(U$11:U235,U235)-1),(RANK(U235,U$11:U$349,1)+COUNTIF(U$11:U235,U235)-1)))</f>
        <v/>
      </c>
      <c r="W235" s="184"/>
      <c r="X235" s="5" t="str">
        <f>IF(L235="","",VLOOKUP($L235,classifications!$C:$J,6,FALSE))</f>
        <v/>
      </c>
      <c r="Y235" t="str">
        <f t="shared" si="104"/>
        <v/>
      </c>
      <c r="Z235" s="40" t="str">
        <f>IF(Y235="","",IF(I$8="A",(RANK(Y235,Y$11:Y$349,1)+COUNTIF(Y$11:Y235,Y235)-1),(RANK(Y235,Y$11:Y$349)+COUNTIF(Y$11:Y235,Y235)-1)))</f>
        <v/>
      </c>
      <c r="AA235" s="189" t="str">
        <f>IF(L235="","",VLOOKUP($L235,classifications!C:I,7,FALSE))</f>
        <v/>
      </c>
      <c r="AB235" s="183" t="str">
        <f t="shared" si="105"/>
        <v/>
      </c>
      <c r="AC235" s="183" t="str">
        <f>IF(AB235="","",IF($I$8="A",(RANK(AB235,AB$11:AB$349)+COUNTIF(AB$11:AB235,AB235)-1),(RANK(AB235,AB$11:AB$349,1)+COUNTIF(AB$11:AB235,AB235)-1)))</f>
        <v/>
      </c>
      <c r="AD235" s="183"/>
      <c r="AE235" s="49">
        <f>IF(I$8="A",(RANK(AG235,AG$11:AG$349,1)+COUNTIF(AG$11:AG235,AG235)-1),(RANK(AG235,AG$11:AG$349)+COUNTIF(AG$11:AG235,AG235)-1))</f>
        <v>225</v>
      </c>
      <c r="AF235" t="str">
        <f>VLOOKUP(Profile!$J$5,Families!$C:$R,6,FALSE)</f>
        <v>Herefordshire</v>
      </c>
      <c r="AG235" s="15">
        <f t="shared" si="106"/>
        <v>62.711864406779661</v>
      </c>
      <c r="AH235" s="50">
        <f t="shared" si="107"/>
        <v>225</v>
      </c>
      <c r="AI235" s="5" t="str">
        <f>IF(L235="","",VLOOKUP($L235,classifications!$C:$J,8,FALSE))</f>
        <v/>
      </c>
      <c r="AJ235" s="43" t="str">
        <f t="shared" si="108"/>
        <v/>
      </c>
      <c r="AK235" s="40" t="str">
        <f>IF(AJ235="","",IF(I$8="A",(RANK(AJ235,AJ$11:AJ$349,1)+COUNTIF(AJ$11:AJ235,AJ235)-1),(RANK(AJ235,AJ$11:AJ$349)+COUNTIF(AJ$11:AJ235,AJ235)-1)))</f>
        <v/>
      </c>
      <c r="AL235" s="3" t="str">
        <f t="shared" si="109"/>
        <v/>
      </c>
      <c r="AM235" t="str">
        <f t="shared" si="110"/>
        <v/>
      </c>
      <c r="AN235" t="str">
        <f t="shared" si="111"/>
        <v/>
      </c>
      <c r="AP235" s="5" t="str">
        <f>IF(L235="","",VLOOKUP($L235,classifications!$C:$E,3,FALSE))</f>
        <v/>
      </c>
      <c r="AQ235" s="43" t="str">
        <f t="shared" si="112"/>
        <v/>
      </c>
      <c r="AR235" s="40" t="str">
        <f>IF(AQ235="","",IF(I$8="A",(RANK(AQ235,AQ$11:AQ$349,1)+COUNTIF(AQ$11:AQ235,AQ235)-1),(RANK(AQ235,AQ$11:AQ$349)+COUNTIF(AQ$11:AQ235,AQ235)-1)))</f>
        <v/>
      </c>
      <c r="AS235" s="3" t="str">
        <f t="shared" si="113"/>
        <v/>
      </c>
      <c r="AT235" s="40" t="str">
        <f t="shared" si="114"/>
        <v/>
      </c>
      <c r="AU235" s="43" t="str">
        <f t="shared" si="115"/>
        <v/>
      </c>
      <c r="AX235">
        <f>HLOOKUP($AX$9&amp;$AX$10,Data!$A$1:$ZZ$1988,(MATCH($C235,Data!$A$1:$A$1988,0)),FALSE)</f>
        <v>100</v>
      </c>
    </row>
    <row r="236" spans="1:50">
      <c r="A236" s="59" t="str">
        <f>$D$1&amp;226</f>
        <v>UA226</v>
      </c>
      <c r="B236" s="60">
        <f>IF(ISERROR(VLOOKUP(A236,classifications!A:C,3,FALSE)),0,VLOOKUP(A236,classifications!A:C,3,FALSE))</f>
        <v>0</v>
      </c>
      <c r="C236" t="s">
        <v>128</v>
      </c>
      <c r="D236" t="str">
        <f>VLOOKUP($C236,classifications!$C:$J,4,FALSE)</f>
        <v>SD</v>
      </c>
      <c r="E236" t="str">
        <f>VLOOKUP(C236,classifications!C:K,9,FALSE)</f>
        <v>Sparse</v>
      </c>
      <c r="F236">
        <f t="shared" si="92"/>
        <v>81.818181818181827</v>
      </c>
      <c r="G236" s="15"/>
      <c r="H236" s="42" t="str">
        <f t="shared" si="93"/>
        <v/>
      </c>
      <c r="I236" s="79" t="str">
        <f>IF(H236="","",IF($I$8="A",(RANK(H236,H$11:H$349,1)+COUNTIF(H$11:H236,H236)-1),(RANK(H236,H$11:H$349)+COUNTIF(H$11:H236,H236)-1)))</f>
        <v/>
      </c>
      <c r="J236" s="41"/>
      <c r="K236" s="36" t="str">
        <f t="shared" si="94"/>
        <v/>
      </c>
      <c r="L236" t="str">
        <f t="shared" si="95"/>
        <v/>
      </c>
      <c r="M236" s="117" t="str">
        <f t="shared" si="96"/>
        <v/>
      </c>
      <c r="N236" s="112" t="str">
        <f t="shared" si="97"/>
        <v/>
      </c>
      <c r="O236" s="96" t="str">
        <f t="shared" si="98"/>
        <v/>
      </c>
      <c r="P236" s="96" t="str">
        <f t="shared" si="99"/>
        <v/>
      </c>
      <c r="Q236" s="96" t="str">
        <f t="shared" si="100"/>
        <v/>
      </c>
      <c r="R236" s="92" t="str">
        <f t="shared" si="101"/>
        <v/>
      </c>
      <c r="S236" s="42" t="str">
        <f t="shared" si="102"/>
        <v/>
      </c>
      <c r="T236" s="176" t="str">
        <f>IF(L236="","",VLOOKUP(L236,classifications!C:K,9,FALSE))</f>
        <v/>
      </c>
      <c r="U236" s="177" t="str">
        <f t="shared" si="103"/>
        <v/>
      </c>
      <c r="V236" s="183" t="str">
        <f>IF(U236="","",IF($I$8="A",(RANK(U236,U$11:U$349)+COUNTIF(U$11:U236,U236)-1),(RANK(U236,U$11:U$349,1)+COUNTIF(U$11:U236,U236)-1)))</f>
        <v/>
      </c>
      <c r="W236" s="184"/>
      <c r="X236" s="5" t="str">
        <f>IF(L236="","",VLOOKUP($L236,classifications!$C:$J,6,FALSE))</f>
        <v/>
      </c>
      <c r="Y236" t="str">
        <f t="shared" si="104"/>
        <v/>
      </c>
      <c r="Z236" s="40" t="str">
        <f>IF(Y236="","",IF(I$8="A",(RANK(Y236,Y$11:Y$349,1)+COUNTIF(Y$11:Y236,Y236)-1),(RANK(Y236,Y$11:Y$349)+COUNTIF(Y$11:Y236,Y236)-1)))</f>
        <v/>
      </c>
      <c r="AA236" s="189" t="str">
        <f>IF(L236="","",VLOOKUP($L236,classifications!C:I,7,FALSE))</f>
        <v/>
      </c>
      <c r="AB236" s="183" t="str">
        <f t="shared" si="105"/>
        <v/>
      </c>
      <c r="AC236" s="183" t="str">
        <f>IF(AB236="","",IF($I$8="A",(RANK(AB236,AB$11:AB$349)+COUNTIF(AB$11:AB236,AB236)-1),(RANK(AB236,AB$11:AB$349,1)+COUNTIF(AB$11:AB236,AB236)-1)))</f>
        <v/>
      </c>
      <c r="AD236" s="183"/>
      <c r="AE236" s="49">
        <f>IF(I$8="A",(RANK(AG236,AG$11:AG$349,1)+COUNTIF(AG$11:AG236,AG236)-1),(RANK(AG236,AG$11:AG$349)+COUNTIF(AG$11:AG236,AG236)-1))</f>
        <v>226</v>
      </c>
      <c r="AF236" t="str">
        <f>VLOOKUP(Profile!$J$5,Families!$C:$R,6,FALSE)</f>
        <v>Herefordshire</v>
      </c>
      <c r="AG236" s="15">
        <f t="shared" si="106"/>
        <v>62.711864406779661</v>
      </c>
      <c r="AH236" s="50">
        <f t="shared" si="107"/>
        <v>226</v>
      </c>
      <c r="AI236" s="5" t="str">
        <f>IF(L236="","",VLOOKUP($L236,classifications!$C:$J,8,FALSE))</f>
        <v/>
      </c>
      <c r="AJ236" s="43" t="str">
        <f t="shared" si="108"/>
        <v/>
      </c>
      <c r="AK236" s="40" t="str">
        <f>IF(AJ236="","",IF(I$8="A",(RANK(AJ236,AJ$11:AJ$349,1)+COUNTIF(AJ$11:AJ236,AJ236)-1),(RANK(AJ236,AJ$11:AJ$349)+COUNTIF(AJ$11:AJ236,AJ236)-1)))</f>
        <v/>
      </c>
      <c r="AL236" s="3" t="str">
        <f t="shared" si="109"/>
        <v/>
      </c>
      <c r="AM236" t="str">
        <f t="shared" si="110"/>
        <v/>
      </c>
      <c r="AN236" t="str">
        <f t="shared" si="111"/>
        <v/>
      </c>
      <c r="AP236" s="5" t="str">
        <f>IF(L236="","",VLOOKUP($L236,classifications!$C:$E,3,FALSE))</f>
        <v/>
      </c>
      <c r="AQ236" s="43" t="str">
        <f t="shared" si="112"/>
        <v/>
      </c>
      <c r="AR236" s="40" t="str">
        <f>IF(AQ236="","",IF(I$8="A",(RANK(AQ236,AQ$11:AQ$349,1)+COUNTIF(AQ$11:AQ236,AQ236)-1),(RANK(AQ236,AQ$11:AQ$349)+COUNTIF(AQ$11:AQ236,AQ236)-1)))</f>
        <v/>
      </c>
      <c r="AS236" s="3" t="str">
        <f t="shared" si="113"/>
        <v/>
      </c>
      <c r="AT236" s="40" t="str">
        <f t="shared" si="114"/>
        <v/>
      </c>
      <c r="AU236" s="43" t="str">
        <f t="shared" si="115"/>
        <v/>
      </c>
      <c r="AX236">
        <f>HLOOKUP($AX$9&amp;$AX$10,Data!$A$1:$ZZ$1988,(MATCH($C236,Data!$A$1:$A$1988,0)),FALSE)</f>
        <v>81.818181818181827</v>
      </c>
    </row>
    <row r="237" spans="1:50">
      <c r="A237" s="59" t="str">
        <f>$D$1&amp;227</f>
        <v>UA227</v>
      </c>
      <c r="B237" s="60">
        <f>IF(ISERROR(VLOOKUP(A237,classifications!A:C,3,FALSE)),0,VLOOKUP(A237,classifications!A:C,3,FALSE))</f>
        <v>0</v>
      </c>
      <c r="C237" t="s">
        <v>129</v>
      </c>
      <c r="D237" t="str">
        <f>VLOOKUP($C237,classifications!$C:$J,4,FALSE)</f>
        <v>SD</v>
      </c>
      <c r="E237">
        <f>VLOOKUP(C237,classifications!C:K,9,FALSE)</f>
        <v>0</v>
      </c>
      <c r="F237">
        <f t="shared" si="92"/>
        <v>93.75</v>
      </c>
      <c r="G237" s="15"/>
      <c r="H237" s="42" t="str">
        <f t="shared" si="93"/>
        <v/>
      </c>
      <c r="I237" s="79" t="str">
        <f>IF(H237="","",IF($I$8="A",(RANK(H237,H$11:H$349,1)+COUNTIF(H$11:H237,H237)-1),(RANK(H237,H$11:H$349)+COUNTIF(H$11:H237,H237)-1)))</f>
        <v/>
      </c>
      <c r="J237" s="41"/>
      <c r="K237" s="36" t="str">
        <f t="shared" si="94"/>
        <v/>
      </c>
      <c r="L237" t="str">
        <f t="shared" si="95"/>
        <v/>
      </c>
      <c r="M237" s="117" t="str">
        <f t="shared" si="96"/>
        <v/>
      </c>
      <c r="N237" s="112" t="str">
        <f t="shared" si="97"/>
        <v/>
      </c>
      <c r="O237" s="96" t="str">
        <f t="shared" si="98"/>
        <v/>
      </c>
      <c r="P237" s="96" t="str">
        <f t="shared" si="99"/>
        <v/>
      </c>
      <c r="Q237" s="96" t="str">
        <f t="shared" si="100"/>
        <v/>
      </c>
      <c r="R237" s="92" t="str">
        <f t="shared" si="101"/>
        <v/>
      </c>
      <c r="S237" s="42" t="str">
        <f t="shared" si="102"/>
        <v/>
      </c>
      <c r="T237" s="176" t="str">
        <f>IF(L237="","",VLOOKUP(L237,classifications!C:K,9,FALSE))</f>
        <v/>
      </c>
      <c r="U237" s="177" t="str">
        <f t="shared" si="103"/>
        <v/>
      </c>
      <c r="V237" s="183" t="str">
        <f>IF(U237="","",IF($I$8="A",(RANK(U237,U$11:U$349)+COUNTIF(U$11:U237,U237)-1),(RANK(U237,U$11:U$349,1)+COUNTIF(U$11:U237,U237)-1)))</f>
        <v/>
      </c>
      <c r="W237" s="184"/>
      <c r="X237" s="5" t="str">
        <f>IF(L237="","",VLOOKUP($L237,classifications!$C:$J,6,FALSE))</f>
        <v/>
      </c>
      <c r="Y237" t="str">
        <f t="shared" si="104"/>
        <v/>
      </c>
      <c r="Z237" s="40" t="str">
        <f>IF(Y237="","",IF(I$8="A",(RANK(Y237,Y$11:Y$349,1)+COUNTIF(Y$11:Y237,Y237)-1),(RANK(Y237,Y$11:Y$349)+COUNTIF(Y$11:Y237,Y237)-1)))</f>
        <v/>
      </c>
      <c r="AA237" s="189" t="str">
        <f>IF(L237="","",VLOOKUP($L237,classifications!C:I,7,FALSE))</f>
        <v/>
      </c>
      <c r="AB237" s="183" t="str">
        <f t="shared" si="105"/>
        <v/>
      </c>
      <c r="AC237" s="183" t="str">
        <f>IF(AB237="","",IF($I$8="A",(RANK(AB237,AB$11:AB$349)+COUNTIF(AB$11:AB237,AB237)-1),(RANK(AB237,AB$11:AB$349,1)+COUNTIF(AB$11:AB237,AB237)-1)))</f>
        <v/>
      </c>
      <c r="AD237" s="183"/>
      <c r="AE237" s="49">
        <f>IF(I$8="A",(RANK(AG237,AG$11:AG$349,1)+COUNTIF(AG$11:AG237,AG237)-1),(RANK(AG237,AG$11:AG$349)+COUNTIF(AG$11:AG237,AG237)-1))</f>
        <v>227</v>
      </c>
      <c r="AF237" t="str">
        <f>VLOOKUP(Profile!$J$5,Families!$C:$R,6,FALSE)</f>
        <v>Herefordshire</v>
      </c>
      <c r="AG237" s="15">
        <f t="shared" si="106"/>
        <v>62.711864406779661</v>
      </c>
      <c r="AH237" s="50">
        <f t="shared" si="107"/>
        <v>227</v>
      </c>
      <c r="AI237" s="5" t="str">
        <f>IF(L237="","",VLOOKUP($L237,classifications!$C:$J,8,FALSE))</f>
        <v/>
      </c>
      <c r="AJ237" s="43" t="str">
        <f t="shared" si="108"/>
        <v/>
      </c>
      <c r="AK237" s="40" t="str">
        <f>IF(AJ237="","",IF(I$8="A",(RANK(AJ237,AJ$11:AJ$349,1)+COUNTIF(AJ$11:AJ237,AJ237)-1),(RANK(AJ237,AJ$11:AJ$349)+COUNTIF(AJ$11:AJ237,AJ237)-1)))</f>
        <v/>
      </c>
      <c r="AL237" s="3" t="str">
        <f t="shared" si="109"/>
        <v/>
      </c>
      <c r="AM237" t="str">
        <f t="shared" si="110"/>
        <v/>
      </c>
      <c r="AN237" t="str">
        <f t="shared" si="111"/>
        <v/>
      </c>
      <c r="AP237" s="5" t="str">
        <f>IF(L237="","",VLOOKUP($L237,classifications!$C:$E,3,FALSE))</f>
        <v/>
      </c>
      <c r="AQ237" s="43" t="str">
        <f t="shared" si="112"/>
        <v/>
      </c>
      <c r="AR237" s="40" t="str">
        <f>IF(AQ237="","",IF(I$8="A",(RANK(AQ237,AQ$11:AQ$349,1)+COUNTIF(AQ$11:AQ237,AQ237)-1),(RANK(AQ237,AQ$11:AQ$349)+COUNTIF(AQ$11:AQ237,AQ237)-1)))</f>
        <v/>
      </c>
      <c r="AS237" s="3" t="str">
        <f t="shared" si="113"/>
        <v/>
      </c>
      <c r="AT237" s="40" t="str">
        <f t="shared" si="114"/>
        <v/>
      </c>
      <c r="AU237" s="43" t="str">
        <f t="shared" si="115"/>
        <v/>
      </c>
      <c r="AX237">
        <f>HLOOKUP($AX$9&amp;$AX$10,Data!$A$1:$ZZ$1988,(MATCH($C237,Data!$A$1:$A$1988,0)),FALSE)</f>
        <v>93.75</v>
      </c>
    </row>
    <row r="238" spans="1:50">
      <c r="A238" s="59" t="str">
        <f>$D$1&amp;228</f>
        <v>UA228</v>
      </c>
      <c r="B238" s="60">
        <f>IF(ISERROR(VLOOKUP(A238,classifications!A:C,3,FALSE)),0,VLOOKUP(A238,classifications!A:C,3,FALSE))</f>
        <v>0</v>
      </c>
      <c r="C238" t="s">
        <v>130</v>
      </c>
      <c r="D238" t="str">
        <f>VLOOKUP($C238,classifications!$C:$J,4,FALSE)</f>
        <v>SD</v>
      </c>
      <c r="E238">
        <f>VLOOKUP(C238,classifications!C:K,9,FALSE)</f>
        <v>0</v>
      </c>
      <c r="F238">
        <f t="shared" si="92"/>
        <v>74.418604651162795</v>
      </c>
      <c r="G238" s="15"/>
      <c r="H238" s="42" t="str">
        <f t="shared" si="93"/>
        <v/>
      </c>
      <c r="I238" s="79" t="str">
        <f>IF(H238="","",IF($I$8="A",(RANK(H238,H$11:H$349,1)+COUNTIF(H$11:H238,H238)-1),(RANK(H238,H$11:H$349)+COUNTIF(H$11:H238,H238)-1)))</f>
        <v/>
      </c>
      <c r="J238" s="41"/>
      <c r="K238" s="36" t="str">
        <f t="shared" si="94"/>
        <v/>
      </c>
      <c r="L238" t="str">
        <f t="shared" si="95"/>
        <v/>
      </c>
      <c r="M238" s="117" t="str">
        <f t="shared" si="96"/>
        <v/>
      </c>
      <c r="N238" s="112" t="str">
        <f t="shared" si="97"/>
        <v/>
      </c>
      <c r="O238" s="96" t="str">
        <f t="shared" si="98"/>
        <v/>
      </c>
      <c r="P238" s="96" t="str">
        <f t="shared" si="99"/>
        <v/>
      </c>
      <c r="Q238" s="96" t="str">
        <f t="shared" si="100"/>
        <v/>
      </c>
      <c r="R238" s="92" t="str">
        <f t="shared" si="101"/>
        <v/>
      </c>
      <c r="S238" s="42" t="str">
        <f t="shared" si="102"/>
        <v/>
      </c>
      <c r="T238" s="176" t="str">
        <f>IF(L238="","",VLOOKUP(L238,classifications!C:K,9,FALSE))</f>
        <v/>
      </c>
      <c r="U238" s="177" t="str">
        <f t="shared" si="103"/>
        <v/>
      </c>
      <c r="V238" s="183" t="str">
        <f>IF(U238="","",IF($I$8="A",(RANK(U238,U$11:U$349)+COUNTIF(U$11:U238,U238)-1),(RANK(U238,U$11:U$349,1)+COUNTIF(U$11:U238,U238)-1)))</f>
        <v/>
      </c>
      <c r="W238" s="184"/>
      <c r="X238" s="5" t="str">
        <f>IF(L238="","",VLOOKUP($L238,classifications!$C:$J,6,FALSE))</f>
        <v/>
      </c>
      <c r="Y238" t="str">
        <f t="shared" si="104"/>
        <v/>
      </c>
      <c r="Z238" s="40" t="str">
        <f>IF(Y238="","",IF(I$8="A",(RANK(Y238,Y$11:Y$349,1)+COUNTIF(Y$11:Y238,Y238)-1),(RANK(Y238,Y$11:Y$349)+COUNTIF(Y$11:Y238,Y238)-1)))</f>
        <v/>
      </c>
      <c r="AA238" s="189" t="str">
        <f>IF(L238="","",VLOOKUP($L238,classifications!C:I,7,FALSE))</f>
        <v/>
      </c>
      <c r="AB238" s="183" t="str">
        <f t="shared" si="105"/>
        <v/>
      </c>
      <c r="AC238" s="183" t="str">
        <f>IF(AB238="","",IF($I$8="A",(RANK(AB238,AB$11:AB$349)+COUNTIF(AB$11:AB238,AB238)-1),(RANK(AB238,AB$11:AB$349,1)+COUNTIF(AB$11:AB238,AB238)-1)))</f>
        <v/>
      </c>
      <c r="AD238" s="183"/>
      <c r="AE238" s="49">
        <f>IF(I$8="A",(RANK(AG238,AG$11:AG$349,1)+COUNTIF(AG$11:AG238,AG238)-1),(RANK(AG238,AG$11:AG$349)+COUNTIF(AG$11:AG238,AG238)-1))</f>
        <v>228</v>
      </c>
      <c r="AF238" t="str">
        <f>VLOOKUP(Profile!$J$5,Families!$C:$R,6,FALSE)</f>
        <v>Herefordshire</v>
      </c>
      <c r="AG238" s="15">
        <f t="shared" si="106"/>
        <v>62.711864406779661</v>
      </c>
      <c r="AH238" s="50">
        <f t="shared" si="107"/>
        <v>228</v>
      </c>
      <c r="AI238" s="5" t="str">
        <f>IF(L238="","",VLOOKUP($L238,classifications!$C:$J,8,FALSE))</f>
        <v/>
      </c>
      <c r="AJ238" s="43" t="str">
        <f t="shared" si="108"/>
        <v/>
      </c>
      <c r="AK238" s="40" t="str">
        <f>IF(AJ238="","",IF(I$8="A",(RANK(AJ238,AJ$11:AJ$349,1)+COUNTIF(AJ$11:AJ238,AJ238)-1),(RANK(AJ238,AJ$11:AJ$349)+COUNTIF(AJ$11:AJ238,AJ238)-1)))</f>
        <v/>
      </c>
      <c r="AL238" s="3" t="str">
        <f t="shared" si="109"/>
        <v/>
      </c>
      <c r="AM238" t="str">
        <f t="shared" si="110"/>
        <v/>
      </c>
      <c r="AN238" t="str">
        <f t="shared" si="111"/>
        <v/>
      </c>
      <c r="AP238" s="5" t="str">
        <f>IF(L238="","",VLOOKUP($L238,classifications!$C:$E,3,FALSE))</f>
        <v/>
      </c>
      <c r="AQ238" s="43" t="str">
        <f t="shared" si="112"/>
        <v/>
      </c>
      <c r="AR238" s="40" t="str">
        <f>IF(AQ238="","",IF(I$8="A",(RANK(AQ238,AQ$11:AQ$349,1)+COUNTIF(AQ$11:AQ238,AQ238)-1),(RANK(AQ238,AQ$11:AQ$349)+COUNTIF(AQ$11:AQ238,AQ238)-1)))</f>
        <v/>
      </c>
      <c r="AS238" s="3" t="str">
        <f t="shared" si="113"/>
        <v/>
      </c>
      <c r="AT238" s="40" t="str">
        <f t="shared" si="114"/>
        <v/>
      </c>
      <c r="AU238" s="43" t="str">
        <f t="shared" si="115"/>
        <v/>
      </c>
      <c r="AX238">
        <f>HLOOKUP($AX$9&amp;$AX$10,Data!$A$1:$ZZ$1988,(MATCH($C238,Data!$A$1:$A$1988,0)),FALSE)</f>
        <v>74.418604651162795</v>
      </c>
    </row>
    <row r="239" spans="1:50">
      <c r="A239" s="59" t="str">
        <f>$D$1&amp;229</f>
        <v>UA229</v>
      </c>
      <c r="B239" s="60">
        <f>IF(ISERROR(VLOOKUP(A239,classifications!A:C,3,FALSE)),0,VLOOKUP(A239,classifications!A:C,3,FALSE))</f>
        <v>0</v>
      </c>
      <c r="C239" t="s">
        <v>131</v>
      </c>
      <c r="D239" t="str">
        <f>VLOOKUP($C239,classifications!$C:$J,4,FALSE)</f>
        <v>SD</v>
      </c>
      <c r="E239">
        <f>VLOOKUP(C239,classifications!C:K,9,FALSE)</f>
        <v>0</v>
      </c>
      <c r="F239">
        <f t="shared" si="92"/>
        <v>77.777777777777786</v>
      </c>
      <c r="G239" s="15"/>
      <c r="H239" s="42" t="str">
        <f t="shared" si="93"/>
        <v/>
      </c>
      <c r="I239" s="79" t="str">
        <f>IF(H239="","",IF($I$8="A",(RANK(H239,H$11:H$349,1)+COUNTIF(H$11:H239,H239)-1),(RANK(H239,H$11:H$349)+COUNTIF(H$11:H239,H239)-1)))</f>
        <v/>
      </c>
      <c r="J239" s="41"/>
      <c r="K239" s="36" t="str">
        <f t="shared" si="94"/>
        <v/>
      </c>
      <c r="L239" t="str">
        <f t="shared" si="95"/>
        <v/>
      </c>
      <c r="M239" s="117" t="str">
        <f t="shared" si="96"/>
        <v/>
      </c>
      <c r="N239" s="112" t="str">
        <f t="shared" si="97"/>
        <v/>
      </c>
      <c r="O239" s="96" t="str">
        <f t="shared" si="98"/>
        <v/>
      </c>
      <c r="P239" s="96" t="str">
        <f t="shared" si="99"/>
        <v/>
      </c>
      <c r="Q239" s="96" t="str">
        <f t="shared" si="100"/>
        <v/>
      </c>
      <c r="R239" s="92" t="str">
        <f t="shared" si="101"/>
        <v/>
      </c>
      <c r="S239" s="42" t="str">
        <f t="shared" si="102"/>
        <v/>
      </c>
      <c r="T239" s="176" t="str">
        <f>IF(L239="","",VLOOKUP(L239,classifications!C:K,9,FALSE))</f>
        <v/>
      </c>
      <c r="U239" s="177" t="str">
        <f t="shared" si="103"/>
        <v/>
      </c>
      <c r="V239" s="183" t="str">
        <f>IF(U239="","",IF($I$8="A",(RANK(U239,U$11:U$349)+COUNTIF(U$11:U239,U239)-1),(RANK(U239,U$11:U$349,1)+COUNTIF(U$11:U239,U239)-1)))</f>
        <v/>
      </c>
      <c r="W239" s="184"/>
      <c r="X239" s="5" t="str">
        <f>IF(L239="","",VLOOKUP($L239,classifications!$C:$J,6,FALSE))</f>
        <v/>
      </c>
      <c r="Y239" t="str">
        <f t="shared" si="104"/>
        <v/>
      </c>
      <c r="Z239" s="40" t="str">
        <f>IF(Y239="","",IF(I$8="A",(RANK(Y239,Y$11:Y$349,1)+COUNTIF(Y$11:Y239,Y239)-1),(RANK(Y239,Y$11:Y$349)+COUNTIF(Y$11:Y239,Y239)-1)))</f>
        <v/>
      </c>
      <c r="AA239" s="189" t="str">
        <f>IF(L239="","",VLOOKUP($L239,classifications!C:I,7,FALSE))</f>
        <v/>
      </c>
      <c r="AB239" s="183" t="str">
        <f t="shared" si="105"/>
        <v/>
      </c>
      <c r="AC239" s="183" t="str">
        <f>IF(AB239="","",IF($I$8="A",(RANK(AB239,AB$11:AB$349)+COUNTIF(AB$11:AB239,AB239)-1),(RANK(AB239,AB$11:AB$349,1)+COUNTIF(AB$11:AB239,AB239)-1)))</f>
        <v/>
      </c>
      <c r="AD239" s="183"/>
      <c r="AE239" s="49">
        <f>IF(I$8="A",(RANK(AG239,AG$11:AG$349,1)+COUNTIF(AG$11:AG239,AG239)-1),(RANK(AG239,AG$11:AG$349)+COUNTIF(AG$11:AG239,AG239)-1))</f>
        <v>229</v>
      </c>
      <c r="AF239" t="str">
        <f>VLOOKUP(Profile!$J$5,Families!$C:$R,6,FALSE)</f>
        <v>Herefordshire</v>
      </c>
      <c r="AG239" s="15">
        <f t="shared" si="106"/>
        <v>62.711864406779661</v>
      </c>
      <c r="AH239" s="50">
        <f t="shared" si="107"/>
        <v>229</v>
      </c>
      <c r="AI239" s="5" t="str">
        <f>IF(L239="","",VLOOKUP($L239,classifications!$C:$J,8,FALSE))</f>
        <v/>
      </c>
      <c r="AJ239" s="43" t="str">
        <f t="shared" si="108"/>
        <v/>
      </c>
      <c r="AK239" s="40" t="str">
        <f>IF(AJ239="","",IF(I$8="A",(RANK(AJ239,AJ$11:AJ$349,1)+COUNTIF(AJ$11:AJ239,AJ239)-1),(RANK(AJ239,AJ$11:AJ$349)+COUNTIF(AJ$11:AJ239,AJ239)-1)))</f>
        <v/>
      </c>
      <c r="AL239" s="3" t="str">
        <f t="shared" si="109"/>
        <v/>
      </c>
      <c r="AM239" t="str">
        <f t="shared" si="110"/>
        <v/>
      </c>
      <c r="AN239" t="str">
        <f t="shared" si="111"/>
        <v/>
      </c>
      <c r="AP239" s="5" t="str">
        <f>IF(L239="","",VLOOKUP($L239,classifications!$C:$E,3,FALSE))</f>
        <v/>
      </c>
      <c r="AQ239" s="43" t="str">
        <f t="shared" si="112"/>
        <v/>
      </c>
      <c r="AR239" s="40" t="str">
        <f>IF(AQ239="","",IF(I$8="A",(RANK(AQ239,AQ$11:AQ$349,1)+COUNTIF(AQ$11:AQ239,AQ239)-1),(RANK(AQ239,AQ$11:AQ$349)+COUNTIF(AQ$11:AQ239,AQ239)-1)))</f>
        <v/>
      </c>
      <c r="AS239" s="3" t="str">
        <f t="shared" si="113"/>
        <v/>
      </c>
      <c r="AT239" s="40" t="str">
        <f t="shared" si="114"/>
        <v/>
      </c>
      <c r="AU239" s="43" t="str">
        <f t="shared" si="115"/>
        <v/>
      </c>
      <c r="AX239">
        <f>HLOOKUP($AX$9&amp;$AX$10,Data!$A$1:$ZZ$1988,(MATCH($C239,Data!$A$1:$A$1988,0)),FALSE)</f>
        <v>77.777777777777786</v>
      </c>
    </row>
    <row r="240" spans="1:50">
      <c r="A240" s="59" t="str">
        <f>$D$1&amp;230</f>
        <v>UA230</v>
      </c>
      <c r="B240" s="60">
        <f>IF(ISERROR(VLOOKUP(A240,classifications!A:C,3,FALSE)),0,VLOOKUP(A240,classifications!A:C,3,FALSE))</f>
        <v>0</v>
      </c>
      <c r="C240" t="s">
        <v>285</v>
      </c>
      <c r="D240" t="str">
        <f>VLOOKUP($C240,classifications!$C:$J,4,FALSE)</f>
        <v>UA</v>
      </c>
      <c r="E240" t="str">
        <f>VLOOKUP(C240,classifications!C:K,9,FALSE)</f>
        <v>Sparse</v>
      </c>
      <c r="F240">
        <f t="shared" si="92"/>
        <v>89.285714285714292</v>
      </c>
      <c r="G240" s="15"/>
      <c r="H240" s="42">
        <f t="shared" si="93"/>
        <v>89.285714285714292</v>
      </c>
      <c r="I240" s="79">
        <f>IF(H240="","",IF($I$8="A",(RANK(H240,H$11:H$349,1)+COUNTIF(H$11:H240,H240)-1),(RANK(H240,H$11:H$349)+COUNTIF(H$11:H240,H240)-1)))</f>
        <v>32</v>
      </c>
      <c r="J240" s="41"/>
      <c r="K240" s="36" t="str">
        <f t="shared" si="94"/>
        <v/>
      </c>
      <c r="L240" t="str">
        <f t="shared" si="95"/>
        <v/>
      </c>
      <c r="M240" s="117" t="str">
        <f t="shared" si="96"/>
        <v/>
      </c>
      <c r="N240" s="112" t="str">
        <f t="shared" si="97"/>
        <v/>
      </c>
      <c r="O240" s="96" t="str">
        <f t="shared" si="98"/>
        <v/>
      </c>
      <c r="P240" s="96" t="str">
        <f t="shared" si="99"/>
        <v/>
      </c>
      <c r="Q240" s="96" t="str">
        <f t="shared" si="100"/>
        <v/>
      </c>
      <c r="R240" s="92" t="str">
        <f t="shared" si="101"/>
        <v/>
      </c>
      <c r="S240" s="42" t="str">
        <f t="shared" si="102"/>
        <v/>
      </c>
      <c r="T240" s="176" t="str">
        <f>IF(L240="","",VLOOKUP(L240,classifications!C:K,9,FALSE))</f>
        <v/>
      </c>
      <c r="U240" s="177" t="str">
        <f t="shared" si="103"/>
        <v/>
      </c>
      <c r="V240" s="183" t="str">
        <f>IF(U240="","",IF($I$8="A",(RANK(U240,U$11:U$349)+COUNTIF(U$11:U240,U240)-1),(RANK(U240,U$11:U$349,1)+COUNTIF(U$11:U240,U240)-1)))</f>
        <v/>
      </c>
      <c r="W240" s="184"/>
      <c r="X240" s="5" t="str">
        <f>IF(L240="","",VLOOKUP($L240,classifications!$C:$J,6,FALSE))</f>
        <v/>
      </c>
      <c r="Y240" t="str">
        <f t="shared" si="104"/>
        <v/>
      </c>
      <c r="Z240" s="40" t="str">
        <f>IF(Y240="","",IF(I$8="A",(RANK(Y240,Y$11:Y$349,1)+COUNTIF(Y$11:Y240,Y240)-1),(RANK(Y240,Y$11:Y$349)+COUNTIF(Y$11:Y240,Y240)-1)))</f>
        <v/>
      </c>
      <c r="AA240" s="189" t="str">
        <f>IF(L240="","",VLOOKUP($L240,classifications!C:I,7,FALSE))</f>
        <v/>
      </c>
      <c r="AB240" s="183" t="str">
        <f t="shared" si="105"/>
        <v/>
      </c>
      <c r="AC240" s="183" t="str">
        <f>IF(AB240="","",IF($I$8="A",(RANK(AB240,AB$11:AB$349)+COUNTIF(AB$11:AB240,AB240)-1),(RANK(AB240,AB$11:AB$349,1)+COUNTIF(AB$11:AB240,AB240)-1)))</f>
        <v/>
      </c>
      <c r="AD240" s="183"/>
      <c r="AE240" s="49">
        <f>IF(I$8="A",(RANK(AG240,AG$11:AG$349,1)+COUNTIF(AG$11:AG240,AG240)-1),(RANK(AG240,AG$11:AG$349)+COUNTIF(AG$11:AG240,AG240)-1))</f>
        <v>230</v>
      </c>
      <c r="AF240" t="str">
        <f>VLOOKUP(Profile!$J$5,Families!$C:$R,6,FALSE)</f>
        <v>Herefordshire</v>
      </c>
      <c r="AG240" s="15">
        <f t="shared" si="106"/>
        <v>62.711864406779661</v>
      </c>
      <c r="AH240" s="50">
        <f t="shared" si="107"/>
        <v>230</v>
      </c>
      <c r="AI240" s="5" t="str">
        <f>IF(L240="","",VLOOKUP($L240,classifications!$C:$J,8,FALSE))</f>
        <v/>
      </c>
      <c r="AJ240" s="43" t="str">
        <f t="shared" si="108"/>
        <v/>
      </c>
      <c r="AK240" s="40" t="str">
        <f>IF(AJ240="","",IF(I$8="A",(RANK(AJ240,AJ$11:AJ$349,1)+COUNTIF(AJ$11:AJ240,AJ240)-1),(RANK(AJ240,AJ$11:AJ$349)+COUNTIF(AJ$11:AJ240,AJ240)-1)))</f>
        <v/>
      </c>
      <c r="AL240" s="3" t="str">
        <f t="shared" si="109"/>
        <v/>
      </c>
      <c r="AM240" t="str">
        <f t="shared" si="110"/>
        <v/>
      </c>
      <c r="AN240" t="str">
        <f t="shared" si="111"/>
        <v/>
      </c>
      <c r="AP240" s="5" t="str">
        <f>IF(L240="","",VLOOKUP($L240,classifications!$C:$E,3,FALSE))</f>
        <v/>
      </c>
      <c r="AQ240" s="43" t="str">
        <f t="shared" si="112"/>
        <v/>
      </c>
      <c r="AR240" s="40" t="str">
        <f>IF(AQ240="","",IF(I$8="A",(RANK(AQ240,AQ$11:AQ$349,1)+COUNTIF(AQ$11:AQ240,AQ240)-1),(RANK(AQ240,AQ$11:AQ$349)+COUNTIF(AQ$11:AQ240,AQ240)-1)))</f>
        <v/>
      </c>
      <c r="AS240" s="3" t="str">
        <f t="shared" si="113"/>
        <v/>
      </c>
      <c r="AT240" s="40" t="str">
        <f t="shared" si="114"/>
        <v/>
      </c>
      <c r="AU240" s="43" t="str">
        <f t="shared" si="115"/>
        <v/>
      </c>
      <c r="AX240">
        <f>HLOOKUP($AX$9&amp;$AX$10,Data!$A$1:$ZZ$1988,(MATCH($C240,Data!$A$1:$A$1988,0)),FALSE)</f>
        <v>89.285714285714292</v>
      </c>
    </row>
    <row r="241" spans="1:50">
      <c r="A241" s="59" t="str">
        <f>$D$1&amp;231</f>
        <v>UA231</v>
      </c>
      <c r="B241" s="60">
        <f>IF(ISERROR(VLOOKUP(A241,classifications!A:C,3,FALSE)),0,VLOOKUP(A241,classifications!A:C,3,FALSE))</f>
        <v>0</v>
      </c>
      <c r="C241" t="s">
        <v>132</v>
      </c>
      <c r="D241" t="str">
        <f>VLOOKUP($C241,classifications!$C:$J,4,FALSE)</f>
        <v>SD</v>
      </c>
      <c r="E241" t="str">
        <f>VLOOKUP(C241,classifications!C:K,9,FALSE)</f>
        <v>Sparse</v>
      </c>
      <c r="F241">
        <f t="shared" si="92"/>
        <v>100</v>
      </c>
      <c r="G241" s="15"/>
      <c r="H241" s="42" t="str">
        <f t="shared" si="93"/>
        <v/>
      </c>
      <c r="I241" s="79" t="str">
        <f>IF(H241="","",IF($I$8="A",(RANK(H241,H$11:H$349,1)+COUNTIF(H$11:H241,H241)-1),(RANK(H241,H$11:H$349)+COUNTIF(H$11:H241,H241)-1)))</f>
        <v/>
      </c>
      <c r="J241" s="41"/>
      <c r="K241" s="36" t="str">
        <f t="shared" si="94"/>
        <v/>
      </c>
      <c r="L241" t="str">
        <f t="shared" si="95"/>
        <v/>
      </c>
      <c r="M241" s="117" t="str">
        <f t="shared" si="96"/>
        <v/>
      </c>
      <c r="N241" s="112" t="str">
        <f t="shared" si="97"/>
        <v/>
      </c>
      <c r="O241" s="96" t="str">
        <f t="shared" si="98"/>
        <v/>
      </c>
      <c r="P241" s="96" t="str">
        <f t="shared" si="99"/>
        <v/>
      </c>
      <c r="Q241" s="96" t="str">
        <f t="shared" si="100"/>
        <v/>
      </c>
      <c r="R241" s="92" t="str">
        <f t="shared" si="101"/>
        <v/>
      </c>
      <c r="S241" s="42" t="str">
        <f t="shared" si="102"/>
        <v/>
      </c>
      <c r="T241" s="176" t="str">
        <f>IF(L241="","",VLOOKUP(L241,classifications!C:K,9,FALSE))</f>
        <v/>
      </c>
      <c r="U241" s="177" t="str">
        <f t="shared" si="103"/>
        <v/>
      </c>
      <c r="V241" s="183" t="str">
        <f>IF(U241="","",IF($I$8="A",(RANK(U241,U$11:U$349)+COUNTIF(U$11:U241,U241)-1),(RANK(U241,U$11:U$349,1)+COUNTIF(U$11:U241,U241)-1)))</f>
        <v/>
      </c>
      <c r="W241" s="184"/>
      <c r="X241" s="5" t="str">
        <f>IF(L241="","",VLOOKUP($L241,classifications!$C:$J,6,FALSE))</f>
        <v/>
      </c>
      <c r="Y241" t="str">
        <f t="shared" si="104"/>
        <v/>
      </c>
      <c r="Z241" s="40" t="str">
        <f>IF(Y241="","",IF(I$8="A",(RANK(Y241,Y$11:Y$349,1)+COUNTIF(Y$11:Y241,Y241)-1),(RANK(Y241,Y$11:Y$349)+COUNTIF(Y$11:Y241,Y241)-1)))</f>
        <v/>
      </c>
      <c r="AA241" s="189" t="str">
        <f>IF(L241="","",VLOOKUP($L241,classifications!C:I,7,FALSE))</f>
        <v/>
      </c>
      <c r="AB241" s="183" t="str">
        <f t="shared" si="105"/>
        <v/>
      </c>
      <c r="AC241" s="183" t="str">
        <f>IF(AB241="","",IF($I$8="A",(RANK(AB241,AB$11:AB$349)+COUNTIF(AB$11:AB241,AB241)-1),(RANK(AB241,AB$11:AB$349,1)+COUNTIF(AB$11:AB241,AB241)-1)))</f>
        <v/>
      </c>
      <c r="AD241" s="183"/>
      <c r="AE241" s="49">
        <f>IF(I$8="A",(RANK(AG241,AG$11:AG$349,1)+COUNTIF(AG$11:AG241,AG241)-1),(RANK(AG241,AG$11:AG$349)+COUNTIF(AG$11:AG241,AG241)-1))</f>
        <v>231</v>
      </c>
      <c r="AF241" t="str">
        <f>VLOOKUP(Profile!$J$5,Families!$C:$R,6,FALSE)</f>
        <v>Herefordshire</v>
      </c>
      <c r="AG241" s="15">
        <f t="shared" si="106"/>
        <v>62.711864406779661</v>
      </c>
      <c r="AH241" s="50">
        <f t="shared" si="107"/>
        <v>231</v>
      </c>
      <c r="AI241" s="5" t="str">
        <f>IF(L241="","",VLOOKUP($L241,classifications!$C:$J,8,FALSE))</f>
        <v/>
      </c>
      <c r="AJ241" s="43" t="str">
        <f t="shared" si="108"/>
        <v/>
      </c>
      <c r="AK241" s="40" t="str">
        <f>IF(AJ241="","",IF(I$8="A",(RANK(AJ241,AJ$11:AJ$349,1)+COUNTIF(AJ$11:AJ241,AJ241)-1),(RANK(AJ241,AJ$11:AJ$349)+COUNTIF(AJ$11:AJ241,AJ241)-1)))</f>
        <v/>
      </c>
      <c r="AL241" s="3" t="str">
        <f t="shared" si="109"/>
        <v/>
      </c>
      <c r="AM241" t="str">
        <f t="shared" si="110"/>
        <v/>
      </c>
      <c r="AN241" t="str">
        <f t="shared" si="111"/>
        <v/>
      </c>
      <c r="AP241" s="5" t="str">
        <f>IF(L241="","",VLOOKUP($L241,classifications!$C:$E,3,FALSE))</f>
        <v/>
      </c>
      <c r="AQ241" s="43" t="str">
        <f t="shared" si="112"/>
        <v/>
      </c>
      <c r="AR241" s="40" t="str">
        <f>IF(AQ241="","",IF(I$8="A",(RANK(AQ241,AQ$11:AQ$349,1)+COUNTIF(AQ$11:AQ241,AQ241)-1),(RANK(AQ241,AQ$11:AQ$349)+COUNTIF(AQ$11:AQ241,AQ241)-1)))</f>
        <v/>
      </c>
      <c r="AS241" s="3" t="str">
        <f t="shared" si="113"/>
        <v/>
      </c>
      <c r="AT241" s="40" t="str">
        <f t="shared" si="114"/>
        <v/>
      </c>
      <c r="AU241" s="43" t="str">
        <f t="shared" si="115"/>
        <v/>
      </c>
      <c r="AX241">
        <f>HLOOKUP($AX$9&amp;$AX$10,Data!$A$1:$ZZ$1988,(MATCH($C241,Data!$A$1:$A$1988,0)),FALSE)</f>
        <v>100</v>
      </c>
    </row>
    <row r="242" spans="1:50">
      <c r="A242" s="59" t="str">
        <f>$D$1&amp;232</f>
        <v>UA232</v>
      </c>
      <c r="B242" s="60">
        <f>IF(ISERROR(VLOOKUP(A242,classifications!A:C,3,FALSE)),0,VLOOKUP(A242,classifications!A:C,3,FALSE))</f>
        <v>0</v>
      </c>
      <c r="C242" t="s">
        <v>242</v>
      </c>
      <c r="D242" t="str">
        <f>VLOOKUP($C242,classifications!$C:$J,4,FALSE)</f>
        <v>MD</v>
      </c>
      <c r="E242">
        <f>VLOOKUP(C242,classifications!C:K,9,FALSE)</f>
        <v>0</v>
      </c>
      <c r="F242">
        <f t="shared" si="92"/>
        <v>84.313725490196077</v>
      </c>
      <c r="G242" s="15"/>
      <c r="H242" s="42" t="str">
        <f t="shared" si="93"/>
        <v/>
      </c>
      <c r="I242" s="79" t="str">
        <f>IF(H242="","",IF($I$8="A",(RANK(H242,H$11:H$349,1)+COUNTIF(H$11:H242,H242)-1),(RANK(H242,H$11:H$349)+COUNTIF(H$11:H242,H242)-1)))</f>
        <v/>
      </c>
      <c r="J242" s="41"/>
      <c r="K242" s="36" t="str">
        <f t="shared" si="94"/>
        <v/>
      </c>
      <c r="L242" t="str">
        <f t="shared" si="95"/>
        <v/>
      </c>
      <c r="M242" s="117" t="str">
        <f t="shared" si="96"/>
        <v/>
      </c>
      <c r="N242" s="112" t="str">
        <f t="shared" si="97"/>
        <v/>
      </c>
      <c r="O242" s="96" t="str">
        <f t="shared" si="98"/>
        <v/>
      </c>
      <c r="P242" s="96" t="str">
        <f t="shared" si="99"/>
        <v/>
      </c>
      <c r="Q242" s="96" t="str">
        <f t="shared" si="100"/>
        <v/>
      </c>
      <c r="R242" s="92" t="str">
        <f t="shared" si="101"/>
        <v/>
      </c>
      <c r="S242" s="42" t="str">
        <f t="shared" si="102"/>
        <v/>
      </c>
      <c r="T242" s="176" t="str">
        <f>IF(L242="","",VLOOKUP(L242,classifications!C:K,9,FALSE))</f>
        <v/>
      </c>
      <c r="U242" s="177" t="str">
        <f t="shared" si="103"/>
        <v/>
      </c>
      <c r="V242" s="183" t="str">
        <f>IF(U242="","",IF($I$8="A",(RANK(U242,U$11:U$349)+COUNTIF(U$11:U242,U242)-1),(RANK(U242,U$11:U$349,1)+COUNTIF(U$11:U242,U242)-1)))</f>
        <v/>
      </c>
      <c r="W242" s="184"/>
      <c r="X242" s="5" t="str">
        <f>IF(L242="","",VLOOKUP($L242,classifications!$C:$J,6,FALSE))</f>
        <v/>
      </c>
      <c r="Y242" t="str">
        <f t="shared" si="104"/>
        <v/>
      </c>
      <c r="Z242" s="40" t="str">
        <f>IF(Y242="","",IF(I$8="A",(RANK(Y242,Y$11:Y$349,1)+COUNTIF(Y$11:Y242,Y242)-1),(RANK(Y242,Y$11:Y$349)+COUNTIF(Y$11:Y242,Y242)-1)))</f>
        <v/>
      </c>
      <c r="AA242" s="189" t="str">
        <f>IF(L242="","",VLOOKUP($L242,classifications!C:I,7,FALSE))</f>
        <v/>
      </c>
      <c r="AB242" s="183" t="str">
        <f t="shared" si="105"/>
        <v/>
      </c>
      <c r="AC242" s="183" t="str">
        <f>IF(AB242="","",IF($I$8="A",(RANK(AB242,AB$11:AB$349)+COUNTIF(AB$11:AB242,AB242)-1),(RANK(AB242,AB$11:AB$349,1)+COUNTIF(AB$11:AB242,AB242)-1)))</f>
        <v/>
      </c>
      <c r="AD242" s="183"/>
      <c r="AE242" s="49">
        <f>IF(I$8="A",(RANK(AG242,AG$11:AG$349,1)+COUNTIF(AG$11:AG242,AG242)-1),(RANK(AG242,AG$11:AG$349)+COUNTIF(AG$11:AG242,AG242)-1))</f>
        <v>232</v>
      </c>
      <c r="AF242" t="str">
        <f>VLOOKUP(Profile!$J$5,Families!$C:$R,6,FALSE)</f>
        <v>Herefordshire</v>
      </c>
      <c r="AG242" s="15">
        <f t="shared" si="106"/>
        <v>62.711864406779661</v>
      </c>
      <c r="AH242" s="50">
        <f t="shared" si="107"/>
        <v>232</v>
      </c>
      <c r="AI242" s="5" t="str">
        <f>IF(L242="","",VLOOKUP($L242,classifications!$C:$J,8,FALSE))</f>
        <v/>
      </c>
      <c r="AJ242" s="43" t="str">
        <f t="shared" si="108"/>
        <v/>
      </c>
      <c r="AK242" s="40" t="str">
        <f>IF(AJ242="","",IF(I$8="A",(RANK(AJ242,AJ$11:AJ$349,1)+COUNTIF(AJ$11:AJ242,AJ242)-1),(RANK(AJ242,AJ$11:AJ$349)+COUNTIF(AJ$11:AJ242,AJ242)-1)))</f>
        <v/>
      </c>
      <c r="AL242" s="3" t="str">
        <f t="shared" si="109"/>
        <v/>
      </c>
      <c r="AM242" t="str">
        <f t="shared" si="110"/>
        <v/>
      </c>
      <c r="AN242" t="str">
        <f t="shared" si="111"/>
        <v/>
      </c>
      <c r="AP242" s="5" t="str">
        <f>IF(L242="","",VLOOKUP($L242,classifications!$C:$E,3,FALSE))</f>
        <v/>
      </c>
      <c r="AQ242" s="43" t="str">
        <f t="shared" si="112"/>
        <v/>
      </c>
      <c r="AR242" s="40" t="str">
        <f>IF(AQ242="","",IF(I$8="A",(RANK(AQ242,AQ$11:AQ$349,1)+COUNTIF(AQ$11:AQ242,AQ242)-1),(RANK(AQ242,AQ$11:AQ$349)+COUNTIF(AQ$11:AQ242,AQ242)-1)))</f>
        <v/>
      </c>
      <c r="AS242" s="3" t="str">
        <f t="shared" si="113"/>
        <v/>
      </c>
      <c r="AT242" s="40" t="str">
        <f t="shared" si="114"/>
        <v/>
      </c>
      <c r="AU242" s="43" t="str">
        <f t="shared" si="115"/>
        <v/>
      </c>
      <c r="AX242">
        <f>HLOOKUP($AX$9&amp;$AX$10,Data!$A$1:$ZZ$1988,(MATCH($C242,Data!$A$1:$A$1988,0)),FALSE)</f>
        <v>84.313725490196077</v>
      </c>
    </row>
    <row r="243" spans="1:50">
      <c r="A243" s="59" t="str">
        <f>$D$1&amp;233</f>
        <v>UA233</v>
      </c>
      <c r="B243" s="60">
        <f>IF(ISERROR(VLOOKUP(A243,classifications!A:C,3,FALSE)),0,VLOOKUP(A243,classifications!A:C,3,FALSE))</f>
        <v>0</v>
      </c>
      <c r="C243" t="s">
        <v>243</v>
      </c>
      <c r="D243" t="str">
        <f>VLOOKUP($C243,classifications!$C:$J,4,FALSE)</f>
        <v>MD</v>
      </c>
      <c r="E243">
        <f>VLOOKUP(C243,classifications!C:K,9,FALSE)</f>
        <v>0</v>
      </c>
      <c r="F243">
        <f t="shared" si="92"/>
        <v>87.179487179487182</v>
      </c>
      <c r="G243" s="15"/>
      <c r="H243" s="42" t="str">
        <f t="shared" si="93"/>
        <v/>
      </c>
      <c r="I243" s="79" t="str">
        <f>IF(H243="","",IF($I$8="A",(RANK(H243,H$11:H$349,1)+COUNTIF(H$11:H243,H243)-1),(RANK(H243,H$11:H$349)+COUNTIF(H$11:H243,H243)-1)))</f>
        <v/>
      </c>
      <c r="J243" s="41"/>
      <c r="K243" s="36" t="str">
        <f t="shared" si="94"/>
        <v/>
      </c>
      <c r="L243" t="str">
        <f t="shared" si="95"/>
        <v/>
      </c>
      <c r="M243" s="117" t="str">
        <f t="shared" si="96"/>
        <v/>
      </c>
      <c r="N243" s="112" t="str">
        <f t="shared" si="97"/>
        <v/>
      </c>
      <c r="O243" s="96" t="str">
        <f t="shared" si="98"/>
        <v/>
      </c>
      <c r="P243" s="96" t="str">
        <f t="shared" si="99"/>
        <v/>
      </c>
      <c r="Q243" s="96" t="str">
        <f t="shared" si="100"/>
        <v/>
      </c>
      <c r="R243" s="92" t="str">
        <f t="shared" si="101"/>
        <v/>
      </c>
      <c r="S243" s="42" t="str">
        <f t="shared" si="102"/>
        <v/>
      </c>
      <c r="T243" s="176" t="str">
        <f>IF(L243="","",VLOOKUP(L243,classifications!C:K,9,FALSE))</f>
        <v/>
      </c>
      <c r="U243" s="177" t="str">
        <f t="shared" si="103"/>
        <v/>
      </c>
      <c r="V243" s="183" t="str">
        <f>IF(U243="","",IF($I$8="A",(RANK(U243,U$11:U$349)+COUNTIF(U$11:U243,U243)-1),(RANK(U243,U$11:U$349,1)+COUNTIF(U$11:U243,U243)-1)))</f>
        <v/>
      </c>
      <c r="W243" s="184"/>
      <c r="X243" s="5" t="str">
        <f>IF(L243="","",VLOOKUP($L243,classifications!$C:$J,6,FALSE))</f>
        <v/>
      </c>
      <c r="Y243" t="str">
        <f t="shared" si="104"/>
        <v/>
      </c>
      <c r="Z243" s="40" t="str">
        <f>IF(Y243="","",IF(I$8="A",(RANK(Y243,Y$11:Y$349,1)+COUNTIF(Y$11:Y243,Y243)-1),(RANK(Y243,Y$11:Y$349)+COUNTIF(Y$11:Y243,Y243)-1)))</f>
        <v/>
      </c>
      <c r="AA243" s="189" t="str">
        <f>IF(L243="","",VLOOKUP($L243,classifications!C:I,7,FALSE))</f>
        <v/>
      </c>
      <c r="AB243" s="183" t="str">
        <f t="shared" si="105"/>
        <v/>
      </c>
      <c r="AC243" s="183" t="str">
        <f>IF(AB243="","",IF($I$8="A",(RANK(AB243,AB$11:AB$349)+COUNTIF(AB$11:AB243,AB243)-1),(RANK(AB243,AB$11:AB$349,1)+COUNTIF(AB$11:AB243,AB243)-1)))</f>
        <v/>
      </c>
      <c r="AD243" s="183"/>
      <c r="AE243" s="49">
        <f>IF(I$8="A",(RANK(AG243,AG$11:AG$349,1)+COUNTIF(AG$11:AG243,AG243)-1),(RANK(AG243,AG$11:AG$349)+COUNTIF(AG$11:AG243,AG243)-1))</f>
        <v>233</v>
      </c>
      <c r="AF243" t="str">
        <f>VLOOKUP(Profile!$J$5,Families!$C:$R,6,FALSE)</f>
        <v>Herefordshire</v>
      </c>
      <c r="AG243" s="15">
        <f t="shared" si="106"/>
        <v>62.711864406779661</v>
      </c>
      <c r="AH243" s="50">
        <f t="shared" si="107"/>
        <v>233</v>
      </c>
      <c r="AI243" s="5" t="str">
        <f>IF(L243="","",VLOOKUP($L243,classifications!$C:$J,8,FALSE))</f>
        <v/>
      </c>
      <c r="AJ243" s="43" t="str">
        <f t="shared" si="108"/>
        <v/>
      </c>
      <c r="AK243" s="40" t="str">
        <f>IF(AJ243="","",IF(I$8="A",(RANK(AJ243,AJ$11:AJ$349,1)+COUNTIF(AJ$11:AJ243,AJ243)-1),(RANK(AJ243,AJ$11:AJ$349)+COUNTIF(AJ$11:AJ243,AJ243)-1)))</f>
        <v/>
      </c>
      <c r="AL243" s="3" t="str">
        <f t="shared" si="109"/>
        <v/>
      </c>
      <c r="AM243" t="str">
        <f t="shared" si="110"/>
        <v/>
      </c>
      <c r="AN243" t="str">
        <f t="shared" si="111"/>
        <v/>
      </c>
      <c r="AP243" s="5" t="str">
        <f>IF(L243="","",VLOOKUP($L243,classifications!$C:$E,3,FALSE))</f>
        <v/>
      </c>
      <c r="AQ243" s="43" t="str">
        <f t="shared" si="112"/>
        <v/>
      </c>
      <c r="AR243" s="40" t="str">
        <f>IF(AQ243="","",IF(I$8="A",(RANK(AQ243,AQ$11:AQ$349,1)+COUNTIF(AQ$11:AQ243,AQ243)-1),(RANK(AQ243,AQ$11:AQ$349)+COUNTIF(AQ$11:AQ243,AQ243)-1)))</f>
        <v/>
      </c>
      <c r="AS243" s="3" t="str">
        <f t="shared" si="113"/>
        <v/>
      </c>
      <c r="AT243" s="40" t="str">
        <f t="shared" si="114"/>
        <v/>
      </c>
      <c r="AU243" s="43" t="str">
        <f t="shared" si="115"/>
        <v/>
      </c>
      <c r="AX243">
        <f>HLOOKUP($AX$9&amp;$AX$10,Data!$A$1:$ZZ$1988,(MATCH($C243,Data!$A$1:$A$1988,0)),FALSE)</f>
        <v>87.179487179487182</v>
      </c>
    </row>
    <row r="244" spans="1:50">
      <c r="A244" s="59" t="str">
        <f>$D$1&amp;234</f>
        <v>UA234</v>
      </c>
      <c r="B244" s="60">
        <f>IF(ISERROR(VLOOKUP(A244,classifications!A:C,3,FALSE)),0,VLOOKUP(A244,classifications!A:C,3,FALSE))</f>
        <v>0</v>
      </c>
      <c r="C244" t="s">
        <v>133</v>
      </c>
      <c r="D244" t="str">
        <f>VLOOKUP($C244,classifications!$C:$J,4,FALSE)</f>
        <v>SD</v>
      </c>
      <c r="E244" t="str">
        <f>VLOOKUP(C244,classifications!C:K,9,FALSE)</f>
        <v>Sparse</v>
      </c>
      <c r="F244">
        <f t="shared" si="92"/>
        <v>65.384615384615387</v>
      </c>
      <c r="G244" s="15"/>
      <c r="H244" s="42" t="str">
        <f t="shared" si="93"/>
        <v/>
      </c>
      <c r="I244" s="79" t="str">
        <f>IF(H244="","",IF($I$8="A",(RANK(H244,H$11:H$349,1)+COUNTIF(H$11:H244,H244)-1),(RANK(H244,H$11:H$349)+COUNTIF(H$11:H244,H244)-1)))</f>
        <v/>
      </c>
      <c r="J244" s="41"/>
      <c r="K244" s="36" t="str">
        <f t="shared" si="94"/>
        <v/>
      </c>
      <c r="L244" t="str">
        <f t="shared" si="95"/>
        <v/>
      </c>
      <c r="M244" s="117" t="str">
        <f t="shared" si="96"/>
        <v/>
      </c>
      <c r="N244" s="112" t="str">
        <f t="shared" si="97"/>
        <v/>
      </c>
      <c r="O244" s="96" t="str">
        <f t="shared" si="98"/>
        <v/>
      </c>
      <c r="P244" s="96" t="str">
        <f t="shared" si="99"/>
        <v/>
      </c>
      <c r="Q244" s="96" t="str">
        <f t="shared" si="100"/>
        <v/>
      </c>
      <c r="R244" s="92" t="str">
        <f t="shared" si="101"/>
        <v/>
      </c>
      <c r="S244" s="42" t="str">
        <f t="shared" si="102"/>
        <v/>
      </c>
      <c r="T244" s="176" t="str">
        <f>IF(L244="","",VLOOKUP(L244,classifications!C:K,9,FALSE))</f>
        <v/>
      </c>
      <c r="U244" s="177" t="str">
        <f t="shared" si="103"/>
        <v/>
      </c>
      <c r="V244" s="183" t="str">
        <f>IF(U244="","",IF($I$8="A",(RANK(U244,U$11:U$349)+COUNTIF(U$11:U244,U244)-1),(RANK(U244,U$11:U$349,1)+COUNTIF(U$11:U244,U244)-1)))</f>
        <v/>
      </c>
      <c r="W244" s="184"/>
      <c r="X244" s="5" t="str">
        <f>IF(L244="","",VLOOKUP($L244,classifications!$C:$J,6,FALSE))</f>
        <v/>
      </c>
      <c r="Y244" t="str">
        <f t="shared" si="104"/>
        <v/>
      </c>
      <c r="Z244" s="40" t="str">
        <f>IF(Y244="","",IF(I$8="A",(RANK(Y244,Y$11:Y$349,1)+COUNTIF(Y$11:Y244,Y244)-1),(RANK(Y244,Y$11:Y$349)+COUNTIF(Y$11:Y244,Y244)-1)))</f>
        <v/>
      </c>
      <c r="AA244" s="189" t="str">
        <f>IF(L244="","",VLOOKUP($L244,classifications!C:I,7,FALSE))</f>
        <v/>
      </c>
      <c r="AB244" s="183" t="str">
        <f t="shared" si="105"/>
        <v/>
      </c>
      <c r="AC244" s="183" t="str">
        <f>IF(AB244="","",IF($I$8="A",(RANK(AB244,AB$11:AB$349)+COUNTIF(AB$11:AB244,AB244)-1),(RANK(AB244,AB$11:AB$349,1)+COUNTIF(AB$11:AB244,AB244)-1)))</f>
        <v/>
      </c>
      <c r="AD244" s="183"/>
      <c r="AE244" s="49">
        <f>IF(I$8="A",(RANK(AG244,AG$11:AG$349,1)+COUNTIF(AG$11:AG244,AG244)-1),(RANK(AG244,AG$11:AG$349)+COUNTIF(AG$11:AG244,AG244)-1))</f>
        <v>234</v>
      </c>
      <c r="AF244" t="str">
        <f>VLOOKUP(Profile!$J$5,Families!$C:$R,6,FALSE)</f>
        <v>Herefordshire</v>
      </c>
      <c r="AG244" s="15">
        <f t="shared" si="106"/>
        <v>62.711864406779661</v>
      </c>
      <c r="AH244" s="50">
        <f t="shared" si="107"/>
        <v>234</v>
      </c>
      <c r="AI244" s="5" t="str">
        <f>IF(L244="","",VLOOKUP($L244,classifications!$C:$J,8,FALSE))</f>
        <v/>
      </c>
      <c r="AJ244" s="43" t="str">
        <f t="shared" si="108"/>
        <v/>
      </c>
      <c r="AK244" s="40" t="str">
        <f>IF(AJ244="","",IF(I$8="A",(RANK(AJ244,AJ$11:AJ$349,1)+COUNTIF(AJ$11:AJ244,AJ244)-1),(RANK(AJ244,AJ$11:AJ$349)+COUNTIF(AJ$11:AJ244,AJ244)-1)))</f>
        <v/>
      </c>
      <c r="AL244" s="3" t="str">
        <f t="shared" si="109"/>
        <v/>
      </c>
      <c r="AM244" t="str">
        <f t="shared" si="110"/>
        <v/>
      </c>
      <c r="AN244" t="str">
        <f t="shared" si="111"/>
        <v/>
      </c>
      <c r="AP244" s="5" t="str">
        <f>IF(L244="","",VLOOKUP($L244,classifications!$C:$E,3,FALSE))</f>
        <v/>
      </c>
      <c r="AQ244" s="43" t="str">
        <f t="shared" si="112"/>
        <v/>
      </c>
      <c r="AR244" s="40" t="str">
        <f>IF(AQ244="","",IF(I$8="A",(RANK(AQ244,AQ$11:AQ$349,1)+COUNTIF(AQ$11:AQ244,AQ244)-1),(RANK(AQ244,AQ$11:AQ$349)+COUNTIF(AQ$11:AQ244,AQ244)-1)))</f>
        <v/>
      </c>
      <c r="AS244" s="3" t="str">
        <f t="shared" si="113"/>
        <v/>
      </c>
      <c r="AT244" s="40" t="str">
        <f t="shared" si="114"/>
        <v/>
      </c>
      <c r="AU244" s="43" t="str">
        <f t="shared" si="115"/>
        <v/>
      </c>
      <c r="AX244">
        <f>HLOOKUP($AX$9&amp;$AX$10,Data!$A$1:$ZZ$1988,(MATCH($C244,Data!$A$1:$A$1988,0)),FALSE)</f>
        <v>65.384615384615387</v>
      </c>
    </row>
    <row r="245" spans="1:50">
      <c r="A245" s="59" t="str">
        <f>$D$1&amp;235</f>
        <v>UA235</v>
      </c>
      <c r="B245" s="60">
        <f>IF(ISERROR(VLOOKUP(A245,classifications!A:C,3,FALSE)),0,VLOOKUP(A245,classifications!A:C,3,FALSE))</f>
        <v>0</v>
      </c>
      <c r="C245" t="s">
        <v>134</v>
      </c>
      <c r="D245" t="str">
        <f>VLOOKUP($C245,classifications!$C:$J,4,FALSE)</f>
        <v>SD</v>
      </c>
      <c r="E245" t="str">
        <f>VLOOKUP(C245,classifications!C:K,9,FALSE)</f>
        <v>Sparse</v>
      </c>
      <c r="F245">
        <f t="shared" si="92"/>
        <v>97.826086956521735</v>
      </c>
      <c r="G245" s="15"/>
      <c r="H245" s="42" t="str">
        <f t="shared" si="93"/>
        <v/>
      </c>
      <c r="I245" s="79" t="str">
        <f>IF(H245="","",IF($I$8="A",(RANK(H245,H$11:H$349,1)+COUNTIF(H$11:H245,H245)-1),(RANK(H245,H$11:H$349)+COUNTIF(H$11:H245,H245)-1)))</f>
        <v/>
      </c>
      <c r="J245" s="41"/>
      <c r="K245" s="36" t="str">
        <f t="shared" si="94"/>
        <v/>
      </c>
      <c r="L245" t="str">
        <f t="shared" si="95"/>
        <v/>
      </c>
      <c r="M245" s="117" t="str">
        <f t="shared" si="96"/>
        <v/>
      </c>
      <c r="N245" s="112" t="str">
        <f t="shared" si="97"/>
        <v/>
      </c>
      <c r="O245" s="96" t="str">
        <f t="shared" si="98"/>
        <v/>
      </c>
      <c r="P245" s="96" t="str">
        <f t="shared" si="99"/>
        <v/>
      </c>
      <c r="Q245" s="96" t="str">
        <f t="shared" si="100"/>
        <v/>
      </c>
      <c r="R245" s="92" t="str">
        <f t="shared" si="101"/>
        <v/>
      </c>
      <c r="S245" s="42" t="str">
        <f t="shared" si="102"/>
        <v/>
      </c>
      <c r="T245" s="176" t="str">
        <f>IF(L245="","",VLOOKUP(L245,classifications!C:K,9,FALSE))</f>
        <v/>
      </c>
      <c r="U245" s="177" t="str">
        <f t="shared" si="103"/>
        <v/>
      </c>
      <c r="V245" s="183" t="str">
        <f>IF(U245="","",IF($I$8="A",(RANK(U245,U$11:U$349)+COUNTIF(U$11:U245,U245)-1),(RANK(U245,U$11:U$349,1)+COUNTIF(U$11:U245,U245)-1)))</f>
        <v/>
      </c>
      <c r="W245" s="184"/>
      <c r="X245" s="5" t="str">
        <f>IF(L245="","",VLOOKUP($L245,classifications!$C:$J,6,FALSE))</f>
        <v/>
      </c>
      <c r="Y245" t="str">
        <f t="shared" si="104"/>
        <v/>
      </c>
      <c r="Z245" s="40" t="str">
        <f>IF(Y245="","",IF(I$8="A",(RANK(Y245,Y$11:Y$349,1)+COUNTIF(Y$11:Y245,Y245)-1),(RANK(Y245,Y$11:Y$349)+COUNTIF(Y$11:Y245,Y245)-1)))</f>
        <v/>
      </c>
      <c r="AA245" s="189" t="str">
        <f>IF(L245="","",VLOOKUP($L245,classifications!C:I,7,FALSE))</f>
        <v/>
      </c>
      <c r="AB245" s="183" t="str">
        <f t="shared" si="105"/>
        <v/>
      </c>
      <c r="AC245" s="183" t="str">
        <f>IF(AB245="","",IF($I$8="A",(RANK(AB245,AB$11:AB$349)+COUNTIF(AB$11:AB245,AB245)-1),(RANK(AB245,AB$11:AB$349,1)+COUNTIF(AB$11:AB245,AB245)-1)))</f>
        <v/>
      </c>
      <c r="AD245" s="183"/>
      <c r="AE245" s="49">
        <f>IF(I$8="A",(RANK(AG245,AG$11:AG$349,1)+COUNTIF(AG$11:AG245,AG245)-1),(RANK(AG245,AG$11:AG$349)+COUNTIF(AG$11:AG245,AG245)-1))</f>
        <v>235</v>
      </c>
      <c r="AF245" t="str">
        <f>VLOOKUP(Profile!$J$5,Families!$C:$R,6,FALSE)</f>
        <v>Herefordshire</v>
      </c>
      <c r="AG245" s="15">
        <f t="shared" si="106"/>
        <v>62.711864406779661</v>
      </c>
      <c r="AH245" s="50">
        <f t="shared" si="107"/>
        <v>235</v>
      </c>
      <c r="AI245" s="5" t="str">
        <f>IF(L245="","",VLOOKUP($L245,classifications!$C:$J,8,FALSE))</f>
        <v/>
      </c>
      <c r="AJ245" s="43" t="str">
        <f t="shared" si="108"/>
        <v/>
      </c>
      <c r="AK245" s="40" t="str">
        <f>IF(AJ245="","",IF(I$8="A",(RANK(AJ245,AJ$11:AJ$349,1)+COUNTIF(AJ$11:AJ245,AJ245)-1),(RANK(AJ245,AJ$11:AJ$349)+COUNTIF(AJ$11:AJ245,AJ245)-1)))</f>
        <v/>
      </c>
      <c r="AL245" s="3" t="str">
        <f t="shared" si="109"/>
        <v/>
      </c>
      <c r="AM245" t="str">
        <f t="shared" si="110"/>
        <v/>
      </c>
      <c r="AN245" t="str">
        <f t="shared" si="111"/>
        <v/>
      </c>
      <c r="AP245" s="5" t="str">
        <f>IF(L245="","",VLOOKUP($L245,classifications!$C:$E,3,FALSE))</f>
        <v/>
      </c>
      <c r="AQ245" s="43" t="str">
        <f t="shared" si="112"/>
        <v/>
      </c>
      <c r="AR245" s="40" t="str">
        <f>IF(AQ245="","",IF(I$8="A",(RANK(AQ245,AQ$11:AQ$349,1)+COUNTIF(AQ$11:AQ245,AQ245)-1),(RANK(AQ245,AQ$11:AQ$349)+COUNTIF(AQ$11:AQ245,AQ245)-1)))</f>
        <v/>
      </c>
      <c r="AS245" s="3" t="str">
        <f t="shared" si="113"/>
        <v/>
      </c>
      <c r="AT245" s="40" t="str">
        <f t="shared" si="114"/>
        <v/>
      </c>
      <c r="AU245" s="43" t="str">
        <f t="shared" si="115"/>
        <v/>
      </c>
      <c r="AX245">
        <f>HLOOKUP($AX$9&amp;$AX$10,Data!$A$1:$ZZ$1988,(MATCH($C245,Data!$A$1:$A$1988,0)),FALSE)</f>
        <v>97.826086956521735</v>
      </c>
    </row>
    <row r="246" spans="1:50">
      <c r="A246" s="59" t="str">
        <f>$D$1&amp;236</f>
        <v>UA236</v>
      </c>
      <c r="B246" s="60">
        <f>IF(ISERROR(VLOOKUP(A246,classifications!A:C,3,FALSE)),0,VLOOKUP(A246,classifications!A:C,3,FALSE))</f>
        <v>0</v>
      </c>
      <c r="C246" t="s">
        <v>244</v>
      </c>
      <c r="D246" t="str">
        <f>VLOOKUP($C246,classifications!$C:$J,4,FALSE)</f>
        <v>MD</v>
      </c>
      <c r="E246">
        <f>VLOOKUP(C246,classifications!C:K,9,FALSE)</f>
        <v>0</v>
      </c>
      <c r="F246">
        <f t="shared" si="92"/>
        <v>88.571428571428569</v>
      </c>
      <c r="G246" s="15"/>
      <c r="H246" s="42" t="str">
        <f t="shared" si="93"/>
        <v/>
      </c>
      <c r="I246" s="79" t="str">
        <f>IF(H246="","",IF($I$8="A",(RANK(H246,H$11:H$349,1)+COUNTIF(H$11:H246,H246)-1),(RANK(H246,H$11:H$349)+COUNTIF(H$11:H246,H246)-1)))</f>
        <v/>
      </c>
      <c r="J246" s="41"/>
      <c r="K246" s="36" t="str">
        <f t="shared" si="94"/>
        <v/>
      </c>
      <c r="L246" t="str">
        <f t="shared" si="95"/>
        <v/>
      </c>
      <c r="M246" s="117" t="str">
        <f t="shared" si="96"/>
        <v/>
      </c>
      <c r="N246" s="112" t="str">
        <f t="shared" si="97"/>
        <v/>
      </c>
      <c r="O246" s="96" t="str">
        <f t="shared" si="98"/>
        <v/>
      </c>
      <c r="P246" s="96" t="str">
        <f t="shared" si="99"/>
        <v/>
      </c>
      <c r="Q246" s="96" t="str">
        <f t="shared" si="100"/>
        <v/>
      </c>
      <c r="R246" s="92" t="str">
        <f t="shared" si="101"/>
        <v/>
      </c>
      <c r="S246" s="42" t="str">
        <f t="shared" si="102"/>
        <v/>
      </c>
      <c r="T246" s="176" t="str">
        <f>IF(L246="","",VLOOKUP(L246,classifications!C:K,9,FALSE))</f>
        <v/>
      </c>
      <c r="U246" s="177" t="str">
        <f t="shared" si="103"/>
        <v/>
      </c>
      <c r="V246" s="183" t="str">
        <f>IF(U246="","",IF($I$8="A",(RANK(U246,U$11:U$349)+COUNTIF(U$11:U246,U246)-1),(RANK(U246,U$11:U$349,1)+COUNTIF(U$11:U246,U246)-1)))</f>
        <v/>
      </c>
      <c r="W246" s="184"/>
      <c r="X246" s="5" t="str">
        <f>IF(L246="","",VLOOKUP($L246,classifications!$C:$J,6,FALSE))</f>
        <v/>
      </c>
      <c r="Y246" t="str">
        <f t="shared" si="104"/>
        <v/>
      </c>
      <c r="Z246" s="40" t="str">
        <f>IF(Y246="","",IF(I$8="A",(RANK(Y246,Y$11:Y$349,1)+COUNTIF(Y$11:Y246,Y246)-1),(RANK(Y246,Y$11:Y$349)+COUNTIF(Y$11:Y246,Y246)-1)))</f>
        <v/>
      </c>
      <c r="AA246" s="189" t="str">
        <f>IF(L246="","",VLOOKUP($L246,classifications!C:I,7,FALSE))</f>
        <v/>
      </c>
      <c r="AB246" s="183" t="str">
        <f t="shared" si="105"/>
        <v/>
      </c>
      <c r="AC246" s="183" t="str">
        <f>IF(AB246="","",IF($I$8="A",(RANK(AB246,AB$11:AB$349)+COUNTIF(AB$11:AB246,AB246)-1),(RANK(AB246,AB$11:AB$349,1)+COUNTIF(AB$11:AB246,AB246)-1)))</f>
        <v/>
      </c>
      <c r="AD246" s="183"/>
      <c r="AE246" s="49">
        <f>IF(I$8="A",(RANK(AG246,AG$11:AG$349,1)+COUNTIF(AG$11:AG246,AG246)-1),(RANK(AG246,AG$11:AG$349)+COUNTIF(AG$11:AG246,AG246)-1))</f>
        <v>236</v>
      </c>
      <c r="AF246" t="str">
        <f>VLOOKUP(Profile!$J$5,Families!$C:$R,6,FALSE)</f>
        <v>Herefordshire</v>
      </c>
      <c r="AG246" s="15">
        <f t="shared" si="106"/>
        <v>62.711864406779661</v>
      </c>
      <c r="AH246" s="50">
        <f t="shared" si="107"/>
        <v>236</v>
      </c>
      <c r="AI246" s="5" t="str">
        <f>IF(L246="","",VLOOKUP($L246,classifications!$C:$J,8,FALSE))</f>
        <v/>
      </c>
      <c r="AJ246" s="43" t="str">
        <f t="shared" si="108"/>
        <v/>
      </c>
      <c r="AK246" s="40" t="str">
        <f>IF(AJ246="","",IF(I$8="A",(RANK(AJ246,AJ$11:AJ$349,1)+COUNTIF(AJ$11:AJ246,AJ246)-1),(RANK(AJ246,AJ$11:AJ$349)+COUNTIF(AJ$11:AJ246,AJ246)-1)))</f>
        <v/>
      </c>
      <c r="AL246" s="3" t="str">
        <f t="shared" si="109"/>
        <v/>
      </c>
      <c r="AM246" t="str">
        <f t="shared" si="110"/>
        <v/>
      </c>
      <c r="AN246" t="str">
        <f t="shared" si="111"/>
        <v/>
      </c>
      <c r="AP246" s="5" t="str">
        <f>IF(L246="","",VLOOKUP($L246,classifications!$C:$E,3,FALSE))</f>
        <v/>
      </c>
      <c r="AQ246" s="43" t="str">
        <f t="shared" si="112"/>
        <v/>
      </c>
      <c r="AR246" s="40" t="str">
        <f>IF(AQ246="","",IF(I$8="A",(RANK(AQ246,AQ$11:AQ$349,1)+COUNTIF(AQ$11:AQ246,AQ246)-1),(RANK(AQ246,AQ$11:AQ$349)+COUNTIF(AQ$11:AQ246,AQ246)-1)))</f>
        <v/>
      </c>
      <c r="AS246" s="3" t="str">
        <f t="shared" si="113"/>
        <v/>
      </c>
      <c r="AT246" s="40" t="str">
        <f t="shared" si="114"/>
        <v/>
      </c>
      <c r="AU246" s="43" t="str">
        <f t="shared" si="115"/>
        <v/>
      </c>
      <c r="AX246">
        <f>HLOOKUP($AX$9&amp;$AX$10,Data!$A$1:$ZZ$1988,(MATCH($C246,Data!$A$1:$A$1988,0)),FALSE)</f>
        <v>88.571428571428569</v>
      </c>
    </row>
    <row r="247" spans="1:50">
      <c r="A247" s="59" t="str">
        <f>$D$1&amp;237</f>
        <v>UA237</v>
      </c>
      <c r="B247" s="60">
        <f>IF(ISERROR(VLOOKUP(A247,classifications!A:C,3,FALSE)),0,VLOOKUP(A247,classifications!A:C,3,FALSE))</f>
        <v>0</v>
      </c>
      <c r="C247" t="s">
        <v>135</v>
      </c>
      <c r="D247" t="str">
        <f>VLOOKUP($C247,classifications!$C:$J,4,FALSE)</f>
        <v>SD</v>
      </c>
      <c r="E247" t="str">
        <f>VLOOKUP(C247,classifications!C:K,9,FALSE)</f>
        <v>Sparse</v>
      </c>
      <c r="F247">
        <f t="shared" si="92"/>
        <v>84</v>
      </c>
      <c r="G247" s="15"/>
      <c r="H247" s="42" t="str">
        <f t="shared" si="93"/>
        <v/>
      </c>
      <c r="I247" s="79" t="str">
        <f>IF(H247="","",IF($I$8="A",(RANK(H247,H$11:H$349,1)+COUNTIF(H$11:H247,H247)-1),(RANK(H247,H$11:H$349)+COUNTIF(H$11:H247,H247)-1)))</f>
        <v/>
      </c>
      <c r="J247" s="41"/>
      <c r="K247" s="36" t="str">
        <f t="shared" si="94"/>
        <v/>
      </c>
      <c r="L247" t="str">
        <f t="shared" si="95"/>
        <v/>
      </c>
      <c r="M247" s="117" t="str">
        <f t="shared" si="96"/>
        <v/>
      </c>
      <c r="N247" s="112" t="str">
        <f t="shared" si="97"/>
        <v/>
      </c>
      <c r="O247" s="96" t="str">
        <f t="shared" si="98"/>
        <v/>
      </c>
      <c r="P247" s="96" t="str">
        <f t="shared" si="99"/>
        <v/>
      </c>
      <c r="Q247" s="96" t="str">
        <f t="shared" si="100"/>
        <v/>
      </c>
      <c r="R247" s="92" t="str">
        <f t="shared" si="101"/>
        <v/>
      </c>
      <c r="S247" s="42" t="str">
        <f t="shared" si="102"/>
        <v/>
      </c>
      <c r="T247" s="176" t="str">
        <f>IF(L247="","",VLOOKUP(L247,classifications!C:K,9,FALSE))</f>
        <v/>
      </c>
      <c r="U247" s="177" t="str">
        <f t="shared" si="103"/>
        <v/>
      </c>
      <c r="V247" s="183" t="str">
        <f>IF(U247="","",IF($I$8="A",(RANK(U247,U$11:U$349)+COUNTIF(U$11:U247,U247)-1),(RANK(U247,U$11:U$349,1)+COUNTIF(U$11:U247,U247)-1)))</f>
        <v/>
      </c>
      <c r="W247" s="184"/>
      <c r="X247" s="5" t="str">
        <f>IF(L247="","",VLOOKUP($L247,classifications!$C:$J,6,FALSE))</f>
        <v/>
      </c>
      <c r="Y247" t="str">
        <f t="shared" si="104"/>
        <v/>
      </c>
      <c r="Z247" s="40" t="str">
        <f>IF(Y247="","",IF(I$8="A",(RANK(Y247,Y$11:Y$349,1)+COUNTIF(Y$11:Y247,Y247)-1),(RANK(Y247,Y$11:Y$349)+COUNTIF(Y$11:Y247,Y247)-1)))</f>
        <v/>
      </c>
      <c r="AA247" s="189" t="str">
        <f>IF(L247="","",VLOOKUP($L247,classifications!C:I,7,FALSE))</f>
        <v/>
      </c>
      <c r="AB247" s="183" t="str">
        <f t="shared" si="105"/>
        <v/>
      </c>
      <c r="AC247" s="183" t="str">
        <f>IF(AB247="","",IF($I$8="A",(RANK(AB247,AB$11:AB$349)+COUNTIF(AB$11:AB247,AB247)-1),(RANK(AB247,AB$11:AB$349,1)+COUNTIF(AB$11:AB247,AB247)-1)))</f>
        <v/>
      </c>
      <c r="AD247" s="183"/>
      <c r="AE247" s="49">
        <f>IF(I$8="A",(RANK(AG247,AG$11:AG$349,1)+COUNTIF(AG$11:AG247,AG247)-1),(RANK(AG247,AG$11:AG$349)+COUNTIF(AG$11:AG247,AG247)-1))</f>
        <v>237</v>
      </c>
      <c r="AF247" t="str">
        <f>VLOOKUP(Profile!$J$5,Families!$C:$R,6,FALSE)</f>
        <v>Herefordshire</v>
      </c>
      <c r="AG247" s="15">
        <f t="shared" si="106"/>
        <v>62.711864406779661</v>
      </c>
      <c r="AH247" s="50">
        <f t="shared" si="107"/>
        <v>237</v>
      </c>
      <c r="AI247" s="5" t="str">
        <f>IF(L247="","",VLOOKUP($L247,classifications!$C:$J,8,FALSE))</f>
        <v/>
      </c>
      <c r="AJ247" s="43" t="str">
        <f t="shared" si="108"/>
        <v/>
      </c>
      <c r="AK247" s="40" t="str">
        <f>IF(AJ247="","",IF(I$8="A",(RANK(AJ247,AJ$11:AJ$349,1)+COUNTIF(AJ$11:AJ247,AJ247)-1),(RANK(AJ247,AJ$11:AJ$349)+COUNTIF(AJ$11:AJ247,AJ247)-1)))</f>
        <v/>
      </c>
      <c r="AL247" s="3" t="str">
        <f t="shared" si="109"/>
        <v/>
      </c>
      <c r="AM247" t="str">
        <f t="shared" si="110"/>
        <v/>
      </c>
      <c r="AN247" t="str">
        <f t="shared" si="111"/>
        <v/>
      </c>
      <c r="AP247" s="5" t="str">
        <f>IF(L247="","",VLOOKUP($L247,classifications!$C:$E,3,FALSE))</f>
        <v/>
      </c>
      <c r="AQ247" s="43" t="str">
        <f t="shared" si="112"/>
        <v/>
      </c>
      <c r="AR247" s="40" t="str">
        <f>IF(AQ247="","",IF(I$8="A",(RANK(AQ247,AQ$11:AQ$349,1)+COUNTIF(AQ$11:AQ247,AQ247)-1),(RANK(AQ247,AQ$11:AQ$349)+COUNTIF(AQ$11:AQ247,AQ247)-1)))</f>
        <v/>
      </c>
      <c r="AS247" s="3" t="str">
        <f t="shared" si="113"/>
        <v/>
      </c>
      <c r="AT247" s="40" t="str">
        <f t="shared" si="114"/>
        <v/>
      </c>
      <c r="AU247" s="43" t="str">
        <f t="shared" si="115"/>
        <v/>
      </c>
      <c r="AX247">
        <f>HLOOKUP($AX$9&amp;$AX$10,Data!$A$1:$ZZ$1988,(MATCH($C247,Data!$A$1:$A$1988,0)),FALSE)</f>
        <v>84</v>
      </c>
    </row>
    <row r="248" spans="1:50">
      <c r="A248" s="59" t="str">
        <f>$D$1&amp;238</f>
        <v>UA238</v>
      </c>
      <c r="B248" s="60">
        <f>IF(ISERROR(VLOOKUP(A248,classifications!A:C,3,FALSE)),0,VLOOKUP(A248,classifications!A:C,3,FALSE))</f>
        <v>0</v>
      </c>
      <c r="C248" t="s">
        <v>136</v>
      </c>
      <c r="D248" t="str">
        <f>VLOOKUP($C248,classifications!$C:$J,4,FALSE)</f>
        <v>SD</v>
      </c>
      <c r="E248">
        <f>VLOOKUP(C248,classifications!C:K,9,FALSE)</f>
        <v>0</v>
      </c>
      <c r="F248">
        <f t="shared" si="92"/>
        <v>90</v>
      </c>
      <c r="G248" s="15"/>
      <c r="H248" s="42" t="str">
        <f t="shared" si="93"/>
        <v/>
      </c>
      <c r="I248" s="79" t="str">
        <f>IF(H248="","",IF($I$8="A",(RANK(H248,H$11:H$349,1)+COUNTIF(H$11:H248,H248)-1),(RANK(H248,H$11:H$349)+COUNTIF(H$11:H248,H248)-1)))</f>
        <v/>
      </c>
      <c r="J248" s="41"/>
      <c r="K248" s="36" t="str">
        <f t="shared" si="94"/>
        <v/>
      </c>
      <c r="L248" t="str">
        <f t="shared" si="95"/>
        <v/>
      </c>
      <c r="M248" s="117" t="str">
        <f t="shared" si="96"/>
        <v/>
      </c>
      <c r="N248" s="112" t="str">
        <f t="shared" si="97"/>
        <v/>
      </c>
      <c r="O248" s="96" t="str">
        <f t="shared" si="98"/>
        <v/>
      </c>
      <c r="P248" s="96" t="str">
        <f t="shared" si="99"/>
        <v/>
      </c>
      <c r="Q248" s="96" t="str">
        <f t="shared" si="100"/>
        <v/>
      </c>
      <c r="R248" s="92" t="str">
        <f t="shared" si="101"/>
        <v/>
      </c>
      <c r="S248" s="42" t="str">
        <f t="shared" si="102"/>
        <v/>
      </c>
      <c r="T248" s="176" t="str">
        <f>IF(L248="","",VLOOKUP(L248,classifications!C:K,9,FALSE))</f>
        <v/>
      </c>
      <c r="U248" s="177" t="str">
        <f t="shared" si="103"/>
        <v/>
      </c>
      <c r="V248" s="183" t="str">
        <f>IF(U248="","",IF($I$8="A",(RANK(U248,U$11:U$349)+COUNTIF(U$11:U248,U248)-1),(RANK(U248,U$11:U$349,1)+COUNTIF(U$11:U248,U248)-1)))</f>
        <v/>
      </c>
      <c r="W248" s="184"/>
      <c r="X248" s="5" t="str">
        <f>IF(L248="","",VLOOKUP($L248,classifications!$C:$J,6,FALSE))</f>
        <v/>
      </c>
      <c r="Y248" t="str">
        <f t="shared" si="104"/>
        <v/>
      </c>
      <c r="Z248" s="40" t="str">
        <f>IF(Y248="","",IF(I$8="A",(RANK(Y248,Y$11:Y$349,1)+COUNTIF(Y$11:Y248,Y248)-1),(RANK(Y248,Y$11:Y$349)+COUNTIF(Y$11:Y248,Y248)-1)))</f>
        <v/>
      </c>
      <c r="AA248" s="189" t="str">
        <f>IF(L248="","",VLOOKUP($L248,classifications!C:I,7,FALSE))</f>
        <v/>
      </c>
      <c r="AB248" s="183" t="str">
        <f t="shared" si="105"/>
        <v/>
      </c>
      <c r="AC248" s="183" t="str">
        <f>IF(AB248="","",IF($I$8="A",(RANK(AB248,AB$11:AB$349)+COUNTIF(AB$11:AB248,AB248)-1),(RANK(AB248,AB$11:AB$349,1)+COUNTIF(AB$11:AB248,AB248)-1)))</f>
        <v/>
      </c>
      <c r="AD248" s="183"/>
      <c r="AE248" s="49">
        <f>IF(I$8="A",(RANK(AG248,AG$11:AG$349,1)+COUNTIF(AG$11:AG248,AG248)-1),(RANK(AG248,AG$11:AG$349)+COUNTIF(AG$11:AG248,AG248)-1))</f>
        <v>238</v>
      </c>
      <c r="AF248" t="str">
        <f>VLOOKUP(Profile!$J$5,Families!$C:$R,6,FALSE)</f>
        <v>Herefordshire</v>
      </c>
      <c r="AG248" s="15">
        <f t="shared" si="106"/>
        <v>62.711864406779661</v>
      </c>
      <c r="AH248" s="50">
        <f t="shared" si="107"/>
        <v>238</v>
      </c>
      <c r="AI248" s="5" t="str">
        <f>IF(L248="","",VLOOKUP($L248,classifications!$C:$J,8,FALSE))</f>
        <v/>
      </c>
      <c r="AJ248" s="43" t="str">
        <f t="shared" si="108"/>
        <v/>
      </c>
      <c r="AK248" s="40" t="str">
        <f>IF(AJ248="","",IF(I$8="A",(RANK(AJ248,AJ$11:AJ$349,1)+COUNTIF(AJ$11:AJ248,AJ248)-1),(RANK(AJ248,AJ$11:AJ$349)+COUNTIF(AJ$11:AJ248,AJ248)-1)))</f>
        <v/>
      </c>
      <c r="AL248" s="3" t="str">
        <f t="shared" si="109"/>
        <v/>
      </c>
      <c r="AM248" t="str">
        <f t="shared" si="110"/>
        <v/>
      </c>
      <c r="AN248" t="str">
        <f t="shared" si="111"/>
        <v/>
      </c>
      <c r="AP248" s="5" t="str">
        <f>IF(L248="","",VLOOKUP($L248,classifications!$C:$E,3,FALSE))</f>
        <v/>
      </c>
      <c r="AQ248" s="43" t="str">
        <f t="shared" si="112"/>
        <v/>
      </c>
      <c r="AR248" s="40" t="str">
        <f>IF(AQ248="","",IF(I$8="A",(RANK(AQ248,AQ$11:AQ$349,1)+COUNTIF(AQ$11:AQ248,AQ248)-1),(RANK(AQ248,AQ$11:AQ$349)+COUNTIF(AQ$11:AQ248,AQ248)-1)))</f>
        <v/>
      </c>
      <c r="AS248" s="3" t="str">
        <f t="shared" si="113"/>
        <v/>
      </c>
      <c r="AT248" s="40" t="str">
        <f t="shared" si="114"/>
        <v/>
      </c>
      <c r="AU248" s="43" t="str">
        <f t="shared" si="115"/>
        <v/>
      </c>
      <c r="AX248">
        <f>HLOOKUP($AX$9&amp;$AX$10,Data!$A$1:$ZZ$1988,(MATCH($C248,Data!$A$1:$A$1988,0)),FALSE)</f>
        <v>90</v>
      </c>
    </row>
    <row r="249" spans="1:50">
      <c r="A249" s="59" t="str">
        <f>$D$1&amp;239</f>
        <v>UA239</v>
      </c>
      <c r="B249" s="60">
        <f>IF(ISERROR(VLOOKUP(A249,classifications!A:C,3,FALSE)),0,VLOOKUP(A249,classifications!A:C,3,FALSE))</f>
        <v>0</v>
      </c>
      <c r="C249" t="s">
        <v>245</v>
      </c>
      <c r="D249" t="str">
        <f>VLOOKUP($C249,classifications!$C:$J,4,FALSE)</f>
        <v>MD</v>
      </c>
      <c r="E249">
        <f>VLOOKUP(C249,classifications!C:K,9,FALSE)</f>
        <v>0</v>
      </c>
      <c r="F249">
        <f t="shared" si="92"/>
        <v>88.095238095238088</v>
      </c>
      <c r="G249" s="15"/>
      <c r="H249" s="42" t="str">
        <f t="shared" si="93"/>
        <v/>
      </c>
      <c r="I249" s="79" t="str">
        <f>IF(H249="","",IF($I$8="A",(RANK(H249,H$11:H$349,1)+COUNTIF(H$11:H249,H249)-1),(RANK(H249,H$11:H$349)+COUNTIF(H$11:H249,H249)-1)))</f>
        <v/>
      </c>
      <c r="J249" s="41"/>
      <c r="K249" s="36" t="str">
        <f t="shared" si="94"/>
        <v/>
      </c>
      <c r="L249" t="str">
        <f t="shared" si="95"/>
        <v/>
      </c>
      <c r="M249" s="117" t="str">
        <f t="shared" si="96"/>
        <v/>
      </c>
      <c r="N249" s="112" t="str">
        <f t="shared" si="97"/>
        <v/>
      </c>
      <c r="O249" s="96" t="str">
        <f t="shared" si="98"/>
        <v/>
      </c>
      <c r="P249" s="96" t="str">
        <f t="shared" si="99"/>
        <v/>
      </c>
      <c r="Q249" s="96" t="str">
        <f t="shared" si="100"/>
        <v/>
      </c>
      <c r="R249" s="92" t="str">
        <f t="shared" si="101"/>
        <v/>
      </c>
      <c r="S249" s="42" t="str">
        <f t="shared" si="102"/>
        <v/>
      </c>
      <c r="T249" s="176" t="str">
        <f>IF(L249="","",VLOOKUP(L249,classifications!C:K,9,FALSE))</f>
        <v/>
      </c>
      <c r="U249" s="177" t="str">
        <f t="shared" si="103"/>
        <v/>
      </c>
      <c r="V249" s="183" t="str">
        <f>IF(U249="","",IF($I$8="A",(RANK(U249,U$11:U$349)+COUNTIF(U$11:U249,U249)-1),(RANK(U249,U$11:U$349,1)+COUNTIF(U$11:U249,U249)-1)))</f>
        <v/>
      </c>
      <c r="W249" s="184"/>
      <c r="X249" s="5" t="str">
        <f>IF(L249="","",VLOOKUP($L249,classifications!$C:$J,6,FALSE))</f>
        <v/>
      </c>
      <c r="Y249" t="str">
        <f t="shared" si="104"/>
        <v/>
      </c>
      <c r="Z249" s="40" t="str">
        <f>IF(Y249="","",IF(I$8="A",(RANK(Y249,Y$11:Y$349,1)+COUNTIF(Y$11:Y249,Y249)-1),(RANK(Y249,Y$11:Y$349)+COUNTIF(Y$11:Y249,Y249)-1)))</f>
        <v/>
      </c>
      <c r="AA249" s="189" t="str">
        <f>IF(L249="","",VLOOKUP($L249,classifications!C:I,7,FALSE))</f>
        <v/>
      </c>
      <c r="AB249" s="183" t="str">
        <f t="shared" si="105"/>
        <v/>
      </c>
      <c r="AC249" s="183" t="str">
        <f>IF(AB249="","",IF($I$8="A",(RANK(AB249,AB$11:AB$349)+COUNTIF(AB$11:AB249,AB249)-1),(RANK(AB249,AB$11:AB$349,1)+COUNTIF(AB$11:AB249,AB249)-1)))</f>
        <v/>
      </c>
      <c r="AD249" s="183"/>
      <c r="AE249" s="49">
        <f>IF(I$8="A",(RANK(AG249,AG$11:AG$349,1)+COUNTIF(AG$11:AG249,AG249)-1),(RANK(AG249,AG$11:AG$349)+COUNTIF(AG$11:AG249,AG249)-1))</f>
        <v>239</v>
      </c>
      <c r="AF249" t="str">
        <f>VLOOKUP(Profile!$J$5,Families!$C:$R,6,FALSE)</f>
        <v>Herefordshire</v>
      </c>
      <c r="AG249" s="15">
        <f t="shared" si="106"/>
        <v>62.711864406779661</v>
      </c>
      <c r="AH249" s="50">
        <f t="shared" si="107"/>
        <v>239</v>
      </c>
      <c r="AI249" s="5" t="str">
        <f>IF(L249="","",VLOOKUP($L249,classifications!$C:$J,8,FALSE))</f>
        <v/>
      </c>
      <c r="AJ249" s="43" t="str">
        <f t="shared" si="108"/>
        <v/>
      </c>
      <c r="AK249" s="40" t="str">
        <f>IF(AJ249="","",IF(I$8="A",(RANK(AJ249,AJ$11:AJ$349,1)+COUNTIF(AJ$11:AJ249,AJ249)-1),(RANK(AJ249,AJ$11:AJ$349)+COUNTIF(AJ$11:AJ249,AJ249)-1)))</f>
        <v/>
      </c>
      <c r="AL249" s="3" t="str">
        <f t="shared" si="109"/>
        <v/>
      </c>
      <c r="AM249" t="str">
        <f t="shared" si="110"/>
        <v/>
      </c>
      <c r="AN249" t="str">
        <f t="shared" si="111"/>
        <v/>
      </c>
      <c r="AP249" s="5" t="str">
        <f>IF(L249="","",VLOOKUP($L249,classifications!$C:$E,3,FALSE))</f>
        <v/>
      </c>
      <c r="AQ249" s="43" t="str">
        <f t="shared" si="112"/>
        <v/>
      </c>
      <c r="AR249" s="40" t="str">
        <f>IF(AQ249="","",IF(I$8="A",(RANK(AQ249,AQ$11:AQ$349,1)+COUNTIF(AQ$11:AQ249,AQ249)-1),(RANK(AQ249,AQ$11:AQ$349)+COUNTIF(AQ$11:AQ249,AQ249)-1)))</f>
        <v/>
      </c>
      <c r="AS249" s="3" t="str">
        <f t="shared" si="113"/>
        <v/>
      </c>
      <c r="AT249" s="40" t="str">
        <f t="shared" si="114"/>
        <v/>
      </c>
      <c r="AU249" s="43" t="str">
        <f t="shared" si="115"/>
        <v/>
      </c>
      <c r="AX249">
        <f>HLOOKUP($AX$9&amp;$AX$10,Data!$A$1:$ZZ$1988,(MATCH($C249,Data!$A$1:$A$1988,0)),FALSE)</f>
        <v>88.095238095238088</v>
      </c>
    </row>
    <row r="250" spans="1:50">
      <c r="A250" s="59" t="str">
        <f>$D$1&amp;240</f>
        <v>UA240</v>
      </c>
      <c r="B250" s="60">
        <f>IF(ISERROR(VLOOKUP(A250,classifications!A:C,3,FALSE)),0,VLOOKUP(A250,classifications!A:C,3,FALSE))</f>
        <v>0</v>
      </c>
      <c r="C250" t="s">
        <v>325</v>
      </c>
      <c r="D250" t="str">
        <f>VLOOKUP($C250,classifications!$C:$J,4,FALSE)</f>
        <v>UA</v>
      </c>
      <c r="E250" t="str">
        <f>VLOOKUP(C250,classifications!C:K,9,FALSE)</f>
        <v>Sparse</v>
      </c>
      <c r="F250">
        <f t="shared" si="92"/>
        <v>72.448979591836732</v>
      </c>
      <c r="G250" s="15"/>
      <c r="H250" s="42">
        <f t="shared" si="93"/>
        <v>72.448979591836732</v>
      </c>
      <c r="I250" s="79">
        <f>IF(H250="","",IF($I$8="A",(RANK(H250,H$11:H$349,1)+COUNTIF(H$11:H250,H250)-1),(RANK(H250,H$11:H$349)+COUNTIF(H$11:H250,H250)-1)))</f>
        <v>51</v>
      </c>
      <c r="J250" s="41"/>
      <c r="K250" s="36" t="str">
        <f t="shared" si="94"/>
        <v/>
      </c>
      <c r="L250" t="str">
        <f t="shared" si="95"/>
        <v/>
      </c>
      <c r="M250" s="117" t="str">
        <f t="shared" si="96"/>
        <v/>
      </c>
      <c r="N250" s="112" t="str">
        <f t="shared" si="97"/>
        <v/>
      </c>
      <c r="O250" s="96" t="str">
        <f t="shared" si="98"/>
        <v/>
      </c>
      <c r="P250" s="96" t="str">
        <f t="shared" si="99"/>
        <v/>
      </c>
      <c r="Q250" s="96" t="str">
        <f t="shared" si="100"/>
        <v/>
      </c>
      <c r="R250" s="92" t="str">
        <f t="shared" si="101"/>
        <v/>
      </c>
      <c r="S250" s="42" t="str">
        <f t="shared" si="102"/>
        <v/>
      </c>
      <c r="T250" s="176" t="str">
        <f>IF(L250="","",VLOOKUP(L250,classifications!C:K,9,FALSE))</f>
        <v/>
      </c>
      <c r="U250" s="177" t="str">
        <f t="shared" si="103"/>
        <v/>
      </c>
      <c r="V250" s="183" t="str">
        <f>IF(U250="","",IF($I$8="A",(RANK(U250,U$11:U$349)+COUNTIF(U$11:U250,U250)-1),(RANK(U250,U$11:U$349,1)+COUNTIF(U$11:U250,U250)-1)))</f>
        <v/>
      </c>
      <c r="W250" s="184"/>
      <c r="X250" s="5" t="str">
        <f>IF(L250="","",VLOOKUP($L250,classifications!$C:$J,6,FALSE))</f>
        <v/>
      </c>
      <c r="Y250" t="str">
        <f t="shared" si="104"/>
        <v/>
      </c>
      <c r="Z250" s="40" t="str">
        <f>IF(Y250="","",IF(I$8="A",(RANK(Y250,Y$11:Y$349,1)+COUNTIF(Y$11:Y250,Y250)-1),(RANK(Y250,Y$11:Y$349)+COUNTIF(Y$11:Y250,Y250)-1)))</f>
        <v/>
      </c>
      <c r="AA250" s="189" t="str">
        <f>IF(L250="","",VLOOKUP($L250,classifications!C:I,7,FALSE))</f>
        <v/>
      </c>
      <c r="AB250" s="183" t="str">
        <f t="shared" si="105"/>
        <v/>
      </c>
      <c r="AC250" s="183" t="str">
        <f>IF(AB250="","",IF($I$8="A",(RANK(AB250,AB$11:AB$349)+COUNTIF(AB$11:AB250,AB250)-1),(RANK(AB250,AB$11:AB$349,1)+COUNTIF(AB$11:AB250,AB250)-1)))</f>
        <v/>
      </c>
      <c r="AD250" s="183"/>
      <c r="AE250" s="49">
        <f>IF(I$8="A",(RANK(AG250,AG$11:AG$349,1)+COUNTIF(AG$11:AG250,AG250)-1),(RANK(AG250,AG$11:AG$349)+COUNTIF(AG$11:AG250,AG250)-1))</f>
        <v>240</v>
      </c>
      <c r="AF250" t="str">
        <f>VLOOKUP(Profile!$J$5,Families!$C:$R,6,FALSE)</f>
        <v>Herefordshire</v>
      </c>
      <c r="AG250" s="15">
        <f t="shared" si="106"/>
        <v>62.711864406779661</v>
      </c>
      <c r="AH250" s="50">
        <f t="shared" si="107"/>
        <v>240</v>
      </c>
      <c r="AI250" s="5" t="str">
        <f>IF(L250="","",VLOOKUP($L250,classifications!$C:$J,8,FALSE))</f>
        <v/>
      </c>
      <c r="AJ250" s="43" t="str">
        <f t="shared" si="108"/>
        <v/>
      </c>
      <c r="AK250" s="40" t="str">
        <f>IF(AJ250="","",IF(I$8="A",(RANK(AJ250,AJ$11:AJ$349,1)+COUNTIF(AJ$11:AJ250,AJ250)-1),(RANK(AJ250,AJ$11:AJ$349)+COUNTIF(AJ$11:AJ250,AJ250)-1)))</f>
        <v/>
      </c>
      <c r="AL250" s="3" t="str">
        <f t="shared" si="109"/>
        <v/>
      </c>
      <c r="AM250" t="str">
        <f t="shared" si="110"/>
        <v/>
      </c>
      <c r="AN250" t="str">
        <f t="shared" si="111"/>
        <v/>
      </c>
      <c r="AP250" s="5" t="str">
        <f>IF(L250="","",VLOOKUP($L250,classifications!$C:$E,3,FALSE))</f>
        <v/>
      </c>
      <c r="AQ250" s="43" t="str">
        <f t="shared" si="112"/>
        <v/>
      </c>
      <c r="AR250" s="40" t="str">
        <f>IF(AQ250="","",IF(I$8="A",(RANK(AQ250,AQ$11:AQ$349,1)+COUNTIF(AQ$11:AQ250,AQ250)-1),(RANK(AQ250,AQ$11:AQ$349)+COUNTIF(AQ$11:AQ250,AQ250)-1)))</f>
        <v/>
      </c>
      <c r="AS250" s="3" t="str">
        <f t="shared" si="113"/>
        <v/>
      </c>
      <c r="AT250" s="40" t="str">
        <f t="shared" si="114"/>
        <v/>
      </c>
      <c r="AU250" s="43" t="str">
        <f t="shared" si="115"/>
        <v/>
      </c>
      <c r="AX250">
        <f>HLOOKUP($AX$9&amp;$AX$10,Data!$A$1:$ZZ$1988,(MATCH($C250,Data!$A$1:$A$1988,0)),FALSE)</f>
        <v>72.448979591836732</v>
      </c>
    </row>
    <row r="251" spans="1:50">
      <c r="A251" s="59" t="str">
        <f>$D$1&amp;241</f>
        <v>UA241</v>
      </c>
      <c r="B251" s="60">
        <f>IF(ISERROR(VLOOKUP(A251,classifications!A:C,3,FALSE)),0,VLOOKUP(A251,classifications!A:C,3,FALSE))</f>
        <v>0</v>
      </c>
      <c r="C251" t="s">
        <v>286</v>
      </c>
      <c r="D251" t="str">
        <f>VLOOKUP($C251,classifications!$C:$J,4,FALSE)</f>
        <v>UA</v>
      </c>
      <c r="E251">
        <f>VLOOKUP(C251,classifications!C:K,9,FALSE)</f>
        <v>0</v>
      </c>
      <c r="F251">
        <f t="shared" si="92"/>
        <v>92</v>
      </c>
      <c r="G251" s="15"/>
      <c r="H251" s="42">
        <f t="shared" si="93"/>
        <v>92</v>
      </c>
      <c r="I251" s="79">
        <f>IF(H251="","",IF($I$8="A",(RANK(H251,H$11:H$349,1)+COUNTIF(H$11:H251,H251)-1),(RANK(H251,H$11:H$349)+COUNTIF(H$11:H251,H251)-1)))</f>
        <v>26</v>
      </c>
      <c r="J251" s="41"/>
      <c r="K251" s="36" t="str">
        <f t="shared" si="94"/>
        <v/>
      </c>
      <c r="L251" t="str">
        <f t="shared" si="95"/>
        <v/>
      </c>
      <c r="M251" s="117" t="str">
        <f t="shared" si="96"/>
        <v/>
      </c>
      <c r="N251" s="112" t="str">
        <f t="shared" si="97"/>
        <v/>
      </c>
      <c r="O251" s="96" t="str">
        <f t="shared" si="98"/>
        <v/>
      </c>
      <c r="P251" s="96" t="str">
        <f t="shared" si="99"/>
        <v/>
      </c>
      <c r="Q251" s="96" t="str">
        <f t="shared" si="100"/>
        <v/>
      </c>
      <c r="R251" s="92" t="str">
        <f t="shared" si="101"/>
        <v/>
      </c>
      <c r="S251" s="42" t="str">
        <f t="shared" si="102"/>
        <v/>
      </c>
      <c r="T251" s="176" t="str">
        <f>IF(L251="","",VLOOKUP(L251,classifications!C:K,9,FALSE))</f>
        <v/>
      </c>
      <c r="U251" s="177" t="str">
        <f t="shared" si="103"/>
        <v/>
      </c>
      <c r="V251" s="183" t="str">
        <f>IF(U251="","",IF($I$8="A",(RANK(U251,U$11:U$349)+COUNTIF(U$11:U251,U251)-1),(RANK(U251,U$11:U$349,1)+COUNTIF(U$11:U251,U251)-1)))</f>
        <v/>
      </c>
      <c r="W251" s="184"/>
      <c r="X251" s="5" t="str">
        <f>IF(L251="","",VLOOKUP($L251,classifications!$C:$J,6,FALSE))</f>
        <v/>
      </c>
      <c r="Y251" t="str">
        <f t="shared" si="104"/>
        <v/>
      </c>
      <c r="Z251" s="40" t="str">
        <f>IF(Y251="","",IF(I$8="A",(RANK(Y251,Y$11:Y$349,1)+COUNTIF(Y$11:Y251,Y251)-1),(RANK(Y251,Y$11:Y$349)+COUNTIF(Y$11:Y251,Y251)-1)))</f>
        <v/>
      </c>
      <c r="AA251" s="189" t="str">
        <f>IF(L251="","",VLOOKUP($L251,classifications!C:I,7,FALSE))</f>
        <v/>
      </c>
      <c r="AB251" s="183" t="str">
        <f t="shared" si="105"/>
        <v/>
      </c>
      <c r="AC251" s="183" t="str">
        <f>IF(AB251="","",IF($I$8="A",(RANK(AB251,AB$11:AB$349)+COUNTIF(AB$11:AB251,AB251)-1),(RANK(AB251,AB$11:AB$349,1)+COUNTIF(AB$11:AB251,AB251)-1)))</f>
        <v/>
      </c>
      <c r="AD251" s="183"/>
      <c r="AE251" s="49">
        <f>IF(I$8="A",(RANK(AG251,AG$11:AG$349,1)+COUNTIF(AG$11:AG251,AG251)-1),(RANK(AG251,AG$11:AG$349)+COUNTIF(AG$11:AG251,AG251)-1))</f>
        <v>241</v>
      </c>
      <c r="AF251" t="str">
        <f>VLOOKUP(Profile!$J$5,Families!$C:$R,6,FALSE)</f>
        <v>Herefordshire</v>
      </c>
      <c r="AG251" s="15">
        <f t="shared" si="106"/>
        <v>62.711864406779661</v>
      </c>
      <c r="AH251" s="50">
        <f t="shared" si="107"/>
        <v>241</v>
      </c>
      <c r="AI251" s="5" t="str">
        <f>IF(L251="","",VLOOKUP($L251,classifications!$C:$J,8,FALSE))</f>
        <v/>
      </c>
      <c r="AJ251" s="43" t="str">
        <f t="shared" si="108"/>
        <v/>
      </c>
      <c r="AK251" s="40" t="str">
        <f>IF(AJ251="","",IF(I$8="A",(RANK(AJ251,AJ$11:AJ$349,1)+COUNTIF(AJ$11:AJ251,AJ251)-1),(RANK(AJ251,AJ$11:AJ$349)+COUNTIF(AJ$11:AJ251,AJ251)-1)))</f>
        <v/>
      </c>
      <c r="AL251" s="3" t="str">
        <f t="shared" si="109"/>
        <v/>
      </c>
      <c r="AM251" t="str">
        <f t="shared" si="110"/>
        <v/>
      </c>
      <c r="AN251" t="str">
        <f t="shared" si="111"/>
        <v/>
      </c>
      <c r="AP251" s="5" t="str">
        <f>IF(L251="","",VLOOKUP($L251,classifications!$C:$E,3,FALSE))</f>
        <v/>
      </c>
      <c r="AQ251" s="43" t="str">
        <f t="shared" si="112"/>
        <v/>
      </c>
      <c r="AR251" s="40" t="str">
        <f>IF(AQ251="","",IF(I$8="A",(RANK(AQ251,AQ$11:AQ$349,1)+COUNTIF(AQ$11:AQ251,AQ251)-1),(RANK(AQ251,AQ$11:AQ$349)+COUNTIF(AQ$11:AQ251,AQ251)-1)))</f>
        <v/>
      </c>
      <c r="AS251" s="3" t="str">
        <f t="shared" si="113"/>
        <v/>
      </c>
      <c r="AT251" s="40" t="str">
        <f t="shared" si="114"/>
        <v/>
      </c>
      <c r="AU251" s="43" t="str">
        <f t="shared" si="115"/>
        <v/>
      </c>
      <c r="AX251">
        <f>HLOOKUP($AX$9&amp;$AX$10,Data!$A$1:$ZZ$1988,(MATCH($C251,Data!$A$1:$A$1988,0)),FALSE)</f>
        <v>92</v>
      </c>
    </row>
    <row r="252" spans="1:50">
      <c r="A252" s="59" t="str">
        <f>$D$1&amp;242</f>
        <v>UA242</v>
      </c>
      <c r="B252" s="60">
        <f>IF(ISERROR(VLOOKUP(A252,classifications!A:C,3,FALSE)),0,VLOOKUP(A252,classifications!A:C,3,FALSE))</f>
        <v>0</v>
      </c>
      <c r="C252" t="s">
        <v>246</v>
      </c>
      <c r="D252" t="str">
        <f>VLOOKUP($C252,classifications!$C:$J,4,FALSE)</f>
        <v>MD</v>
      </c>
      <c r="E252">
        <f>VLOOKUP(C252,classifications!C:K,9,FALSE)</f>
        <v>0</v>
      </c>
      <c r="F252">
        <f t="shared" si="92"/>
        <v>95.833333333333343</v>
      </c>
      <c r="G252" s="15"/>
      <c r="H252" s="42" t="str">
        <f t="shared" si="93"/>
        <v/>
      </c>
      <c r="I252" s="79" t="str">
        <f>IF(H252="","",IF($I$8="A",(RANK(H252,H$11:H$349,1)+COUNTIF(H$11:H252,H252)-1),(RANK(H252,H$11:H$349)+COUNTIF(H$11:H252,H252)-1)))</f>
        <v/>
      </c>
      <c r="J252" s="41"/>
      <c r="K252" s="36" t="str">
        <f t="shared" si="94"/>
        <v/>
      </c>
      <c r="L252" t="str">
        <f t="shared" si="95"/>
        <v/>
      </c>
      <c r="M252" s="117" t="str">
        <f t="shared" si="96"/>
        <v/>
      </c>
      <c r="N252" s="112" t="str">
        <f t="shared" si="97"/>
        <v/>
      </c>
      <c r="O252" s="96" t="str">
        <f t="shared" si="98"/>
        <v/>
      </c>
      <c r="P252" s="96" t="str">
        <f t="shared" si="99"/>
        <v/>
      </c>
      <c r="Q252" s="96" t="str">
        <f t="shared" si="100"/>
        <v/>
      </c>
      <c r="R252" s="92" t="str">
        <f t="shared" si="101"/>
        <v/>
      </c>
      <c r="S252" s="42" t="str">
        <f t="shared" si="102"/>
        <v/>
      </c>
      <c r="T252" s="176" t="str">
        <f>IF(L252="","",VLOOKUP(L252,classifications!C:K,9,FALSE))</f>
        <v/>
      </c>
      <c r="U252" s="177" t="str">
        <f t="shared" si="103"/>
        <v/>
      </c>
      <c r="V252" s="183" t="str">
        <f>IF(U252="","",IF($I$8="A",(RANK(U252,U$11:U$349)+COUNTIF(U$11:U252,U252)-1),(RANK(U252,U$11:U$349,1)+COUNTIF(U$11:U252,U252)-1)))</f>
        <v/>
      </c>
      <c r="W252" s="184"/>
      <c r="X252" s="5" t="str">
        <f>IF(L252="","",VLOOKUP($L252,classifications!$C:$J,6,FALSE))</f>
        <v/>
      </c>
      <c r="Y252" t="str">
        <f t="shared" si="104"/>
        <v/>
      </c>
      <c r="Z252" s="40" t="str">
        <f>IF(Y252="","",IF(I$8="A",(RANK(Y252,Y$11:Y$349,1)+COUNTIF(Y$11:Y252,Y252)-1),(RANK(Y252,Y$11:Y$349)+COUNTIF(Y$11:Y252,Y252)-1)))</f>
        <v/>
      </c>
      <c r="AA252" s="189" t="str">
        <f>IF(L252="","",VLOOKUP($L252,classifications!C:I,7,FALSE))</f>
        <v/>
      </c>
      <c r="AB252" s="183" t="str">
        <f t="shared" si="105"/>
        <v/>
      </c>
      <c r="AC252" s="183" t="str">
        <f>IF(AB252="","",IF($I$8="A",(RANK(AB252,AB$11:AB$349)+COUNTIF(AB$11:AB252,AB252)-1),(RANK(AB252,AB$11:AB$349,1)+COUNTIF(AB$11:AB252,AB252)-1)))</f>
        <v/>
      </c>
      <c r="AD252" s="183"/>
      <c r="AE252" s="49">
        <f>IF(I$8="A",(RANK(AG252,AG$11:AG$349,1)+COUNTIF(AG$11:AG252,AG252)-1),(RANK(AG252,AG$11:AG$349)+COUNTIF(AG$11:AG252,AG252)-1))</f>
        <v>242</v>
      </c>
      <c r="AF252" t="str">
        <f>VLOOKUP(Profile!$J$5,Families!$C:$R,6,FALSE)</f>
        <v>Herefordshire</v>
      </c>
      <c r="AG252" s="15">
        <f t="shared" si="106"/>
        <v>62.711864406779661</v>
      </c>
      <c r="AH252" s="50">
        <f t="shared" si="107"/>
        <v>242</v>
      </c>
      <c r="AI252" s="5" t="str">
        <f>IF(L252="","",VLOOKUP($L252,classifications!$C:$J,8,FALSE))</f>
        <v/>
      </c>
      <c r="AJ252" s="43" t="str">
        <f t="shared" si="108"/>
        <v/>
      </c>
      <c r="AK252" s="40" t="str">
        <f>IF(AJ252="","",IF(I$8="A",(RANK(AJ252,AJ$11:AJ$349,1)+COUNTIF(AJ$11:AJ252,AJ252)-1),(RANK(AJ252,AJ$11:AJ$349)+COUNTIF(AJ$11:AJ252,AJ252)-1)))</f>
        <v/>
      </c>
      <c r="AL252" s="3" t="str">
        <f t="shared" si="109"/>
        <v/>
      </c>
      <c r="AM252" t="str">
        <f t="shared" si="110"/>
        <v/>
      </c>
      <c r="AN252" t="str">
        <f t="shared" si="111"/>
        <v/>
      </c>
      <c r="AP252" s="5" t="str">
        <f>IF(L252="","",VLOOKUP($L252,classifications!$C:$E,3,FALSE))</f>
        <v/>
      </c>
      <c r="AQ252" s="43" t="str">
        <f t="shared" si="112"/>
        <v/>
      </c>
      <c r="AR252" s="40" t="str">
        <f>IF(AQ252="","",IF(I$8="A",(RANK(AQ252,AQ$11:AQ$349,1)+COUNTIF(AQ$11:AQ252,AQ252)-1),(RANK(AQ252,AQ$11:AQ$349)+COUNTIF(AQ$11:AQ252,AQ252)-1)))</f>
        <v/>
      </c>
      <c r="AS252" s="3" t="str">
        <f t="shared" si="113"/>
        <v/>
      </c>
      <c r="AT252" s="40" t="str">
        <f t="shared" si="114"/>
        <v/>
      </c>
      <c r="AU252" s="43" t="str">
        <f t="shared" si="115"/>
        <v/>
      </c>
      <c r="AX252">
        <f>HLOOKUP($AX$9&amp;$AX$10,Data!$A$1:$ZZ$1988,(MATCH($C252,Data!$A$1:$A$1988,0)),FALSE)</f>
        <v>95.833333333333343</v>
      </c>
    </row>
    <row r="253" spans="1:50">
      <c r="A253" s="59" t="str">
        <f>$D$1&amp;243</f>
        <v>UA243</v>
      </c>
      <c r="B253" s="60">
        <f>IF(ISERROR(VLOOKUP(A253,classifications!A:C,3,FALSE)),0,VLOOKUP(A253,classifications!A:C,3,FALSE))</f>
        <v>0</v>
      </c>
      <c r="C253" t="s">
        <v>326</v>
      </c>
      <c r="D253" t="str">
        <f>VLOOKUP($C253,classifications!$C:$J,4,FALSE)</f>
        <v>SC</v>
      </c>
      <c r="E253">
        <f>VLOOKUP(C253,classifications!C:K,9,FALSE)</f>
        <v>0</v>
      </c>
      <c r="F253" t="e">
        <f t="shared" si="92"/>
        <v>#N/A</v>
      </c>
      <c r="G253" s="15"/>
      <c r="H253" s="42" t="str">
        <f t="shared" si="93"/>
        <v/>
      </c>
      <c r="I253" s="79" t="str">
        <f>IF(H253="","",IF($I$8="A",(RANK(H253,H$11:H$349,1)+COUNTIF(H$11:H253,H253)-1),(RANK(H253,H$11:H$349)+COUNTIF(H$11:H253,H253)-1)))</f>
        <v/>
      </c>
      <c r="J253" s="41"/>
      <c r="K253" s="36" t="str">
        <f t="shared" si="94"/>
        <v/>
      </c>
      <c r="L253" t="str">
        <f t="shared" si="95"/>
        <v/>
      </c>
      <c r="M253" s="117" t="str">
        <f t="shared" si="96"/>
        <v/>
      </c>
      <c r="N253" s="112" t="str">
        <f t="shared" si="97"/>
        <v/>
      </c>
      <c r="O253" s="96" t="str">
        <f t="shared" si="98"/>
        <v/>
      </c>
      <c r="P253" s="96" t="str">
        <f t="shared" si="99"/>
        <v/>
      </c>
      <c r="Q253" s="96" t="str">
        <f t="shared" si="100"/>
        <v/>
      </c>
      <c r="R253" s="92" t="str">
        <f t="shared" si="101"/>
        <v/>
      </c>
      <c r="S253" s="42" t="str">
        <f t="shared" si="102"/>
        <v/>
      </c>
      <c r="T253" s="176" t="str">
        <f>IF(L253="","",VLOOKUP(L253,classifications!C:K,9,FALSE))</f>
        <v/>
      </c>
      <c r="U253" s="177" t="str">
        <f t="shared" si="103"/>
        <v/>
      </c>
      <c r="V253" s="183" t="str">
        <f>IF(U253="","",IF($I$8="A",(RANK(U253,U$11:U$349)+COUNTIF(U$11:U253,U253)-1),(RANK(U253,U$11:U$349,1)+COUNTIF(U$11:U253,U253)-1)))</f>
        <v/>
      </c>
      <c r="W253" s="184"/>
      <c r="X253" s="5" t="str">
        <f>IF(L253="","",VLOOKUP($L253,classifications!$C:$J,6,FALSE))</f>
        <v/>
      </c>
      <c r="Y253" t="str">
        <f t="shared" si="104"/>
        <v/>
      </c>
      <c r="Z253" s="40" t="str">
        <f>IF(Y253="","",IF(I$8="A",(RANK(Y253,Y$11:Y$349,1)+COUNTIF(Y$11:Y253,Y253)-1),(RANK(Y253,Y$11:Y$349)+COUNTIF(Y$11:Y253,Y253)-1)))</f>
        <v/>
      </c>
      <c r="AA253" s="189" t="str">
        <f>IF(L253="","",VLOOKUP($L253,classifications!C:I,7,FALSE))</f>
        <v/>
      </c>
      <c r="AB253" s="183" t="str">
        <f t="shared" si="105"/>
        <v/>
      </c>
      <c r="AC253" s="183" t="str">
        <f>IF(AB253="","",IF($I$8="A",(RANK(AB253,AB$11:AB$349)+COUNTIF(AB$11:AB253,AB253)-1),(RANK(AB253,AB$11:AB$349,1)+COUNTIF(AB$11:AB253,AB253)-1)))</f>
        <v/>
      </c>
      <c r="AD253" s="183"/>
      <c r="AE253" s="49">
        <f>IF(I$8="A",(RANK(AG253,AG$11:AG$349,1)+COUNTIF(AG$11:AG253,AG253)-1),(RANK(AG253,AG$11:AG$349)+COUNTIF(AG$11:AG253,AG253)-1))</f>
        <v>243</v>
      </c>
      <c r="AF253" t="str">
        <f>VLOOKUP(Profile!$J$5,Families!$C:$R,6,FALSE)</f>
        <v>Herefordshire</v>
      </c>
      <c r="AG253" s="15">
        <f t="shared" si="106"/>
        <v>62.711864406779661</v>
      </c>
      <c r="AH253" s="50">
        <f t="shared" si="107"/>
        <v>243</v>
      </c>
      <c r="AI253" s="5" t="str">
        <f>IF(L253="","",VLOOKUP($L253,classifications!$C:$J,8,FALSE))</f>
        <v/>
      </c>
      <c r="AJ253" s="43" t="str">
        <f t="shared" si="108"/>
        <v/>
      </c>
      <c r="AK253" s="40" t="str">
        <f>IF(AJ253="","",IF(I$8="A",(RANK(AJ253,AJ$11:AJ$349,1)+COUNTIF(AJ$11:AJ253,AJ253)-1),(RANK(AJ253,AJ$11:AJ$349)+COUNTIF(AJ$11:AJ253,AJ253)-1)))</f>
        <v/>
      </c>
      <c r="AL253" s="3" t="str">
        <f t="shared" si="109"/>
        <v/>
      </c>
      <c r="AM253" t="str">
        <f t="shared" si="110"/>
        <v/>
      </c>
      <c r="AN253" t="str">
        <f t="shared" si="111"/>
        <v/>
      </c>
      <c r="AP253" s="5" t="str">
        <f>IF(L253="","",VLOOKUP($L253,classifications!$C:$E,3,FALSE))</f>
        <v/>
      </c>
      <c r="AQ253" s="43" t="str">
        <f t="shared" si="112"/>
        <v/>
      </c>
      <c r="AR253" s="40" t="str">
        <f>IF(AQ253="","",IF(I$8="A",(RANK(AQ253,AQ$11:AQ$349,1)+COUNTIF(AQ$11:AQ253,AQ253)-1),(RANK(AQ253,AQ$11:AQ$349)+COUNTIF(AQ$11:AQ253,AQ253)-1)))</f>
        <v/>
      </c>
      <c r="AS253" s="3" t="str">
        <f t="shared" si="113"/>
        <v/>
      </c>
      <c r="AT253" s="40" t="str">
        <f t="shared" si="114"/>
        <v/>
      </c>
      <c r="AU253" s="43" t="str">
        <f t="shared" si="115"/>
        <v/>
      </c>
      <c r="AX253" t="e">
        <f>HLOOKUP($AX$9&amp;$AX$10,Data!$A$1:$ZZ$1988,(MATCH($C253,Data!$A$1:$A$1988,0)),FALSE)</f>
        <v>#N/A</v>
      </c>
    </row>
    <row r="254" spans="1:50">
      <c r="A254" s="59" t="str">
        <f>$D$1&amp;244</f>
        <v>UA244</v>
      </c>
      <c r="B254" s="60">
        <f>IF(ISERROR(VLOOKUP(A254,classifications!A:C,3,FALSE)),0,VLOOKUP(A254,classifications!A:C,3,FALSE))</f>
        <v>0</v>
      </c>
      <c r="C254" t="s">
        <v>899</v>
      </c>
      <c r="D254" t="str">
        <f>VLOOKUP($C254,classifications!$C:$J,4,FALSE)</f>
        <v>SD</v>
      </c>
      <c r="E254" t="str">
        <f>VLOOKUP(C254,classifications!C:K,9,FALSE)</f>
        <v>Sparse</v>
      </c>
      <c r="F254">
        <f t="shared" si="92"/>
        <v>76.923076923076934</v>
      </c>
      <c r="G254" s="15"/>
      <c r="H254" s="42" t="str">
        <f t="shared" si="93"/>
        <v/>
      </c>
      <c r="I254" s="79" t="str">
        <f>IF(H254="","",IF($I$8="A",(RANK(H254,H$11:H$349,1)+COUNTIF(H$11:H254,H254)-1),(RANK(H254,H$11:H$349)+COUNTIF(H$11:H254,H254)-1)))</f>
        <v/>
      </c>
      <c r="J254" s="41"/>
      <c r="K254" s="36" t="str">
        <f t="shared" si="94"/>
        <v/>
      </c>
      <c r="L254" t="str">
        <f t="shared" si="95"/>
        <v/>
      </c>
      <c r="M254" s="117" t="str">
        <f t="shared" si="96"/>
        <v/>
      </c>
      <c r="N254" s="112" t="str">
        <f t="shared" si="97"/>
        <v/>
      </c>
      <c r="O254" s="96" t="str">
        <f t="shared" si="98"/>
        <v/>
      </c>
      <c r="P254" s="96" t="str">
        <f t="shared" si="99"/>
        <v/>
      </c>
      <c r="Q254" s="96" t="str">
        <f t="shared" si="100"/>
        <v/>
      </c>
      <c r="R254" s="92" t="str">
        <f t="shared" si="101"/>
        <v/>
      </c>
      <c r="S254" s="42" t="str">
        <f t="shared" si="102"/>
        <v/>
      </c>
      <c r="T254" s="176" t="str">
        <f>IF(L254="","",VLOOKUP(L254,classifications!C:K,9,FALSE))</f>
        <v/>
      </c>
      <c r="U254" s="177" t="str">
        <f t="shared" si="103"/>
        <v/>
      </c>
      <c r="V254" s="183" t="str">
        <f>IF(U254="","",IF($I$8="A",(RANK(U254,U$11:U$349)+COUNTIF(U$11:U254,U254)-1),(RANK(U254,U$11:U$349,1)+COUNTIF(U$11:U254,U254)-1)))</f>
        <v/>
      </c>
      <c r="W254" s="184"/>
      <c r="X254" s="5" t="str">
        <f>IF(L254="","",VLOOKUP($L254,classifications!$C:$J,6,FALSE))</f>
        <v/>
      </c>
      <c r="Y254" t="str">
        <f t="shared" si="104"/>
        <v/>
      </c>
      <c r="Z254" s="40" t="str">
        <f>IF(Y254="","",IF(I$8="A",(RANK(Y254,Y$11:Y$349,1)+COUNTIF(Y$11:Y254,Y254)-1),(RANK(Y254,Y$11:Y$349)+COUNTIF(Y$11:Y254,Y254)-1)))</f>
        <v/>
      </c>
      <c r="AA254" s="189" t="str">
        <f>IF(L254="","",VLOOKUP($L254,classifications!C:I,7,FALSE))</f>
        <v/>
      </c>
      <c r="AB254" s="183" t="str">
        <f t="shared" si="105"/>
        <v/>
      </c>
      <c r="AC254" s="183" t="str">
        <f>IF(AB254="","",IF($I$8="A",(RANK(AB254,AB$11:AB$349)+COUNTIF(AB$11:AB254,AB254)-1),(RANK(AB254,AB$11:AB$349,1)+COUNTIF(AB$11:AB254,AB254)-1)))</f>
        <v/>
      </c>
      <c r="AD254" s="183"/>
      <c r="AE254" s="49">
        <f>IF(I$8="A",(RANK(AG254,AG$11:AG$349,1)+COUNTIF(AG$11:AG254,AG254)-1),(RANK(AG254,AG$11:AG$349)+COUNTIF(AG$11:AG254,AG254)-1))</f>
        <v>244</v>
      </c>
      <c r="AF254" t="str">
        <f>VLOOKUP(Profile!$J$5,Families!$C:$R,6,FALSE)</f>
        <v>Herefordshire</v>
      </c>
      <c r="AG254" s="15">
        <f t="shared" si="106"/>
        <v>62.711864406779661</v>
      </c>
      <c r="AH254" s="50">
        <f t="shared" si="107"/>
        <v>244</v>
      </c>
      <c r="AI254" s="5" t="str">
        <f>IF(L254="","",VLOOKUP($L254,classifications!$C:$J,8,FALSE))</f>
        <v/>
      </c>
      <c r="AJ254" s="43" t="str">
        <f t="shared" si="108"/>
        <v/>
      </c>
      <c r="AK254" s="40" t="str">
        <f>IF(AJ254="","",IF(I$8="A",(RANK(AJ254,AJ$11:AJ$349,1)+COUNTIF(AJ$11:AJ254,AJ254)-1),(RANK(AJ254,AJ$11:AJ$349)+COUNTIF(AJ$11:AJ254,AJ254)-1)))</f>
        <v/>
      </c>
      <c r="AL254" s="3" t="str">
        <f t="shared" si="109"/>
        <v/>
      </c>
      <c r="AM254" t="str">
        <f t="shared" si="110"/>
        <v/>
      </c>
      <c r="AN254" t="str">
        <f t="shared" si="111"/>
        <v/>
      </c>
      <c r="AP254" s="5" t="str">
        <f>IF(L254="","",VLOOKUP($L254,classifications!$C:$E,3,FALSE))</f>
        <v/>
      </c>
      <c r="AQ254" s="43" t="str">
        <f t="shared" si="112"/>
        <v/>
      </c>
      <c r="AR254" s="40" t="str">
        <f>IF(AQ254="","",IF(I$8="A",(RANK(AQ254,AQ$11:AQ$349,1)+COUNTIF(AQ$11:AQ254,AQ254)-1),(RANK(AQ254,AQ$11:AQ$349)+COUNTIF(AQ$11:AQ254,AQ254)-1)))</f>
        <v/>
      </c>
      <c r="AS254" s="3" t="str">
        <f t="shared" si="113"/>
        <v/>
      </c>
      <c r="AT254" s="40" t="str">
        <f t="shared" si="114"/>
        <v/>
      </c>
      <c r="AU254" s="43" t="str">
        <f t="shared" si="115"/>
        <v/>
      </c>
      <c r="AX254">
        <f>HLOOKUP($AX$9&amp;$AX$10,Data!$A$1:$ZZ$1988,(MATCH($C254,Data!$A$1:$A$1988,0)),FALSE)</f>
        <v>76.923076923076934</v>
      </c>
    </row>
    <row r="255" spans="1:50">
      <c r="A255" s="59" t="str">
        <f>$D$1&amp;245</f>
        <v>UA245</v>
      </c>
      <c r="B255" s="60">
        <f>IF(ISERROR(VLOOKUP(A255,classifications!A:C,3,FALSE)),0,VLOOKUP(A255,classifications!A:C,3,FALSE))</f>
        <v>0</v>
      </c>
      <c r="C255" t="s">
        <v>138</v>
      </c>
      <c r="D255" t="str">
        <f>VLOOKUP($C255,classifications!$C:$J,4,FALSE)</f>
        <v>SD</v>
      </c>
      <c r="E255" t="str">
        <f>VLOOKUP(C255,classifications!C:K,9,FALSE)</f>
        <v>Sparse</v>
      </c>
      <c r="F255">
        <f t="shared" si="92"/>
        <v>69.117647058823522</v>
      </c>
      <c r="G255" s="15"/>
      <c r="H255" s="42" t="str">
        <f t="shared" si="93"/>
        <v/>
      </c>
      <c r="I255" s="79" t="str">
        <f>IF(H255="","",IF($I$8="A",(RANK(H255,H$11:H$349,1)+COUNTIF(H$11:H255,H255)-1),(RANK(H255,H$11:H$349)+COUNTIF(H$11:H255,H255)-1)))</f>
        <v/>
      </c>
      <c r="J255" s="41"/>
      <c r="K255" s="36" t="str">
        <f t="shared" si="94"/>
        <v/>
      </c>
      <c r="L255" t="str">
        <f t="shared" si="95"/>
        <v/>
      </c>
      <c r="M255" s="117" t="str">
        <f t="shared" si="96"/>
        <v/>
      </c>
      <c r="N255" s="112" t="str">
        <f t="shared" si="97"/>
        <v/>
      </c>
      <c r="O255" s="96" t="str">
        <f t="shared" si="98"/>
        <v/>
      </c>
      <c r="P255" s="96" t="str">
        <f t="shared" si="99"/>
        <v/>
      </c>
      <c r="Q255" s="96" t="str">
        <f t="shared" si="100"/>
        <v/>
      </c>
      <c r="R255" s="92" t="str">
        <f t="shared" si="101"/>
        <v/>
      </c>
      <c r="S255" s="42" t="str">
        <f t="shared" si="102"/>
        <v/>
      </c>
      <c r="T255" s="176" t="str">
        <f>IF(L255="","",VLOOKUP(L255,classifications!C:K,9,FALSE))</f>
        <v/>
      </c>
      <c r="U255" s="177" t="str">
        <f t="shared" si="103"/>
        <v/>
      </c>
      <c r="V255" s="183" t="str">
        <f>IF(U255="","",IF($I$8="A",(RANK(U255,U$11:U$349)+COUNTIF(U$11:U255,U255)-1),(RANK(U255,U$11:U$349,1)+COUNTIF(U$11:U255,U255)-1)))</f>
        <v/>
      </c>
      <c r="W255" s="184"/>
      <c r="X255" s="5" t="str">
        <f>IF(L255="","",VLOOKUP($L255,classifications!$C:$J,6,FALSE))</f>
        <v/>
      </c>
      <c r="Y255" t="str">
        <f t="shared" si="104"/>
        <v/>
      </c>
      <c r="Z255" s="40" t="str">
        <f>IF(Y255="","",IF(I$8="A",(RANK(Y255,Y$11:Y$349,1)+COUNTIF(Y$11:Y255,Y255)-1),(RANK(Y255,Y$11:Y$349)+COUNTIF(Y$11:Y255,Y255)-1)))</f>
        <v/>
      </c>
      <c r="AA255" s="189" t="str">
        <f>IF(L255="","",VLOOKUP($L255,classifications!C:I,7,FALSE))</f>
        <v/>
      </c>
      <c r="AB255" s="183" t="str">
        <f t="shared" si="105"/>
        <v/>
      </c>
      <c r="AC255" s="183" t="str">
        <f>IF(AB255="","",IF($I$8="A",(RANK(AB255,AB$11:AB$349)+COUNTIF(AB$11:AB255,AB255)-1),(RANK(AB255,AB$11:AB$349,1)+COUNTIF(AB$11:AB255,AB255)-1)))</f>
        <v/>
      </c>
      <c r="AD255" s="183"/>
      <c r="AE255" s="49">
        <f>IF(I$8="A",(RANK(AG255,AG$11:AG$349,1)+COUNTIF(AG$11:AG255,AG255)-1),(RANK(AG255,AG$11:AG$349)+COUNTIF(AG$11:AG255,AG255)-1))</f>
        <v>245</v>
      </c>
      <c r="AF255" t="str">
        <f>VLOOKUP(Profile!$J$5,Families!$C:$R,6,FALSE)</f>
        <v>Herefordshire</v>
      </c>
      <c r="AG255" s="15">
        <f t="shared" si="106"/>
        <v>62.711864406779661</v>
      </c>
      <c r="AH255" s="50">
        <f t="shared" si="107"/>
        <v>245</v>
      </c>
      <c r="AI255" s="5" t="str">
        <f>IF(L255="","",VLOOKUP($L255,classifications!$C:$J,8,FALSE))</f>
        <v/>
      </c>
      <c r="AJ255" s="43" t="str">
        <f t="shared" si="108"/>
        <v/>
      </c>
      <c r="AK255" s="40" t="str">
        <f>IF(AJ255="","",IF(I$8="A",(RANK(AJ255,AJ$11:AJ$349,1)+COUNTIF(AJ$11:AJ255,AJ255)-1),(RANK(AJ255,AJ$11:AJ$349)+COUNTIF(AJ$11:AJ255,AJ255)-1)))</f>
        <v/>
      </c>
      <c r="AL255" s="3" t="str">
        <f t="shared" si="109"/>
        <v/>
      </c>
      <c r="AM255" t="str">
        <f t="shared" si="110"/>
        <v/>
      </c>
      <c r="AN255" t="str">
        <f t="shared" si="111"/>
        <v/>
      </c>
      <c r="AP255" s="5" t="str">
        <f>IF(L255="","",VLOOKUP($L255,classifications!$C:$E,3,FALSE))</f>
        <v/>
      </c>
      <c r="AQ255" s="43" t="str">
        <f t="shared" si="112"/>
        <v/>
      </c>
      <c r="AR255" s="40" t="str">
        <f>IF(AQ255="","",IF(I$8="A",(RANK(AQ255,AQ$11:AQ$349,1)+COUNTIF(AQ$11:AQ255,AQ255)-1),(RANK(AQ255,AQ$11:AQ$349)+COUNTIF(AQ$11:AQ255,AQ255)-1)))</f>
        <v/>
      </c>
      <c r="AS255" s="3" t="str">
        <f t="shared" si="113"/>
        <v/>
      </c>
      <c r="AT255" s="40" t="str">
        <f t="shared" si="114"/>
        <v/>
      </c>
      <c r="AU255" s="43" t="str">
        <f t="shared" si="115"/>
        <v/>
      </c>
      <c r="AX255">
        <f>HLOOKUP($AX$9&amp;$AX$10,Data!$A$1:$ZZ$1988,(MATCH($C255,Data!$A$1:$A$1988,0)),FALSE)</f>
        <v>69.117647058823522</v>
      </c>
    </row>
    <row r="256" spans="1:50">
      <c r="A256" s="59" t="str">
        <f>$D$1&amp;246</f>
        <v>UA246</v>
      </c>
      <c r="B256" s="60">
        <f>IF(ISERROR(VLOOKUP(A256,classifications!A:C,3,FALSE)),0,VLOOKUP(A256,classifications!A:C,3,FALSE))</f>
        <v>0</v>
      </c>
      <c r="C256" t="s">
        <v>139</v>
      </c>
      <c r="D256" t="str">
        <f>VLOOKUP($C256,classifications!$C:$J,4,FALSE)</f>
        <v>SD</v>
      </c>
      <c r="E256">
        <f>VLOOKUP(C256,classifications!C:K,9,FALSE)</f>
        <v>0</v>
      </c>
      <c r="F256">
        <f t="shared" si="92"/>
        <v>91.891891891891902</v>
      </c>
      <c r="G256" s="15"/>
      <c r="H256" s="42" t="str">
        <f t="shared" si="93"/>
        <v/>
      </c>
      <c r="I256" s="79" t="str">
        <f>IF(H256="","",IF($I$8="A",(RANK(H256,H$11:H$349,1)+COUNTIF(H$11:H256,H256)-1),(RANK(H256,H$11:H$349)+COUNTIF(H$11:H256,H256)-1)))</f>
        <v/>
      </c>
      <c r="J256" s="41"/>
      <c r="K256" s="36" t="str">
        <f t="shared" si="94"/>
        <v/>
      </c>
      <c r="L256" t="str">
        <f t="shared" si="95"/>
        <v/>
      </c>
      <c r="M256" s="117" t="str">
        <f t="shared" si="96"/>
        <v/>
      </c>
      <c r="N256" s="112" t="str">
        <f t="shared" si="97"/>
        <v/>
      </c>
      <c r="O256" s="96" t="str">
        <f t="shared" si="98"/>
        <v/>
      </c>
      <c r="P256" s="96" t="str">
        <f t="shared" si="99"/>
        <v/>
      </c>
      <c r="Q256" s="96" t="str">
        <f t="shared" si="100"/>
        <v/>
      </c>
      <c r="R256" s="92" t="str">
        <f t="shared" si="101"/>
        <v/>
      </c>
      <c r="S256" s="42" t="str">
        <f t="shared" si="102"/>
        <v/>
      </c>
      <c r="T256" s="176" t="str">
        <f>IF(L256="","",VLOOKUP(L256,classifications!C:K,9,FALSE))</f>
        <v/>
      </c>
      <c r="U256" s="177" t="str">
        <f t="shared" si="103"/>
        <v/>
      </c>
      <c r="V256" s="183" t="str">
        <f>IF(U256="","",IF($I$8="A",(RANK(U256,U$11:U$349)+COUNTIF(U$11:U256,U256)-1),(RANK(U256,U$11:U$349,1)+COUNTIF(U$11:U256,U256)-1)))</f>
        <v/>
      </c>
      <c r="W256" s="184"/>
      <c r="X256" s="5" t="str">
        <f>IF(L256="","",VLOOKUP($L256,classifications!$C:$J,6,FALSE))</f>
        <v/>
      </c>
      <c r="Y256" t="str">
        <f t="shared" si="104"/>
        <v/>
      </c>
      <c r="Z256" s="40" t="str">
        <f>IF(Y256="","",IF(I$8="A",(RANK(Y256,Y$11:Y$349,1)+COUNTIF(Y$11:Y256,Y256)-1),(RANK(Y256,Y$11:Y$349)+COUNTIF(Y$11:Y256,Y256)-1)))</f>
        <v/>
      </c>
      <c r="AA256" s="189" t="str">
        <f>IF(L256="","",VLOOKUP($L256,classifications!C:I,7,FALSE))</f>
        <v/>
      </c>
      <c r="AB256" s="183" t="str">
        <f t="shared" si="105"/>
        <v/>
      </c>
      <c r="AC256" s="183" t="str">
        <f>IF(AB256="","",IF($I$8="A",(RANK(AB256,AB$11:AB$349)+COUNTIF(AB$11:AB256,AB256)-1),(RANK(AB256,AB$11:AB$349,1)+COUNTIF(AB$11:AB256,AB256)-1)))</f>
        <v/>
      </c>
      <c r="AD256" s="183"/>
      <c r="AE256" s="49">
        <f>IF(I$8="A",(RANK(AG256,AG$11:AG$349,1)+COUNTIF(AG$11:AG256,AG256)-1),(RANK(AG256,AG$11:AG$349)+COUNTIF(AG$11:AG256,AG256)-1))</f>
        <v>246</v>
      </c>
      <c r="AF256" t="str">
        <f>VLOOKUP(Profile!$J$5,Families!$C:$R,6,FALSE)</f>
        <v>Herefordshire</v>
      </c>
      <c r="AG256" s="15">
        <f t="shared" si="106"/>
        <v>62.711864406779661</v>
      </c>
      <c r="AH256" s="50">
        <f t="shared" si="107"/>
        <v>246</v>
      </c>
      <c r="AI256" s="5" t="str">
        <f>IF(L256="","",VLOOKUP($L256,classifications!$C:$J,8,FALSE))</f>
        <v/>
      </c>
      <c r="AJ256" s="43" t="str">
        <f t="shared" si="108"/>
        <v/>
      </c>
      <c r="AK256" s="40" t="str">
        <f>IF(AJ256="","",IF(I$8="A",(RANK(AJ256,AJ$11:AJ$349,1)+COUNTIF(AJ$11:AJ256,AJ256)-1),(RANK(AJ256,AJ$11:AJ$349)+COUNTIF(AJ$11:AJ256,AJ256)-1)))</f>
        <v/>
      </c>
      <c r="AL256" s="3" t="str">
        <f t="shared" si="109"/>
        <v/>
      </c>
      <c r="AM256" t="str">
        <f t="shared" si="110"/>
        <v/>
      </c>
      <c r="AN256" t="str">
        <f t="shared" si="111"/>
        <v/>
      </c>
      <c r="AP256" s="5" t="str">
        <f>IF(L256="","",VLOOKUP($L256,classifications!$C:$E,3,FALSE))</f>
        <v/>
      </c>
      <c r="AQ256" s="43" t="str">
        <f t="shared" si="112"/>
        <v/>
      </c>
      <c r="AR256" s="40" t="str">
        <f>IF(AQ256="","",IF(I$8="A",(RANK(AQ256,AQ$11:AQ$349,1)+COUNTIF(AQ$11:AQ256,AQ256)-1),(RANK(AQ256,AQ$11:AQ$349)+COUNTIF(AQ$11:AQ256,AQ256)-1)))</f>
        <v/>
      </c>
      <c r="AS256" s="3" t="str">
        <f t="shared" si="113"/>
        <v/>
      </c>
      <c r="AT256" s="40" t="str">
        <f t="shared" si="114"/>
        <v/>
      </c>
      <c r="AU256" s="43" t="str">
        <f t="shared" si="115"/>
        <v/>
      </c>
      <c r="AX256">
        <f>HLOOKUP($AX$9&amp;$AX$10,Data!$A$1:$ZZ$1988,(MATCH($C256,Data!$A$1:$A$1988,0)),FALSE)</f>
        <v>91.891891891891902</v>
      </c>
    </row>
    <row r="257" spans="1:50">
      <c r="A257" s="59" t="str">
        <f>$D$1&amp;247</f>
        <v>UA247</v>
      </c>
      <c r="B257" s="60">
        <f>IF(ISERROR(VLOOKUP(A257,classifications!A:C,3,FALSE)),0,VLOOKUP(A257,classifications!A:C,3,FALSE))</f>
        <v>0</v>
      </c>
      <c r="C257" t="s">
        <v>287</v>
      </c>
      <c r="D257" t="str">
        <f>VLOOKUP($C257,classifications!$C:$J,4,FALSE)</f>
        <v>UA</v>
      </c>
      <c r="E257">
        <f>VLOOKUP(C257,classifications!C:K,9,FALSE)</f>
        <v>0</v>
      </c>
      <c r="F257">
        <f t="shared" si="92"/>
        <v>89.393939393939391</v>
      </c>
      <c r="G257" s="15"/>
      <c r="H257" s="42">
        <f t="shared" si="93"/>
        <v>89.393939393939391</v>
      </c>
      <c r="I257" s="79">
        <f>IF(H257="","",IF($I$8="A",(RANK(H257,H$11:H$349,1)+COUNTIF(H$11:H257,H257)-1),(RANK(H257,H$11:H$349)+COUNTIF(H$11:H257,H257)-1)))</f>
        <v>30</v>
      </c>
      <c r="J257" s="41"/>
      <c r="K257" s="36" t="str">
        <f t="shared" si="94"/>
        <v/>
      </c>
      <c r="L257" t="str">
        <f t="shared" si="95"/>
        <v/>
      </c>
      <c r="M257" s="117" t="str">
        <f t="shared" si="96"/>
        <v/>
      </c>
      <c r="N257" s="112" t="str">
        <f t="shared" si="97"/>
        <v/>
      </c>
      <c r="O257" s="96" t="str">
        <f t="shared" si="98"/>
        <v/>
      </c>
      <c r="P257" s="96" t="str">
        <f t="shared" si="99"/>
        <v/>
      </c>
      <c r="Q257" s="96" t="str">
        <f t="shared" si="100"/>
        <v/>
      </c>
      <c r="R257" s="92" t="str">
        <f t="shared" si="101"/>
        <v/>
      </c>
      <c r="S257" s="42" t="str">
        <f t="shared" si="102"/>
        <v/>
      </c>
      <c r="T257" s="176" t="str">
        <f>IF(L257="","",VLOOKUP(L257,classifications!C:K,9,FALSE))</f>
        <v/>
      </c>
      <c r="U257" s="177" t="str">
        <f t="shared" si="103"/>
        <v/>
      </c>
      <c r="V257" s="183" t="str">
        <f>IF(U257="","",IF($I$8="A",(RANK(U257,U$11:U$349)+COUNTIF(U$11:U257,U257)-1),(RANK(U257,U$11:U$349,1)+COUNTIF(U$11:U257,U257)-1)))</f>
        <v/>
      </c>
      <c r="W257" s="184"/>
      <c r="X257" s="5" t="str">
        <f>IF(L257="","",VLOOKUP($L257,classifications!$C:$J,6,FALSE))</f>
        <v/>
      </c>
      <c r="Y257" t="str">
        <f t="shared" si="104"/>
        <v/>
      </c>
      <c r="Z257" s="40" t="str">
        <f>IF(Y257="","",IF(I$8="A",(RANK(Y257,Y$11:Y$349,1)+COUNTIF(Y$11:Y257,Y257)-1),(RANK(Y257,Y$11:Y$349)+COUNTIF(Y$11:Y257,Y257)-1)))</f>
        <v/>
      </c>
      <c r="AA257" s="189" t="str">
        <f>IF(L257="","",VLOOKUP($L257,classifications!C:I,7,FALSE))</f>
        <v/>
      </c>
      <c r="AB257" s="183" t="str">
        <f t="shared" si="105"/>
        <v/>
      </c>
      <c r="AC257" s="183" t="str">
        <f>IF(AB257="","",IF($I$8="A",(RANK(AB257,AB$11:AB$349)+COUNTIF(AB$11:AB257,AB257)-1),(RANK(AB257,AB$11:AB$349,1)+COUNTIF(AB$11:AB257,AB257)-1)))</f>
        <v/>
      </c>
      <c r="AD257" s="183"/>
      <c r="AE257" s="49">
        <f>IF(I$8="A",(RANK(AG257,AG$11:AG$349,1)+COUNTIF(AG$11:AG257,AG257)-1),(RANK(AG257,AG$11:AG$349)+COUNTIF(AG$11:AG257,AG257)-1))</f>
        <v>247</v>
      </c>
      <c r="AF257" t="str">
        <f>VLOOKUP(Profile!$J$5,Families!$C:$R,6,FALSE)</f>
        <v>Herefordshire</v>
      </c>
      <c r="AG257" s="15">
        <f t="shared" si="106"/>
        <v>62.711864406779661</v>
      </c>
      <c r="AH257" s="50">
        <f t="shared" si="107"/>
        <v>247</v>
      </c>
      <c r="AI257" s="5" t="str">
        <f>IF(L257="","",VLOOKUP($L257,classifications!$C:$J,8,FALSE))</f>
        <v/>
      </c>
      <c r="AJ257" s="43" t="str">
        <f t="shared" si="108"/>
        <v/>
      </c>
      <c r="AK257" s="40" t="str">
        <f>IF(AJ257="","",IF(I$8="A",(RANK(AJ257,AJ$11:AJ$349,1)+COUNTIF(AJ$11:AJ257,AJ257)-1),(RANK(AJ257,AJ$11:AJ$349)+COUNTIF(AJ$11:AJ257,AJ257)-1)))</f>
        <v/>
      </c>
      <c r="AL257" s="3" t="str">
        <f t="shared" si="109"/>
        <v/>
      </c>
      <c r="AM257" t="str">
        <f t="shared" si="110"/>
        <v/>
      </c>
      <c r="AN257" t="str">
        <f t="shared" si="111"/>
        <v/>
      </c>
      <c r="AP257" s="5" t="str">
        <f>IF(L257="","",VLOOKUP($L257,classifications!$C:$E,3,FALSE))</f>
        <v/>
      </c>
      <c r="AQ257" s="43" t="str">
        <f t="shared" si="112"/>
        <v/>
      </c>
      <c r="AR257" s="40" t="str">
        <f>IF(AQ257="","",IF(I$8="A",(RANK(AQ257,AQ$11:AQ$349,1)+COUNTIF(AQ$11:AQ257,AQ257)-1),(RANK(AQ257,AQ$11:AQ$349)+COUNTIF(AQ$11:AQ257,AQ257)-1)))</f>
        <v/>
      </c>
      <c r="AS257" s="3" t="str">
        <f t="shared" si="113"/>
        <v/>
      </c>
      <c r="AT257" s="40" t="str">
        <f t="shared" si="114"/>
        <v/>
      </c>
      <c r="AU257" s="43" t="str">
        <f t="shared" si="115"/>
        <v/>
      </c>
      <c r="AX257">
        <f>HLOOKUP($AX$9&amp;$AX$10,Data!$A$1:$ZZ$1988,(MATCH($C257,Data!$A$1:$A$1988,0)),FALSE)</f>
        <v>89.393939393939391</v>
      </c>
    </row>
    <row r="258" spans="1:50">
      <c r="A258" s="59" t="str">
        <f>$D$1&amp;248</f>
        <v>UA248</v>
      </c>
      <c r="B258" s="60">
        <f>IF(ISERROR(VLOOKUP(A258,classifications!A:C,3,FALSE)),0,VLOOKUP(A258,classifications!A:C,3,FALSE))</f>
        <v>0</v>
      </c>
      <c r="C258" t="s">
        <v>140</v>
      </c>
      <c r="D258" t="str">
        <f>VLOOKUP($C258,classifications!$C:$J,4,FALSE)</f>
        <v>SD</v>
      </c>
      <c r="E258" t="str">
        <f>VLOOKUP(C258,classifications!C:K,9,FALSE)</f>
        <v>Sparse</v>
      </c>
      <c r="F258">
        <f t="shared" si="92"/>
        <v>75.757575757575751</v>
      </c>
      <c r="G258" s="15"/>
      <c r="H258" s="42" t="str">
        <f t="shared" si="93"/>
        <v/>
      </c>
      <c r="I258" s="79" t="str">
        <f>IF(H258="","",IF($I$8="A",(RANK(H258,H$11:H$349,1)+COUNTIF(H$11:H258,H258)-1),(RANK(H258,H$11:H$349)+COUNTIF(H$11:H258,H258)-1)))</f>
        <v/>
      </c>
      <c r="J258" s="41"/>
      <c r="K258" s="36" t="str">
        <f t="shared" si="94"/>
        <v/>
      </c>
      <c r="L258" t="str">
        <f t="shared" si="95"/>
        <v/>
      </c>
      <c r="M258" s="117" t="str">
        <f t="shared" si="96"/>
        <v/>
      </c>
      <c r="N258" s="112" t="str">
        <f t="shared" si="97"/>
        <v/>
      </c>
      <c r="O258" s="96" t="str">
        <f t="shared" si="98"/>
        <v/>
      </c>
      <c r="P258" s="96" t="str">
        <f t="shared" si="99"/>
        <v/>
      </c>
      <c r="Q258" s="96" t="str">
        <f t="shared" si="100"/>
        <v/>
      </c>
      <c r="R258" s="92" t="str">
        <f t="shared" si="101"/>
        <v/>
      </c>
      <c r="S258" s="42" t="str">
        <f t="shared" si="102"/>
        <v/>
      </c>
      <c r="T258" s="176" t="str">
        <f>IF(L258="","",VLOOKUP(L258,classifications!C:K,9,FALSE))</f>
        <v/>
      </c>
      <c r="U258" s="177" t="str">
        <f t="shared" si="103"/>
        <v/>
      </c>
      <c r="V258" s="183" t="str">
        <f>IF(U258="","",IF($I$8="A",(RANK(U258,U$11:U$349)+COUNTIF(U$11:U258,U258)-1),(RANK(U258,U$11:U$349,1)+COUNTIF(U$11:U258,U258)-1)))</f>
        <v/>
      </c>
      <c r="W258" s="184"/>
      <c r="X258" s="5" t="str">
        <f>IF(L258="","",VLOOKUP($L258,classifications!$C:$J,6,FALSE))</f>
        <v/>
      </c>
      <c r="Y258" t="str">
        <f t="shared" si="104"/>
        <v/>
      </c>
      <c r="Z258" s="40" t="str">
        <f>IF(Y258="","",IF(I$8="A",(RANK(Y258,Y$11:Y$349,1)+COUNTIF(Y$11:Y258,Y258)-1),(RANK(Y258,Y$11:Y$349)+COUNTIF(Y$11:Y258,Y258)-1)))</f>
        <v/>
      </c>
      <c r="AA258" s="189" t="str">
        <f>IF(L258="","",VLOOKUP($L258,classifications!C:I,7,FALSE))</f>
        <v/>
      </c>
      <c r="AB258" s="183" t="str">
        <f t="shared" si="105"/>
        <v/>
      </c>
      <c r="AC258" s="183" t="str">
        <f>IF(AB258="","",IF($I$8="A",(RANK(AB258,AB$11:AB$349)+COUNTIF(AB$11:AB258,AB258)-1),(RANK(AB258,AB$11:AB$349,1)+COUNTIF(AB$11:AB258,AB258)-1)))</f>
        <v/>
      </c>
      <c r="AD258" s="183"/>
      <c r="AE258" s="49">
        <f>IF(I$8="A",(RANK(AG258,AG$11:AG$349,1)+COUNTIF(AG$11:AG258,AG258)-1),(RANK(AG258,AG$11:AG$349)+COUNTIF(AG$11:AG258,AG258)-1))</f>
        <v>248</v>
      </c>
      <c r="AF258" t="str">
        <f>VLOOKUP(Profile!$J$5,Families!$C:$R,6,FALSE)</f>
        <v>Herefordshire</v>
      </c>
      <c r="AG258" s="15">
        <f t="shared" si="106"/>
        <v>62.711864406779661</v>
      </c>
      <c r="AH258" s="50">
        <f t="shared" si="107"/>
        <v>248</v>
      </c>
      <c r="AI258" s="5" t="str">
        <f>IF(L258="","",VLOOKUP($L258,classifications!$C:$J,8,FALSE))</f>
        <v/>
      </c>
      <c r="AJ258" s="43" t="str">
        <f t="shared" si="108"/>
        <v/>
      </c>
      <c r="AK258" s="40" t="str">
        <f>IF(AJ258="","",IF(I$8="A",(RANK(AJ258,AJ$11:AJ$349,1)+COUNTIF(AJ$11:AJ258,AJ258)-1),(RANK(AJ258,AJ$11:AJ$349)+COUNTIF(AJ$11:AJ258,AJ258)-1)))</f>
        <v/>
      </c>
      <c r="AL258" s="3" t="str">
        <f t="shared" si="109"/>
        <v/>
      </c>
      <c r="AM258" t="str">
        <f t="shared" si="110"/>
        <v/>
      </c>
      <c r="AN258" t="str">
        <f t="shared" si="111"/>
        <v/>
      </c>
      <c r="AP258" s="5" t="str">
        <f>IF(L258="","",VLOOKUP($L258,classifications!$C:$E,3,FALSE))</f>
        <v/>
      </c>
      <c r="AQ258" s="43" t="str">
        <f t="shared" si="112"/>
        <v/>
      </c>
      <c r="AR258" s="40" t="str">
        <f>IF(AQ258="","",IF(I$8="A",(RANK(AQ258,AQ$11:AQ$349,1)+COUNTIF(AQ$11:AQ258,AQ258)-1),(RANK(AQ258,AQ$11:AQ$349)+COUNTIF(AQ$11:AQ258,AQ258)-1)))</f>
        <v/>
      </c>
      <c r="AS258" s="3" t="str">
        <f t="shared" si="113"/>
        <v/>
      </c>
      <c r="AT258" s="40" t="str">
        <f t="shared" si="114"/>
        <v/>
      </c>
      <c r="AU258" s="43" t="str">
        <f t="shared" si="115"/>
        <v/>
      </c>
      <c r="AX258">
        <f>HLOOKUP($AX$9&amp;$AX$10,Data!$A$1:$ZZ$1988,(MATCH($C258,Data!$A$1:$A$1988,0)),FALSE)</f>
        <v>75.757575757575751</v>
      </c>
    </row>
    <row r="259" spans="1:50">
      <c r="A259" s="59" t="str">
        <f>$D$1&amp;249</f>
        <v>UA249</v>
      </c>
      <c r="B259" s="60">
        <f>IF(ISERROR(VLOOKUP(A259,classifications!A:C,3,FALSE)),0,VLOOKUP(A259,classifications!A:C,3,FALSE))</f>
        <v>0</v>
      </c>
      <c r="C259" t="s">
        <v>141</v>
      </c>
      <c r="D259" t="str">
        <f>VLOOKUP($C259,classifications!$C:$J,4,FALSE)</f>
        <v>SD</v>
      </c>
      <c r="E259" t="str">
        <f>VLOOKUP(C259,classifications!C:K,9,FALSE)</f>
        <v>Sparse</v>
      </c>
      <c r="F259">
        <f t="shared" si="92"/>
        <v>95</v>
      </c>
      <c r="G259" s="15"/>
      <c r="H259" s="42" t="str">
        <f t="shared" si="93"/>
        <v/>
      </c>
      <c r="I259" s="79" t="str">
        <f>IF(H259="","",IF($I$8="A",(RANK(H259,H$11:H$349,1)+COUNTIF(H$11:H259,H259)-1),(RANK(H259,H$11:H$349)+COUNTIF(H$11:H259,H259)-1)))</f>
        <v/>
      </c>
      <c r="J259" s="41"/>
      <c r="K259" s="36" t="str">
        <f t="shared" si="94"/>
        <v/>
      </c>
      <c r="L259" t="str">
        <f t="shared" si="95"/>
        <v/>
      </c>
      <c r="M259" s="117" t="str">
        <f t="shared" si="96"/>
        <v/>
      </c>
      <c r="N259" s="112" t="str">
        <f t="shared" si="97"/>
        <v/>
      </c>
      <c r="O259" s="96" t="str">
        <f t="shared" si="98"/>
        <v/>
      </c>
      <c r="P259" s="96" t="str">
        <f t="shared" si="99"/>
        <v/>
      </c>
      <c r="Q259" s="96" t="str">
        <f t="shared" si="100"/>
        <v/>
      </c>
      <c r="R259" s="92" t="str">
        <f t="shared" si="101"/>
        <v/>
      </c>
      <c r="S259" s="42" t="str">
        <f t="shared" si="102"/>
        <v/>
      </c>
      <c r="T259" s="176" t="str">
        <f>IF(L259="","",VLOOKUP(L259,classifications!C:K,9,FALSE))</f>
        <v/>
      </c>
      <c r="U259" s="177" t="str">
        <f t="shared" si="103"/>
        <v/>
      </c>
      <c r="V259" s="183" t="str">
        <f>IF(U259="","",IF($I$8="A",(RANK(U259,U$11:U$349)+COUNTIF(U$11:U259,U259)-1),(RANK(U259,U$11:U$349,1)+COUNTIF(U$11:U259,U259)-1)))</f>
        <v/>
      </c>
      <c r="W259" s="184"/>
      <c r="X259" s="5" t="str">
        <f>IF(L259="","",VLOOKUP($L259,classifications!$C:$J,6,FALSE))</f>
        <v/>
      </c>
      <c r="Y259" t="str">
        <f t="shared" si="104"/>
        <v/>
      </c>
      <c r="Z259" s="40" t="str">
        <f>IF(Y259="","",IF(I$8="A",(RANK(Y259,Y$11:Y$349,1)+COUNTIF(Y$11:Y259,Y259)-1),(RANK(Y259,Y$11:Y$349)+COUNTIF(Y$11:Y259,Y259)-1)))</f>
        <v/>
      </c>
      <c r="AA259" s="189" t="str">
        <f>IF(L259="","",VLOOKUP($L259,classifications!C:I,7,FALSE))</f>
        <v/>
      </c>
      <c r="AB259" s="183" t="str">
        <f t="shared" si="105"/>
        <v/>
      </c>
      <c r="AC259" s="183" t="str">
        <f>IF(AB259="","",IF($I$8="A",(RANK(AB259,AB$11:AB$349)+COUNTIF(AB$11:AB259,AB259)-1),(RANK(AB259,AB$11:AB$349,1)+COUNTIF(AB$11:AB259,AB259)-1)))</f>
        <v/>
      </c>
      <c r="AD259" s="183"/>
      <c r="AE259" s="49">
        <f>IF(I$8="A",(RANK(AG259,AG$11:AG$349,1)+COUNTIF(AG$11:AG259,AG259)-1),(RANK(AG259,AG$11:AG$349)+COUNTIF(AG$11:AG259,AG259)-1))</f>
        <v>249</v>
      </c>
      <c r="AF259" t="str">
        <f>VLOOKUP(Profile!$J$5,Families!$C:$R,6,FALSE)</f>
        <v>Herefordshire</v>
      </c>
      <c r="AG259" s="15">
        <f t="shared" si="106"/>
        <v>62.711864406779661</v>
      </c>
      <c r="AH259" s="50">
        <f t="shared" si="107"/>
        <v>249</v>
      </c>
      <c r="AI259" s="5" t="str">
        <f>IF(L259="","",VLOOKUP($L259,classifications!$C:$J,8,FALSE))</f>
        <v/>
      </c>
      <c r="AJ259" s="43" t="str">
        <f t="shared" si="108"/>
        <v/>
      </c>
      <c r="AK259" s="40" t="str">
        <f>IF(AJ259="","",IF(I$8="A",(RANK(AJ259,AJ$11:AJ$349,1)+COUNTIF(AJ$11:AJ259,AJ259)-1),(RANK(AJ259,AJ$11:AJ$349)+COUNTIF(AJ$11:AJ259,AJ259)-1)))</f>
        <v/>
      </c>
      <c r="AL259" s="3" t="str">
        <f t="shared" si="109"/>
        <v/>
      </c>
      <c r="AM259" t="str">
        <f t="shared" si="110"/>
        <v/>
      </c>
      <c r="AN259" t="str">
        <f t="shared" si="111"/>
        <v/>
      </c>
      <c r="AP259" s="5" t="str">
        <f>IF(L259="","",VLOOKUP($L259,classifications!$C:$E,3,FALSE))</f>
        <v/>
      </c>
      <c r="AQ259" s="43" t="str">
        <f t="shared" si="112"/>
        <v/>
      </c>
      <c r="AR259" s="40" t="str">
        <f>IF(AQ259="","",IF(I$8="A",(RANK(AQ259,AQ$11:AQ$349,1)+COUNTIF(AQ$11:AQ259,AQ259)-1),(RANK(AQ259,AQ$11:AQ$349)+COUNTIF(AQ$11:AQ259,AQ259)-1)))</f>
        <v/>
      </c>
      <c r="AS259" s="3" t="str">
        <f t="shared" si="113"/>
        <v/>
      </c>
      <c r="AT259" s="40" t="str">
        <f t="shared" si="114"/>
        <v/>
      </c>
      <c r="AU259" s="43" t="str">
        <f t="shared" si="115"/>
        <v/>
      </c>
      <c r="AX259">
        <f>HLOOKUP($AX$9&amp;$AX$10,Data!$A$1:$ZZ$1988,(MATCH($C259,Data!$A$1:$A$1988,0)),FALSE)</f>
        <v>95</v>
      </c>
    </row>
    <row r="260" spans="1:50">
      <c r="A260" s="59" t="str">
        <f>$D$1&amp;250</f>
        <v>UA250</v>
      </c>
      <c r="B260" s="60">
        <f>IF(ISERROR(VLOOKUP(A260,classifications!A:C,3,FALSE)),0,VLOOKUP(A260,classifications!A:C,3,FALSE))</f>
        <v>0</v>
      </c>
      <c r="C260" t="s">
        <v>142</v>
      </c>
      <c r="D260" t="str">
        <f>VLOOKUP($C260,classifications!$C:$J,4,FALSE)</f>
        <v>SD</v>
      </c>
      <c r="E260" t="str">
        <f>VLOOKUP(C260,classifications!C:K,9,FALSE)</f>
        <v>Sparse</v>
      </c>
      <c r="F260">
        <f t="shared" si="92"/>
        <v>92.307692307692307</v>
      </c>
      <c r="G260" s="15"/>
      <c r="H260" s="42" t="str">
        <f t="shared" si="93"/>
        <v/>
      </c>
      <c r="I260" s="79" t="str">
        <f>IF(H260="","",IF($I$8="A",(RANK(H260,H$11:H$349,1)+COUNTIF(H$11:H260,H260)-1),(RANK(H260,H$11:H$349)+COUNTIF(H$11:H260,H260)-1)))</f>
        <v/>
      </c>
      <c r="J260" s="41"/>
      <c r="K260" s="36" t="str">
        <f t="shared" si="94"/>
        <v/>
      </c>
      <c r="L260" t="str">
        <f t="shared" si="95"/>
        <v/>
      </c>
      <c r="M260" s="117" t="str">
        <f t="shared" si="96"/>
        <v/>
      </c>
      <c r="N260" s="112" t="str">
        <f t="shared" si="97"/>
        <v/>
      </c>
      <c r="O260" s="96" t="str">
        <f t="shared" si="98"/>
        <v/>
      </c>
      <c r="P260" s="96" t="str">
        <f t="shared" si="99"/>
        <v/>
      </c>
      <c r="Q260" s="96" t="str">
        <f t="shared" si="100"/>
        <v/>
      </c>
      <c r="R260" s="92" t="str">
        <f t="shared" si="101"/>
        <v/>
      </c>
      <c r="S260" s="42" t="str">
        <f t="shared" si="102"/>
        <v/>
      </c>
      <c r="T260" s="176" t="str">
        <f>IF(L260="","",VLOOKUP(L260,classifications!C:K,9,FALSE))</f>
        <v/>
      </c>
      <c r="U260" s="177" t="str">
        <f t="shared" si="103"/>
        <v/>
      </c>
      <c r="V260" s="183" t="str">
        <f>IF(U260="","",IF($I$8="A",(RANK(U260,U$11:U$349)+COUNTIF(U$11:U260,U260)-1),(RANK(U260,U$11:U$349,1)+COUNTIF(U$11:U260,U260)-1)))</f>
        <v/>
      </c>
      <c r="W260" s="184"/>
      <c r="X260" s="5" t="str">
        <f>IF(L260="","",VLOOKUP($L260,classifications!$C:$J,6,FALSE))</f>
        <v/>
      </c>
      <c r="Y260" t="str">
        <f t="shared" si="104"/>
        <v/>
      </c>
      <c r="Z260" s="40" t="str">
        <f>IF(Y260="","",IF(I$8="A",(RANK(Y260,Y$11:Y$349,1)+COUNTIF(Y$11:Y260,Y260)-1),(RANK(Y260,Y$11:Y$349)+COUNTIF(Y$11:Y260,Y260)-1)))</f>
        <v/>
      </c>
      <c r="AA260" s="189" t="str">
        <f>IF(L260="","",VLOOKUP($L260,classifications!C:I,7,FALSE))</f>
        <v/>
      </c>
      <c r="AB260" s="183" t="str">
        <f t="shared" si="105"/>
        <v/>
      </c>
      <c r="AC260" s="183" t="str">
        <f>IF(AB260="","",IF($I$8="A",(RANK(AB260,AB$11:AB$349)+COUNTIF(AB$11:AB260,AB260)-1),(RANK(AB260,AB$11:AB$349,1)+COUNTIF(AB$11:AB260,AB260)-1)))</f>
        <v/>
      </c>
      <c r="AD260" s="183"/>
      <c r="AE260" s="49">
        <f>IF(I$8="A",(RANK(AG260,AG$11:AG$349,1)+COUNTIF(AG$11:AG260,AG260)-1),(RANK(AG260,AG$11:AG$349)+COUNTIF(AG$11:AG260,AG260)-1))</f>
        <v>250</v>
      </c>
      <c r="AF260" t="str">
        <f>VLOOKUP(Profile!$J$5,Families!$C:$R,6,FALSE)</f>
        <v>Herefordshire</v>
      </c>
      <c r="AG260" s="15">
        <f t="shared" si="106"/>
        <v>62.711864406779661</v>
      </c>
      <c r="AH260" s="50">
        <f t="shared" si="107"/>
        <v>250</v>
      </c>
      <c r="AI260" s="5" t="str">
        <f>IF(L260="","",VLOOKUP($L260,classifications!$C:$J,8,FALSE))</f>
        <v/>
      </c>
      <c r="AJ260" s="43" t="str">
        <f t="shared" si="108"/>
        <v/>
      </c>
      <c r="AK260" s="40" t="str">
        <f>IF(AJ260="","",IF(I$8="A",(RANK(AJ260,AJ$11:AJ$349,1)+COUNTIF(AJ$11:AJ260,AJ260)-1),(RANK(AJ260,AJ$11:AJ$349)+COUNTIF(AJ$11:AJ260,AJ260)-1)))</f>
        <v/>
      </c>
      <c r="AL260" s="3" t="str">
        <f t="shared" si="109"/>
        <v/>
      </c>
      <c r="AM260" t="str">
        <f t="shared" si="110"/>
        <v/>
      </c>
      <c r="AN260" t="str">
        <f t="shared" si="111"/>
        <v/>
      </c>
      <c r="AP260" s="5" t="str">
        <f>IF(L260="","",VLOOKUP($L260,classifications!$C:$E,3,FALSE))</f>
        <v/>
      </c>
      <c r="AQ260" s="43" t="str">
        <f t="shared" si="112"/>
        <v/>
      </c>
      <c r="AR260" s="40" t="str">
        <f>IF(AQ260="","",IF(I$8="A",(RANK(AQ260,AQ$11:AQ$349,1)+COUNTIF(AQ$11:AQ260,AQ260)-1),(RANK(AQ260,AQ$11:AQ$349)+COUNTIF(AQ$11:AQ260,AQ260)-1)))</f>
        <v/>
      </c>
      <c r="AS260" s="3" t="str">
        <f t="shared" si="113"/>
        <v/>
      </c>
      <c r="AT260" s="40" t="str">
        <f t="shared" si="114"/>
        <v/>
      </c>
      <c r="AU260" s="43" t="str">
        <f t="shared" si="115"/>
        <v/>
      </c>
      <c r="AX260">
        <f>HLOOKUP($AX$9&amp;$AX$10,Data!$A$1:$ZZ$1988,(MATCH($C260,Data!$A$1:$A$1988,0)),FALSE)</f>
        <v>92.307692307692307</v>
      </c>
    </row>
    <row r="261" spans="1:50">
      <c r="A261" s="59" t="str">
        <f>$D$1&amp;251</f>
        <v>UA251</v>
      </c>
      <c r="B261" s="60">
        <f>IF(ISERROR(VLOOKUP(A261,classifications!A:C,3,FALSE)),0,VLOOKUP(A261,classifications!A:C,3,FALSE))</f>
        <v>0</v>
      </c>
      <c r="C261" t="s">
        <v>143</v>
      </c>
      <c r="D261" t="str">
        <f>VLOOKUP($C261,classifications!$C:$J,4,FALSE)</f>
        <v>SD</v>
      </c>
      <c r="E261" t="str">
        <f>VLOOKUP(C261,classifications!C:K,9,FALSE)</f>
        <v>Sparse</v>
      </c>
      <c r="F261">
        <f t="shared" si="92"/>
        <v>94.117647058823522</v>
      </c>
      <c r="G261" s="15"/>
      <c r="H261" s="42" t="str">
        <f t="shared" si="93"/>
        <v/>
      </c>
      <c r="I261" s="79" t="str">
        <f>IF(H261="","",IF($I$8="A",(RANK(H261,H$11:H$349,1)+COUNTIF(H$11:H261,H261)-1),(RANK(H261,H$11:H$349)+COUNTIF(H$11:H261,H261)-1)))</f>
        <v/>
      </c>
      <c r="J261" s="41"/>
      <c r="K261" s="36" t="str">
        <f t="shared" si="94"/>
        <v/>
      </c>
      <c r="L261" t="str">
        <f t="shared" si="95"/>
        <v/>
      </c>
      <c r="M261" s="117" t="str">
        <f t="shared" si="96"/>
        <v/>
      </c>
      <c r="N261" s="112" t="str">
        <f t="shared" si="97"/>
        <v/>
      </c>
      <c r="O261" s="96" t="str">
        <f t="shared" si="98"/>
        <v/>
      </c>
      <c r="P261" s="96" t="str">
        <f t="shared" si="99"/>
        <v/>
      </c>
      <c r="Q261" s="96" t="str">
        <f t="shared" si="100"/>
        <v/>
      </c>
      <c r="R261" s="92" t="str">
        <f t="shared" si="101"/>
        <v/>
      </c>
      <c r="S261" s="42" t="str">
        <f t="shared" si="102"/>
        <v/>
      </c>
      <c r="T261" s="176" t="str">
        <f>IF(L261="","",VLOOKUP(L261,classifications!C:K,9,FALSE))</f>
        <v/>
      </c>
      <c r="U261" s="177" t="str">
        <f t="shared" si="103"/>
        <v/>
      </c>
      <c r="V261" s="183" t="str">
        <f>IF(U261="","",IF($I$8="A",(RANK(U261,U$11:U$349)+COUNTIF(U$11:U261,U261)-1),(RANK(U261,U$11:U$349,1)+COUNTIF(U$11:U261,U261)-1)))</f>
        <v/>
      </c>
      <c r="W261" s="184"/>
      <c r="X261" s="5" t="str">
        <f>IF(L261="","",VLOOKUP($L261,classifications!$C:$J,6,FALSE))</f>
        <v/>
      </c>
      <c r="Y261" t="str">
        <f t="shared" si="104"/>
        <v/>
      </c>
      <c r="Z261" s="40" t="str">
        <f>IF(Y261="","",IF(I$8="A",(RANK(Y261,Y$11:Y$349,1)+COUNTIF(Y$11:Y261,Y261)-1),(RANK(Y261,Y$11:Y$349)+COUNTIF(Y$11:Y261,Y261)-1)))</f>
        <v/>
      </c>
      <c r="AA261" s="189" t="str">
        <f>IF(L261="","",VLOOKUP($L261,classifications!C:I,7,FALSE))</f>
        <v/>
      </c>
      <c r="AB261" s="183" t="str">
        <f t="shared" si="105"/>
        <v/>
      </c>
      <c r="AC261" s="183" t="str">
        <f>IF(AB261="","",IF($I$8="A",(RANK(AB261,AB$11:AB$349)+COUNTIF(AB$11:AB261,AB261)-1),(RANK(AB261,AB$11:AB$349,1)+COUNTIF(AB$11:AB261,AB261)-1)))</f>
        <v/>
      </c>
      <c r="AD261" s="183"/>
      <c r="AE261" s="49">
        <f>IF(I$8="A",(RANK(AG261,AG$11:AG$349,1)+COUNTIF(AG$11:AG261,AG261)-1),(RANK(AG261,AG$11:AG$349)+COUNTIF(AG$11:AG261,AG261)-1))</f>
        <v>251</v>
      </c>
      <c r="AF261" t="str">
        <f>VLOOKUP(Profile!$J$5,Families!$C:$R,6,FALSE)</f>
        <v>Herefordshire</v>
      </c>
      <c r="AG261" s="15">
        <f t="shared" si="106"/>
        <v>62.711864406779661</v>
      </c>
      <c r="AH261" s="50">
        <f t="shared" si="107"/>
        <v>251</v>
      </c>
      <c r="AI261" s="5" t="str">
        <f>IF(L261="","",VLOOKUP($L261,classifications!$C:$J,8,FALSE))</f>
        <v/>
      </c>
      <c r="AJ261" s="43" t="str">
        <f t="shared" si="108"/>
        <v/>
      </c>
      <c r="AK261" s="40" t="str">
        <f>IF(AJ261="","",IF(I$8="A",(RANK(AJ261,AJ$11:AJ$349,1)+COUNTIF(AJ$11:AJ261,AJ261)-1),(RANK(AJ261,AJ$11:AJ$349)+COUNTIF(AJ$11:AJ261,AJ261)-1)))</f>
        <v/>
      </c>
      <c r="AL261" s="3" t="str">
        <f t="shared" si="109"/>
        <v/>
      </c>
      <c r="AM261" t="str">
        <f t="shared" si="110"/>
        <v/>
      </c>
      <c r="AN261" t="str">
        <f t="shared" si="111"/>
        <v/>
      </c>
      <c r="AP261" s="5" t="str">
        <f>IF(L261="","",VLOOKUP($L261,classifications!$C:$E,3,FALSE))</f>
        <v/>
      </c>
      <c r="AQ261" s="43" t="str">
        <f t="shared" si="112"/>
        <v/>
      </c>
      <c r="AR261" s="40" t="str">
        <f>IF(AQ261="","",IF(I$8="A",(RANK(AQ261,AQ$11:AQ$349,1)+COUNTIF(AQ$11:AQ261,AQ261)-1),(RANK(AQ261,AQ$11:AQ$349)+COUNTIF(AQ$11:AQ261,AQ261)-1)))</f>
        <v/>
      </c>
      <c r="AS261" s="3" t="str">
        <f t="shared" si="113"/>
        <v/>
      </c>
      <c r="AT261" s="40" t="str">
        <f t="shared" si="114"/>
        <v/>
      </c>
      <c r="AU261" s="43" t="str">
        <f t="shared" si="115"/>
        <v/>
      </c>
      <c r="AX261">
        <f>HLOOKUP($AX$9&amp;$AX$10,Data!$A$1:$ZZ$1988,(MATCH($C261,Data!$A$1:$A$1988,0)),FALSE)</f>
        <v>94.117647058823522</v>
      </c>
    </row>
    <row r="262" spans="1:50">
      <c r="A262" s="59" t="str">
        <f>$D$1&amp;252</f>
        <v>UA252</v>
      </c>
      <c r="B262" s="60">
        <f>IF(ISERROR(VLOOKUP(A262,classifications!A:C,3,FALSE)),0,VLOOKUP(A262,classifications!A:C,3,FALSE))</f>
        <v>0</v>
      </c>
      <c r="C262" t="s">
        <v>144</v>
      </c>
      <c r="D262" t="str">
        <f>VLOOKUP($C262,classifications!$C:$J,4,FALSE)</f>
        <v>SD</v>
      </c>
      <c r="E262" t="str">
        <f>VLOOKUP(C262,classifications!C:K,9,FALSE)</f>
        <v>Sparse</v>
      </c>
      <c r="F262">
        <f t="shared" si="92"/>
        <v>94.73684210526315</v>
      </c>
      <c r="G262" s="15"/>
      <c r="H262" s="42" t="str">
        <f t="shared" si="93"/>
        <v/>
      </c>
      <c r="I262" s="79" t="str">
        <f>IF(H262="","",IF($I$8="A",(RANK(H262,H$11:H$349,1)+COUNTIF(H$11:H262,H262)-1),(RANK(H262,H$11:H$349)+COUNTIF(H$11:H262,H262)-1)))</f>
        <v/>
      </c>
      <c r="J262" s="41"/>
      <c r="K262" s="36" t="str">
        <f t="shared" si="94"/>
        <v/>
      </c>
      <c r="L262" t="str">
        <f t="shared" si="95"/>
        <v/>
      </c>
      <c r="M262" s="117" t="str">
        <f t="shared" si="96"/>
        <v/>
      </c>
      <c r="N262" s="112" t="str">
        <f t="shared" si="97"/>
        <v/>
      </c>
      <c r="O262" s="96" t="str">
        <f t="shared" si="98"/>
        <v/>
      </c>
      <c r="P262" s="96" t="str">
        <f t="shared" si="99"/>
        <v/>
      </c>
      <c r="Q262" s="96" t="str">
        <f t="shared" si="100"/>
        <v/>
      </c>
      <c r="R262" s="92" t="str">
        <f t="shared" si="101"/>
        <v/>
      </c>
      <c r="S262" s="42" t="str">
        <f t="shared" si="102"/>
        <v/>
      </c>
      <c r="T262" s="176" t="str">
        <f>IF(L262="","",VLOOKUP(L262,classifications!C:K,9,FALSE))</f>
        <v/>
      </c>
      <c r="U262" s="177" t="str">
        <f t="shared" si="103"/>
        <v/>
      </c>
      <c r="V262" s="183" t="str">
        <f>IF(U262="","",IF($I$8="A",(RANK(U262,U$11:U$349)+COUNTIF(U$11:U262,U262)-1),(RANK(U262,U$11:U$349,1)+COUNTIF(U$11:U262,U262)-1)))</f>
        <v/>
      </c>
      <c r="W262" s="184"/>
      <c r="X262" s="5" t="str">
        <f>IF(L262="","",VLOOKUP($L262,classifications!$C:$J,6,FALSE))</f>
        <v/>
      </c>
      <c r="Y262" t="str">
        <f t="shared" si="104"/>
        <v/>
      </c>
      <c r="Z262" s="40" t="str">
        <f>IF(Y262="","",IF(I$8="A",(RANK(Y262,Y$11:Y$349,1)+COUNTIF(Y$11:Y262,Y262)-1),(RANK(Y262,Y$11:Y$349)+COUNTIF(Y$11:Y262,Y262)-1)))</f>
        <v/>
      </c>
      <c r="AA262" s="189" t="str">
        <f>IF(L262="","",VLOOKUP($L262,classifications!C:I,7,FALSE))</f>
        <v/>
      </c>
      <c r="AB262" s="183" t="str">
        <f t="shared" si="105"/>
        <v/>
      </c>
      <c r="AC262" s="183" t="str">
        <f>IF(AB262="","",IF($I$8="A",(RANK(AB262,AB$11:AB$349)+COUNTIF(AB$11:AB262,AB262)-1),(RANK(AB262,AB$11:AB$349,1)+COUNTIF(AB$11:AB262,AB262)-1)))</f>
        <v/>
      </c>
      <c r="AD262" s="183"/>
      <c r="AE262" s="49">
        <f>IF(I$8="A",(RANK(AG262,AG$11:AG$349,1)+COUNTIF(AG$11:AG262,AG262)-1),(RANK(AG262,AG$11:AG$349)+COUNTIF(AG$11:AG262,AG262)-1))</f>
        <v>252</v>
      </c>
      <c r="AF262" t="str">
        <f>VLOOKUP(Profile!$J$5,Families!$C:$R,6,FALSE)</f>
        <v>Herefordshire</v>
      </c>
      <c r="AG262" s="15">
        <f t="shared" si="106"/>
        <v>62.711864406779661</v>
      </c>
      <c r="AH262" s="50">
        <f t="shared" si="107"/>
        <v>252</v>
      </c>
      <c r="AI262" s="5" t="str">
        <f>IF(L262="","",VLOOKUP($L262,classifications!$C:$J,8,FALSE))</f>
        <v/>
      </c>
      <c r="AJ262" s="43" t="str">
        <f t="shared" si="108"/>
        <v/>
      </c>
      <c r="AK262" s="40" t="str">
        <f>IF(AJ262="","",IF(I$8="A",(RANK(AJ262,AJ$11:AJ$349,1)+COUNTIF(AJ$11:AJ262,AJ262)-1),(RANK(AJ262,AJ$11:AJ$349)+COUNTIF(AJ$11:AJ262,AJ262)-1)))</f>
        <v/>
      </c>
      <c r="AL262" s="3" t="str">
        <f t="shared" si="109"/>
        <v/>
      </c>
      <c r="AM262" t="str">
        <f t="shared" si="110"/>
        <v/>
      </c>
      <c r="AN262" t="str">
        <f t="shared" si="111"/>
        <v/>
      </c>
      <c r="AP262" s="5" t="str">
        <f>IF(L262="","",VLOOKUP($L262,classifications!$C:$E,3,FALSE))</f>
        <v/>
      </c>
      <c r="AQ262" s="43" t="str">
        <f t="shared" si="112"/>
        <v/>
      </c>
      <c r="AR262" s="40" t="str">
        <f>IF(AQ262="","",IF(I$8="A",(RANK(AQ262,AQ$11:AQ$349,1)+COUNTIF(AQ$11:AQ262,AQ262)-1),(RANK(AQ262,AQ$11:AQ$349)+COUNTIF(AQ$11:AQ262,AQ262)-1)))</f>
        <v/>
      </c>
      <c r="AS262" s="3" t="str">
        <f t="shared" si="113"/>
        <v/>
      </c>
      <c r="AT262" s="40" t="str">
        <f t="shared" si="114"/>
        <v/>
      </c>
      <c r="AU262" s="43" t="str">
        <f t="shared" si="115"/>
        <v/>
      </c>
      <c r="AX262">
        <f>HLOOKUP($AX$9&amp;$AX$10,Data!$A$1:$ZZ$1988,(MATCH($C262,Data!$A$1:$A$1988,0)),FALSE)</f>
        <v>94.73684210526315</v>
      </c>
    </row>
    <row r="263" spans="1:50">
      <c r="A263" s="59" t="str">
        <f>$D$1&amp;253</f>
        <v>UA253</v>
      </c>
      <c r="B263" s="60">
        <f>IF(ISERROR(VLOOKUP(A263,classifications!A:C,3,FALSE)),0,VLOOKUP(A263,classifications!A:C,3,FALSE))</f>
        <v>0</v>
      </c>
      <c r="C263" t="s">
        <v>146</v>
      </c>
      <c r="D263" t="str">
        <f>VLOOKUP($C263,classifications!$C:$J,4,FALSE)</f>
        <v>SD</v>
      </c>
      <c r="E263" t="str">
        <f>VLOOKUP(C263,classifications!C:K,9,FALSE)</f>
        <v>Sparse</v>
      </c>
      <c r="F263">
        <f t="shared" si="92"/>
        <v>78</v>
      </c>
      <c r="G263" s="15"/>
      <c r="H263" s="42" t="str">
        <f t="shared" si="93"/>
        <v/>
      </c>
      <c r="I263" s="79" t="str">
        <f>IF(H263="","",IF($I$8="A",(RANK(H263,H$11:H$349,1)+COUNTIF(H$11:H263,H263)-1),(RANK(H263,H$11:H$349)+COUNTIF(H$11:H263,H263)-1)))</f>
        <v/>
      </c>
      <c r="J263" s="41"/>
      <c r="K263" s="36" t="str">
        <f t="shared" si="94"/>
        <v/>
      </c>
      <c r="L263" t="str">
        <f t="shared" si="95"/>
        <v/>
      </c>
      <c r="M263" s="117" t="str">
        <f t="shared" si="96"/>
        <v/>
      </c>
      <c r="N263" s="112" t="str">
        <f t="shared" si="97"/>
        <v/>
      </c>
      <c r="O263" s="96" t="str">
        <f t="shared" si="98"/>
        <v/>
      </c>
      <c r="P263" s="96" t="str">
        <f t="shared" si="99"/>
        <v/>
      </c>
      <c r="Q263" s="96" t="str">
        <f t="shared" si="100"/>
        <v/>
      </c>
      <c r="R263" s="92" t="str">
        <f t="shared" si="101"/>
        <v/>
      </c>
      <c r="S263" s="42" t="str">
        <f t="shared" si="102"/>
        <v/>
      </c>
      <c r="T263" s="176" t="str">
        <f>IF(L263="","",VLOOKUP(L263,classifications!C:K,9,FALSE))</f>
        <v/>
      </c>
      <c r="U263" s="177" t="str">
        <f t="shared" si="103"/>
        <v/>
      </c>
      <c r="V263" s="183" t="str">
        <f>IF(U263="","",IF($I$8="A",(RANK(U263,U$11:U$349)+COUNTIF(U$11:U263,U263)-1),(RANK(U263,U$11:U$349,1)+COUNTIF(U$11:U263,U263)-1)))</f>
        <v/>
      </c>
      <c r="W263" s="184"/>
      <c r="X263" s="5" t="str">
        <f>IF(L263="","",VLOOKUP($L263,classifications!$C:$J,6,FALSE))</f>
        <v/>
      </c>
      <c r="Y263" t="str">
        <f t="shared" si="104"/>
        <v/>
      </c>
      <c r="Z263" s="40" t="str">
        <f>IF(Y263="","",IF(I$8="A",(RANK(Y263,Y$11:Y$349,1)+COUNTIF(Y$11:Y263,Y263)-1),(RANK(Y263,Y$11:Y$349)+COUNTIF(Y$11:Y263,Y263)-1)))</f>
        <v/>
      </c>
      <c r="AA263" s="189" t="str">
        <f>IF(L263="","",VLOOKUP($L263,classifications!C:I,7,FALSE))</f>
        <v/>
      </c>
      <c r="AB263" s="183" t="str">
        <f t="shared" si="105"/>
        <v/>
      </c>
      <c r="AC263" s="183" t="str">
        <f>IF(AB263="","",IF($I$8="A",(RANK(AB263,AB$11:AB$349)+COUNTIF(AB$11:AB263,AB263)-1),(RANK(AB263,AB$11:AB$349,1)+COUNTIF(AB$11:AB263,AB263)-1)))</f>
        <v/>
      </c>
      <c r="AD263" s="183"/>
      <c r="AE263" s="49">
        <f>IF(I$8="A",(RANK(AG263,AG$11:AG$349,1)+COUNTIF(AG$11:AG263,AG263)-1),(RANK(AG263,AG$11:AG$349)+COUNTIF(AG$11:AG263,AG263)-1))</f>
        <v>253</v>
      </c>
      <c r="AF263" t="str">
        <f>VLOOKUP(Profile!$J$5,Families!$C:$R,6,FALSE)</f>
        <v>Herefordshire</v>
      </c>
      <c r="AG263" s="15">
        <f t="shared" si="106"/>
        <v>62.711864406779661</v>
      </c>
      <c r="AH263" s="50">
        <f t="shared" si="107"/>
        <v>253</v>
      </c>
      <c r="AI263" s="5" t="str">
        <f>IF(L263="","",VLOOKUP($L263,classifications!$C:$J,8,FALSE))</f>
        <v/>
      </c>
      <c r="AJ263" s="43" t="str">
        <f t="shared" si="108"/>
        <v/>
      </c>
      <c r="AK263" s="40" t="str">
        <f>IF(AJ263="","",IF(I$8="A",(RANK(AJ263,AJ$11:AJ$349,1)+COUNTIF(AJ$11:AJ263,AJ263)-1),(RANK(AJ263,AJ$11:AJ$349)+COUNTIF(AJ$11:AJ263,AJ263)-1)))</f>
        <v/>
      </c>
      <c r="AL263" s="3" t="str">
        <f t="shared" si="109"/>
        <v/>
      </c>
      <c r="AM263" t="str">
        <f t="shared" si="110"/>
        <v/>
      </c>
      <c r="AN263" t="str">
        <f t="shared" si="111"/>
        <v/>
      </c>
      <c r="AP263" s="5" t="str">
        <f>IF(L263="","",VLOOKUP($L263,classifications!$C:$E,3,FALSE))</f>
        <v/>
      </c>
      <c r="AQ263" s="43" t="str">
        <f t="shared" si="112"/>
        <v/>
      </c>
      <c r="AR263" s="40" t="str">
        <f>IF(AQ263="","",IF(I$8="A",(RANK(AQ263,AQ$11:AQ$349,1)+COUNTIF(AQ$11:AQ263,AQ263)-1),(RANK(AQ263,AQ$11:AQ$349)+COUNTIF(AQ$11:AQ263,AQ263)-1)))</f>
        <v/>
      </c>
      <c r="AS263" s="3" t="str">
        <f t="shared" si="113"/>
        <v/>
      </c>
      <c r="AT263" s="40" t="str">
        <f t="shared" si="114"/>
        <v/>
      </c>
      <c r="AU263" s="43" t="str">
        <f t="shared" si="115"/>
        <v/>
      </c>
      <c r="AX263">
        <f>HLOOKUP($AX$9&amp;$AX$10,Data!$A$1:$ZZ$1988,(MATCH($C263,Data!$A$1:$A$1988,0)),FALSE)</f>
        <v>78</v>
      </c>
    </row>
    <row r="264" spans="1:50">
      <c r="A264" s="59" t="str">
        <f>$D$1&amp;254</f>
        <v>UA254</v>
      </c>
      <c r="B264" s="60">
        <f>IF(ISERROR(VLOOKUP(A264,classifications!A:C,3,FALSE)),0,VLOOKUP(A264,classifications!A:C,3,FALSE))</f>
        <v>0</v>
      </c>
      <c r="C264" t="s">
        <v>147</v>
      </c>
      <c r="D264" t="str">
        <f>VLOOKUP($C264,classifications!$C:$J,4,FALSE)</f>
        <v>SD</v>
      </c>
      <c r="E264">
        <f>VLOOKUP(C264,classifications!C:K,9,FALSE)</f>
        <v>0</v>
      </c>
      <c r="F264">
        <f t="shared" si="92"/>
        <v>85</v>
      </c>
      <c r="G264" s="15"/>
      <c r="H264" s="42" t="str">
        <f t="shared" si="93"/>
        <v/>
      </c>
      <c r="I264" s="79" t="str">
        <f>IF(H264="","",IF($I$8="A",(RANK(H264,H$11:H$349,1)+COUNTIF(H$11:H264,H264)-1),(RANK(H264,H$11:H$349)+COUNTIF(H$11:H264,H264)-1)))</f>
        <v/>
      </c>
      <c r="J264" s="41"/>
      <c r="K264" s="36" t="str">
        <f t="shared" si="94"/>
        <v/>
      </c>
      <c r="L264" t="str">
        <f t="shared" si="95"/>
        <v/>
      </c>
      <c r="M264" s="117" t="str">
        <f t="shared" si="96"/>
        <v/>
      </c>
      <c r="N264" s="112" t="str">
        <f t="shared" si="97"/>
        <v/>
      </c>
      <c r="O264" s="96" t="str">
        <f t="shared" si="98"/>
        <v/>
      </c>
      <c r="P264" s="96" t="str">
        <f t="shared" si="99"/>
        <v/>
      </c>
      <c r="Q264" s="96" t="str">
        <f t="shared" si="100"/>
        <v/>
      </c>
      <c r="R264" s="92" t="str">
        <f t="shared" si="101"/>
        <v/>
      </c>
      <c r="S264" s="42" t="str">
        <f t="shared" si="102"/>
        <v/>
      </c>
      <c r="T264" s="176" t="str">
        <f>IF(L264="","",VLOOKUP(L264,classifications!C:K,9,FALSE))</f>
        <v/>
      </c>
      <c r="U264" s="177" t="str">
        <f t="shared" si="103"/>
        <v/>
      </c>
      <c r="V264" s="183" t="str">
        <f>IF(U264="","",IF($I$8="A",(RANK(U264,U$11:U$349)+COUNTIF(U$11:U264,U264)-1),(RANK(U264,U$11:U$349,1)+COUNTIF(U$11:U264,U264)-1)))</f>
        <v/>
      </c>
      <c r="W264" s="184"/>
      <c r="X264" s="5" t="str">
        <f>IF(L264="","",VLOOKUP($L264,classifications!$C:$J,6,FALSE))</f>
        <v/>
      </c>
      <c r="Y264" t="str">
        <f t="shared" si="104"/>
        <v/>
      </c>
      <c r="Z264" s="40" t="str">
        <f>IF(Y264="","",IF(I$8="A",(RANK(Y264,Y$11:Y$349,1)+COUNTIF(Y$11:Y264,Y264)-1),(RANK(Y264,Y$11:Y$349)+COUNTIF(Y$11:Y264,Y264)-1)))</f>
        <v/>
      </c>
      <c r="AA264" s="189" t="str">
        <f>IF(L264="","",VLOOKUP($L264,classifications!C:I,7,FALSE))</f>
        <v/>
      </c>
      <c r="AB264" s="183" t="str">
        <f t="shared" si="105"/>
        <v/>
      </c>
      <c r="AC264" s="183" t="str">
        <f>IF(AB264="","",IF($I$8="A",(RANK(AB264,AB$11:AB$349)+COUNTIF(AB$11:AB264,AB264)-1),(RANK(AB264,AB$11:AB$349,1)+COUNTIF(AB$11:AB264,AB264)-1)))</f>
        <v/>
      </c>
      <c r="AD264" s="183"/>
      <c r="AE264" s="49">
        <f>IF(I$8="A",(RANK(AG264,AG$11:AG$349,1)+COUNTIF(AG$11:AG264,AG264)-1),(RANK(AG264,AG$11:AG$349)+COUNTIF(AG$11:AG264,AG264)-1))</f>
        <v>254</v>
      </c>
      <c r="AF264" t="str">
        <f>VLOOKUP(Profile!$J$5,Families!$C:$R,6,FALSE)</f>
        <v>Herefordshire</v>
      </c>
      <c r="AG264" s="15">
        <f t="shared" si="106"/>
        <v>62.711864406779661</v>
      </c>
      <c r="AH264" s="50">
        <f t="shared" si="107"/>
        <v>254</v>
      </c>
      <c r="AI264" s="5" t="str">
        <f>IF(L264="","",VLOOKUP($L264,classifications!$C:$J,8,FALSE))</f>
        <v/>
      </c>
      <c r="AJ264" s="43" t="str">
        <f t="shared" si="108"/>
        <v/>
      </c>
      <c r="AK264" s="40" t="str">
        <f>IF(AJ264="","",IF(I$8="A",(RANK(AJ264,AJ$11:AJ$349,1)+COUNTIF(AJ$11:AJ264,AJ264)-1),(RANK(AJ264,AJ$11:AJ$349)+COUNTIF(AJ$11:AJ264,AJ264)-1)))</f>
        <v/>
      </c>
      <c r="AL264" s="3" t="str">
        <f t="shared" si="109"/>
        <v/>
      </c>
      <c r="AM264" t="str">
        <f t="shared" si="110"/>
        <v/>
      </c>
      <c r="AN264" t="str">
        <f t="shared" si="111"/>
        <v/>
      </c>
      <c r="AP264" s="5" t="str">
        <f>IF(L264="","",VLOOKUP($L264,classifications!$C:$E,3,FALSE))</f>
        <v/>
      </c>
      <c r="AQ264" s="43" t="str">
        <f t="shared" si="112"/>
        <v/>
      </c>
      <c r="AR264" s="40" t="str">
        <f>IF(AQ264="","",IF(I$8="A",(RANK(AQ264,AQ$11:AQ$349,1)+COUNTIF(AQ$11:AQ264,AQ264)-1),(RANK(AQ264,AQ$11:AQ$349)+COUNTIF(AQ$11:AQ264,AQ264)-1)))</f>
        <v/>
      </c>
      <c r="AS264" s="3" t="str">
        <f t="shared" si="113"/>
        <v/>
      </c>
      <c r="AT264" s="40" t="str">
        <f t="shared" si="114"/>
        <v/>
      </c>
      <c r="AU264" s="43" t="str">
        <f t="shared" si="115"/>
        <v/>
      </c>
      <c r="AX264">
        <f>HLOOKUP($AX$9&amp;$AX$10,Data!$A$1:$ZZ$1988,(MATCH($C264,Data!$A$1:$A$1988,0)),FALSE)</f>
        <v>85</v>
      </c>
    </row>
    <row r="265" spans="1:50">
      <c r="A265" s="59" t="str">
        <f>$D$1&amp;255</f>
        <v>UA255</v>
      </c>
      <c r="B265" s="60">
        <f>IF(ISERROR(VLOOKUP(A265,classifications!A:C,3,FALSE)),0,VLOOKUP(A265,classifications!A:C,3,FALSE))</f>
        <v>0</v>
      </c>
      <c r="C265" t="s">
        <v>148</v>
      </c>
      <c r="D265" t="str">
        <f>VLOOKUP($C265,classifications!$C:$J,4,FALSE)</f>
        <v>SD</v>
      </c>
      <c r="E265" t="str">
        <f>VLOOKUP(C265,classifications!C:K,9,FALSE)</f>
        <v>Sparse</v>
      </c>
      <c r="F265">
        <f t="shared" si="92"/>
        <v>80.487804878048792</v>
      </c>
      <c r="G265" s="15"/>
      <c r="H265" s="42" t="str">
        <f t="shared" si="93"/>
        <v/>
      </c>
      <c r="I265" s="79" t="str">
        <f>IF(H265="","",IF($I$8="A",(RANK(H265,H$11:H$349,1)+COUNTIF(H$11:H265,H265)-1),(RANK(H265,H$11:H$349)+COUNTIF(H$11:H265,H265)-1)))</f>
        <v/>
      </c>
      <c r="J265" s="41"/>
      <c r="K265" s="36" t="str">
        <f t="shared" si="94"/>
        <v/>
      </c>
      <c r="L265" t="str">
        <f t="shared" si="95"/>
        <v/>
      </c>
      <c r="M265" s="117" t="str">
        <f t="shared" si="96"/>
        <v/>
      </c>
      <c r="N265" s="112" t="str">
        <f t="shared" si="97"/>
        <v/>
      </c>
      <c r="O265" s="96" t="str">
        <f t="shared" si="98"/>
        <v/>
      </c>
      <c r="P265" s="96" t="str">
        <f t="shared" si="99"/>
        <v/>
      </c>
      <c r="Q265" s="96" t="str">
        <f t="shared" si="100"/>
        <v/>
      </c>
      <c r="R265" s="92" t="str">
        <f t="shared" si="101"/>
        <v/>
      </c>
      <c r="S265" s="42" t="str">
        <f t="shared" si="102"/>
        <v/>
      </c>
      <c r="T265" s="176" t="str">
        <f>IF(L265="","",VLOOKUP(L265,classifications!C:K,9,FALSE))</f>
        <v/>
      </c>
      <c r="U265" s="177" t="str">
        <f t="shared" si="103"/>
        <v/>
      </c>
      <c r="V265" s="183" t="str">
        <f>IF(U265="","",IF($I$8="A",(RANK(U265,U$11:U$349)+COUNTIF(U$11:U265,U265)-1),(RANK(U265,U$11:U$349,1)+COUNTIF(U$11:U265,U265)-1)))</f>
        <v/>
      </c>
      <c r="W265" s="184"/>
      <c r="X265" s="5" t="str">
        <f>IF(L265="","",VLOOKUP($L265,classifications!$C:$J,6,FALSE))</f>
        <v/>
      </c>
      <c r="Y265" t="str">
        <f t="shared" si="104"/>
        <v/>
      </c>
      <c r="Z265" s="40" t="str">
        <f>IF(Y265="","",IF(I$8="A",(RANK(Y265,Y$11:Y$349,1)+COUNTIF(Y$11:Y265,Y265)-1),(RANK(Y265,Y$11:Y$349)+COUNTIF(Y$11:Y265,Y265)-1)))</f>
        <v/>
      </c>
      <c r="AA265" s="189" t="str">
        <f>IF(L265="","",VLOOKUP($L265,classifications!C:I,7,FALSE))</f>
        <v/>
      </c>
      <c r="AB265" s="183" t="str">
        <f t="shared" si="105"/>
        <v/>
      </c>
      <c r="AC265" s="183" t="str">
        <f>IF(AB265="","",IF($I$8="A",(RANK(AB265,AB$11:AB$349)+COUNTIF(AB$11:AB265,AB265)-1),(RANK(AB265,AB$11:AB$349,1)+COUNTIF(AB$11:AB265,AB265)-1)))</f>
        <v/>
      </c>
      <c r="AD265" s="183"/>
      <c r="AE265" s="49">
        <f>IF(I$8="A",(RANK(AG265,AG$11:AG$349,1)+COUNTIF(AG$11:AG265,AG265)-1),(RANK(AG265,AG$11:AG$349)+COUNTIF(AG$11:AG265,AG265)-1))</f>
        <v>255</v>
      </c>
      <c r="AF265" t="str">
        <f>VLOOKUP(Profile!$J$5,Families!$C:$R,6,FALSE)</f>
        <v>Herefordshire</v>
      </c>
      <c r="AG265" s="15">
        <f t="shared" si="106"/>
        <v>62.711864406779661</v>
      </c>
      <c r="AH265" s="50">
        <f t="shared" si="107"/>
        <v>255</v>
      </c>
      <c r="AI265" s="5" t="str">
        <f>IF(L265="","",VLOOKUP($L265,classifications!$C:$J,8,FALSE))</f>
        <v/>
      </c>
      <c r="AJ265" s="43" t="str">
        <f t="shared" si="108"/>
        <v/>
      </c>
      <c r="AK265" s="40" t="str">
        <f>IF(AJ265="","",IF(I$8="A",(RANK(AJ265,AJ$11:AJ$349,1)+COUNTIF(AJ$11:AJ265,AJ265)-1),(RANK(AJ265,AJ$11:AJ$349)+COUNTIF(AJ$11:AJ265,AJ265)-1)))</f>
        <v/>
      </c>
      <c r="AL265" s="3" t="str">
        <f t="shared" si="109"/>
        <v/>
      </c>
      <c r="AM265" t="str">
        <f t="shared" si="110"/>
        <v/>
      </c>
      <c r="AN265" t="str">
        <f t="shared" si="111"/>
        <v/>
      </c>
      <c r="AP265" s="5" t="str">
        <f>IF(L265="","",VLOOKUP($L265,classifications!$C:$E,3,FALSE))</f>
        <v/>
      </c>
      <c r="AQ265" s="43" t="str">
        <f t="shared" si="112"/>
        <v/>
      </c>
      <c r="AR265" s="40" t="str">
        <f>IF(AQ265="","",IF(I$8="A",(RANK(AQ265,AQ$11:AQ$349,1)+COUNTIF(AQ$11:AQ265,AQ265)-1),(RANK(AQ265,AQ$11:AQ$349)+COUNTIF(AQ$11:AQ265,AQ265)-1)))</f>
        <v/>
      </c>
      <c r="AS265" s="3" t="str">
        <f t="shared" si="113"/>
        <v/>
      </c>
      <c r="AT265" s="40" t="str">
        <f t="shared" si="114"/>
        <v/>
      </c>
      <c r="AU265" s="43" t="str">
        <f t="shared" si="115"/>
        <v/>
      </c>
      <c r="AX265">
        <f>HLOOKUP($AX$9&amp;$AX$10,Data!$A$1:$ZZ$1988,(MATCH($C265,Data!$A$1:$A$1988,0)),FALSE)</f>
        <v>80.487804878048792</v>
      </c>
    </row>
    <row r="266" spans="1:50">
      <c r="A266" s="59" t="str">
        <f>$D$1&amp;256</f>
        <v>UA256</v>
      </c>
      <c r="B266" s="60">
        <f>IF(ISERROR(VLOOKUP(A266,classifications!A:C,3,FALSE)),0,VLOOKUP(A266,classifications!A:C,3,FALSE))</f>
        <v>0</v>
      </c>
      <c r="C266" t="s">
        <v>149</v>
      </c>
      <c r="D266" t="str">
        <f>VLOOKUP($C266,classifications!$C:$J,4,FALSE)</f>
        <v>SD</v>
      </c>
      <c r="E266">
        <f>VLOOKUP(C266,classifications!C:K,9,FALSE)</f>
        <v>0</v>
      </c>
      <c r="F266">
        <f t="shared" si="92"/>
        <v>91.304347826086953</v>
      </c>
      <c r="G266" s="15"/>
      <c r="H266" s="42" t="str">
        <f t="shared" si="93"/>
        <v/>
      </c>
      <c r="I266" s="79" t="str">
        <f>IF(H266="","",IF($I$8="A",(RANK(H266,H$11:H$349,1)+COUNTIF(H$11:H266,H266)-1),(RANK(H266,H$11:H$349)+COUNTIF(H$11:H266,H266)-1)))</f>
        <v/>
      </c>
      <c r="J266" s="41"/>
      <c r="K266" s="36" t="str">
        <f t="shared" si="94"/>
        <v/>
      </c>
      <c r="L266" t="str">
        <f t="shared" si="95"/>
        <v/>
      </c>
      <c r="M266" s="117" t="str">
        <f t="shared" si="96"/>
        <v/>
      </c>
      <c r="N266" s="112" t="str">
        <f t="shared" si="97"/>
        <v/>
      </c>
      <c r="O266" s="96" t="str">
        <f t="shared" si="98"/>
        <v/>
      </c>
      <c r="P266" s="96" t="str">
        <f t="shared" si="99"/>
        <v/>
      </c>
      <c r="Q266" s="96" t="str">
        <f t="shared" si="100"/>
        <v/>
      </c>
      <c r="R266" s="92" t="str">
        <f t="shared" si="101"/>
        <v/>
      </c>
      <c r="S266" s="42" t="str">
        <f t="shared" si="102"/>
        <v/>
      </c>
      <c r="T266" s="176" t="str">
        <f>IF(L266="","",VLOOKUP(L266,classifications!C:K,9,FALSE))</f>
        <v/>
      </c>
      <c r="U266" s="177" t="str">
        <f t="shared" si="103"/>
        <v/>
      </c>
      <c r="V266" s="183" t="str">
        <f>IF(U266="","",IF($I$8="A",(RANK(U266,U$11:U$349)+COUNTIF(U$11:U266,U266)-1),(RANK(U266,U$11:U$349,1)+COUNTIF(U$11:U266,U266)-1)))</f>
        <v/>
      </c>
      <c r="W266" s="184"/>
      <c r="X266" s="5" t="str">
        <f>IF(L266="","",VLOOKUP($L266,classifications!$C:$J,6,FALSE))</f>
        <v/>
      </c>
      <c r="Y266" t="str">
        <f t="shared" si="104"/>
        <v/>
      </c>
      <c r="Z266" s="40" t="str">
        <f>IF(Y266="","",IF(I$8="A",(RANK(Y266,Y$11:Y$349,1)+COUNTIF(Y$11:Y266,Y266)-1),(RANK(Y266,Y$11:Y$349)+COUNTIF(Y$11:Y266,Y266)-1)))</f>
        <v/>
      </c>
      <c r="AA266" s="189" t="str">
        <f>IF(L266="","",VLOOKUP($L266,classifications!C:I,7,FALSE))</f>
        <v/>
      </c>
      <c r="AB266" s="183" t="str">
        <f t="shared" si="105"/>
        <v/>
      </c>
      <c r="AC266" s="183" t="str">
        <f>IF(AB266="","",IF($I$8="A",(RANK(AB266,AB$11:AB$349)+COUNTIF(AB$11:AB266,AB266)-1),(RANK(AB266,AB$11:AB$349,1)+COUNTIF(AB$11:AB266,AB266)-1)))</f>
        <v/>
      </c>
      <c r="AD266" s="183"/>
      <c r="AE266" s="49">
        <f>IF(I$8="A",(RANK(AG266,AG$11:AG$349,1)+COUNTIF(AG$11:AG266,AG266)-1),(RANK(AG266,AG$11:AG$349)+COUNTIF(AG$11:AG266,AG266)-1))</f>
        <v>256</v>
      </c>
      <c r="AF266" t="str">
        <f>VLOOKUP(Profile!$J$5,Families!$C:$R,6,FALSE)</f>
        <v>Herefordshire</v>
      </c>
      <c r="AG266" s="15">
        <f t="shared" si="106"/>
        <v>62.711864406779661</v>
      </c>
      <c r="AH266" s="50">
        <f t="shared" si="107"/>
        <v>256</v>
      </c>
      <c r="AI266" s="5" t="str">
        <f>IF(L266="","",VLOOKUP($L266,classifications!$C:$J,8,FALSE))</f>
        <v/>
      </c>
      <c r="AJ266" s="43" t="str">
        <f t="shared" si="108"/>
        <v/>
      </c>
      <c r="AK266" s="40" t="str">
        <f>IF(AJ266="","",IF(I$8="A",(RANK(AJ266,AJ$11:AJ$349,1)+COUNTIF(AJ$11:AJ266,AJ266)-1),(RANK(AJ266,AJ$11:AJ$349)+COUNTIF(AJ$11:AJ266,AJ266)-1)))</f>
        <v/>
      </c>
      <c r="AL266" s="3" t="str">
        <f t="shared" si="109"/>
        <v/>
      </c>
      <c r="AM266" t="str">
        <f t="shared" si="110"/>
        <v/>
      </c>
      <c r="AN266" t="str">
        <f t="shared" si="111"/>
        <v/>
      </c>
      <c r="AP266" s="5" t="str">
        <f>IF(L266="","",VLOOKUP($L266,classifications!$C:$E,3,FALSE))</f>
        <v/>
      </c>
      <c r="AQ266" s="43" t="str">
        <f t="shared" si="112"/>
        <v/>
      </c>
      <c r="AR266" s="40" t="str">
        <f>IF(AQ266="","",IF(I$8="A",(RANK(AQ266,AQ$11:AQ$349,1)+COUNTIF(AQ$11:AQ266,AQ266)-1),(RANK(AQ266,AQ$11:AQ$349)+COUNTIF(AQ$11:AQ266,AQ266)-1)))</f>
        <v/>
      </c>
      <c r="AS266" s="3" t="str">
        <f t="shared" si="113"/>
        <v/>
      </c>
      <c r="AT266" s="40" t="str">
        <f t="shared" si="114"/>
        <v/>
      </c>
      <c r="AU266" s="43" t="str">
        <f t="shared" si="115"/>
        <v/>
      </c>
      <c r="AX266">
        <f>HLOOKUP($AX$9&amp;$AX$10,Data!$A$1:$ZZ$1988,(MATCH($C266,Data!$A$1:$A$1988,0)),FALSE)</f>
        <v>91.304347826086953</v>
      </c>
    </row>
    <row r="267" spans="1:50">
      <c r="A267" s="59" t="str">
        <f>$D$1&amp;257</f>
        <v>UA257</v>
      </c>
      <c r="B267" s="60">
        <f>IF(ISERROR(VLOOKUP(A267,classifications!A:C,3,FALSE)),0,VLOOKUP(A267,classifications!A:C,3,FALSE))</f>
        <v>0</v>
      </c>
      <c r="C267" t="s">
        <v>247</v>
      </c>
      <c r="D267" t="str">
        <f>VLOOKUP($C267,classifications!$C:$J,4,FALSE)</f>
        <v>MD</v>
      </c>
      <c r="E267">
        <f>VLOOKUP(C267,classifications!C:K,9,FALSE)</f>
        <v>0</v>
      </c>
      <c r="F267">
        <f t="shared" si="92"/>
        <v>100</v>
      </c>
      <c r="G267" s="15"/>
      <c r="H267" s="42" t="str">
        <f t="shared" si="93"/>
        <v/>
      </c>
      <c r="I267" s="79" t="str">
        <f>IF(H267="","",IF($I$8="A",(RANK(H267,H$11:H$349,1)+COUNTIF(H$11:H267,H267)-1),(RANK(H267,H$11:H$349)+COUNTIF(H$11:H267,H267)-1)))</f>
        <v/>
      </c>
      <c r="J267" s="41"/>
      <c r="K267" s="36" t="str">
        <f t="shared" si="94"/>
        <v/>
      </c>
      <c r="L267" t="str">
        <f t="shared" si="95"/>
        <v/>
      </c>
      <c r="M267" s="117" t="str">
        <f t="shared" si="96"/>
        <v/>
      </c>
      <c r="N267" s="112" t="str">
        <f t="shared" si="97"/>
        <v/>
      </c>
      <c r="O267" s="96" t="str">
        <f t="shared" si="98"/>
        <v/>
      </c>
      <c r="P267" s="96" t="str">
        <f t="shared" si="99"/>
        <v/>
      </c>
      <c r="Q267" s="96" t="str">
        <f t="shared" si="100"/>
        <v/>
      </c>
      <c r="R267" s="92" t="str">
        <f t="shared" si="101"/>
        <v/>
      </c>
      <c r="S267" s="42" t="str">
        <f t="shared" si="102"/>
        <v/>
      </c>
      <c r="T267" s="176" t="str">
        <f>IF(L267="","",VLOOKUP(L267,classifications!C:K,9,FALSE))</f>
        <v/>
      </c>
      <c r="U267" s="177" t="str">
        <f t="shared" si="103"/>
        <v/>
      </c>
      <c r="V267" s="183" t="str">
        <f>IF(U267="","",IF($I$8="A",(RANK(U267,U$11:U$349)+COUNTIF(U$11:U267,U267)-1),(RANK(U267,U$11:U$349,1)+COUNTIF(U$11:U267,U267)-1)))</f>
        <v/>
      </c>
      <c r="W267" s="184"/>
      <c r="X267" s="5" t="str">
        <f>IF(L267="","",VLOOKUP($L267,classifications!$C:$J,6,FALSE))</f>
        <v/>
      </c>
      <c r="Y267" t="str">
        <f t="shared" si="104"/>
        <v/>
      </c>
      <c r="Z267" s="40" t="str">
        <f>IF(Y267="","",IF(I$8="A",(RANK(Y267,Y$11:Y$349,1)+COUNTIF(Y$11:Y267,Y267)-1),(RANK(Y267,Y$11:Y$349)+COUNTIF(Y$11:Y267,Y267)-1)))</f>
        <v/>
      </c>
      <c r="AA267" s="189" t="str">
        <f>IF(L267="","",VLOOKUP($L267,classifications!C:I,7,FALSE))</f>
        <v/>
      </c>
      <c r="AB267" s="183" t="str">
        <f t="shared" si="105"/>
        <v/>
      </c>
      <c r="AC267" s="183" t="str">
        <f>IF(AB267="","",IF($I$8="A",(RANK(AB267,AB$11:AB$349)+COUNTIF(AB$11:AB267,AB267)-1),(RANK(AB267,AB$11:AB$349,1)+COUNTIF(AB$11:AB267,AB267)-1)))</f>
        <v/>
      </c>
      <c r="AD267" s="183"/>
      <c r="AE267" s="49">
        <f>IF(I$8="A",(RANK(AG267,AG$11:AG$349,1)+COUNTIF(AG$11:AG267,AG267)-1),(RANK(AG267,AG$11:AG$349)+COUNTIF(AG$11:AG267,AG267)-1))</f>
        <v>257</v>
      </c>
      <c r="AF267" t="str">
        <f>VLOOKUP(Profile!$J$5,Families!$C:$R,6,FALSE)</f>
        <v>Herefordshire</v>
      </c>
      <c r="AG267" s="15">
        <f t="shared" si="106"/>
        <v>62.711864406779661</v>
      </c>
      <c r="AH267" s="50">
        <f t="shared" si="107"/>
        <v>257</v>
      </c>
      <c r="AI267" s="5" t="str">
        <f>IF(L267="","",VLOOKUP($L267,classifications!$C:$J,8,FALSE))</f>
        <v/>
      </c>
      <c r="AJ267" s="43" t="str">
        <f t="shared" si="108"/>
        <v/>
      </c>
      <c r="AK267" s="40" t="str">
        <f>IF(AJ267="","",IF(I$8="A",(RANK(AJ267,AJ$11:AJ$349,1)+COUNTIF(AJ$11:AJ267,AJ267)-1),(RANK(AJ267,AJ$11:AJ$349)+COUNTIF(AJ$11:AJ267,AJ267)-1)))</f>
        <v/>
      </c>
      <c r="AL267" s="3" t="str">
        <f t="shared" si="109"/>
        <v/>
      </c>
      <c r="AM267" t="str">
        <f t="shared" si="110"/>
        <v/>
      </c>
      <c r="AN267" t="str">
        <f t="shared" si="111"/>
        <v/>
      </c>
      <c r="AP267" s="5" t="str">
        <f>IF(L267="","",VLOOKUP($L267,classifications!$C:$E,3,FALSE))</f>
        <v/>
      </c>
      <c r="AQ267" s="43" t="str">
        <f t="shared" si="112"/>
        <v/>
      </c>
      <c r="AR267" s="40" t="str">
        <f>IF(AQ267="","",IF(I$8="A",(RANK(AQ267,AQ$11:AQ$349,1)+COUNTIF(AQ$11:AQ267,AQ267)-1),(RANK(AQ267,AQ$11:AQ$349)+COUNTIF(AQ$11:AQ267,AQ267)-1)))</f>
        <v/>
      </c>
      <c r="AS267" s="3" t="str">
        <f t="shared" si="113"/>
        <v/>
      </c>
      <c r="AT267" s="40" t="str">
        <f t="shared" si="114"/>
        <v/>
      </c>
      <c r="AU267" s="43" t="str">
        <f t="shared" si="115"/>
        <v/>
      </c>
      <c r="AX267">
        <f>HLOOKUP($AX$9&amp;$AX$10,Data!$A$1:$ZZ$1988,(MATCH($C267,Data!$A$1:$A$1988,0)),FALSE)</f>
        <v>100</v>
      </c>
    </row>
    <row r="268" spans="1:50">
      <c r="A268" s="59" t="str">
        <f>$D$1&amp;258</f>
        <v>UA258</v>
      </c>
      <c r="B268" s="60">
        <f>IF(ISERROR(VLOOKUP(A268,classifications!A:C,3,FALSE)),0,VLOOKUP(A268,classifications!A:C,3,FALSE))</f>
        <v>0</v>
      </c>
      <c r="C268" t="s">
        <v>288</v>
      </c>
      <c r="D268" t="str">
        <f>VLOOKUP($C268,classifications!$C:$J,4,FALSE)</f>
        <v>UA</v>
      </c>
      <c r="E268">
        <f>VLOOKUP(C268,classifications!C:K,9,FALSE)</f>
        <v>0</v>
      </c>
      <c r="F268">
        <f t="shared" si="92"/>
        <v>100</v>
      </c>
      <c r="G268" s="15"/>
      <c r="H268" s="42">
        <f t="shared" si="93"/>
        <v>100</v>
      </c>
      <c r="I268" s="79">
        <f>IF(H268="","",IF($I$8="A",(RANK(H268,H$11:H$349,1)+COUNTIF(H$11:H268,H268)-1),(RANK(H268,H$11:H$349)+COUNTIF(H$11:H268,H268)-1)))</f>
        <v>7</v>
      </c>
      <c r="J268" s="41"/>
      <c r="K268" s="36" t="str">
        <f t="shared" si="94"/>
        <v/>
      </c>
      <c r="L268" t="str">
        <f t="shared" si="95"/>
        <v/>
      </c>
      <c r="M268" s="117" t="str">
        <f t="shared" si="96"/>
        <v/>
      </c>
      <c r="N268" s="112" t="str">
        <f t="shared" si="97"/>
        <v/>
      </c>
      <c r="O268" s="96" t="str">
        <f t="shared" si="98"/>
        <v/>
      </c>
      <c r="P268" s="96" t="str">
        <f t="shared" si="99"/>
        <v/>
      </c>
      <c r="Q268" s="96" t="str">
        <f t="shared" si="100"/>
        <v/>
      </c>
      <c r="R268" s="92" t="str">
        <f t="shared" si="101"/>
        <v/>
      </c>
      <c r="S268" s="42" t="str">
        <f t="shared" si="102"/>
        <v/>
      </c>
      <c r="T268" s="176" t="str">
        <f>IF(L268="","",VLOOKUP(L268,classifications!C:K,9,FALSE))</f>
        <v/>
      </c>
      <c r="U268" s="177" t="str">
        <f t="shared" si="103"/>
        <v/>
      </c>
      <c r="V268" s="183" t="str">
        <f>IF(U268="","",IF($I$8="A",(RANK(U268,U$11:U$349)+COUNTIF(U$11:U268,U268)-1),(RANK(U268,U$11:U$349,1)+COUNTIF(U$11:U268,U268)-1)))</f>
        <v/>
      </c>
      <c r="W268" s="184"/>
      <c r="X268" s="5" t="str">
        <f>IF(L268="","",VLOOKUP($L268,classifications!$C:$J,6,FALSE))</f>
        <v/>
      </c>
      <c r="Y268" t="str">
        <f t="shared" si="104"/>
        <v/>
      </c>
      <c r="Z268" s="40" t="str">
        <f>IF(Y268="","",IF(I$8="A",(RANK(Y268,Y$11:Y$349,1)+COUNTIF(Y$11:Y268,Y268)-1),(RANK(Y268,Y$11:Y$349)+COUNTIF(Y$11:Y268,Y268)-1)))</f>
        <v/>
      </c>
      <c r="AA268" s="189" t="str">
        <f>IF(L268="","",VLOOKUP($L268,classifications!C:I,7,FALSE))</f>
        <v/>
      </c>
      <c r="AB268" s="183" t="str">
        <f t="shared" si="105"/>
        <v/>
      </c>
      <c r="AC268" s="183" t="str">
        <f>IF(AB268="","",IF($I$8="A",(RANK(AB268,AB$11:AB$349)+COUNTIF(AB$11:AB268,AB268)-1),(RANK(AB268,AB$11:AB$349,1)+COUNTIF(AB$11:AB268,AB268)-1)))</f>
        <v/>
      </c>
      <c r="AD268" s="183"/>
      <c r="AE268" s="49">
        <f>IF(I$8="A",(RANK(AG268,AG$11:AG$349,1)+COUNTIF(AG$11:AG268,AG268)-1),(RANK(AG268,AG$11:AG$349)+COUNTIF(AG$11:AG268,AG268)-1))</f>
        <v>258</v>
      </c>
      <c r="AF268" t="str">
        <f>VLOOKUP(Profile!$J$5,Families!$C:$R,6,FALSE)</f>
        <v>Herefordshire</v>
      </c>
      <c r="AG268" s="15">
        <f t="shared" si="106"/>
        <v>62.711864406779661</v>
      </c>
      <c r="AH268" s="50">
        <f t="shared" si="107"/>
        <v>258</v>
      </c>
      <c r="AI268" s="5" t="str">
        <f>IF(L268="","",VLOOKUP($L268,classifications!$C:$J,8,FALSE))</f>
        <v/>
      </c>
      <c r="AJ268" s="43" t="str">
        <f t="shared" si="108"/>
        <v/>
      </c>
      <c r="AK268" s="40" t="str">
        <f>IF(AJ268="","",IF(I$8="A",(RANK(AJ268,AJ$11:AJ$349,1)+COUNTIF(AJ$11:AJ268,AJ268)-1),(RANK(AJ268,AJ$11:AJ$349)+COUNTIF(AJ$11:AJ268,AJ268)-1)))</f>
        <v/>
      </c>
      <c r="AL268" s="3" t="str">
        <f t="shared" si="109"/>
        <v/>
      </c>
      <c r="AM268" t="str">
        <f t="shared" si="110"/>
        <v/>
      </c>
      <c r="AN268" t="str">
        <f t="shared" si="111"/>
        <v/>
      </c>
      <c r="AP268" s="5" t="str">
        <f>IF(L268="","",VLOOKUP($L268,classifications!$C:$E,3,FALSE))</f>
        <v/>
      </c>
      <c r="AQ268" s="43" t="str">
        <f t="shared" si="112"/>
        <v/>
      </c>
      <c r="AR268" s="40" t="str">
        <f>IF(AQ268="","",IF(I$8="A",(RANK(AQ268,AQ$11:AQ$349,1)+COUNTIF(AQ$11:AQ268,AQ268)-1),(RANK(AQ268,AQ$11:AQ$349)+COUNTIF(AQ$11:AQ268,AQ268)-1)))</f>
        <v/>
      </c>
      <c r="AS268" s="3" t="str">
        <f t="shared" si="113"/>
        <v/>
      </c>
      <c r="AT268" s="40" t="str">
        <f t="shared" si="114"/>
        <v/>
      </c>
      <c r="AU268" s="43" t="str">
        <f t="shared" si="115"/>
        <v/>
      </c>
      <c r="AX268">
        <f>HLOOKUP($AX$9&amp;$AX$10,Data!$A$1:$ZZ$1988,(MATCH($C268,Data!$A$1:$A$1988,0)),FALSE)</f>
        <v>100</v>
      </c>
    </row>
    <row r="269" spans="1:50">
      <c r="A269" s="59" t="str">
        <f>$D$1&amp;259</f>
        <v>UA259</v>
      </c>
      <c r="B269" s="60">
        <f>IF(ISERROR(VLOOKUP(A269,classifications!A:C,3,FALSE)),0,VLOOKUP(A269,classifications!A:C,3,FALSE))</f>
        <v>0</v>
      </c>
      <c r="C269" t="s">
        <v>289</v>
      </c>
      <c r="D269" t="str">
        <f>VLOOKUP($C269,classifications!$C:$J,4,FALSE)</f>
        <v>UA</v>
      </c>
      <c r="E269">
        <f>VLOOKUP(C269,classifications!C:K,9,FALSE)</f>
        <v>0</v>
      </c>
      <c r="F269">
        <f t="shared" si="92"/>
        <v>100</v>
      </c>
      <c r="G269" s="15"/>
      <c r="H269" s="42">
        <f t="shared" si="93"/>
        <v>100</v>
      </c>
      <c r="I269" s="79">
        <f>IF(H269="","",IF($I$8="A",(RANK(H269,H$11:H$349,1)+COUNTIF(H$11:H269,H269)-1),(RANK(H269,H$11:H$349)+COUNTIF(H$11:H269,H269)-1)))</f>
        <v>8</v>
      </c>
      <c r="J269" s="41"/>
      <c r="K269" s="36" t="str">
        <f t="shared" si="94"/>
        <v/>
      </c>
      <c r="L269" t="str">
        <f t="shared" si="95"/>
        <v/>
      </c>
      <c r="M269" s="117" t="str">
        <f t="shared" si="96"/>
        <v/>
      </c>
      <c r="N269" s="112" t="str">
        <f t="shared" si="97"/>
        <v/>
      </c>
      <c r="O269" s="96" t="str">
        <f t="shared" si="98"/>
        <v/>
      </c>
      <c r="P269" s="96" t="str">
        <f t="shared" si="99"/>
        <v/>
      </c>
      <c r="Q269" s="96" t="str">
        <f t="shared" si="100"/>
        <v/>
      </c>
      <c r="R269" s="92" t="str">
        <f t="shared" si="101"/>
        <v/>
      </c>
      <c r="S269" s="42" t="str">
        <f t="shared" si="102"/>
        <v/>
      </c>
      <c r="T269" s="176" t="str">
        <f>IF(L269="","",VLOOKUP(L269,classifications!C:K,9,FALSE))</f>
        <v/>
      </c>
      <c r="U269" s="177" t="str">
        <f t="shared" si="103"/>
        <v/>
      </c>
      <c r="V269" s="183" t="str">
        <f>IF(U269="","",IF($I$8="A",(RANK(U269,U$11:U$349)+COUNTIF(U$11:U269,U269)-1),(RANK(U269,U$11:U$349,1)+COUNTIF(U$11:U269,U269)-1)))</f>
        <v/>
      </c>
      <c r="W269" s="184"/>
      <c r="X269" s="5" t="str">
        <f>IF(L269="","",VLOOKUP($L269,classifications!$C:$J,6,FALSE))</f>
        <v/>
      </c>
      <c r="Y269" t="str">
        <f t="shared" si="104"/>
        <v/>
      </c>
      <c r="Z269" s="40" t="str">
        <f>IF(Y269="","",IF(I$8="A",(RANK(Y269,Y$11:Y$349,1)+COUNTIF(Y$11:Y269,Y269)-1),(RANK(Y269,Y$11:Y$349)+COUNTIF(Y$11:Y269,Y269)-1)))</f>
        <v/>
      </c>
      <c r="AA269" s="189" t="str">
        <f>IF(L269="","",VLOOKUP($L269,classifications!C:I,7,FALSE))</f>
        <v/>
      </c>
      <c r="AB269" s="183" t="str">
        <f t="shared" si="105"/>
        <v/>
      </c>
      <c r="AC269" s="183" t="str">
        <f>IF(AB269="","",IF($I$8="A",(RANK(AB269,AB$11:AB$349)+COUNTIF(AB$11:AB269,AB269)-1),(RANK(AB269,AB$11:AB$349,1)+COUNTIF(AB$11:AB269,AB269)-1)))</f>
        <v/>
      </c>
      <c r="AD269" s="183"/>
      <c r="AE269" s="49">
        <f>IF(I$8="A",(RANK(AG269,AG$11:AG$349,1)+COUNTIF(AG$11:AG269,AG269)-1),(RANK(AG269,AG$11:AG$349)+COUNTIF(AG$11:AG269,AG269)-1))</f>
        <v>259</v>
      </c>
      <c r="AF269" t="str">
        <f>VLOOKUP(Profile!$J$5,Families!$C:$R,6,FALSE)</f>
        <v>Herefordshire</v>
      </c>
      <c r="AG269" s="15">
        <f t="shared" si="106"/>
        <v>62.711864406779661</v>
      </c>
      <c r="AH269" s="50">
        <f t="shared" si="107"/>
        <v>259</v>
      </c>
      <c r="AI269" s="5" t="str">
        <f>IF(L269="","",VLOOKUP($L269,classifications!$C:$J,8,FALSE))</f>
        <v/>
      </c>
      <c r="AJ269" s="43" t="str">
        <f t="shared" si="108"/>
        <v/>
      </c>
      <c r="AK269" s="40" t="str">
        <f>IF(AJ269="","",IF(I$8="A",(RANK(AJ269,AJ$11:AJ$349,1)+COUNTIF(AJ$11:AJ269,AJ269)-1),(RANK(AJ269,AJ$11:AJ$349)+COUNTIF(AJ$11:AJ269,AJ269)-1)))</f>
        <v/>
      </c>
      <c r="AL269" s="3" t="str">
        <f t="shared" si="109"/>
        <v/>
      </c>
      <c r="AM269" t="str">
        <f t="shared" si="110"/>
        <v/>
      </c>
      <c r="AN269" t="str">
        <f t="shared" si="111"/>
        <v/>
      </c>
      <c r="AP269" s="5" t="str">
        <f>IF(L269="","",VLOOKUP($L269,classifications!$C:$E,3,FALSE))</f>
        <v/>
      </c>
      <c r="AQ269" s="43" t="str">
        <f t="shared" si="112"/>
        <v/>
      </c>
      <c r="AR269" s="40" t="str">
        <f>IF(AQ269="","",IF(I$8="A",(RANK(AQ269,AQ$11:AQ$349,1)+COUNTIF(AQ$11:AQ269,AQ269)-1),(RANK(AQ269,AQ$11:AQ$349)+COUNTIF(AQ$11:AQ269,AQ269)-1)))</f>
        <v/>
      </c>
      <c r="AS269" s="3" t="str">
        <f t="shared" si="113"/>
        <v/>
      </c>
      <c r="AT269" s="40" t="str">
        <f t="shared" si="114"/>
        <v/>
      </c>
      <c r="AU269" s="43" t="str">
        <f t="shared" si="115"/>
        <v/>
      </c>
      <c r="AX269">
        <f>HLOOKUP($AX$9&amp;$AX$10,Data!$A$1:$ZZ$1988,(MATCH($C269,Data!$A$1:$A$1988,0)),FALSE)</f>
        <v>100</v>
      </c>
    </row>
    <row r="270" spans="1:50">
      <c r="A270" s="59" t="str">
        <f>$D$1&amp;260</f>
        <v>UA260</v>
      </c>
      <c r="B270" s="60">
        <f>IF(ISERROR(VLOOKUP(A270,classifications!A:C,3,FALSE)),0,VLOOKUP(A270,classifications!A:C,3,FALSE))</f>
        <v>0</v>
      </c>
      <c r="C270" t="s">
        <v>217</v>
      </c>
      <c r="D270" t="str">
        <f>VLOOKUP($C270,classifications!$C:$J,4,FALSE)</f>
        <v>L</v>
      </c>
      <c r="E270">
        <f>VLOOKUP(C270,classifications!C:K,9,FALSE)</f>
        <v>0</v>
      </c>
      <c r="F270">
        <f t="shared" si="92"/>
        <v>77.083333333333343</v>
      </c>
      <c r="G270" s="15"/>
      <c r="H270" s="42" t="str">
        <f t="shared" si="93"/>
        <v/>
      </c>
      <c r="I270" s="79" t="str">
        <f>IF(H270="","",IF($I$8="A",(RANK(H270,H$11:H$349,1)+COUNTIF(H$11:H270,H270)-1),(RANK(H270,H$11:H$349)+COUNTIF(H$11:H270,H270)-1)))</f>
        <v/>
      </c>
      <c r="J270" s="41"/>
      <c r="K270" s="36" t="str">
        <f t="shared" si="94"/>
        <v/>
      </c>
      <c r="L270" t="str">
        <f t="shared" si="95"/>
        <v/>
      </c>
      <c r="M270" s="117" t="str">
        <f t="shared" si="96"/>
        <v/>
      </c>
      <c r="N270" s="112" t="str">
        <f t="shared" si="97"/>
        <v/>
      </c>
      <c r="O270" s="96" t="str">
        <f t="shared" si="98"/>
        <v/>
      </c>
      <c r="P270" s="96" t="str">
        <f t="shared" si="99"/>
        <v/>
      </c>
      <c r="Q270" s="96" t="str">
        <f t="shared" si="100"/>
        <v/>
      </c>
      <c r="R270" s="92" t="str">
        <f t="shared" si="101"/>
        <v/>
      </c>
      <c r="S270" s="42" t="str">
        <f t="shared" si="102"/>
        <v/>
      </c>
      <c r="T270" s="176" t="str">
        <f>IF(L270="","",VLOOKUP(L270,classifications!C:K,9,FALSE))</f>
        <v/>
      </c>
      <c r="U270" s="177" t="str">
        <f t="shared" si="103"/>
        <v/>
      </c>
      <c r="V270" s="183" t="str">
        <f>IF(U270="","",IF($I$8="A",(RANK(U270,U$11:U$349)+COUNTIF(U$11:U270,U270)-1),(RANK(U270,U$11:U$349,1)+COUNTIF(U$11:U270,U270)-1)))</f>
        <v/>
      </c>
      <c r="W270" s="184"/>
      <c r="X270" s="5" t="str">
        <f>IF(L270="","",VLOOKUP($L270,classifications!$C:$J,6,FALSE))</f>
        <v/>
      </c>
      <c r="Y270" t="str">
        <f t="shared" si="104"/>
        <v/>
      </c>
      <c r="Z270" s="40" t="str">
        <f>IF(Y270="","",IF(I$8="A",(RANK(Y270,Y$11:Y$349,1)+COUNTIF(Y$11:Y270,Y270)-1),(RANK(Y270,Y$11:Y$349)+COUNTIF(Y$11:Y270,Y270)-1)))</f>
        <v/>
      </c>
      <c r="AA270" s="189" t="str">
        <f>IF(L270="","",VLOOKUP($L270,classifications!C:I,7,FALSE))</f>
        <v/>
      </c>
      <c r="AB270" s="183" t="str">
        <f t="shared" si="105"/>
        <v/>
      </c>
      <c r="AC270" s="183" t="str">
        <f>IF(AB270="","",IF($I$8="A",(RANK(AB270,AB$11:AB$349)+COUNTIF(AB$11:AB270,AB270)-1),(RANK(AB270,AB$11:AB$349,1)+COUNTIF(AB$11:AB270,AB270)-1)))</f>
        <v/>
      </c>
      <c r="AD270" s="183"/>
      <c r="AE270" s="49">
        <f>IF(I$8="A",(RANK(AG270,AG$11:AG$349,1)+COUNTIF(AG$11:AG270,AG270)-1),(RANK(AG270,AG$11:AG$349)+COUNTIF(AG$11:AG270,AG270)-1))</f>
        <v>260</v>
      </c>
      <c r="AF270" t="str">
        <f>VLOOKUP(Profile!$J$5,Families!$C:$R,6,FALSE)</f>
        <v>Herefordshire</v>
      </c>
      <c r="AG270" s="15">
        <f t="shared" si="106"/>
        <v>62.711864406779661</v>
      </c>
      <c r="AH270" s="50">
        <f t="shared" si="107"/>
        <v>260</v>
      </c>
      <c r="AI270" s="5" t="str">
        <f>IF(L270="","",VLOOKUP($L270,classifications!$C:$J,8,FALSE))</f>
        <v/>
      </c>
      <c r="AJ270" s="43" t="str">
        <f t="shared" si="108"/>
        <v/>
      </c>
      <c r="AK270" s="40" t="str">
        <f>IF(AJ270="","",IF(I$8="A",(RANK(AJ270,AJ$11:AJ$349,1)+COUNTIF(AJ$11:AJ270,AJ270)-1),(RANK(AJ270,AJ$11:AJ$349)+COUNTIF(AJ$11:AJ270,AJ270)-1)))</f>
        <v/>
      </c>
      <c r="AL270" s="3" t="str">
        <f t="shared" si="109"/>
        <v/>
      </c>
      <c r="AM270" t="str">
        <f t="shared" si="110"/>
        <v/>
      </c>
      <c r="AN270" t="str">
        <f t="shared" si="111"/>
        <v/>
      </c>
      <c r="AP270" s="5" t="str">
        <f>IF(L270="","",VLOOKUP($L270,classifications!$C:$E,3,FALSE))</f>
        <v/>
      </c>
      <c r="AQ270" s="43" t="str">
        <f t="shared" si="112"/>
        <v/>
      </c>
      <c r="AR270" s="40" t="str">
        <f>IF(AQ270="","",IF(I$8="A",(RANK(AQ270,AQ$11:AQ$349,1)+COUNTIF(AQ$11:AQ270,AQ270)-1),(RANK(AQ270,AQ$11:AQ$349)+COUNTIF(AQ$11:AQ270,AQ270)-1)))</f>
        <v/>
      </c>
      <c r="AS270" s="3" t="str">
        <f t="shared" si="113"/>
        <v/>
      </c>
      <c r="AT270" s="40" t="str">
        <f t="shared" si="114"/>
        <v/>
      </c>
      <c r="AU270" s="43" t="str">
        <f t="shared" si="115"/>
        <v/>
      </c>
      <c r="AX270">
        <f>HLOOKUP($AX$9&amp;$AX$10,Data!$A$1:$ZZ$1988,(MATCH($C270,Data!$A$1:$A$1988,0)),FALSE)</f>
        <v>77.083333333333343</v>
      </c>
    </row>
    <row r="271" spans="1:50">
      <c r="A271" s="59" t="str">
        <f>$D$1&amp;261</f>
        <v>UA261</v>
      </c>
      <c r="B271" s="60">
        <f>IF(ISERROR(VLOOKUP(A271,classifications!A:C,3,FALSE)),0,VLOOKUP(A271,classifications!A:C,3,FALSE))</f>
        <v>0</v>
      </c>
      <c r="C271" t="s">
        <v>150</v>
      </c>
      <c r="D271" t="str">
        <f>VLOOKUP($C271,classifications!$C:$J,4,FALSE)</f>
        <v>SD</v>
      </c>
      <c r="E271">
        <f>VLOOKUP(C271,classifications!C:K,9,FALSE)</f>
        <v>0</v>
      </c>
      <c r="F271">
        <f t="shared" si="92"/>
        <v>100</v>
      </c>
      <c r="G271" s="15"/>
      <c r="H271" s="42" t="str">
        <f t="shared" si="93"/>
        <v/>
      </c>
      <c r="I271" s="79" t="str">
        <f>IF(H271="","",IF($I$8="A",(RANK(H271,H$11:H$349,1)+COUNTIF(H$11:H271,H271)-1),(RANK(H271,H$11:H$349)+COUNTIF(H$11:H271,H271)-1)))</f>
        <v/>
      </c>
      <c r="J271" s="41"/>
      <c r="K271" s="36" t="str">
        <f t="shared" si="94"/>
        <v/>
      </c>
      <c r="L271" t="str">
        <f t="shared" si="95"/>
        <v/>
      </c>
      <c r="M271" s="117" t="str">
        <f t="shared" si="96"/>
        <v/>
      </c>
      <c r="N271" s="112" t="str">
        <f t="shared" si="97"/>
        <v/>
      </c>
      <c r="O271" s="96" t="str">
        <f t="shared" si="98"/>
        <v/>
      </c>
      <c r="P271" s="96" t="str">
        <f t="shared" si="99"/>
        <v/>
      </c>
      <c r="Q271" s="96" t="str">
        <f t="shared" si="100"/>
        <v/>
      </c>
      <c r="R271" s="92" t="str">
        <f t="shared" si="101"/>
        <v/>
      </c>
      <c r="S271" s="42" t="str">
        <f t="shared" si="102"/>
        <v/>
      </c>
      <c r="T271" s="176" t="str">
        <f>IF(L271="","",VLOOKUP(L271,classifications!C:K,9,FALSE))</f>
        <v/>
      </c>
      <c r="U271" s="177" t="str">
        <f t="shared" si="103"/>
        <v/>
      </c>
      <c r="V271" s="183" t="str">
        <f>IF(U271="","",IF($I$8="A",(RANK(U271,U$11:U$349)+COUNTIF(U$11:U271,U271)-1),(RANK(U271,U$11:U$349,1)+COUNTIF(U$11:U271,U271)-1)))</f>
        <v/>
      </c>
      <c r="W271" s="184"/>
      <c r="X271" s="5" t="str">
        <f>IF(L271="","",VLOOKUP($L271,classifications!$C:$J,6,FALSE))</f>
        <v/>
      </c>
      <c r="Y271" t="str">
        <f t="shared" si="104"/>
        <v/>
      </c>
      <c r="Z271" s="40" t="str">
        <f>IF(Y271="","",IF(I$8="A",(RANK(Y271,Y$11:Y$349,1)+COUNTIF(Y$11:Y271,Y271)-1),(RANK(Y271,Y$11:Y$349)+COUNTIF(Y$11:Y271,Y271)-1)))</f>
        <v/>
      </c>
      <c r="AA271" s="189" t="str">
        <f>IF(L271="","",VLOOKUP($L271,classifications!C:I,7,FALSE))</f>
        <v/>
      </c>
      <c r="AB271" s="183" t="str">
        <f t="shared" si="105"/>
        <v/>
      </c>
      <c r="AC271" s="183" t="str">
        <f>IF(AB271="","",IF($I$8="A",(RANK(AB271,AB$11:AB$349)+COUNTIF(AB$11:AB271,AB271)-1),(RANK(AB271,AB$11:AB$349,1)+COUNTIF(AB$11:AB271,AB271)-1)))</f>
        <v/>
      </c>
      <c r="AD271" s="183"/>
      <c r="AE271" s="49">
        <f>IF(I$8="A",(RANK(AG271,AG$11:AG$349,1)+COUNTIF(AG$11:AG271,AG271)-1),(RANK(AG271,AG$11:AG$349)+COUNTIF(AG$11:AG271,AG271)-1))</f>
        <v>261</v>
      </c>
      <c r="AF271" t="str">
        <f>VLOOKUP(Profile!$J$5,Families!$C:$R,6,FALSE)</f>
        <v>Herefordshire</v>
      </c>
      <c r="AG271" s="15">
        <f t="shared" si="106"/>
        <v>62.711864406779661</v>
      </c>
      <c r="AH271" s="50">
        <f t="shared" si="107"/>
        <v>261</v>
      </c>
      <c r="AI271" s="5" t="str">
        <f>IF(L271="","",VLOOKUP($L271,classifications!$C:$J,8,FALSE))</f>
        <v/>
      </c>
      <c r="AJ271" s="43" t="str">
        <f t="shared" si="108"/>
        <v/>
      </c>
      <c r="AK271" s="40" t="str">
        <f>IF(AJ271="","",IF(I$8="A",(RANK(AJ271,AJ$11:AJ$349,1)+COUNTIF(AJ$11:AJ271,AJ271)-1),(RANK(AJ271,AJ$11:AJ$349)+COUNTIF(AJ$11:AJ271,AJ271)-1)))</f>
        <v/>
      </c>
      <c r="AL271" s="3" t="str">
        <f t="shared" si="109"/>
        <v/>
      </c>
      <c r="AM271" t="str">
        <f t="shared" si="110"/>
        <v/>
      </c>
      <c r="AN271" t="str">
        <f t="shared" si="111"/>
        <v/>
      </c>
      <c r="AP271" s="5" t="str">
        <f>IF(L271="","",VLOOKUP($L271,classifications!$C:$E,3,FALSE))</f>
        <v/>
      </c>
      <c r="AQ271" s="43" t="str">
        <f t="shared" si="112"/>
        <v/>
      </c>
      <c r="AR271" s="40" t="str">
        <f>IF(AQ271="","",IF(I$8="A",(RANK(AQ271,AQ$11:AQ$349,1)+COUNTIF(AQ$11:AQ271,AQ271)-1),(RANK(AQ271,AQ$11:AQ$349)+COUNTIF(AQ$11:AQ271,AQ271)-1)))</f>
        <v/>
      </c>
      <c r="AS271" s="3" t="str">
        <f t="shared" si="113"/>
        <v/>
      </c>
      <c r="AT271" s="40" t="str">
        <f t="shared" si="114"/>
        <v/>
      </c>
      <c r="AU271" s="43" t="str">
        <f t="shared" si="115"/>
        <v/>
      </c>
      <c r="AX271">
        <f>HLOOKUP($AX$9&amp;$AX$10,Data!$A$1:$ZZ$1988,(MATCH($C271,Data!$A$1:$A$1988,0)),FALSE)</f>
        <v>100</v>
      </c>
    </row>
    <row r="272" spans="1:50">
      <c r="A272" s="59" t="str">
        <f>$D$1&amp;262</f>
        <v>UA262</v>
      </c>
      <c r="B272" s="60">
        <f>IF(ISERROR(VLOOKUP(A272,classifications!A:C,3,FALSE)),0,VLOOKUP(A272,classifications!A:C,3,FALSE))</f>
        <v>0</v>
      </c>
      <c r="C272" t="s">
        <v>151</v>
      </c>
      <c r="D272" t="str">
        <f>VLOOKUP($C272,classifications!$C:$J,4,FALSE)</f>
        <v>SD</v>
      </c>
      <c r="E272">
        <f>VLOOKUP(C272,classifications!C:K,9,FALSE)</f>
        <v>0</v>
      </c>
      <c r="F272">
        <f t="shared" si="92"/>
        <v>75.862068965517238</v>
      </c>
      <c r="G272" s="15"/>
      <c r="H272" s="42" t="str">
        <f t="shared" si="93"/>
        <v/>
      </c>
      <c r="I272" s="79" t="str">
        <f>IF(H272="","",IF($I$8="A",(RANK(H272,H$11:H$349,1)+COUNTIF(H$11:H272,H272)-1),(RANK(H272,H$11:H$349)+COUNTIF(H$11:H272,H272)-1)))</f>
        <v/>
      </c>
      <c r="J272" s="41"/>
      <c r="K272" s="36" t="str">
        <f t="shared" si="94"/>
        <v/>
      </c>
      <c r="L272" t="str">
        <f t="shared" si="95"/>
        <v/>
      </c>
      <c r="M272" s="117" t="str">
        <f t="shared" si="96"/>
        <v/>
      </c>
      <c r="N272" s="112" t="str">
        <f t="shared" si="97"/>
        <v/>
      </c>
      <c r="O272" s="96" t="str">
        <f t="shared" si="98"/>
        <v/>
      </c>
      <c r="P272" s="96" t="str">
        <f t="shared" si="99"/>
        <v/>
      </c>
      <c r="Q272" s="96" t="str">
        <f t="shared" si="100"/>
        <v/>
      </c>
      <c r="R272" s="92" t="str">
        <f t="shared" si="101"/>
        <v/>
      </c>
      <c r="S272" s="42" t="str">
        <f t="shared" si="102"/>
        <v/>
      </c>
      <c r="T272" s="176" t="str">
        <f>IF(L272="","",VLOOKUP(L272,classifications!C:K,9,FALSE))</f>
        <v/>
      </c>
      <c r="U272" s="177" t="str">
        <f t="shared" si="103"/>
        <v/>
      </c>
      <c r="V272" s="183" t="str">
        <f>IF(U272="","",IF($I$8="A",(RANK(U272,U$11:U$349)+COUNTIF(U$11:U272,U272)-1),(RANK(U272,U$11:U$349,1)+COUNTIF(U$11:U272,U272)-1)))</f>
        <v/>
      </c>
      <c r="W272" s="184"/>
      <c r="X272" s="5" t="str">
        <f>IF(L272="","",VLOOKUP($L272,classifications!$C:$J,6,FALSE))</f>
        <v/>
      </c>
      <c r="Y272" t="str">
        <f t="shared" si="104"/>
        <v/>
      </c>
      <c r="Z272" s="40" t="str">
        <f>IF(Y272="","",IF(I$8="A",(RANK(Y272,Y$11:Y$349,1)+COUNTIF(Y$11:Y272,Y272)-1),(RANK(Y272,Y$11:Y$349)+COUNTIF(Y$11:Y272,Y272)-1)))</f>
        <v/>
      </c>
      <c r="AA272" s="189" t="str">
        <f>IF(L272="","",VLOOKUP($L272,classifications!C:I,7,FALSE))</f>
        <v/>
      </c>
      <c r="AB272" s="183" t="str">
        <f t="shared" si="105"/>
        <v/>
      </c>
      <c r="AC272" s="183" t="str">
        <f>IF(AB272="","",IF($I$8="A",(RANK(AB272,AB$11:AB$349)+COUNTIF(AB$11:AB272,AB272)-1),(RANK(AB272,AB$11:AB$349,1)+COUNTIF(AB$11:AB272,AB272)-1)))</f>
        <v/>
      </c>
      <c r="AD272" s="183"/>
      <c r="AE272" s="49">
        <f>IF(I$8="A",(RANK(AG272,AG$11:AG$349,1)+COUNTIF(AG$11:AG272,AG272)-1),(RANK(AG272,AG$11:AG$349)+COUNTIF(AG$11:AG272,AG272)-1))</f>
        <v>262</v>
      </c>
      <c r="AF272" t="str">
        <f>VLOOKUP(Profile!$J$5,Families!$C:$R,6,FALSE)</f>
        <v>Herefordshire</v>
      </c>
      <c r="AG272" s="15">
        <f t="shared" si="106"/>
        <v>62.711864406779661</v>
      </c>
      <c r="AH272" s="50">
        <f t="shared" si="107"/>
        <v>262</v>
      </c>
      <c r="AI272" s="5" t="str">
        <f>IF(L272="","",VLOOKUP($L272,classifications!$C:$J,8,FALSE))</f>
        <v/>
      </c>
      <c r="AJ272" s="43" t="str">
        <f t="shared" si="108"/>
        <v/>
      </c>
      <c r="AK272" s="40" t="str">
        <f>IF(AJ272="","",IF(I$8="A",(RANK(AJ272,AJ$11:AJ$349,1)+COUNTIF(AJ$11:AJ272,AJ272)-1),(RANK(AJ272,AJ$11:AJ$349)+COUNTIF(AJ$11:AJ272,AJ272)-1)))</f>
        <v/>
      </c>
      <c r="AL272" s="3" t="str">
        <f t="shared" si="109"/>
        <v/>
      </c>
      <c r="AM272" t="str">
        <f t="shared" si="110"/>
        <v/>
      </c>
      <c r="AN272" t="str">
        <f t="shared" si="111"/>
        <v/>
      </c>
      <c r="AP272" s="5" t="str">
        <f>IF(L272="","",VLOOKUP($L272,classifications!$C:$E,3,FALSE))</f>
        <v/>
      </c>
      <c r="AQ272" s="43" t="str">
        <f t="shared" si="112"/>
        <v/>
      </c>
      <c r="AR272" s="40" t="str">
        <f>IF(AQ272="","",IF(I$8="A",(RANK(AQ272,AQ$11:AQ$349,1)+COUNTIF(AQ$11:AQ272,AQ272)-1),(RANK(AQ272,AQ$11:AQ$349)+COUNTIF(AQ$11:AQ272,AQ272)-1)))</f>
        <v/>
      </c>
      <c r="AS272" s="3" t="str">
        <f t="shared" si="113"/>
        <v/>
      </c>
      <c r="AT272" s="40" t="str">
        <f t="shared" si="114"/>
        <v/>
      </c>
      <c r="AU272" s="43" t="str">
        <f t="shared" si="115"/>
        <v/>
      </c>
      <c r="AX272">
        <f>HLOOKUP($AX$9&amp;$AX$10,Data!$A$1:$ZZ$1988,(MATCH($C272,Data!$A$1:$A$1988,0)),FALSE)</f>
        <v>75.862068965517238</v>
      </c>
    </row>
    <row r="273" spans="1:50">
      <c r="A273" s="59" t="str">
        <f>$D$1&amp;263</f>
        <v>UA263</v>
      </c>
      <c r="B273" s="60">
        <f>IF(ISERROR(VLOOKUP(A273,classifications!A:C,3,FALSE)),0,VLOOKUP(A273,classifications!A:C,3,FALSE))</f>
        <v>0</v>
      </c>
      <c r="C273" t="s">
        <v>248</v>
      </c>
      <c r="D273" t="str">
        <f>VLOOKUP($C273,classifications!$C:$J,4,FALSE)</f>
        <v>MD</v>
      </c>
      <c r="E273">
        <f>VLOOKUP(C273,classifications!C:K,9,FALSE)</f>
        <v>0</v>
      </c>
      <c r="F273">
        <f t="shared" ref="F273:F336" si="116">HLOOKUP($D$6,AX$10:ZX$353,ROW()-9,FALSE)</f>
        <v>97.297297297297305</v>
      </c>
      <c r="G273" s="15"/>
      <c r="H273" s="42" t="str">
        <f t="shared" ref="H273:H336" si="117">IF(D273=$D$1,HLOOKUP($D$6,$AX$10:$ZZ$353,ROW()-9,FALSE),"")</f>
        <v/>
      </c>
      <c r="I273" s="79" t="str">
        <f>IF(H273="","",IF($I$8="A",(RANK(H273,H$11:H$349,1)+COUNTIF(H$11:H273,H273)-1),(RANK(H273,H$11:H$349)+COUNTIF(H$11:H273,H273)-1)))</f>
        <v/>
      </c>
      <c r="J273" s="41"/>
      <c r="K273" s="36" t="str">
        <f t="shared" ref="K273:K336" si="118">IF(K272="","",IF(K272+1&gt;(COUNT(H$11:H$349)),"",K272+1))</f>
        <v/>
      </c>
      <c r="L273" t="str">
        <f t="shared" ref="L273:L336" si="119">IF(K273="","",INDEX(C$11:C$349,MATCH(K273,I$11:I$349,0)))</f>
        <v/>
      </c>
      <c r="M273" s="117" t="str">
        <f t="shared" ref="M273:M336" si="120">IF(L273="","",IF(VLOOKUP(L273,C:D,2,FALSE)=$F$3,VLOOKUP(L273,C:H,6,FALSE),""))</f>
        <v/>
      </c>
      <c r="N273" s="112" t="str">
        <f t="shared" ref="N273:N336" si="121">IF(L273="","",IF($H$8="%%",M273*100,M273))</f>
        <v/>
      </c>
      <c r="O273" s="96" t="str">
        <f t="shared" ref="O273:O336" si="122">IF(I$8="A",IF(N273&gt;=$P$7,IF(N273&lt;=$O$10,N273,""),""),IF(N273&lt;=$P$7,IF(N273&gt;=$O$10,N273,""),""))</f>
        <v/>
      </c>
      <c r="P273" s="96" t="str">
        <f t="shared" ref="P273:P336" si="123">IF(I$8="A",IF(N273&gt;$O$10,IF(N273&lt;=$P$10,N273,""),""),IF(N273&lt;$O$10,IF(N273&gt;=$P$10,N273,""),""))</f>
        <v/>
      </c>
      <c r="Q273" s="96" t="str">
        <f t="shared" ref="Q273:Q336" si="124">IF(I$8="A",IF(N273&gt;$P$10,IF(N273&lt;=$Q$10,N273,""),""),IF(N273&lt;$P$10,IF(N273&gt;=$Q$10,N273,""),""))</f>
        <v/>
      </c>
      <c r="R273" s="92" t="str">
        <f t="shared" ref="R273:R336" si="125">IF(I$8="A",IF(N273&gt;$Q$10,N273,""),IF(N273&lt;$Q$10,N273,""))</f>
        <v/>
      </c>
      <c r="S273" s="42" t="str">
        <f t="shared" ref="S273:S336" si="126">IF(L273=D$3,"u","")</f>
        <v/>
      </c>
      <c r="T273" s="176" t="str">
        <f>IF(L273="","",VLOOKUP(L273,classifications!C:K,9,FALSE))</f>
        <v/>
      </c>
      <c r="U273" s="177" t="str">
        <f t="shared" ref="U273:U336" si="127">IF(T273="Sparse",M273,"")</f>
        <v/>
      </c>
      <c r="V273" s="183" t="str">
        <f>IF(U273="","",IF($I$8="A",(RANK(U273,U$11:U$349)+COUNTIF(U$11:U273,U273)-1),(RANK(U273,U$11:U$349,1)+COUNTIF(U$11:U273,U273)-1)))</f>
        <v/>
      </c>
      <c r="W273" s="184"/>
      <c r="X273" s="5" t="str">
        <f>IF(L273="","",VLOOKUP($L273,classifications!$C:$J,6,FALSE))</f>
        <v/>
      </c>
      <c r="Y273" t="str">
        <f t="shared" ref="Y273:Y336" si="128">IF($D$1="UA",IF(X273="Predominantly Rural ",M273,IF(X273="Predominantly Rural ",M273,IF(X273="Urban with Significant Rural",M273,""))),IF($D$1="SD",IF(X273=$H$3,M273,"")))</f>
        <v/>
      </c>
      <c r="Z273" s="40" t="str">
        <f>IF(Y273="","",IF(I$8="A",(RANK(Y273,Y$11:Y$349,1)+COUNTIF(Y$11:Y273,Y273)-1),(RANK(Y273,Y$11:Y$349)+COUNTIF(Y$11:Y273,Y273)-1)))</f>
        <v/>
      </c>
      <c r="AA273" s="189" t="str">
        <f>IF(L273="","",VLOOKUP($L273,classifications!C:I,7,FALSE))</f>
        <v/>
      </c>
      <c r="AB273" s="183" t="str">
        <f t="shared" ref="AB273:AB336" si="129">IF(AA273=$J$3,M273,"")</f>
        <v/>
      </c>
      <c r="AC273" s="183" t="str">
        <f>IF(AB273="","",IF($I$8="A",(RANK(AB273,AB$11:AB$349)+COUNTIF(AB$11:AB273,AB273)-1),(RANK(AB273,AB$11:AB$349,1)+COUNTIF(AB$11:AB273,AB273)-1)))</f>
        <v/>
      </c>
      <c r="AD273" s="183"/>
      <c r="AE273" s="49">
        <f>IF(I$8="A",(RANK(AG273,AG$11:AG$349,1)+COUNTIF(AG$11:AG273,AG273)-1),(RANK(AG273,AG$11:AG$349)+COUNTIF(AG$11:AG273,AG273)-1))</f>
        <v>263</v>
      </c>
      <c r="AF273" t="str">
        <f>VLOOKUP(Profile!$J$5,Families!$C:$R,6,FALSE)</f>
        <v>Herefordshire</v>
      </c>
      <c r="AG273" s="15">
        <f t="shared" ref="AG273:AG336" si="130">VLOOKUP(AF273,$C$11:$H$349,4,FALSE)</f>
        <v>62.711864406779661</v>
      </c>
      <c r="AH273" s="50">
        <f t="shared" ref="AH273:AH336" si="131">AE273</f>
        <v>263</v>
      </c>
      <c r="AI273" s="5" t="str">
        <f>IF(L273="","",VLOOKUP($L273,classifications!$C:$J,8,FALSE))</f>
        <v/>
      </c>
      <c r="AJ273" s="43" t="str">
        <f t="shared" ref="AJ273:AJ336" si="132">IF(AI273=$I$3,M273,"")</f>
        <v/>
      </c>
      <c r="AK273" s="40" t="str">
        <f>IF(AJ273="","",IF(I$8="A",(RANK(AJ273,AJ$11:AJ$349,1)+COUNTIF(AJ$11:AJ273,AJ273)-1),(RANK(AJ273,AJ$11:AJ$349)+COUNTIF(AJ$11:AJ273,AJ273)-1)))</f>
        <v/>
      </c>
      <c r="AL273" s="3" t="str">
        <f t="shared" ref="AL273:AL336" si="133">IF(AL272="","",IF(AL272+1&gt;(COUNT(AJ$11:AJ$349)),"",AL272+1))</f>
        <v/>
      </c>
      <c r="AM273" t="str">
        <f t="shared" ref="AM273:AM336" si="134">IF(ISNA(IF(AL273="","",INDEX(L$11:L$349,MATCH(AL273,AK$11:AK$349,0)))),"",(IF(AL273="","",INDEX(L$11:L$349,MATCH(AL273,AK$11:AK$349,0)))))</f>
        <v/>
      </c>
      <c r="AN273" t="str">
        <f t="shared" ref="AN273:AN336" si="135">(VLOOKUP(AM273,L:M,2,FALSE))</f>
        <v/>
      </c>
      <c r="AP273" s="5" t="str">
        <f>IF(L273="","",VLOOKUP($L273,classifications!$C:$E,3,FALSE))</f>
        <v/>
      </c>
      <c r="AQ273" s="43" t="str">
        <f t="shared" ref="AQ273:AQ336" si="136">IF(AP273=$G$3,$M273,"")</f>
        <v/>
      </c>
      <c r="AR273" s="40" t="str">
        <f>IF(AQ273="","",IF(I$8="A",(RANK(AQ273,AQ$11:AQ$349,1)+COUNTIF(AQ$11:AQ273,AQ273)-1),(RANK(AQ273,AQ$11:AQ$349)+COUNTIF(AQ$11:AQ273,AQ273)-1)))</f>
        <v/>
      </c>
      <c r="AS273" s="3" t="str">
        <f t="shared" ref="AS273:AS336" si="137">IF(AS272="","",IF(AS272+1&gt;(COUNT(AQ$11:AQ$349)),"",AS272+1))</f>
        <v/>
      </c>
      <c r="AT273" s="40" t="str">
        <f t="shared" ref="AT273:AT336" si="138">IF(AS273="","",INDEX(L$11:L$349,MATCH(AS273,AR$11:AR$349,0)))</f>
        <v/>
      </c>
      <c r="AU273" s="43" t="str">
        <f t="shared" ref="AU273:AU336" si="139">IF(AT273="","",VLOOKUP(AT273,L:M,2,FALSE))</f>
        <v/>
      </c>
      <c r="AX273">
        <f>HLOOKUP($AX$9&amp;$AX$10,Data!$A$1:$ZZ$1988,(MATCH($C273,Data!$A$1:$A$1988,0)),FALSE)</f>
        <v>97.297297297297305</v>
      </c>
    </row>
    <row r="274" spans="1:50">
      <c r="A274" s="59" t="str">
        <f>$D$1&amp;264</f>
        <v>UA264</v>
      </c>
      <c r="B274" s="60">
        <f>IF(ISERROR(VLOOKUP(A274,classifications!A:C,3,FALSE)),0,VLOOKUP(A274,classifications!A:C,3,FALSE))</f>
        <v>0</v>
      </c>
      <c r="C274" t="s">
        <v>153</v>
      </c>
      <c r="D274" t="str">
        <f>VLOOKUP($C274,classifications!$C:$J,4,FALSE)</f>
        <v>SD</v>
      </c>
      <c r="E274" t="str">
        <f>VLOOKUP(C274,classifications!C:K,9,FALSE)</f>
        <v>Sparse</v>
      </c>
      <c r="F274">
        <f t="shared" si="116"/>
        <v>78.571428571428569</v>
      </c>
      <c r="G274" s="15"/>
      <c r="H274" s="42" t="str">
        <f t="shared" si="117"/>
        <v/>
      </c>
      <c r="I274" s="79" t="str">
        <f>IF(H274="","",IF($I$8="A",(RANK(H274,H$11:H$349,1)+COUNTIF(H$11:H274,H274)-1),(RANK(H274,H$11:H$349)+COUNTIF(H$11:H274,H274)-1)))</f>
        <v/>
      </c>
      <c r="J274" s="41"/>
      <c r="K274" s="36" t="str">
        <f t="shared" si="118"/>
        <v/>
      </c>
      <c r="L274" t="str">
        <f t="shared" si="119"/>
        <v/>
      </c>
      <c r="M274" s="117" t="str">
        <f t="shared" si="120"/>
        <v/>
      </c>
      <c r="N274" s="112" t="str">
        <f t="shared" si="121"/>
        <v/>
      </c>
      <c r="O274" s="96" t="str">
        <f t="shared" si="122"/>
        <v/>
      </c>
      <c r="P274" s="96" t="str">
        <f t="shared" si="123"/>
        <v/>
      </c>
      <c r="Q274" s="96" t="str">
        <f t="shared" si="124"/>
        <v/>
      </c>
      <c r="R274" s="92" t="str">
        <f t="shared" si="125"/>
        <v/>
      </c>
      <c r="S274" s="42" t="str">
        <f t="shared" si="126"/>
        <v/>
      </c>
      <c r="T274" s="176" t="str">
        <f>IF(L274="","",VLOOKUP(L274,classifications!C:K,9,FALSE))</f>
        <v/>
      </c>
      <c r="U274" s="177" t="str">
        <f t="shared" si="127"/>
        <v/>
      </c>
      <c r="V274" s="183" t="str">
        <f>IF(U274="","",IF($I$8="A",(RANK(U274,U$11:U$349)+COUNTIF(U$11:U274,U274)-1),(RANK(U274,U$11:U$349,1)+COUNTIF(U$11:U274,U274)-1)))</f>
        <v/>
      </c>
      <c r="W274" s="184"/>
      <c r="X274" s="5" t="str">
        <f>IF(L274="","",VLOOKUP($L274,classifications!$C:$J,6,FALSE))</f>
        <v/>
      </c>
      <c r="Y274" t="str">
        <f t="shared" si="128"/>
        <v/>
      </c>
      <c r="Z274" s="40" t="str">
        <f>IF(Y274="","",IF(I$8="A",(RANK(Y274,Y$11:Y$349,1)+COUNTIF(Y$11:Y274,Y274)-1),(RANK(Y274,Y$11:Y$349)+COUNTIF(Y$11:Y274,Y274)-1)))</f>
        <v/>
      </c>
      <c r="AA274" s="189" t="str">
        <f>IF(L274="","",VLOOKUP($L274,classifications!C:I,7,FALSE))</f>
        <v/>
      </c>
      <c r="AB274" s="183" t="str">
        <f t="shared" si="129"/>
        <v/>
      </c>
      <c r="AC274" s="183" t="str">
        <f>IF(AB274="","",IF($I$8="A",(RANK(AB274,AB$11:AB$349)+COUNTIF(AB$11:AB274,AB274)-1),(RANK(AB274,AB$11:AB$349,1)+COUNTIF(AB$11:AB274,AB274)-1)))</f>
        <v/>
      </c>
      <c r="AD274" s="183"/>
      <c r="AE274" s="49">
        <f>IF(I$8="A",(RANK(AG274,AG$11:AG$349,1)+COUNTIF(AG$11:AG274,AG274)-1),(RANK(AG274,AG$11:AG$349)+COUNTIF(AG$11:AG274,AG274)-1))</f>
        <v>264</v>
      </c>
      <c r="AF274" t="str">
        <f>VLOOKUP(Profile!$J$5,Families!$C:$R,6,FALSE)</f>
        <v>Herefordshire</v>
      </c>
      <c r="AG274" s="15">
        <f t="shared" si="130"/>
        <v>62.711864406779661</v>
      </c>
      <c r="AH274" s="50">
        <f t="shared" si="131"/>
        <v>264</v>
      </c>
      <c r="AI274" s="5" t="str">
        <f>IF(L274="","",VLOOKUP($L274,classifications!$C:$J,8,FALSE))</f>
        <v/>
      </c>
      <c r="AJ274" s="43" t="str">
        <f t="shared" si="132"/>
        <v/>
      </c>
      <c r="AK274" s="40" t="str">
        <f>IF(AJ274="","",IF(I$8="A",(RANK(AJ274,AJ$11:AJ$349,1)+COUNTIF(AJ$11:AJ274,AJ274)-1),(RANK(AJ274,AJ$11:AJ$349)+COUNTIF(AJ$11:AJ274,AJ274)-1)))</f>
        <v/>
      </c>
      <c r="AL274" s="3" t="str">
        <f t="shared" si="133"/>
        <v/>
      </c>
      <c r="AM274" t="str">
        <f t="shared" si="134"/>
        <v/>
      </c>
      <c r="AN274" t="str">
        <f t="shared" si="135"/>
        <v/>
      </c>
      <c r="AP274" s="5" t="str">
        <f>IF(L274="","",VLOOKUP($L274,classifications!$C:$E,3,FALSE))</f>
        <v/>
      </c>
      <c r="AQ274" s="43" t="str">
        <f t="shared" si="136"/>
        <v/>
      </c>
      <c r="AR274" s="40" t="str">
        <f>IF(AQ274="","",IF(I$8="A",(RANK(AQ274,AQ$11:AQ$349,1)+COUNTIF(AQ$11:AQ274,AQ274)-1),(RANK(AQ274,AQ$11:AQ$349)+COUNTIF(AQ$11:AQ274,AQ274)-1)))</f>
        <v/>
      </c>
      <c r="AS274" s="3" t="str">
        <f t="shared" si="137"/>
        <v/>
      </c>
      <c r="AT274" s="40" t="str">
        <f t="shared" si="138"/>
        <v/>
      </c>
      <c r="AU274" s="43" t="str">
        <f t="shared" si="139"/>
        <v/>
      </c>
      <c r="AX274">
        <f>HLOOKUP($AX$9&amp;$AX$10,Data!$A$1:$ZZ$1988,(MATCH($C274,Data!$A$1:$A$1988,0)),FALSE)</f>
        <v>78.571428571428569</v>
      </c>
    </row>
    <row r="275" spans="1:50">
      <c r="A275" s="59" t="str">
        <f>$D$1&amp;265</f>
        <v>UA265</v>
      </c>
      <c r="B275" s="60">
        <f>IF(ISERROR(VLOOKUP(A275,classifications!A:C,3,FALSE)),0,VLOOKUP(A275,classifications!A:C,3,FALSE))</f>
        <v>0</v>
      </c>
      <c r="C275" t="s">
        <v>327</v>
      </c>
      <c r="D275" t="str">
        <f>VLOOKUP($C275,classifications!$C:$J,4,FALSE)</f>
        <v>SC</v>
      </c>
      <c r="E275" t="str">
        <f>VLOOKUP(C275,classifications!C:K,9,FALSE)</f>
        <v>Sparse</v>
      </c>
      <c r="F275" t="e">
        <f t="shared" si="116"/>
        <v>#N/A</v>
      </c>
      <c r="G275" s="15"/>
      <c r="H275" s="42" t="str">
        <f t="shared" si="117"/>
        <v/>
      </c>
      <c r="I275" s="79" t="str">
        <f>IF(H275="","",IF($I$8="A",(RANK(H275,H$11:H$349,1)+COUNTIF(H$11:H275,H275)-1),(RANK(H275,H$11:H$349)+COUNTIF(H$11:H275,H275)-1)))</f>
        <v/>
      </c>
      <c r="J275" s="41"/>
      <c r="K275" s="36" t="str">
        <f t="shared" si="118"/>
        <v/>
      </c>
      <c r="L275" t="str">
        <f t="shared" si="119"/>
        <v/>
      </c>
      <c r="M275" s="117" t="str">
        <f t="shared" si="120"/>
        <v/>
      </c>
      <c r="N275" s="112" t="str">
        <f t="shared" si="121"/>
        <v/>
      </c>
      <c r="O275" s="96" t="str">
        <f t="shared" si="122"/>
        <v/>
      </c>
      <c r="P275" s="96" t="str">
        <f t="shared" si="123"/>
        <v/>
      </c>
      <c r="Q275" s="96" t="str">
        <f t="shared" si="124"/>
        <v/>
      </c>
      <c r="R275" s="92" t="str">
        <f t="shared" si="125"/>
        <v/>
      </c>
      <c r="S275" s="42" t="str">
        <f t="shared" si="126"/>
        <v/>
      </c>
      <c r="T275" s="176" t="str">
        <f>IF(L275="","",VLOOKUP(L275,classifications!C:K,9,FALSE))</f>
        <v/>
      </c>
      <c r="U275" s="177" t="str">
        <f t="shared" si="127"/>
        <v/>
      </c>
      <c r="V275" s="183" t="str">
        <f>IF(U275="","",IF($I$8="A",(RANK(U275,U$11:U$349)+COUNTIF(U$11:U275,U275)-1),(RANK(U275,U$11:U$349,1)+COUNTIF(U$11:U275,U275)-1)))</f>
        <v/>
      </c>
      <c r="W275" s="184"/>
      <c r="X275" s="5" t="str">
        <f>IF(L275="","",VLOOKUP($L275,classifications!$C:$J,6,FALSE))</f>
        <v/>
      </c>
      <c r="Y275" t="str">
        <f t="shared" si="128"/>
        <v/>
      </c>
      <c r="Z275" s="40" t="str">
        <f>IF(Y275="","",IF(I$8="A",(RANK(Y275,Y$11:Y$349,1)+COUNTIF(Y$11:Y275,Y275)-1),(RANK(Y275,Y$11:Y$349)+COUNTIF(Y$11:Y275,Y275)-1)))</f>
        <v/>
      </c>
      <c r="AA275" s="189" t="str">
        <f>IF(L275="","",VLOOKUP($L275,classifications!C:I,7,FALSE))</f>
        <v/>
      </c>
      <c r="AB275" s="183" t="str">
        <f t="shared" si="129"/>
        <v/>
      </c>
      <c r="AC275" s="183" t="str">
        <f>IF(AB275="","",IF($I$8="A",(RANK(AB275,AB$11:AB$349)+COUNTIF(AB$11:AB275,AB275)-1),(RANK(AB275,AB$11:AB$349,1)+COUNTIF(AB$11:AB275,AB275)-1)))</f>
        <v/>
      </c>
      <c r="AD275" s="183"/>
      <c r="AE275" s="49">
        <f>IF(I$8="A",(RANK(AG275,AG$11:AG$349,1)+COUNTIF(AG$11:AG275,AG275)-1),(RANK(AG275,AG$11:AG$349)+COUNTIF(AG$11:AG275,AG275)-1))</f>
        <v>265</v>
      </c>
      <c r="AF275" t="str">
        <f>VLOOKUP(Profile!$J$5,Families!$C:$R,6,FALSE)</f>
        <v>Herefordshire</v>
      </c>
      <c r="AG275" s="15">
        <f t="shared" si="130"/>
        <v>62.711864406779661</v>
      </c>
      <c r="AH275" s="50">
        <f t="shared" si="131"/>
        <v>265</v>
      </c>
      <c r="AI275" s="5" t="str">
        <f>IF(L275="","",VLOOKUP($L275,classifications!$C:$J,8,FALSE))</f>
        <v/>
      </c>
      <c r="AJ275" s="43" t="str">
        <f t="shared" si="132"/>
        <v/>
      </c>
      <c r="AK275" s="40" t="str">
        <f>IF(AJ275="","",IF(I$8="A",(RANK(AJ275,AJ$11:AJ$349,1)+COUNTIF(AJ$11:AJ275,AJ275)-1),(RANK(AJ275,AJ$11:AJ$349)+COUNTIF(AJ$11:AJ275,AJ275)-1)))</f>
        <v/>
      </c>
      <c r="AL275" s="3" t="str">
        <f t="shared" si="133"/>
        <v/>
      </c>
      <c r="AM275" t="str">
        <f t="shared" si="134"/>
        <v/>
      </c>
      <c r="AN275" t="str">
        <f t="shared" si="135"/>
        <v/>
      </c>
      <c r="AP275" s="5" t="str">
        <f>IF(L275="","",VLOOKUP($L275,classifications!$C:$E,3,FALSE))</f>
        <v/>
      </c>
      <c r="AQ275" s="43" t="str">
        <f t="shared" si="136"/>
        <v/>
      </c>
      <c r="AR275" s="40" t="str">
        <f>IF(AQ275="","",IF(I$8="A",(RANK(AQ275,AQ$11:AQ$349,1)+COUNTIF(AQ$11:AQ275,AQ275)-1),(RANK(AQ275,AQ$11:AQ$349)+COUNTIF(AQ$11:AQ275,AQ275)-1)))</f>
        <v/>
      </c>
      <c r="AS275" s="3" t="str">
        <f t="shared" si="137"/>
        <v/>
      </c>
      <c r="AT275" s="40" t="str">
        <f t="shared" si="138"/>
        <v/>
      </c>
      <c r="AU275" s="43" t="str">
        <f t="shared" si="139"/>
        <v/>
      </c>
      <c r="AX275" t="e">
        <f>HLOOKUP($AX$9&amp;$AX$10,Data!$A$1:$ZZ$1988,(MATCH($C275,Data!$A$1:$A$1988,0)),FALSE)</f>
        <v>#N/A</v>
      </c>
    </row>
    <row r="276" spans="1:50">
      <c r="A276" s="59" t="str">
        <f>$D$1&amp;266</f>
        <v>UA266</v>
      </c>
      <c r="B276" s="60">
        <f>IF(ISERROR(VLOOKUP(A276,classifications!A:C,3,FALSE)),0,VLOOKUP(A276,classifications!A:C,3,FALSE))</f>
        <v>0</v>
      </c>
      <c r="C276" t="s">
        <v>154</v>
      </c>
      <c r="D276" t="str">
        <f>VLOOKUP($C276,classifications!$C:$J,4,FALSE)</f>
        <v>SD</v>
      </c>
      <c r="E276">
        <f>VLOOKUP(C276,classifications!C:K,9,FALSE)</f>
        <v>0</v>
      </c>
      <c r="F276">
        <f t="shared" si="116"/>
        <v>100</v>
      </c>
      <c r="G276" s="15"/>
      <c r="H276" s="42" t="str">
        <f t="shared" si="117"/>
        <v/>
      </c>
      <c r="I276" s="79" t="str">
        <f>IF(H276="","",IF($I$8="A",(RANK(H276,H$11:H$349,1)+COUNTIF(H$11:H276,H276)-1),(RANK(H276,H$11:H$349)+COUNTIF(H$11:H276,H276)-1)))</f>
        <v/>
      </c>
      <c r="J276" s="41"/>
      <c r="K276" s="36" t="str">
        <f t="shared" si="118"/>
        <v/>
      </c>
      <c r="L276" t="str">
        <f t="shared" si="119"/>
        <v/>
      </c>
      <c r="M276" s="117" t="str">
        <f t="shared" si="120"/>
        <v/>
      </c>
      <c r="N276" s="112" t="str">
        <f t="shared" si="121"/>
        <v/>
      </c>
      <c r="O276" s="96" t="str">
        <f t="shared" si="122"/>
        <v/>
      </c>
      <c r="P276" s="96" t="str">
        <f t="shared" si="123"/>
        <v/>
      </c>
      <c r="Q276" s="96" t="str">
        <f t="shared" si="124"/>
        <v/>
      </c>
      <c r="R276" s="92" t="str">
        <f t="shared" si="125"/>
        <v/>
      </c>
      <c r="S276" s="42" t="str">
        <f t="shared" si="126"/>
        <v/>
      </c>
      <c r="T276" s="176" t="str">
        <f>IF(L276="","",VLOOKUP(L276,classifications!C:K,9,FALSE))</f>
        <v/>
      </c>
      <c r="U276" s="177" t="str">
        <f t="shared" si="127"/>
        <v/>
      </c>
      <c r="V276" s="183" t="str">
        <f>IF(U276="","",IF($I$8="A",(RANK(U276,U$11:U$349)+COUNTIF(U$11:U276,U276)-1),(RANK(U276,U$11:U$349,1)+COUNTIF(U$11:U276,U276)-1)))</f>
        <v/>
      </c>
      <c r="W276" s="184"/>
      <c r="X276" s="5" t="str">
        <f>IF(L276="","",VLOOKUP($L276,classifications!$C:$J,6,FALSE))</f>
        <v/>
      </c>
      <c r="Y276" t="str">
        <f t="shared" si="128"/>
        <v/>
      </c>
      <c r="Z276" s="40" t="str">
        <f>IF(Y276="","",IF(I$8="A",(RANK(Y276,Y$11:Y$349,1)+COUNTIF(Y$11:Y276,Y276)-1),(RANK(Y276,Y$11:Y$349)+COUNTIF(Y$11:Y276,Y276)-1)))</f>
        <v/>
      </c>
      <c r="AA276" s="189" t="str">
        <f>IF(L276="","",VLOOKUP($L276,classifications!C:I,7,FALSE))</f>
        <v/>
      </c>
      <c r="AB276" s="183" t="str">
        <f t="shared" si="129"/>
        <v/>
      </c>
      <c r="AC276" s="183" t="str">
        <f>IF(AB276="","",IF($I$8="A",(RANK(AB276,AB$11:AB$349)+COUNTIF(AB$11:AB276,AB276)-1),(RANK(AB276,AB$11:AB$349,1)+COUNTIF(AB$11:AB276,AB276)-1)))</f>
        <v/>
      </c>
      <c r="AD276" s="183"/>
      <c r="AE276" s="49">
        <f>IF(I$8="A",(RANK(AG276,AG$11:AG$349,1)+COUNTIF(AG$11:AG276,AG276)-1),(RANK(AG276,AG$11:AG$349)+COUNTIF(AG$11:AG276,AG276)-1))</f>
        <v>266</v>
      </c>
      <c r="AF276" t="str">
        <f>VLOOKUP(Profile!$J$5,Families!$C:$R,6,FALSE)</f>
        <v>Herefordshire</v>
      </c>
      <c r="AG276" s="15">
        <f t="shared" si="130"/>
        <v>62.711864406779661</v>
      </c>
      <c r="AH276" s="50">
        <f t="shared" si="131"/>
        <v>266</v>
      </c>
      <c r="AI276" s="5" t="str">
        <f>IF(L276="","",VLOOKUP($L276,classifications!$C:$J,8,FALSE))</f>
        <v/>
      </c>
      <c r="AJ276" s="43" t="str">
        <f t="shared" si="132"/>
        <v/>
      </c>
      <c r="AK276" s="40" t="str">
        <f>IF(AJ276="","",IF(I$8="A",(RANK(AJ276,AJ$11:AJ$349,1)+COUNTIF(AJ$11:AJ276,AJ276)-1),(RANK(AJ276,AJ$11:AJ$349)+COUNTIF(AJ$11:AJ276,AJ276)-1)))</f>
        <v/>
      </c>
      <c r="AL276" s="3" t="str">
        <f t="shared" si="133"/>
        <v/>
      </c>
      <c r="AM276" t="str">
        <f t="shared" si="134"/>
        <v/>
      </c>
      <c r="AN276" t="str">
        <f t="shared" si="135"/>
        <v/>
      </c>
      <c r="AP276" s="5" t="str">
        <f>IF(L276="","",VLOOKUP($L276,classifications!$C:$E,3,FALSE))</f>
        <v/>
      </c>
      <c r="AQ276" s="43" t="str">
        <f t="shared" si="136"/>
        <v/>
      </c>
      <c r="AR276" s="40" t="str">
        <f>IF(AQ276="","",IF(I$8="A",(RANK(AQ276,AQ$11:AQ$349,1)+COUNTIF(AQ$11:AQ276,AQ276)-1),(RANK(AQ276,AQ$11:AQ$349)+COUNTIF(AQ$11:AQ276,AQ276)-1)))</f>
        <v/>
      </c>
      <c r="AS276" s="3" t="str">
        <f t="shared" si="137"/>
        <v/>
      </c>
      <c r="AT276" s="40" t="str">
        <f t="shared" si="138"/>
        <v/>
      </c>
      <c r="AU276" s="43" t="str">
        <f t="shared" si="139"/>
        <v/>
      </c>
      <c r="AX276">
        <f>HLOOKUP($AX$9&amp;$AX$10,Data!$A$1:$ZZ$1988,(MATCH($C276,Data!$A$1:$A$1988,0)),FALSE)</f>
        <v>100</v>
      </c>
    </row>
    <row r="277" spans="1:50">
      <c r="A277" s="59" t="str">
        <f>$D$1&amp;267</f>
        <v>UA267</v>
      </c>
      <c r="B277" s="60">
        <f>IF(ISERROR(VLOOKUP(A277,classifications!A:C,3,FALSE)),0,VLOOKUP(A277,classifications!A:C,3,FALSE))</f>
        <v>0</v>
      </c>
      <c r="C277" t="s">
        <v>155</v>
      </c>
      <c r="D277" t="str">
        <f>VLOOKUP($C277,classifications!$C:$J,4,FALSE)</f>
        <v>SD</v>
      </c>
      <c r="E277">
        <f>VLOOKUP(C277,classifications!C:K,9,FALSE)</f>
        <v>0</v>
      </c>
      <c r="F277">
        <f t="shared" si="116"/>
        <v>85.714285714285708</v>
      </c>
      <c r="G277" s="15"/>
      <c r="H277" s="42" t="str">
        <f t="shared" si="117"/>
        <v/>
      </c>
      <c r="I277" s="79" t="str">
        <f>IF(H277="","",IF($I$8="A",(RANK(H277,H$11:H$349,1)+COUNTIF(H$11:H277,H277)-1),(RANK(H277,H$11:H$349)+COUNTIF(H$11:H277,H277)-1)))</f>
        <v/>
      </c>
      <c r="J277" s="41"/>
      <c r="K277" s="36" t="str">
        <f t="shared" si="118"/>
        <v/>
      </c>
      <c r="L277" t="str">
        <f t="shared" si="119"/>
        <v/>
      </c>
      <c r="M277" s="117" t="str">
        <f t="shared" si="120"/>
        <v/>
      </c>
      <c r="N277" s="112" t="str">
        <f t="shared" si="121"/>
        <v/>
      </c>
      <c r="O277" s="96" t="str">
        <f t="shared" si="122"/>
        <v/>
      </c>
      <c r="P277" s="96" t="str">
        <f t="shared" si="123"/>
        <v/>
      </c>
      <c r="Q277" s="96" t="str">
        <f t="shared" si="124"/>
        <v/>
      </c>
      <c r="R277" s="92" t="str">
        <f t="shared" si="125"/>
        <v/>
      </c>
      <c r="S277" s="42" t="str">
        <f t="shared" si="126"/>
        <v/>
      </c>
      <c r="T277" s="176" t="str">
        <f>IF(L277="","",VLOOKUP(L277,classifications!C:K,9,FALSE))</f>
        <v/>
      </c>
      <c r="U277" s="177" t="str">
        <f t="shared" si="127"/>
        <v/>
      </c>
      <c r="V277" s="183" t="str">
        <f>IF(U277="","",IF($I$8="A",(RANK(U277,U$11:U$349)+COUNTIF(U$11:U277,U277)-1),(RANK(U277,U$11:U$349,1)+COUNTIF(U$11:U277,U277)-1)))</f>
        <v/>
      </c>
      <c r="W277" s="184"/>
      <c r="X277" s="5" t="str">
        <f>IF(L277="","",VLOOKUP($L277,classifications!$C:$J,6,FALSE))</f>
        <v/>
      </c>
      <c r="Y277" t="str">
        <f t="shared" si="128"/>
        <v/>
      </c>
      <c r="Z277" s="40" t="str">
        <f>IF(Y277="","",IF(I$8="A",(RANK(Y277,Y$11:Y$349,1)+COUNTIF(Y$11:Y277,Y277)-1),(RANK(Y277,Y$11:Y$349)+COUNTIF(Y$11:Y277,Y277)-1)))</f>
        <v/>
      </c>
      <c r="AA277" s="189" t="str">
        <f>IF(L277="","",VLOOKUP($L277,classifications!C:I,7,FALSE))</f>
        <v/>
      </c>
      <c r="AB277" s="183" t="str">
        <f t="shared" si="129"/>
        <v/>
      </c>
      <c r="AC277" s="183" t="str">
        <f>IF(AB277="","",IF($I$8="A",(RANK(AB277,AB$11:AB$349)+COUNTIF(AB$11:AB277,AB277)-1),(RANK(AB277,AB$11:AB$349,1)+COUNTIF(AB$11:AB277,AB277)-1)))</f>
        <v/>
      </c>
      <c r="AD277" s="183"/>
      <c r="AE277" s="49">
        <f>IF(I$8="A",(RANK(AG277,AG$11:AG$349,1)+COUNTIF(AG$11:AG277,AG277)-1),(RANK(AG277,AG$11:AG$349)+COUNTIF(AG$11:AG277,AG277)-1))</f>
        <v>267</v>
      </c>
      <c r="AF277" t="str">
        <f>VLOOKUP(Profile!$J$5,Families!$C:$R,6,FALSE)</f>
        <v>Herefordshire</v>
      </c>
      <c r="AG277" s="15">
        <f t="shared" si="130"/>
        <v>62.711864406779661</v>
      </c>
      <c r="AH277" s="50">
        <f t="shared" si="131"/>
        <v>267</v>
      </c>
      <c r="AI277" s="5" t="str">
        <f>IF(L277="","",VLOOKUP($L277,classifications!$C:$J,8,FALSE))</f>
        <v/>
      </c>
      <c r="AJ277" s="43" t="str">
        <f t="shared" si="132"/>
        <v/>
      </c>
      <c r="AK277" s="40" t="str">
        <f>IF(AJ277="","",IF(I$8="A",(RANK(AJ277,AJ$11:AJ$349,1)+COUNTIF(AJ$11:AJ277,AJ277)-1),(RANK(AJ277,AJ$11:AJ$349)+COUNTIF(AJ$11:AJ277,AJ277)-1)))</f>
        <v/>
      </c>
      <c r="AL277" s="3" t="str">
        <f t="shared" si="133"/>
        <v/>
      </c>
      <c r="AM277" t="str">
        <f t="shared" si="134"/>
        <v/>
      </c>
      <c r="AN277" t="str">
        <f t="shared" si="135"/>
        <v/>
      </c>
      <c r="AP277" s="5" t="str">
        <f>IF(L277="","",VLOOKUP($L277,classifications!$C:$E,3,FALSE))</f>
        <v/>
      </c>
      <c r="AQ277" s="43" t="str">
        <f t="shared" si="136"/>
        <v/>
      </c>
      <c r="AR277" s="40" t="str">
        <f>IF(AQ277="","",IF(I$8="A",(RANK(AQ277,AQ$11:AQ$349,1)+COUNTIF(AQ$11:AQ277,AQ277)-1),(RANK(AQ277,AQ$11:AQ$349)+COUNTIF(AQ$11:AQ277,AQ277)-1)))</f>
        <v/>
      </c>
      <c r="AS277" s="3" t="str">
        <f t="shared" si="137"/>
        <v/>
      </c>
      <c r="AT277" s="40" t="str">
        <f t="shared" si="138"/>
        <v/>
      </c>
      <c r="AU277" s="43" t="str">
        <f t="shared" si="139"/>
        <v/>
      </c>
      <c r="AX277">
        <f>HLOOKUP($AX$9&amp;$AX$10,Data!$A$1:$ZZ$1988,(MATCH($C277,Data!$A$1:$A$1988,0)),FALSE)</f>
        <v>85.714285714285708</v>
      </c>
    </row>
    <row r="278" spans="1:50">
      <c r="A278" s="59" t="str">
        <f>$D$1&amp;268</f>
        <v>UA268</v>
      </c>
      <c r="B278" s="60">
        <f>IF(ISERROR(VLOOKUP(A278,classifications!A:C,3,FALSE)),0,VLOOKUP(A278,classifications!A:C,3,FALSE))</f>
        <v>0</v>
      </c>
      <c r="C278" t="s">
        <v>249</v>
      </c>
      <c r="D278" t="str">
        <f>VLOOKUP($C278,classifications!$C:$J,4,FALSE)</f>
        <v>MD</v>
      </c>
      <c r="E278">
        <f>VLOOKUP(C278,classifications!C:K,9,FALSE)</f>
        <v>0</v>
      </c>
      <c r="F278">
        <f t="shared" si="116"/>
        <v>100</v>
      </c>
      <c r="G278" s="15"/>
      <c r="H278" s="42" t="str">
        <f t="shared" si="117"/>
        <v/>
      </c>
      <c r="I278" s="79" t="str">
        <f>IF(H278="","",IF($I$8="A",(RANK(H278,H$11:H$349,1)+COUNTIF(H$11:H278,H278)-1),(RANK(H278,H$11:H$349)+COUNTIF(H$11:H278,H278)-1)))</f>
        <v/>
      </c>
      <c r="J278" s="41"/>
      <c r="K278" s="36" t="str">
        <f t="shared" si="118"/>
        <v/>
      </c>
      <c r="L278" t="str">
        <f t="shared" si="119"/>
        <v/>
      </c>
      <c r="M278" s="117" t="str">
        <f t="shared" si="120"/>
        <v/>
      </c>
      <c r="N278" s="112" t="str">
        <f t="shared" si="121"/>
        <v/>
      </c>
      <c r="O278" s="96" t="str">
        <f t="shared" si="122"/>
        <v/>
      </c>
      <c r="P278" s="96" t="str">
        <f t="shared" si="123"/>
        <v/>
      </c>
      <c r="Q278" s="96" t="str">
        <f t="shared" si="124"/>
        <v/>
      </c>
      <c r="R278" s="92" t="str">
        <f t="shared" si="125"/>
        <v/>
      </c>
      <c r="S278" s="42" t="str">
        <f t="shared" si="126"/>
        <v/>
      </c>
      <c r="T278" s="176" t="str">
        <f>IF(L278="","",VLOOKUP(L278,classifications!C:K,9,FALSE))</f>
        <v/>
      </c>
      <c r="U278" s="177" t="str">
        <f t="shared" si="127"/>
        <v/>
      </c>
      <c r="V278" s="183" t="str">
        <f>IF(U278="","",IF($I$8="A",(RANK(U278,U$11:U$349)+COUNTIF(U$11:U278,U278)-1),(RANK(U278,U$11:U$349,1)+COUNTIF(U$11:U278,U278)-1)))</f>
        <v/>
      </c>
      <c r="W278" s="184"/>
      <c r="X278" s="5" t="str">
        <f>IF(L278="","",VLOOKUP($L278,classifications!$C:$J,6,FALSE))</f>
        <v/>
      </c>
      <c r="Y278" t="str">
        <f t="shared" si="128"/>
        <v/>
      </c>
      <c r="Z278" s="40" t="str">
        <f>IF(Y278="","",IF(I$8="A",(RANK(Y278,Y$11:Y$349,1)+COUNTIF(Y$11:Y278,Y278)-1),(RANK(Y278,Y$11:Y$349)+COUNTIF(Y$11:Y278,Y278)-1)))</f>
        <v/>
      </c>
      <c r="AA278" s="189" t="str">
        <f>IF(L278="","",VLOOKUP($L278,classifications!C:I,7,FALSE))</f>
        <v/>
      </c>
      <c r="AB278" s="183" t="str">
        <f t="shared" si="129"/>
        <v/>
      </c>
      <c r="AC278" s="183" t="str">
        <f>IF(AB278="","",IF($I$8="A",(RANK(AB278,AB$11:AB$349)+COUNTIF(AB$11:AB278,AB278)-1),(RANK(AB278,AB$11:AB$349,1)+COUNTIF(AB$11:AB278,AB278)-1)))</f>
        <v/>
      </c>
      <c r="AD278" s="183"/>
      <c r="AE278" s="49">
        <f>IF(I$8="A",(RANK(AG278,AG$11:AG$349,1)+COUNTIF(AG$11:AG278,AG278)-1),(RANK(AG278,AG$11:AG$349)+COUNTIF(AG$11:AG278,AG278)-1))</f>
        <v>268</v>
      </c>
      <c r="AF278" t="str">
        <f>VLOOKUP(Profile!$J$5,Families!$C:$R,6,FALSE)</f>
        <v>Herefordshire</v>
      </c>
      <c r="AG278" s="15">
        <f t="shared" si="130"/>
        <v>62.711864406779661</v>
      </c>
      <c r="AH278" s="50">
        <f t="shared" si="131"/>
        <v>268</v>
      </c>
      <c r="AI278" s="5" t="str">
        <f>IF(L278="","",VLOOKUP($L278,classifications!$C:$J,8,FALSE))</f>
        <v/>
      </c>
      <c r="AJ278" s="43" t="str">
        <f t="shared" si="132"/>
        <v/>
      </c>
      <c r="AK278" s="40" t="str">
        <f>IF(AJ278="","",IF(I$8="A",(RANK(AJ278,AJ$11:AJ$349,1)+COUNTIF(AJ$11:AJ278,AJ278)-1),(RANK(AJ278,AJ$11:AJ$349)+COUNTIF(AJ$11:AJ278,AJ278)-1)))</f>
        <v/>
      </c>
      <c r="AL278" s="3" t="str">
        <f t="shared" si="133"/>
        <v/>
      </c>
      <c r="AM278" t="str">
        <f t="shared" si="134"/>
        <v/>
      </c>
      <c r="AN278" t="str">
        <f t="shared" si="135"/>
        <v/>
      </c>
      <c r="AP278" s="5" t="str">
        <f>IF(L278="","",VLOOKUP($L278,classifications!$C:$E,3,FALSE))</f>
        <v/>
      </c>
      <c r="AQ278" s="43" t="str">
        <f t="shared" si="136"/>
        <v/>
      </c>
      <c r="AR278" s="40" t="str">
        <f>IF(AQ278="","",IF(I$8="A",(RANK(AQ278,AQ$11:AQ$349,1)+COUNTIF(AQ$11:AQ278,AQ278)-1),(RANK(AQ278,AQ$11:AQ$349)+COUNTIF(AQ$11:AQ278,AQ278)-1)))</f>
        <v/>
      </c>
      <c r="AS278" s="3" t="str">
        <f t="shared" si="137"/>
        <v/>
      </c>
      <c r="AT278" s="40" t="str">
        <f t="shared" si="138"/>
        <v/>
      </c>
      <c r="AU278" s="43" t="str">
        <f t="shared" si="139"/>
        <v/>
      </c>
      <c r="AX278">
        <f>HLOOKUP($AX$9&amp;$AX$10,Data!$A$1:$ZZ$1988,(MATCH($C278,Data!$A$1:$A$1988,0)),FALSE)</f>
        <v>100</v>
      </c>
    </row>
    <row r="279" spans="1:50">
      <c r="A279" s="59" t="str">
        <f>$D$1&amp;269</f>
        <v>UA269</v>
      </c>
      <c r="B279" s="60">
        <f>IF(ISERROR(VLOOKUP(A279,classifications!A:C,3,FALSE)),0,VLOOKUP(A279,classifications!A:C,3,FALSE))</f>
        <v>0</v>
      </c>
      <c r="C279" t="s">
        <v>290</v>
      </c>
      <c r="D279" t="str">
        <f>VLOOKUP($C279,classifications!$C:$J,4,FALSE)</f>
        <v>UA</v>
      </c>
      <c r="E279">
        <f>VLOOKUP(C279,classifications!C:K,9,FALSE)</f>
        <v>0</v>
      </c>
      <c r="F279">
        <f t="shared" si="116"/>
        <v>86.666666666666671</v>
      </c>
      <c r="G279" s="15"/>
      <c r="H279" s="42">
        <f t="shared" si="117"/>
        <v>86.666666666666671</v>
      </c>
      <c r="I279" s="79">
        <f>IF(H279="","",IF($I$8="A",(RANK(H279,H$11:H$349,1)+COUNTIF(H$11:H279,H279)-1),(RANK(H279,H$11:H$349)+COUNTIF(H$11:H279,H279)-1)))</f>
        <v>39</v>
      </c>
      <c r="J279" s="41"/>
      <c r="K279" s="36" t="str">
        <f t="shared" si="118"/>
        <v/>
      </c>
      <c r="L279" t="str">
        <f t="shared" si="119"/>
        <v/>
      </c>
      <c r="M279" s="117" t="str">
        <f t="shared" si="120"/>
        <v/>
      </c>
      <c r="N279" s="112" t="str">
        <f t="shared" si="121"/>
        <v/>
      </c>
      <c r="O279" s="96" t="str">
        <f t="shared" si="122"/>
        <v/>
      </c>
      <c r="P279" s="96" t="str">
        <f t="shared" si="123"/>
        <v/>
      </c>
      <c r="Q279" s="96" t="str">
        <f t="shared" si="124"/>
        <v/>
      </c>
      <c r="R279" s="92" t="str">
        <f t="shared" si="125"/>
        <v/>
      </c>
      <c r="S279" s="42" t="str">
        <f t="shared" si="126"/>
        <v/>
      </c>
      <c r="T279" s="176" t="str">
        <f>IF(L279="","",VLOOKUP(L279,classifications!C:K,9,FALSE))</f>
        <v/>
      </c>
      <c r="U279" s="177" t="str">
        <f t="shared" si="127"/>
        <v/>
      </c>
      <c r="V279" s="183" t="str">
        <f>IF(U279="","",IF($I$8="A",(RANK(U279,U$11:U$349)+COUNTIF(U$11:U279,U279)-1),(RANK(U279,U$11:U$349,1)+COUNTIF(U$11:U279,U279)-1)))</f>
        <v/>
      </c>
      <c r="W279" s="184"/>
      <c r="X279" s="5" t="str">
        <f>IF(L279="","",VLOOKUP($L279,classifications!$C:$J,6,FALSE))</f>
        <v/>
      </c>
      <c r="Y279" t="str">
        <f t="shared" si="128"/>
        <v/>
      </c>
      <c r="Z279" s="40" t="str">
        <f>IF(Y279="","",IF(I$8="A",(RANK(Y279,Y$11:Y$349,1)+COUNTIF(Y$11:Y279,Y279)-1),(RANK(Y279,Y$11:Y$349)+COUNTIF(Y$11:Y279,Y279)-1)))</f>
        <v/>
      </c>
      <c r="AA279" s="189" t="str">
        <f>IF(L279="","",VLOOKUP($L279,classifications!C:I,7,FALSE))</f>
        <v/>
      </c>
      <c r="AB279" s="183" t="str">
        <f t="shared" si="129"/>
        <v/>
      </c>
      <c r="AC279" s="183" t="str">
        <f>IF(AB279="","",IF($I$8="A",(RANK(AB279,AB$11:AB$349)+COUNTIF(AB$11:AB279,AB279)-1),(RANK(AB279,AB$11:AB$349,1)+COUNTIF(AB$11:AB279,AB279)-1)))</f>
        <v/>
      </c>
      <c r="AD279" s="183"/>
      <c r="AE279" s="49">
        <f>IF(I$8="A",(RANK(AG279,AG$11:AG$349,1)+COUNTIF(AG$11:AG279,AG279)-1),(RANK(AG279,AG$11:AG$349)+COUNTIF(AG$11:AG279,AG279)-1))</f>
        <v>269</v>
      </c>
      <c r="AF279" t="str">
        <f>VLOOKUP(Profile!$J$5,Families!$C:$R,6,FALSE)</f>
        <v>Herefordshire</v>
      </c>
      <c r="AG279" s="15">
        <f t="shared" si="130"/>
        <v>62.711864406779661</v>
      </c>
      <c r="AH279" s="50">
        <f t="shared" si="131"/>
        <v>269</v>
      </c>
      <c r="AI279" s="5" t="str">
        <f>IF(L279="","",VLOOKUP($L279,classifications!$C:$J,8,FALSE))</f>
        <v/>
      </c>
      <c r="AJ279" s="43" t="str">
        <f t="shared" si="132"/>
        <v/>
      </c>
      <c r="AK279" s="40" t="str">
        <f>IF(AJ279="","",IF(I$8="A",(RANK(AJ279,AJ$11:AJ$349,1)+COUNTIF(AJ$11:AJ279,AJ279)-1),(RANK(AJ279,AJ$11:AJ$349)+COUNTIF(AJ$11:AJ279,AJ279)-1)))</f>
        <v/>
      </c>
      <c r="AL279" s="3" t="str">
        <f t="shared" si="133"/>
        <v/>
      </c>
      <c r="AM279" t="str">
        <f t="shared" si="134"/>
        <v/>
      </c>
      <c r="AN279" t="str">
        <f t="shared" si="135"/>
        <v/>
      </c>
      <c r="AP279" s="5" t="str">
        <f>IF(L279="","",VLOOKUP($L279,classifications!$C:$E,3,FALSE))</f>
        <v/>
      </c>
      <c r="AQ279" s="43" t="str">
        <f t="shared" si="136"/>
        <v/>
      </c>
      <c r="AR279" s="40" t="str">
        <f>IF(AQ279="","",IF(I$8="A",(RANK(AQ279,AQ$11:AQ$349,1)+COUNTIF(AQ$11:AQ279,AQ279)-1),(RANK(AQ279,AQ$11:AQ$349)+COUNTIF(AQ$11:AQ279,AQ279)-1)))</f>
        <v/>
      </c>
      <c r="AS279" s="3" t="str">
        <f t="shared" si="137"/>
        <v/>
      </c>
      <c r="AT279" s="40" t="str">
        <f t="shared" si="138"/>
        <v/>
      </c>
      <c r="AU279" s="43" t="str">
        <f t="shared" si="139"/>
        <v/>
      </c>
      <c r="AX279">
        <f>HLOOKUP($AX$9&amp;$AX$10,Data!$A$1:$ZZ$1988,(MATCH($C279,Data!$A$1:$A$1988,0)),FALSE)</f>
        <v>86.666666666666671</v>
      </c>
    </row>
    <row r="280" spans="1:50">
      <c r="A280" s="59" t="str">
        <f>$D$1&amp;270</f>
        <v>UA270</v>
      </c>
      <c r="B280" s="60">
        <f>IF(ISERROR(VLOOKUP(A280,classifications!A:C,3,FALSE)),0,VLOOKUP(A280,classifications!A:C,3,FALSE))</f>
        <v>0</v>
      </c>
      <c r="C280" t="s">
        <v>291</v>
      </c>
      <c r="D280" t="str">
        <f>VLOOKUP($C280,classifications!$C:$J,4,FALSE)</f>
        <v>UA</v>
      </c>
      <c r="E280">
        <f>VLOOKUP(C280,classifications!C:K,9,FALSE)</f>
        <v>0</v>
      </c>
      <c r="F280">
        <f t="shared" si="116"/>
        <v>100</v>
      </c>
      <c r="G280" s="15"/>
      <c r="H280" s="42">
        <f t="shared" si="117"/>
        <v>100</v>
      </c>
      <c r="I280" s="79">
        <f>IF(H280="","",IF($I$8="A",(RANK(H280,H$11:H$349,1)+COUNTIF(H$11:H280,H280)-1),(RANK(H280,H$11:H$349)+COUNTIF(H$11:H280,H280)-1)))</f>
        <v>9</v>
      </c>
      <c r="J280" s="41"/>
      <c r="K280" s="36" t="str">
        <f t="shared" si="118"/>
        <v/>
      </c>
      <c r="L280" t="str">
        <f t="shared" si="119"/>
        <v/>
      </c>
      <c r="M280" s="117" t="str">
        <f t="shared" si="120"/>
        <v/>
      </c>
      <c r="N280" s="112" t="str">
        <f t="shared" si="121"/>
        <v/>
      </c>
      <c r="O280" s="96" t="str">
        <f t="shared" si="122"/>
        <v/>
      </c>
      <c r="P280" s="96" t="str">
        <f t="shared" si="123"/>
        <v/>
      </c>
      <c r="Q280" s="96" t="str">
        <f t="shared" si="124"/>
        <v/>
      </c>
      <c r="R280" s="92" t="str">
        <f t="shared" si="125"/>
        <v/>
      </c>
      <c r="S280" s="42" t="str">
        <f t="shared" si="126"/>
        <v/>
      </c>
      <c r="T280" s="176" t="str">
        <f>IF(L280="","",VLOOKUP(L280,classifications!C:K,9,FALSE))</f>
        <v/>
      </c>
      <c r="U280" s="177" t="str">
        <f t="shared" si="127"/>
        <v/>
      </c>
      <c r="V280" s="183" t="str">
        <f>IF(U280="","",IF($I$8="A",(RANK(U280,U$11:U$349)+COUNTIF(U$11:U280,U280)-1),(RANK(U280,U$11:U$349,1)+COUNTIF(U$11:U280,U280)-1)))</f>
        <v/>
      </c>
      <c r="W280" s="184"/>
      <c r="X280" s="5" t="str">
        <f>IF(L280="","",VLOOKUP($L280,classifications!$C:$J,6,FALSE))</f>
        <v/>
      </c>
      <c r="Y280" t="str">
        <f t="shared" si="128"/>
        <v/>
      </c>
      <c r="Z280" s="40" t="str">
        <f>IF(Y280="","",IF(I$8="A",(RANK(Y280,Y$11:Y$349,1)+COUNTIF(Y$11:Y280,Y280)-1),(RANK(Y280,Y$11:Y$349)+COUNTIF(Y$11:Y280,Y280)-1)))</f>
        <v/>
      </c>
      <c r="AA280" s="189" t="str">
        <f>IF(L280="","",VLOOKUP($L280,classifications!C:I,7,FALSE))</f>
        <v/>
      </c>
      <c r="AB280" s="183" t="str">
        <f t="shared" si="129"/>
        <v/>
      </c>
      <c r="AC280" s="183" t="str">
        <f>IF(AB280="","",IF($I$8="A",(RANK(AB280,AB$11:AB$349)+COUNTIF(AB$11:AB280,AB280)-1),(RANK(AB280,AB$11:AB$349,1)+COUNTIF(AB$11:AB280,AB280)-1)))</f>
        <v/>
      </c>
      <c r="AD280" s="183"/>
      <c r="AE280" s="49">
        <f>IF(I$8="A",(RANK(AG280,AG$11:AG$349,1)+COUNTIF(AG$11:AG280,AG280)-1),(RANK(AG280,AG$11:AG$349)+COUNTIF(AG$11:AG280,AG280)-1))</f>
        <v>270</v>
      </c>
      <c r="AF280" t="str">
        <f>VLOOKUP(Profile!$J$5,Families!$C:$R,6,FALSE)</f>
        <v>Herefordshire</v>
      </c>
      <c r="AG280" s="15">
        <f t="shared" si="130"/>
        <v>62.711864406779661</v>
      </c>
      <c r="AH280" s="50">
        <f t="shared" si="131"/>
        <v>270</v>
      </c>
      <c r="AI280" s="5" t="str">
        <f>IF(L280="","",VLOOKUP($L280,classifications!$C:$J,8,FALSE))</f>
        <v/>
      </c>
      <c r="AJ280" s="43" t="str">
        <f t="shared" si="132"/>
        <v/>
      </c>
      <c r="AK280" s="40" t="str">
        <f>IF(AJ280="","",IF(I$8="A",(RANK(AJ280,AJ$11:AJ$349,1)+COUNTIF(AJ$11:AJ280,AJ280)-1),(RANK(AJ280,AJ$11:AJ$349)+COUNTIF(AJ$11:AJ280,AJ280)-1)))</f>
        <v/>
      </c>
      <c r="AL280" s="3" t="str">
        <f t="shared" si="133"/>
        <v/>
      </c>
      <c r="AM280" t="str">
        <f t="shared" si="134"/>
        <v/>
      </c>
      <c r="AN280" t="str">
        <f t="shared" si="135"/>
        <v/>
      </c>
      <c r="AP280" s="5" t="str">
        <f>IF(L280="","",VLOOKUP($L280,classifications!$C:$E,3,FALSE))</f>
        <v/>
      </c>
      <c r="AQ280" s="43" t="str">
        <f t="shared" si="136"/>
        <v/>
      </c>
      <c r="AR280" s="40" t="str">
        <f>IF(AQ280="","",IF(I$8="A",(RANK(AQ280,AQ$11:AQ$349,1)+COUNTIF(AQ$11:AQ280,AQ280)-1),(RANK(AQ280,AQ$11:AQ$349)+COUNTIF(AQ$11:AQ280,AQ280)-1)))</f>
        <v/>
      </c>
      <c r="AS280" s="3" t="str">
        <f t="shared" si="137"/>
        <v/>
      </c>
      <c r="AT280" s="40" t="str">
        <f t="shared" si="138"/>
        <v/>
      </c>
      <c r="AU280" s="43" t="str">
        <f t="shared" si="139"/>
        <v/>
      </c>
      <c r="AX280">
        <f>HLOOKUP($AX$9&amp;$AX$10,Data!$A$1:$ZZ$1988,(MATCH($C280,Data!$A$1:$A$1988,0)),FALSE)</f>
        <v>100</v>
      </c>
    </row>
    <row r="281" spans="1:50">
      <c r="A281" s="59" t="str">
        <f>$D$1&amp;271</f>
        <v>UA271</v>
      </c>
      <c r="B281" s="60">
        <f>IF(ISERROR(VLOOKUP(A281,classifications!A:C,3,FALSE)),0,VLOOKUP(A281,classifications!A:C,3,FALSE))</f>
        <v>0</v>
      </c>
      <c r="C281" t="s">
        <v>156</v>
      </c>
      <c r="D281" t="str">
        <f>VLOOKUP($C281,classifications!$C:$J,4,FALSE)</f>
        <v>SD</v>
      </c>
      <c r="E281" t="str">
        <f>VLOOKUP(C281,classifications!C:K,9,FALSE)</f>
        <v>Sparse</v>
      </c>
      <c r="F281">
        <f t="shared" si="116"/>
        <v>92.063492063492063</v>
      </c>
      <c r="G281" s="15"/>
      <c r="H281" s="42" t="str">
        <f t="shared" si="117"/>
        <v/>
      </c>
      <c r="I281" s="79" t="str">
        <f>IF(H281="","",IF($I$8="A",(RANK(H281,H$11:H$349,1)+COUNTIF(H$11:H281,H281)-1),(RANK(H281,H$11:H$349)+COUNTIF(H$11:H281,H281)-1)))</f>
        <v/>
      </c>
      <c r="J281" s="41"/>
      <c r="K281" s="36" t="str">
        <f t="shared" si="118"/>
        <v/>
      </c>
      <c r="L281" t="str">
        <f t="shared" si="119"/>
        <v/>
      </c>
      <c r="M281" s="117" t="str">
        <f t="shared" si="120"/>
        <v/>
      </c>
      <c r="N281" s="112" t="str">
        <f t="shared" si="121"/>
        <v/>
      </c>
      <c r="O281" s="96" t="str">
        <f t="shared" si="122"/>
        <v/>
      </c>
      <c r="P281" s="96" t="str">
        <f t="shared" si="123"/>
        <v/>
      </c>
      <c r="Q281" s="96" t="str">
        <f t="shared" si="124"/>
        <v/>
      </c>
      <c r="R281" s="92" t="str">
        <f t="shared" si="125"/>
        <v/>
      </c>
      <c r="S281" s="42" t="str">
        <f t="shared" si="126"/>
        <v/>
      </c>
      <c r="T281" s="176" t="str">
        <f>IF(L281="","",VLOOKUP(L281,classifications!C:K,9,FALSE))</f>
        <v/>
      </c>
      <c r="U281" s="177" t="str">
        <f t="shared" si="127"/>
        <v/>
      </c>
      <c r="V281" s="183" t="str">
        <f>IF(U281="","",IF($I$8="A",(RANK(U281,U$11:U$349)+COUNTIF(U$11:U281,U281)-1),(RANK(U281,U$11:U$349,1)+COUNTIF(U$11:U281,U281)-1)))</f>
        <v/>
      </c>
      <c r="W281" s="184"/>
      <c r="X281" s="5" t="str">
        <f>IF(L281="","",VLOOKUP($L281,classifications!$C:$J,6,FALSE))</f>
        <v/>
      </c>
      <c r="Y281" t="str">
        <f t="shared" si="128"/>
        <v/>
      </c>
      <c r="Z281" s="40" t="str">
        <f>IF(Y281="","",IF(I$8="A",(RANK(Y281,Y$11:Y$349,1)+COUNTIF(Y$11:Y281,Y281)-1),(RANK(Y281,Y$11:Y$349)+COUNTIF(Y$11:Y281,Y281)-1)))</f>
        <v/>
      </c>
      <c r="AA281" s="189" t="str">
        <f>IF(L281="","",VLOOKUP($L281,classifications!C:I,7,FALSE))</f>
        <v/>
      </c>
      <c r="AB281" s="183" t="str">
        <f t="shared" si="129"/>
        <v/>
      </c>
      <c r="AC281" s="183" t="str">
        <f>IF(AB281="","",IF($I$8="A",(RANK(AB281,AB$11:AB$349)+COUNTIF(AB$11:AB281,AB281)-1),(RANK(AB281,AB$11:AB$349,1)+COUNTIF(AB$11:AB281,AB281)-1)))</f>
        <v/>
      </c>
      <c r="AD281" s="183"/>
      <c r="AE281" s="49">
        <f>IF(I$8="A",(RANK(AG281,AG$11:AG$349,1)+COUNTIF(AG$11:AG281,AG281)-1),(RANK(AG281,AG$11:AG$349)+COUNTIF(AG$11:AG281,AG281)-1))</f>
        <v>271</v>
      </c>
      <c r="AF281" t="str">
        <f>VLOOKUP(Profile!$J$5,Families!$C:$R,6,FALSE)</f>
        <v>Herefordshire</v>
      </c>
      <c r="AG281" s="15">
        <f t="shared" si="130"/>
        <v>62.711864406779661</v>
      </c>
      <c r="AH281" s="50">
        <f t="shared" si="131"/>
        <v>271</v>
      </c>
      <c r="AI281" s="5" t="str">
        <f>IF(L281="","",VLOOKUP($L281,classifications!$C:$J,8,FALSE))</f>
        <v/>
      </c>
      <c r="AJ281" s="43" t="str">
        <f t="shared" si="132"/>
        <v/>
      </c>
      <c r="AK281" s="40" t="str">
        <f>IF(AJ281="","",IF(I$8="A",(RANK(AJ281,AJ$11:AJ$349,1)+COUNTIF(AJ$11:AJ281,AJ281)-1),(RANK(AJ281,AJ$11:AJ$349)+COUNTIF(AJ$11:AJ281,AJ281)-1)))</f>
        <v/>
      </c>
      <c r="AL281" s="3" t="str">
        <f t="shared" si="133"/>
        <v/>
      </c>
      <c r="AM281" t="str">
        <f t="shared" si="134"/>
        <v/>
      </c>
      <c r="AN281" t="str">
        <f t="shared" si="135"/>
        <v/>
      </c>
      <c r="AP281" s="5" t="str">
        <f>IF(L281="","",VLOOKUP($L281,classifications!$C:$E,3,FALSE))</f>
        <v/>
      </c>
      <c r="AQ281" s="43" t="str">
        <f t="shared" si="136"/>
        <v/>
      </c>
      <c r="AR281" s="40" t="str">
        <f>IF(AQ281="","",IF(I$8="A",(RANK(AQ281,AQ$11:AQ$349,1)+COUNTIF(AQ$11:AQ281,AQ281)-1),(RANK(AQ281,AQ$11:AQ$349)+COUNTIF(AQ$11:AQ281,AQ281)-1)))</f>
        <v/>
      </c>
      <c r="AS281" s="3" t="str">
        <f t="shared" si="137"/>
        <v/>
      </c>
      <c r="AT281" s="40" t="str">
        <f t="shared" si="138"/>
        <v/>
      </c>
      <c r="AU281" s="43" t="str">
        <f t="shared" si="139"/>
        <v/>
      </c>
      <c r="AX281">
        <f>HLOOKUP($AX$9&amp;$AX$10,Data!$A$1:$ZZ$1988,(MATCH($C281,Data!$A$1:$A$1988,0)),FALSE)</f>
        <v>92.063492063492063</v>
      </c>
    </row>
    <row r="282" spans="1:50">
      <c r="A282" s="59" t="str">
        <f>$D$1&amp;272</f>
        <v>UA272</v>
      </c>
      <c r="B282" s="60">
        <f>IF(ISERROR(VLOOKUP(A282,classifications!A:C,3,FALSE)),0,VLOOKUP(A282,classifications!A:C,3,FALSE))</f>
        <v>0</v>
      </c>
      <c r="C282" t="s">
        <v>157</v>
      </c>
      <c r="D282" t="str">
        <f>VLOOKUP($C282,classifications!$C:$J,4,FALSE)</f>
        <v>SD</v>
      </c>
      <c r="E282" t="str">
        <f>VLOOKUP(C282,classifications!C:K,9,FALSE)</f>
        <v>Sparse</v>
      </c>
      <c r="F282">
        <f t="shared" si="116"/>
        <v>87.5</v>
      </c>
      <c r="G282" s="15"/>
      <c r="H282" s="42" t="str">
        <f t="shared" si="117"/>
        <v/>
      </c>
      <c r="I282" s="79" t="str">
        <f>IF(H282="","",IF($I$8="A",(RANK(H282,H$11:H$349,1)+COUNTIF(H$11:H282,H282)-1),(RANK(H282,H$11:H$349)+COUNTIF(H$11:H282,H282)-1)))</f>
        <v/>
      </c>
      <c r="J282" s="41"/>
      <c r="K282" s="36" t="str">
        <f t="shared" si="118"/>
        <v/>
      </c>
      <c r="L282" t="str">
        <f t="shared" si="119"/>
        <v/>
      </c>
      <c r="M282" s="117" t="str">
        <f t="shared" si="120"/>
        <v/>
      </c>
      <c r="N282" s="112" t="str">
        <f t="shared" si="121"/>
        <v/>
      </c>
      <c r="O282" s="96" t="str">
        <f t="shared" si="122"/>
        <v/>
      </c>
      <c r="P282" s="96" t="str">
        <f t="shared" si="123"/>
        <v/>
      </c>
      <c r="Q282" s="96" t="str">
        <f t="shared" si="124"/>
        <v/>
      </c>
      <c r="R282" s="92" t="str">
        <f t="shared" si="125"/>
        <v/>
      </c>
      <c r="S282" s="42" t="str">
        <f t="shared" si="126"/>
        <v/>
      </c>
      <c r="T282" s="176" t="str">
        <f>IF(L282="","",VLOOKUP(L282,classifications!C:K,9,FALSE))</f>
        <v/>
      </c>
      <c r="U282" s="177" t="str">
        <f t="shared" si="127"/>
        <v/>
      </c>
      <c r="V282" s="183" t="str">
        <f>IF(U282="","",IF($I$8="A",(RANK(U282,U$11:U$349)+COUNTIF(U$11:U282,U282)-1),(RANK(U282,U$11:U$349,1)+COUNTIF(U$11:U282,U282)-1)))</f>
        <v/>
      </c>
      <c r="W282" s="184"/>
      <c r="X282" s="5" t="str">
        <f>IF(L282="","",VLOOKUP($L282,classifications!$C:$J,6,FALSE))</f>
        <v/>
      </c>
      <c r="Y282" t="str">
        <f t="shared" si="128"/>
        <v/>
      </c>
      <c r="Z282" s="40" t="str">
        <f>IF(Y282="","",IF(I$8="A",(RANK(Y282,Y$11:Y$349,1)+COUNTIF(Y$11:Y282,Y282)-1),(RANK(Y282,Y$11:Y$349)+COUNTIF(Y$11:Y282,Y282)-1)))</f>
        <v/>
      </c>
      <c r="AA282" s="189" t="str">
        <f>IF(L282="","",VLOOKUP($L282,classifications!C:I,7,FALSE))</f>
        <v/>
      </c>
      <c r="AB282" s="183" t="str">
        <f t="shared" si="129"/>
        <v/>
      </c>
      <c r="AC282" s="183" t="str">
        <f>IF(AB282="","",IF($I$8="A",(RANK(AB282,AB$11:AB$349)+COUNTIF(AB$11:AB282,AB282)-1),(RANK(AB282,AB$11:AB$349,1)+COUNTIF(AB$11:AB282,AB282)-1)))</f>
        <v/>
      </c>
      <c r="AD282" s="183"/>
      <c r="AE282" s="49">
        <f>IF(I$8="A",(RANK(AG282,AG$11:AG$349,1)+COUNTIF(AG$11:AG282,AG282)-1),(RANK(AG282,AG$11:AG$349)+COUNTIF(AG$11:AG282,AG282)-1))</f>
        <v>272</v>
      </c>
      <c r="AF282" t="str">
        <f>VLOOKUP(Profile!$J$5,Families!$C:$R,6,FALSE)</f>
        <v>Herefordshire</v>
      </c>
      <c r="AG282" s="15">
        <f t="shared" si="130"/>
        <v>62.711864406779661</v>
      </c>
      <c r="AH282" s="50">
        <f t="shared" si="131"/>
        <v>272</v>
      </c>
      <c r="AI282" s="5" t="str">
        <f>IF(L282="","",VLOOKUP($L282,classifications!$C:$J,8,FALSE))</f>
        <v/>
      </c>
      <c r="AJ282" s="43" t="str">
        <f t="shared" si="132"/>
        <v/>
      </c>
      <c r="AK282" s="40" t="str">
        <f>IF(AJ282="","",IF(I$8="A",(RANK(AJ282,AJ$11:AJ$349,1)+COUNTIF(AJ$11:AJ282,AJ282)-1),(RANK(AJ282,AJ$11:AJ$349)+COUNTIF(AJ$11:AJ282,AJ282)-1)))</f>
        <v/>
      </c>
      <c r="AL282" s="3" t="str">
        <f t="shared" si="133"/>
        <v/>
      </c>
      <c r="AM282" t="str">
        <f t="shared" si="134"/>
        <v/>
      </c>
      <c r="AN282" t="str">
        <f t="shared" si="135"/>
        <v/>
      </c>
      <c r="AP282" s="5" t="str">
        <f>IF(L282="","",VLOOKUP($L282,classifications!$C:$E,3,FALSE))</f>
        <v/>
      </c>
      <c r="AQ282" s="43" t="str">
        <f t="shared" si="136"/>
        <v/>
      </c>
      <c r="AR282" s="40" t="str">
        <f>IF(AQ282="","",IF(I$8="A",(RANK(AQ282,AQ$11:AQ$349,1)+COUNTIF(AQ$11:AQ282,AQ282)-1),(RANK(AQ282,AQ$11:AQ$349)+COUNTIF(AQ$11:AQ282,AQ282)-1)))</f>
        <v/>
      </c>
      <c r="AS282" s="3" t="str">
        <f t="shared" si="137"/>
        <v/>
      </c>
      <c r="AT282" s="40" t="str">
        <f t="shared" si="138"/>
        <v/>
      </c>
      <c r="AU282" s="43" t="str">
        <f t="shared" si="139"/>
        <v/>
      </c>
      <c r="AX282">
        <f>HLOOKUP($AX$9&amp;$AX$10,Data!$A$1:$ZZ$1988,(MATCH($C282,Data!$A$1:$A$1988,0)),FALSE)</f>
        <v>87.5</v>
      </c>
    </row>
    <row r="283" spans="1:50">
      <c r="A283" s="59" t="str">
        <f>$D$1&amp;273</f>
        <v>UA273</v>
      </c>
      <c r="B283" s="60">
        <f>IF(ISERROR(VLOOKUP(A283,classifications!A:C,3,FALSE)),0,VLOOKUP(A283,classifications!A:C,3,FALSE))</f>
        <v>0</v>
      </c>
      <c r="C283" t="s">
        <v>328</v>
      </c>
      <c r="D283" t="str">
        <f>VLOOKUP($C283,classifications!$C:$J,4,FALSE)</f>
        <v>SC</v>
      </c>
      <c r="E283" t="str">
        <f>VLOOKUP(C283,classifications!C:K,9,FALSE)</f>
        <v>Sparse</v>
      </c>
      <c r="F283" t="e">
        <f t="shared" si="116"/>
        <v>#N/A</v>
      </c>
      <c r="G283" s="15"/>
      <c r="H283" s="42" t="str">
        <f t="shared" si="117"/>
        <v/>
      </c>
      <c r="I283" s="79" t="str">
        <f>IF(H283="","",IF($I$8="A",(RANK(H283,H$11:H$349,1)+COUNTIF(H$11:H283,H283)-1),(RANK(H283,H$11:H$349)+COUNTIF(H$11:H283,H283)-1)))</f>
        <v/>
      </c>
      <c r="J283" s="41"/>
      <c r="K283" s="36" t="str">
        <f t="shared" si="118"/>
        <v/>
      </c>
      <c r="L283" t="str">
        <f t="shared" si="119"/>
        <v/>
      </c>
      <c r="M283" s="117" t="str">
        <f t="shared" si="120"/>
        <v/>
      </c>
      <c r="N283" s="112" t="str">
        <f t="shared" si="121"/>
        <v/>
      </c>
      <c r="O283" s="96" t="str">
        <f t="shared" si="122"/>
        <v/>
      </c>
      <c r="P283" s="96" t="str">
        <f t="shared" si="123"/>
        <v/>
      </c>
      <c r="Q283" s="96" t="str">
        <f t="shared" si="124"/>
        <v/>
      </c>
      <c r="R283" s="92" t="str">
        <f t="shared" si="125"/>
        <v/>
      </c>
      <c r="S283" s="42" t="str">
        <f t="shared" si="126"/>
        <v/>
      </c>
      <c r="T283" s="176" t="str">
        <f>IF(L283="","",VLOOKUP(L283,classifications!C:K,9,FALSE))</f>
        <v/>
      </c>
      <c r="U283" s="177" t="str">
        <f t="shared" si="127"/>
        <v/>
      </c>
      <c r="V283" s="183" t="str">
        <f>IF(U283="","",IF($I$8="A",(RANK(U283,U$11:U$349)+COUNTIF(U$11:U283,U283)-1),(RANK(U283,U$11:U$349,1)+COUNTIF(U$11:U283,U283)-1)))</f>
        <v/>
      </c>
      <c r="W283" s="184"/>
      <c r="X283" s="5" t="str">
        <f>IF(L283="","",VLOOKUP($L283,classifications!$C:$J,6,FALSE))</f>
        <v/>
      </c>
      <c r="Y283" t="str">
        <f t="shared" si="128"/>
        <v/>
      </c>
      <c r="Z283" s="40" t="str">
        <f>IF(Y283="","",IF(I$8="A",(RANK(Y283,Y$11:Y$349,1)+COUNTIF(Y$11:Y283,Y283)-1),(RANK(Y283,Y$11:Y$349)+COUNTIF(Y$11:Y283,Y283)-1)))</f>
        <v/>
      </c>
      <c r="AA283" s="189" t="str">
        <f>IF(L283="","",VLOOKUP($L283,classifications!C:I,7,FALSE))</f>
        <v/>
      </c>
      <c r="AB283" s="183" t="str">
        <f t="shared" si="129"/>
        <v/>
      </c>
      <c r="AC283" s="183" t="str">
        <f>IF(AB283="","",IF($I$8="A",(RANK(AB283,AB$11:AB$349)+COUNTIF(AB$11:AB283,AB283)-1),(RANK(AB283,AB$11:AB$349,1)+COUNTIF(AB$11:AB283,AB283)-1)))</f>
        <v/>
      </c>
      <c r="AD283" s="183"/>
      <c r="AE283" s="49">
        <f>IF(I$8="A",(RANK(AG283,AG$11:AG$349,1)+COUNTIF(AG$11:AG283,AG283)-1),(RANK(AG283,AG$11:AG$349)+COUNTIF(AG$11:AG283,AG283)-1))</f>
        <v>273</v>
      </c>
      <c r="AF283" t="str">
        <f>VLOOKUP(Profile!$J$5,Families!$C:$R,6,FALSE)</f>
        <v>Herefordshire</v>
      </c>
      <c r="AG283" s="15">
        <f t="shared" si="130"/>
        <v>62.711864406779661</v>
      </c>
      <c r="AH283" s="50">
        <f t="shared" si="131"/>
        <v>273</v>
      </c>
      <c r="AI283" s="5" t="str">
        <f>IF(L283="","",VLOOKUP($L283,classifications!$C:$J,8,FALSE))</f>
        <v/>
      </c>
      <c r="AJ283" s="43" t="str">
        <f t="shared" si="132"/>
        <v/>
      </c>
      <c r="AK283" s="40" t="str">
        <f>IF(AJ283="","",IF(I$8="A",(RANK(AJ283,AJ$11:AJ$349,1)+COUNTIF(AJ$11:AJ283,AJ283)-1),(RANK(AJ283,AJ$11:AJ$349)+COUNTIF(AJ$11:AJ283,AJ283)-1)))</f>
        <v/>
      </c>
      <c r="AL283" s="3" t="str">
        <f t="shared" si="133"/>
        <v/>
      </c>
      <c r="AM283" t="str">
        <f t="shared" si="134"/>
        <v/>
      </c>
      <c r="AN283" t="str">
        <f t="shared" si="135"/>
        <v/>
      </c>
      <c r="AP283" s="5" t="str">
        <f>IF(L283="","",VLOOKUP($L283,classifications!$C:$E,3,FALSE))</f>
        <v/>
      </c>
      <c r="AQ283" s="43" t="str">
        <f t="shared" si="136"/>
        <v/>
      </c>
      <c r="AR283" s="40" t="str">
        <f>IF(AQ283="","",IF(I$8="A",(RANK(AQ283,AQ$11:AQ$349,1)+COUNTIF(AQ$11:AQ283,AQ283)-1),(RANK(AQ283,AQ$11:AQ$349)+COUNTIF(AQ$11:AQ283,AQ283)-1)))</f>
        <v/>
      </c>
      <c r="AS283" s="3" t="str">
        <f t="shared" si="137"/>
        <v/>
      </c>
      <c r="AT283" s="40" t="str">
        <f t="shared" si="138"/>
        <v/>
      </c>
      <c r="AU283" s="43" t="str">
        <f t="shared" si="139"/>
        <v/>
      </c>
      <c r="AX283" t="e">
        <f>HLOOKUP($AX$9&amp;$AX$10,Data!$A$1:$ZZ$1988,(MATCH($C283,Data!$A$1:$A$1988,0)),FALSE)</f>
        <v>#N/A</v>
      </c>
    </row>
    <row r="284" spans="1:50">
      <c r="A284" s="59" t="str">
        <f>$D$1&amp;274</f>
        <v>UA274</v>
      </c>
      <c r="B284" s="60">
        <f>IF(ISERROR(VLOOKUP(A284,classifications!A:C,3,FALSE)),0,VLOOKUP(A284,classifications!A:C,3,FALSE))</f>
        <v>0</v>
      </c>
      <c r="C284" t="s">
        <v>250</v>
      </c>
      <c r="D284" t="str">
        <f>VLOOKUP($C284,classifications!$C:$J,4,FALSE)</f>
        <v>MD</v>
      </c>
      <c r="E284">
        <f>VLOOKUP(C284,classifications!C:K,9,FALSE)</f>
        <v>0</v>
      </c>
      <c r="F284">
        <f t="shared" si="116"/>
        <v>100</v>
      </c>
      <c r="G284" s="15"/>
      <c r="H284" s="42" t="str">
        <f t="shared" si="117"/>
        <v/>
      </c>
      <c r="I284" s="79" t="str">
        <f>IF(H284="","",IF($I$8="A",(RANK(H284,H$11:H$349,1)+COUNTIF(H$11:H284,H284)-1),(RANK(H284,H$11:H$349)+COUNTIF(H$11:H284,H284)-1)))</f>
        <v/>
      </c>
      <c r="J284" s="41"/>
      <c r="K284" s="36" t="str">
        <f t="shared" si="118"/>
        <v/>
      </c>
      <c r="L284" t="str">
        <f t="shared" si="119"/>
        <v/>
      </c>
      <c r="M284" s="117" t="str">
        <f t="shared" si="120"/>
        <v/>
      </c>
      <c r="N284" s="112" t="str">
        <f t="shared" si="121"/>
        <v/>
      </c>
      <c r="O284" s="96" t="str">
        <f t="shared" si="122"/>
        <v/>
      </c>
      <c r="P284" s="96" t="str">
        <f t="shared" si="123"/>
        <v/>
      </c>
      <c r="Q284" s="96" t="str">
        <f t="shared" si="124"/>
        <v/>
      </c>
      <c r="R284" s="92" t="str">
        <f t="shared" si="125"/>
        <v/>
      </c>
      <c r="S284" s="42" t="str">
        <f t="shared" si="126"/>
        <v/>
      </c>
      <c r="T284" s="176" t="str">
        <f>IF(L284="","",VLOOKUP(L284,classifications!C:K,9,FALSE))</f>
        <v/>
      </c>
      <c r="U284" s="177" t="str">
        <f t="shared" si="127"/>
        <v/>
      </c>
      <c r="V284" s="183" t="str">
        <f>IF(U284="","",IF($I$8="A",(RANK(U284,U$11:U$349)+COUNTIF(U$11:U284,U284)-1),(RANK(U284,U$11:U$349,1)+COUNTIF(U$11:U284,U284)-1)))</f>
        <v/>
      </c>
      <c r="W284" s="184"/>
      <c r="X284" s="5" t="str">
        <f>IF(L284="","",VLOOKUP($L284,classifications!$C:$J,6,FALSE))</f>
        <v/>
      </c>
      <c r="Y284" t="str">
        <f t="shared" si="128"/>
        <v/>
      </c>
      <c r="Z284" s="40" t="str">
        <f>IF(Y284="","",IF(I$8="A",(RANK(Y284,Y$11:Y$349,1)+COUNTIF(Y$11:Y284,Y284)-1),(RANK(Y284,Y$11:Y$349)+COUNTIF(Y$11:Y284,Y284)-1)))</f>
        <v/>
      </c>
      <c r="AA284" s="189" t="str">
        <f>IF(L284="","",VLOOKUP($L284,classifications!C:I,7,FALSE))</f>
        <v/>
      </c>
      <c r="AB284" s="183" t="str">
        <f t="shared" si="129"/>
        <v/>
      </c>
      <c r="AC284" s="183" t="str">
        <f>IF(AB284="","",IF($I$8="A",(RANK(AB284,AB$11:AB$349)+COUNTIF(AB$11:AB284,AB284)-1),(RANK(AB284,AB$11:AB$349,1)+COUNTIF(AB$11:AB284,AB284)-1)))</f>
        <v/>
      </c>
      <c r="AD284" s="183"/>
      <c r="AE284" s="49">
        <f>IF(I$8="A",(RANK(AG284,AG$11:AG$349,1)+COUNTIF(AG$11:AG284,AG284)-1),(RANK(AG284,AG$11:AG$349)+COUNTIF(AG$11:AG284,AG284)-1))</f>
        <v>274</v>
      </c>
      <c r="AF284" t="str">
        <f>VLOOKUP(Profile!$J$5,Families!$C:$R,6,FALSE)</f>
        <v>Herefordshire</v>
      </c>
      <c r="AG284" s="15">
        <f t="shared" si="130"/>
        <v>62.711864406779661</v>
      </c>
      <c r="AH284" s="50">
        <f t="shared" si="131"/>
        <v>274</v>
      </c>
      <c r="AI284" s="5" t="str">
        <f>IF(L284="","",VLOOKUP($L284,classifications!$C:$J,8,FALSE))</f>
        <v/>
      </c>
      <c r="AJ284" s="43" t="str">
        <f t="shared" si="132"/>
        <v/>
      </c>
      <c r="AK284" s="40" t="str">
        <f>IF(AJ284="","",IF(I$8="A",(RANK(AJ284,AJ$11:AJ$349,1)+COUNTIF(AJ$11:AJ284,AJ284)-1),(RANK(AJ284,AJ$11:AJ$349)+COUNTIF(AJ$11:AJ284,AJ284)-1)))</f>
        <v/>
      </c>
      <c r="AL284" s="3" t="str">
        <f t="shared" si="133"/>
        <v/>
      </c>
      <c r="AM284" t="str">
        <f t="shared" si="134"/>
        <v/>
      </c>
      <c r="AN284" t="str">
        <f t="shared" si="135"/>
        <v/>
      </c>
      <c r="AP284" s="5" t="str">
        <f>IF(L284="","",VLOOKUP($L284,classifications!$C:$E,3,FALSE))</f>
        <v/>
      </c>
      <c r="AQ284" s="43" t="str">
        <f t="shared" si="136"/>
        <v/>
      </c>
      <c r="AR284" s="40" t="str">
        <f>IF(AQ284="","",IF(I$8="A",(RANK(AQ284,AQ$11:AQ$349,1)+COUNTIF(AQ$11:AQ284,AQ284)-1),(RANK(AQ284,AQ$11:AQ$349)+COUNTIF(AQ$11:AQ284,AQ284)-1)))</f>
        <v/>
      </c>
      <c r="AS284" s="3" t="str">
        <f t="shared" si="137"/>
        <v/>
      </c>
      <c r="AT284" s="40" t="str">
        <f t="shared" si="138"/>
        <v/>
      </c>
      <c r="AU284" s="43" t="str">
        <f t="shared" si="139"/>
        <v/>
      </c>
      <c r="AX284">
        <f>HLOOKUP($AX$9&amp;$AX$10,Data!$A$1:$ZZ$1988,(MATCH($C284,Data!$A$1:$A$1988,0)),FALSE)</f>
        <v>100</v>
      </c>
    </row>
    <row r="285" spans="1:50">
      <c r="A285" s="59" t="str">
        <f>$D$1&amp;275</f>
        <v>UA275</v>
      </c>
      <c r="B285" s="60">
        <f>IF(ISERROR(VLOOKUP(A285,classifications!A:C,3,FALSE)),0,VLOOKUP(A285,classifications!A:C,3,FALSE))</f>
        <v>0</v>
      </c>
      <c r="C285" t="s">
        <v>329</v>
      </c>
      <c r="D285" t="str">
        <f>VLOOKUP($C285,classifications!$C:$J,4,FALSE)</f>
        <v>SC</v>
      </c>
      <c r="E285">
        <f>VLOOKUP(C285,classifications!C:K,9,FALSE)</f>
        <v>0</v>
      </c>
      <c r="F285" t="e">
        <f t="shared" si="116"/>
        <v>#N/A</v>
      </c>
      <c r="G285" s="15"/>
      <c r="H285" s="42" t="str">
        <f t="shared" si="117"/>
        <v/>
      </c>
      <c r="I285" s="79" t="str">
        <f>IF(H285="","",IF($I$8="A",(RANK(H285,H$11:H$349,1)+COUNTIF(H$11:H285,H285)-1),(RANK(H285,H$11:H$349)+COUNTIF(H$11:H285,H285)-1)))</f>
        <v/>
      </c>
      <c r="J285" s="41"/>
      <c r="K285" s="36" t="str">
        <f t="shared" si="118"/>
        <v/>
      </c>
      <c r="L285" t="str">
        <f t="shared" si="119"/>
        <v/>
      </c>
      <c r="M285" s="117" t="str">
        <f t="shared" si="120"/>
        <v/>
      </c>
      <c r="N285" s="112" t="str">
        <f t="shared" si="121"/>
        <v/>
      </c>
      <c r="O285" s="96" t="str">
        <f t="shared" si="122"/>
        <v/>
      </c>
      <c r="P285" s="96" t="str">
        <f t="shared" si="123"/>
        <v/>
      </c>
      <c r="Q285" s="96" t="str">
        <f t="shared" si="124"/>
        <v/>
      </c>
      <c r="R285" s="92" t="str">
        <f t="shared" si="125"/>
        <v/>
      </c>
      <c r="S285" s="42" t="str">
        <f t="shared" si="126"/>
        <v/>
      </c>
      <c r="T285" s="176" t="str">
        <f>IF(L285="","",VLOOKUP(L285,classifications!C:K,9,FALSE))</f>
        <v/>
      </c>
      <c r="U285" s="177" t="str">
        <f t="shared" si="127"/>
        <v/>
      </c>
      <c r="V285" s="183" t="str">
        <f>IF(U285="","",IF($I$8="A",(RANK(U285,U$11:U$349)+COUNTIF(U$11:U285,U285)-1),(RANK(U285,U$11:U$349,1)+COUNTIF(U$11:U285,U285)-1)))</f>
        <v/>
      </c>
      <c r="W285" s="184"/>
      <c r="X285" s="5" t="str">
        <f>IF(L285="","",VLOOKUP($L285,classifications!$C:$J,6,FALSE))</f>
        <v/>
      </c>
      <c r="Y285" t="str">
        <f t="shared" si="128"/>
        <v/>
      </c>
      <c r="Z285" s="40" t="str">
        <f>IF(Y285="","",IF(I$8="A",(RANK(Y285,Y$11:Y$349,1)+COUNTIF(Y$11:Y285,Y285)-1),(RANK(Y285,Y$11:Y$349)+COUNTIF(Y$11:Y285,Y285)-1)))</f>
        <v/>
      </c>
      <c r="AA285" s="189" t="str">
        <f>IF(L285="","",VLOOKUP($L285,classifications!C:I,7,FALSE))</f>
        <v/>
      </c>
      <c r="AB285" s="183" t="str">
        <f t="shared" si="129"/>
        <v/>
      </c>
      <c r="AC285" s="183" t="str">
        <f>IF(AB285="","",IF($I$8="A",(RANK(AB285,AB$11:AB$349)+COUNTIF(AB$11:AB285,AB285)-1),(RANK(AB285,AB$11:AB$349,1)+COUNTIF(AB$11:AB285,AB285)-1)))</f>
        <v/>
      </c>
      <c r="AD285" s="183"/>
      <c r="AE285" s="49">
        <f>IF(I$8="A",(RANK(AG285,AG$11:AG$349,1)+COUNTIF(AG$11:AG285,AG285)-1),(RANK(AG285,AG$11:AG$349)+COUNTIF(AG$11:AG285,AG285)-1))</f>
        <v>275</v>
      </c>
      <c r="AF285" t="str">
        <f>VLOOKUP(Profile!$J$5,Families!$C:$R,6,FALSE)</f>
        <v>Herefordshire</v>
      </c>
      <c r="AG285" s="15">
        <f t="shared" si="130"/>
        <v>62.711864406779661</v>
      </c>
      <c r="AH285" s="50">
        <f t="shared" si="131"/>
        <v>275</v>
      </c>
      <c r="AI285" s="5" t="str">
        <f>IF(L285="","",VLOOKUP($L285,classifications!$C:$J,8,FALSE))</f>
        <v/>
      </c>
      <c r="AJ285" s="43" t="str">
        <f t="shared" si="132"/>
        <v/>
      </c>
      <c r="AK285" s="40" t="str">
        <f>IF(AJ285="","",IF(I$8="A",(RANK(AJ285,AJ$11:AJ$349,1)+COUNTIF(AJ$11:AJ285,AJ285)-1),(RANK(AJ285,AJ$11:AJ$349)+COUNTIF(AJ$11:AJ285,AJ285)-1)))</f>
        <v/>
      </c>
      <c r="AL285" s="3" t="str">
        <f t="shared" si="133"/>
        <v/>
      </c>
      <c r="AM285" t="str">
        <f t="shared" si="134"/>
        <v/>
      </c>
      <c r="AN285" t="str">
        <f t="shared" si="135"/>
        <v/>
      </c>
      <c r="AP285" s="5" t="str">
        <f>IF(L285="","",VLOOKUP($L285,classifications!$C:$E,3,FALSE))</f>
        <v/>
      </c>
      <c r="AQ285" s="43" t="str">
        <f t="shared" si="136"/>
        <v/>
      </c>
      <c r="AR285" s="40" t="str">
        <f>IF(AQ285="","",IF(I$8="A",(RANK(AQ285,AQ$11:AQ$349,1)+COUNTIF(AQ$11:AQ285,AQ285)-1),(RANK(AQ285,AQ$11:AQ$349)+COUNTIF(AQ$11:AQ285,AQ285)-1)))</f>
        <v/>
      </c>
      <c r="AS285" s="3" t="str">
        <f t="shared" si="137"/>
        <v/>
      </c>
      <c r="AT285" s="40" t="str">
        <f t="shared" si="138"/>
        <v/>
      </c>
      <c r="AU285" s="43" t="str">
        <f t="shared" si="139"/>
        <v/>
      </c>
      <c r="AX285" t="e">
        <f>HLOOKUP($AX$9&amp;$AX$10,Data!$A$1:$ZZ$1988,(MATCH($C285,Data!$A$1:$A$1988,0)),FALSE)</f>
        <v>#N/A</v>
      </c>
    </row>
    <row r="286" spans="1:50">
      <c r="A286" s="59" t="str">
        <f>$D$1&amp;276</f>
        <v>UA276</v>
      </c>
      <c r="B286" s="60">
        <f>IF(ISERROR(VLOOKUP(A286,classifications!A:C,3,FALSE)),0,VLOOKUP(A286,classifications!A:C,3,FALSE))</f>
        <v>0</v>
      </c>
      <c r="C286" t="s">
        <v>159</v>
      </c>
      <c r="D286" t="str">
        <f>VLOOKUP($C286,classifications!$C:$J,4,FALSE)</f>
        <v>SD</v>
      </c>
      <c r="E286">
        <f>VLOOKUP(C286,classifications!C:K,9,FALSE)</f>
        <v>0</v>
      </c>
      <c r="F286">
        <f t="shared" si="116"/>
        <v>93.103448275862064</v>
      </c>
      <c r="G286" s="15"/>
      <c r="H286" s="42" t="str">
        <f t="shared" si="117"/>
        <v/>
      </c>
      <c r="I286" s="79" t="str">
        <f>IF(H286="","",IF($I$8="A",(RANK(H286,H$11:H$349,1)+COUNTIF(H$11:H286,H286)-1),(RANK(H286,H$11:H$349)+COUNTIF(H$11:H286,H286)-1)))</f>
        <v/>
      </c>
      <c r="J286" s="41"/>
      <c r="K286" s="36" t="str">
        <f t="shared" si="118"/>
        <v/>
      </c>
      <c r="L286" t="str">
        <f t="shared" si="119"/>
        <v/>
      </c>
      <c r="M286" s="117" t="str">
        <f t="shared" si="120"/>
        <v/>
      </c>
      <c r="N286" s="112" t="str">
        <f t="shared" si="121"/>
        <v/>
      </c>
      <c r="O286" s="96" t="str">
        <f t="shared" si="122"/>
        <v/>
      </c>
      <c r="P286" s="96" t="str">
        <f t="shared" si="123"/>
        <v/>
      </c>
      <c r="Q286" s="96" t="str">
        <f t="shared" si="124"/>
        <v/>
      </c>
      <c r="R286" s="92" t="str">
        <f t="shared" si="125"/>
        <v/>
      </c>
      <c r="S286" s="42" t="str">
        <f t="shared" si="126"/>
        <v/>
      </c>
      <c r="T286" s="176" t="str">
        <f>IF(L286="","",VLOOKUP(L286,classifications!C:K,9,FALSE))</f>
        <v/>
      </c>
      <c r="U286" s="177" t="str">
        <f t="shared" si="127"/>
        <v/>
      </c>
      <c r="V286" s="183" t="str">
        <f>IF(U286="","",IF($I$8="A",(RANK(U286,U$11:U$349)+COUNTIF(U$11:U286,U286)-1),(RANK(U286,U$11:U$349,1)+COUNTIF(U$11:U286,U286)-1)))</f>
        <v/>
      </c>
      <c r="W286" s="184"/>
      <c r="X286" s="5" t="str">
        <f>IF(L286="","",VLOOKUP($L286,classifications!$C:$J,6,FALSE))</f>
        <v/>
      </c>
      <c r="Y286" t="str">
        <f t="shared" si="128"/>
        <v/>
      </c>
      <c r="Z286" s="40" t="str">
        <f>IF(Y286="","",IF(I$8="A",(RANK(Y286,Y$11:Y$349,1)+COUNTIF(Y$11:Y286,Y286)-1),(RANK(Y286,Y$11:Y$349)+COUNTIF(Y$11:Y286,Y286)-1)))</f>
        <v/>
      </c>
      <c r="AA286" s="189" t="str">
        <f>IF(L286="","",VLOOKUP($L286,classifications!C:I,7,FALSE))</f>
        <v/>
      </c>
      <c r="AB286" s="183" t="str">
        <f t="shared" si="129"/>
        <v/>
      </c>
      <c r="AC286" s="183" t="str">
        <f>IF(AB286="","",IF($I$8="A",(RANK(AB286,AB$11:AB$349)+COUNTIF(AB$11:AB286,AB286)-1),(RANK(AB286,AB$11:AB$349,1)+COUNTIF(AB$11:AB286,AB286)-1)))</f>
        <v/>
      </c>
      <c r="AD286" s="183"/>
      <c r="AE286" s="49">
        <f>IF(I$8="A",(RANK(AG286,AG$11:AG$349,1)+COUNTIF(AG$11:AG286,AG286)-1),(RANK(AG286,AG$11:AG$349)+COUNTIF(AG$11:AG286,AG286)-1))</f>
        <v>276</v>
      </c>
      <c r="AF286" t="str">
        <f>VLOOKUP(Profile!$J$5,Families!$C:$R,6,FALSE)</f>
        <v>Herefordshire</v>
      </c>
      <c r="AG286" s="15">
        <f t="shared" si="130"/>
        <v>62.711864406779661</v>
      </c>
      <c r="AH286" s="50">
        <f t="shared" si="131"/>
        <v>276</v>
      </c>
      <c r="AI286" s="5" t="str">
        <f>IF(L286="","",VLOOKUP($L286,classifications!$C:$J,8,FALSE))</f>
        <v/>
      </c>
      <c r="AJ286" s="43" t="str">
        <f t="shared" si="132"/>
        <v/>
      </c>
      <c r="AK286" s="40" t="str">
        <f>IF(AJ286="","",IF(I$8="A",(RANK(AJ286,AJ$11:AJ$349,1)+COUNTIF(AJ$11:AJ286,AJ286)-1),(RANK(AJ286,AJ$11:AJ$349)+COUNTIF(AJ$11:AJ286,AJ286)-1)))</f>
        <v/>
      </c>
      <c r="AL286" s="3" t="str">
        <f t="shared" si="133"/>
        <v/>
      </c>
      <c r="AM286" t="str">
        <f t="shared" si="134"/>
        <v/>
      </c>
      <c r="AN286" t="str">
        <f t="shared" si="135"/>
        <v/>
      </c>
      <c r="AP286" s="5" t="str">
        <f>IF(L286="","",VLOOKUP($L286,classifications!$C:$E,3,FALSE))</f>
        <v/>
      </c>
      <c r="AQ286" s="43" t="str">
        <f t="shared" si="136"/>
        <v/>
      </c>
      <c r="AR286" s="40" t="str">
        <f>IF(AQ286="","",IF(I$8="A",(RANK(AQ286,AQ$11:AQ$349,1)+COUNTIF(AQ$11:AQ286,AQ286)-1),(RANK(AQ286,AQ$11:AQ$349)+COUNTIF(AQ$11:AQ286,AQ286)-1)))</f>
        <v/>
      </c>
      <c r="AS286" s="3" t="str">
        <f t="shared" si="137"/>
        <v/>
      </c>
      <c r="AT286" s="40" t="str">
        <f t="shared" si="138"/>
        <v/>
      </c>
      <c r="AU286" s="43" t="str">
        <f t="shared" si="139"/>
        <v/>
      </c>
      <c r="AX286">
        <f>HLOOKUP($AX$9&amp;$AX$10,Data!$A$1:$ZZ$1988,(MATCH($C286,Data!$A$1:$A$1988,0)),FALSE)</f>
        <v>93.103448275862064</v>
      </c>
    </row>
    <row r="287" spans="1:50">
      <c r="A287" s="59" t="str">
        <f>$D$1&amp;277</f>
        <v>UA277</v>
      </c>
      <c r="B287" s="60">
        <f>IF(ISERROR(VLOOKUP(A287,classifications!A:C,3,FALSE)),0,VLOOKUP(A287,classifications!A:C,3,FALSE))</f>
        <v>0</v>
      </c>
      <c r="C287" t="s">
        <v>218</v>
      </c>
      <c r="D287" t="str">
        <f>VLOOKUP($C287,classifications!$C:$J,4,FALSE)</f>
        <v>L</v>
      </c>
      <c r="E287">
        <f>VLOOKUP(C287,classifications!C:K,9,FALSE)</f>
        <v>0</v>
      </c>
      <c r="F287">
        <f t="shared" si="116"/>
        <v>100</v>
      </c>
      <c r="G287" s="15"/>
      <c r="H287" s="42" t="str">
        <f t="shared" si="117"/>
        <v/>
      </c>
      <c r="I287" s="79" t="str">
        <f>IF(H287="","",IF($I$8="A",(RANK(H287,H$11:H$349,1)+COUNTIF(H$11:H287,H287)-1),(RANK(H287,H$11:H$349)+COUNTIF(H$11:H287,H287)-1)))</f>
        <v/>
      </c>
      <c r="J287" s="41"/>
      <c r="K287" s="36" t="str">
        <f t="shared" si="118"/>
        <v/>
      </c>
      <c r="L287" t="str">
        <f t="shared" si="119"/>
        <v/>
      </c>
      <c r="M287" s="117" t="str">
        <f t="shared" si="120"/>
        <v/>
      </c>
      <c r="N287" s="112" t="str">
        <f t="shared" si="121"/>
        <v/>
      </c>
      <c r="O287" s="96" t="str">
        <f t="shared" si="122"/>
        <v/>
      </c>
      <c r="P287" s="96" t="str">
        <f t="shared" si="123"/>
        <v/>
      </c>
      <c r="Q287" s="96" t="str">
        <f t="shared" si="124"/>
        <v/>
      </c>
      <c r="R287" s="92" t="str">
        <f t="shared" si="125"/>
        <v/>
      </c>
      <c r="S287" s="42" t="str">
        <f t="shared" si="126"/>
        <v/>
      </c>
      <c r="T287" s="176" t="str">
        <f>IF(L287="","",VLOOKUP(L287,classifications!C:K,9,FALSE))</f>
        <v/>
      </c>
      <c r="U287" s="177" t="str">
        <f t="shared" si="127"/>
        <v/>
      </c>
      <c r="V287" s="183" t="str">
        <f>IF(U287="","",IF($I$8="A",(RANK(U287,U$11:U$349)+COUNTIF(U$11:U287,U287)-1),(RANK(U287,U$11:U$349,1)+COUNTIF(U$11:U287,U287)-1)))</f>
        <v/>
      </c>
      <c r="W287" s="184"/>
      <c r="X287" s="5" t="str">
        <f>IF(L287="","",VLOOKUP($L287,classifications!$C:$J,6,FALSE))</f>
        <v/>
      </c>
      <c r="Y287" t="str">
        <f t="shared" si="128"/>
        <v/>
      </c>
      <c r="Z287" s="40" t="str">
        <f>IF(Y287="","",IF(I$8="A",(RANK(Y287,Y$11:Y$349,1)+COUNTIF(Y$11:Y287,Y287)-1),(RANK(Y287,Y$11:Y$349)+COUNTIF(Y$11:Y287,Y287)-1)))</f>
        <v/>
      </c>
      <c r="AA287" s="189" t="str">
        <f>IF(L287="","",VLOOKUP($L287,classifications!C:I,7,FALSE))</f>
        <v/>
      </c>
      <c r="AB287" s="183" t="str">
        <f t="shared" si="129"/>
        <v/>
      </c>
      <c r="AC287" s="183" t="str">
        <f>IF(AB287="","",IF($I$8="A",(RANK(AB287,AB$11:AB$349)+COUNTIF(AB$11:AB287,AB287)-1),(RANK(AB287,AB$11:AB$349,1)+COUNTIF(AB$11:AB287,AB287)-1)))</f>
        <v/>
      </c>
      <c r="AD287" s="183"/>
      <c r="AE287" s="49">
        <f>IF(I$8="A",(RANK(AG287,AG$11:AG$349,1)+COUNTIF(AG$11:AG287,AG287)-1),(RANK(AG287,AG$11:AG$349)+COUNTIF(AG$11:AG287,AG287)-1))</f>
        <v>277</v>
      </c>
      <c r="AF287" t="str">
        <f>VLOOKUP(Profile!$J$5,Families!$C:$R,6,FALSE)</f>
        <v>Herefordshire</v>
      </c>
      <c r="AG287" s="15">
        <f t="shared" si="130"/>
        <v>62.711864406779661</v>
      </c>
      <c r="AH287" s="50">
        <f t="shared" si="131"/>
        <v>277</v>
      </c>
      <c r="AI287" s="5" t="str">
        <f>IF(L287="","",VLOOKUP($L287,classifications!$C:$J,8,FALSE))</f>
        <v/>
      </c>
      <c r="AJ287" s="43" t="str">
        <f t="shared" si="132"/>
        <v/>
      </c>
      <c r="AK287" s="40" t="str">
        <f>IF(AJ287="","",IF(I$8="A",(RANK(AJ287,AJ$11:AJ$349,1)+COUNTIF(AJ$11:AJ287,AJ287)-1),(RANK(AJ287,AJ$11:AJ$349)+COUNTIF(AJ$11:AJ287,AJ287)-1)))</f>
        <v/>
      </c>
      <c r="AL287" s="3" t="str">
        <f t="shared" si="133"/>
        <v/>
      </c>
      <c r="AM287" t="str">
        <f t="shared" si="134"/>
        <v/>
      </c>
      <c r="AN287" t="str">
        <f t="shared" si="135"/>
        <v/>
      </c>
      <c r="AP287" s="5" t="str">
        <f>IF(L287="","",VLOOKUP($L287,classifications!$C:$E,3,FALSE))</f>
        <v/>
      </c>
      <c r="AQ287" s="43" t="str">
        <f t="shared" si="136"/>
        <v/>
      </c>
      <c r="AR287" s="40" t="str">
        <f>IF(AQ287="","",IF(I$8="A",(RANK(AQ287,AQ$11:AQ$349,1)+COUNTIF(AQ$11:AQ287,AQ287)-1),(RANK(AQ287,AQ$11:AQ$349)+COUNTIF(AQ$11:AQ287,AQ287)-1)))</f>
        <v/>
      </c>
      <c r="AS287" s="3" t="str">
        <f t="shared" si="137"/>
        <v/>
      </c>
      <c r="AT287" s="40" t="str">
        <f t="shared" si="138"/>
        <v/>
      </c>
      <c r="AU287" s="43" t="str">
        <f t="shared" si="139"/>
        <v/>
      </c>
      <c r="AX287">
        <f>HLOOKUP($AX$9&amp;$AX$10,Data!$A$1:$ZZ$1988,(MATCH($C287,Data!$A$1:$A$1988,0)),FALSE)</f>
        <v>100</v>
      </c>
    </row>
    <row r="288" spans="1:50">
      <c r="A288" s="59" t="str">
        <f>$D$1&amp;278</f>
        <v>UA278</v>
      </c>
      <c r="B288" s="60">
        <f>IF(ISERROR(VLOOKUP(A288,classifications!A:C,3,FALSE)),0,VLOOKUP(A288,classifications!A:C,3,FALSE))</f>
        <v>0</v>
      </c>
      <c r="C288" t="s">
        <v>160</v>
      </c>
      <c r="D288" t="str">
        <f>VLOOKUP($C288,classifications!$C:$J,4,FALSE)</f>
        <v>SD</v>
      </c>
      <c r="E288">
        <f>VLOOKUP(C288,classifications!C:K,9,FALSE)</f>
        <v>0</v>
      </c>
      <c r="F288">
        <f t="shared" si="116"/>
        <v>87.272727272727266</v>
      </c>
      <c r="G288" s="15"/>
      <c r="H288" s="42" t="str">
        <f t="shared" si="117"/>
        <v/>
      </c>
      <c r="I288" s="79" t="str">
        <f>IF(H288="","",IF($I$8="A",(RANK(H288,H$11:H$349,1)+COUNTIF(H$11:H288,H288)-1),(RANK(H288,H$11:H$349)+COUNTIF(H$11:H288,H288)-1)))</f>
        <v/>
      </c>
      <c r="J288" s="41"/>
      <c r="K288" s="36" t="str">
        <f t="shared" si="118"/>
        <v/>
      </c>
      <c r="L288" t="str">
        <f t="shared" si="119"/>
        <v/>
      </c>
      <c r="M288" s="117" t="str">
        <f t="shared" si="120"/>
        <v/>
      </c>
      <c r="N288" s="112" t="str">
        <f t="shared" si="121"/>
        <v/>
      </c>
      <c r="O288" s="96" t="str">
        <f t="shared" si="122"/>
        <v/>
      </c>
      <c r="P288" s="96" t="str">
        <f t="shared" si="123"/>
        <v/>
      </c>
      <c r="Q288" s="96" t="str">
        <f t="shared" si="124"/>
        <v/>
      </c>
      <c r="R288" s="92" t="str">
        <f t="shared" si="125"/>
        <v/>
      </c>
      <c r="S288" s="42" t="str">
        <f t="shared" si="126"/>
        <v/>
      </c>
      <c r="T288" s="176" t="str">
        <f>IF(L288="","",VLOOKUP(L288,classifications!C:K,9,FALSE))</f>
        <v/>
      </c>
      <c r="U288" s="177" t="str">
        <f t="shared" si="127"/>
        <v/>
      </c>
      <c r="V288" s="183" t="str">
        <f>IF(U288="","",IF($I$8="A",(RANK(U288,U$11:U$349)+COUNTIF(U$11:U288,U288)-1),(RANK(U288,U$11:U$349,1)+COUNTIF(U$11:U288,U288)-1)))</f>
        <v/>
      </c>
      <c r="W288" s="184"/>
      <c r="X288" s="5" t="str">
        <f>IF(L288="","",VLOOKUP($L288,classifications!$C:$J,6,FALSE))</f>
        <v/>
      </c>
      <c r="Y288" t="str">
        <f t="shared" si="128"/>
        <v/>
      </c>
      <c r="Z288" s="40" t="str">
        <f>IF(Y288="","",IF(I$8="A",(RANK(Y288,Y$11:Y$349,1)+COUNTIF(Y$11:Y288,Y288)-1),(RANK(Y288,Y$11:Y$349)+COUNTIF(Y$11:Y288,Y288)-1)))</f>
        <v/>
      </c>
      <c r="AA288" s="189" t="str">
        <f>IF(L288="","",VLOOKUP($L288,classifications!C:I,7,FALSE))</f>
        <v/>
      </c>
      <c r="AB288" s="183" t="str">
        <f t="shared" si="129"/>
        <v/>
      </c>
      <c r="AC288" s="183" t="str">
        <f>IF(AB288="","",IF($I$8="A",(RANK(AB288,AB$11:AB$349)+COUNTIF(AB$11:AB288,AB288)-1),(RANK(AB288,AB$11:AB$349,1)+COUNTIF(AB$11:AB288,AB288)-1)))</f>
        <v/>
      </c>
      <c r="AD288" s="183"/>
      <c r="AE288" s="49">
        <f>IF(I$8="A",(RANK(AG288,AG$11:AG$349,1)+COUNTIF(AG$11:AG288,AG288)-1),(RANK(AG288,AG$11:AG$349)+COUNTIF(AG$11:AG288,AG288)-1))</f>
        <v>278</v>
      </c>
      <c r="AF288" t="str">
        <f>VLOOKUP(Profile!$J$5,Families!$C:$R,6,FALSE)</f>
        <v>Herefordshire</v>
      </c>
      <c r="AG288" s="15">
        <f t="shared" si="130"/>
        <v>62.711864406779661</v>
      </c>
      <c r="AH288" s="50">
        <f t="shared" si="131"/>
        <v>278</v>
      </c>
      <c r="AI288" s="5" t="str">
        <f>IF(L288="","",VLOOKUP($L288,classifications!$C:$J,8,FALSE))</f>
        <v/>
      </c>
      <c r="AJ288" s="43" t="str">
        <f t="shared" si="132"/>
        <v/>
      </c>
      <c r="AK288" s="40" t="str">
        <f>IF(AJ288="","",IF(I$8="A",(RANK(AJ288,AJ$11:AJ$349,1)+COUNTIF(AJ$11:AJ288,AJ288)-1),(RANK(AJ288,AJ$11:AJ$349)+COUNTIF(AJ$11:AJ288,AJ288)-1)))</f>
        <v/>
      </c>
      <c r="AL288" s="3" t="str">
        <f t="shared" si="133"/>
        <v/>
      </c>
      <c r="AM288" t="str">
        <f t="shared" si="134"/>
        <v/>
      </c>
      <c r="AN288" t="str">
        <f t="shared" si="135"/>
        <v/>
      </c>
      <c r="AP288" s="5" t="str">
        <f>IF(L288="","",VLOOKUP($L288,classifications!$C:$E,3,FALSE))</f>
        <v/>
      </c>
      <c r="AQ288" s="43" t="str">
        <f t="shared" si="136"/>
        <v/>
      </c>
      <c r="AR288" s="40" t="str">
        <f>IF(AQ288="","",IF(I$8="A",(RANK(AQ288,AQ$11:AQ$349,1)+COUNTIF(AQ$11:AQ288,AQ288)-1),(RANK(AQ288,AQ$11:AQ$349)+COUNTIF(AQ$11:AQ288,AQ288)-1)))</f>
        <v/>
      </c>
      <c r="AS288" s="3" t="str">
        <f t="shared" si="137"/>
        <v/>
      </c>
      <c r="AT288" s="40" t="str">
        <f t="shared" si="138"/>
        <v/>
      </c>
      <c r="AU288" s="43" t="str">
        <f t="shared" si="139"/>
        <v/>
      </c>
      <c r="AX288">
        <f>HLOOKUP($AX$9&amp;$AX$10,Data!$A$1:$ZZ$1988,(MATCH($C288,Data!$A$1:$A$1988,0)),FALSE)</f>
        <v>87.272727272727266</v>
      </c>
    </row>
    <row r="289" spans="1:50">
      <c r="A289" s="59" t="str">
        <f>$D$1&amp;279</f>
        <v>UA279</v>
      </c>
      <c r="B289" s="60">
        <f>IF(ISERROR(VLOOKUP(A289,classifications!A:C,3,FALSE)),0,VLOOKUP(A289,classifications!A:C,3,FALSE))</f>
        <v>0</v>
      </c>
      <c r="C289" t="s">
        <v>292</v>
      </c>
      <c r="D289" t="str">
        <f>VLOOKUP($C289,classifications!$C:$J,4,FALSE)</f>
        <v>UA</v>
      </c>
      <c r="E289">
        <f>VLOOKUP(C289,classifications!C:K,9,FALSE)</f>
        <v>0</v>
      </c>
      <c r="F289">
        <f t="shared" si="116"/>
        <v>100</v>
      </c>
      <c r="G289" s="15"/>
      <c r="H289" s="42">
        <f t="shared" si="117"/>
        <v>100</v>
      </c>
      <c r="I289" s="79">
        <f>IF(H289="","",IF($I$8="A",(RANK(H289,H$11:H$349,1)+COUNTIF(H$11:H289,H289)-1),(RANK(H289,H$11:H$349)+COUNTIF(H$11:H289,H289)-1)))</f>
        <v>10</v>
      </c>
      <c r="J289" s="41"/>
      <c r="K289" s="36" t="str">
        <f t="shared" si="118"/>
        <v/>
      </c>
      <c r="L289" t="str">
        <f t="shared" si="119"/>
        <v/>
      </c>
      <c r="M289" s="117" t="str">
        <f t="shared" si="120"/>
        <v/>
      </c>
      <c r="N289" s="112" t="str">
        <f t="shared" si="121"/>
        <v/>
      </c>
      <c r="O289" s="96" t="str">
        <f t="shared" si="122"/>
        <v/>
      </c>
      <c r="P289" s="96" t="str">
        <f t="shared" si="123"/>
        <v/>
      </c>
      <c r="Q289" s="96" t="str">
        <f t="shared" si="124"/>
        <v/>
      </c>
      <c r="R289" s="92" t="str">
        <f t="shared" si="125"/>
        <v/>
      </c>
      <c r="S289" s="42" t="str">
        <f t="shared" si="126"/>
        <v/>
      </c>
      <c r="T289" s="176" t="str">
        <f>IF(L289="","",VLOOKUP(L289,classifications!C:K,9,FALSE))</f>
        <v/>
      </c>
      <c r="U289" s="177" t="str">
        <f t="shared" si="127"/>
        <v/>
      </c>
      <c r="V289" s="183" t="str">
        <f>IF(U289="","",IF($I$8="A",(RANK(U289,U$11:U$349)+COUNTIF(U$11:U289,U289)-1),(RANK(U289,U$11:U$349,1)+COUNTIF(U$11:U289,U289)-1)))</f>
        <v/>
      </c>
      <c r="W289" s="184"/>
      <c r="X289" s="5" t="str">
        <f>IF(L289="","",VLOOKUP($L289,classifications!$C:$J,6,FALSE))</f>
        <v/>
      </c>
      <c r="Y289" t="str">
        <f t="shared" si="128"/>
        <v/>
      </c>
      <c r="Z289" s="40" t="str">
        <f>IF(Y289="","",IF(I$8="A",(RANK(Y289,Y$11:Y$349,1)+COUNTIF(Y$11:Y289,Y289)-1),(RANK(Y289,Y$11:Y$349)+COUNTIF(Y$11:Y289,Y289)-1)))</f>
        <v/>
      </c>
      <c r="AA289" s="189" t="str">
        <f>IF(L289="","",VLOOKUP($L289,classifications!C:I,7,FALSE))</f>
        <v/>
      </c>
      <c r="AB289" s="183" t="str">
        <f t="shared" si="129"/>
        <v/>
      </c>
      <c r="AC289" s="183" t="str">
        <f>IF(AB289="","",IF($I$8="A",(RANK(AB289,AB$11:AB$349)+COUNTIF(AB$11:AB289,AB289)-1),(RANK(AB289,AB$11:AB$349,1)+COUNTIF(AB$11:AB289,AB289)-1)))</f>
        <v/>
      </c>
      <c r="AD289" s="183"/>
      <c r="AE289" s="49">
        <f>IF(I$8="A",(RANK(AG289,AG$11:AG$349,1)+COUNTIF(AG$11:AG289,AG289)-1),(RANK(AG289,AG$11:AG$349)+COUNTIF(AG$11:AG289,AG289)-1))</f>
        <v>279</v>
      </c>
      <c r="AF289" t="str">
        <f>VLOOKUP(Profile!$J$5,Families!$C:$R,6,FALSE)</f>
        <v>Herefordshire</v>
      </c>
      <c r="AG289" s="15">
        <f t="shared" si="130"/>
        <v>62.711864406779661</v>
      </c>
      <c r="AH289" s="50">
        <f t="shared" si="131"/>
        <v>279</v>
      </c>
      <c r="AI289" s="5" t="str">
        <f>IF(L289="","",VLOOKUP($L289,classifications!$C:$J,8,FALSE))</f>
        <v/>
      </c>
      <c r="AJ289" s="43" t="str">
        <f t="shared" si="132"/>
        <v/>
      </c>
      <c r="AK289" s="40" t="str">
        <f>IF(AJ289="","",IF(I$8="A",(RANK(AJ289,AJ$11:AJ$349,1)+COUNTIF(AJ$11:AJ289,AJ289)-1),(RANK(AJ289,AJ$11:AJ$349)+COUNTIF(AJ$11:AJ289,AJ289)-1)))</f>
        <v/>
      </c>
      <c r="AL289" s="3" t="str">
        <f t="shared" si="133"/>
        <v/>
      </c>
      <c r="AM289" t="str">
        <f t="shared" si="134"/>
        <v/>
      </c>
      <c r="AN289" t="str">
        <f t="shared" si="135"/>
        <v/>
      </c>
      <c r="AP289" s="5" t="str">
        <f>IF(L289="","",VLOOKUP($L289,classifications!$C:$E,3,FALSE))</f>
        <v/>
      </c>
      <c r="AQ289" s="43" t="str">
        <f t="shared" si="136"/>
        <v/>
      </c>
      <c r="AR289" s="40" t="str">
        <f>IF(AQ289="","",IF(I$8="A",(RANK(AQ289,AQ$11:AQ$349,1)+COUNTIF(AQ$11:AQ289,AQ289)-1),(RANK(AQ289,AQ$11:AQ$349)+COUNTIF(AQ$11:AQ289,AQ289)-1)))</f>
        <v/>
      </c>
      <c r="AS289" s="3" t="str">
        <f t="shared" si="137"/>
        <v/>
      </c>
      <c r="AT289" s="40" t="str">
        <f t="shared" si="138"/>
        <v/>
      </c>
      <c r="AU289" s="43" t="str">
        <f t="shared" si="139"/>
        <v/>
      </c>
      <c r="AX289">
        <f>HLOOKUP($AX$9&amp;$AX$10,Data!$A$1:$ZZ$1988,(MATCH($C289,Data!$A$1:$A$1988,0)),FALSE)</f>
        <v>100</v>
      </c>
    </row>
    <row r="290" spans="1:50">
      <c r="A290" s="59" t="str">
        <f>$D$1&amp;280</f>
        <v>UA280</v>
      </c>
      <c r="B290" s="60">
        <f>IF(ISERROR(VLOOKUP(A290,classifications!A:C,3,FALSE)),0,VLOOKUP(A290,classifications!A:C,3,FALSE))</f>
        <v>0</v>
      </c>
      <c r="C290" t="s">
        <v>251</v>
      </c>
      <c r="D290" t="str">
        <f>VLOOKUP($C290,classifications!$C:$J,4,FALSE)</f>
        <v>MD</v>
      </c>
      <c r="E290">
        <f>VLOOKUP(C290,classifications!C:K,9,FALSE)</f>
        <v>0</v>
      </c>
      <c r="F290">
        <f t="shared" si="116"/>
        <v>100</v>
      </c>
      <c r="G290" s="15"/>
      <c r="H290" s="42" t="str">
        <f t="shared" si="117"/>
        <v/>
      </c>
      <c r="I290" s="79" t="str">
        <f>IF(H290="","",IF($I$8="A",(RANK(H290,H$11:H$349,1)+COUNTIF(H$11:H290,H290)-1),(RANK(H290,H$11:H$349)+COUNTIF(H$11:H290,H290)-1)))</f>
        <v/>
      </c>
      <c r="J290" s="41"/>
      <c r="K290" s="36" t="str">
        <f t="shared" si="118"/>
        <v/>
      </c>
      <c r="L290" t="str">
        <f t="shared" si="119"/>
        <v/>
      </c>
      <c r="M290" s="117" t="str">
        <f t="shared" si="120"/>
        <v/>
      </c>
      <c r="N290" s="112" t="str">
        <f t="shared" si="121"/>
        <v/>
      </c>
      <c r="O290" s="96" t="str">
        <f t="shared" si="122"/>
        <v/>
      </c>
      <c r="P290" s="96" t="str">
        <f t="shared" si="123"/>
        <v/>
      </c>
      <c r="Q290" s="96" t="str">
        <f t="shared" si="124"/>
        <v/>
      </c>
      <c r="R290" s="92" t="str">
        <f t="shared" si="125"/>
        <v/>
      </c>
      <c r="S290" s="42" t="str">
        <f t="shared" si="126"/>
        <v/>
      </c>
      <c r="T290" s="176" t="str">
        <f>IF(L290="","",VLOOKUP(L290,classifications!C:K,9,FALSE))</f>
        <v/>
      </c>
      <c r="U290" s="177" t="str">
        <f t="shared" si="127"/>
        <v/>
      </c>
      <c r="V290" s="183" t="str">
        <f>IF(U290="","",IF($I$8="A",(RANK(U290,U$11:U$349)+COUNTIF(U$11:U290,U290)-1),(RANK(U290,U$11:U$349,1)+COUNTIF(U$11:U290,U290)-1)))</f>
        <v/>
      </c>
      <c r="W290" s="184"/>
      <c r="X290" s="5" t="str">
        <f>IF(L290="","",VLOOKUP($L290,classifications!$C:$J,6,FALSE))</f>
        <v/>
      </c>
      <c r="Y290" t="str">
        <f t="shared" si="128"/>
        <v/>
      </c>
      <c r="Z290" s="40" t="str">
        <f>IF(Y290="","",IF(I$8="A",(RANK(Y290,Y$11:Y$349,1)+COUNTIF(Y$11:Y290,Y290)-1),(RANK(Y290,Y$11:Y$349)+COUNTIF(Y$11:Y290,Y290)-1)))</f>
        <v/>
      </c>
      <c r="AA290" s="189" t="str">
        <f>IF(L290="","",VLOOKUP($L290,classifications!C:I,7,FALSE))</f>
        <v/>
      </c>
      <c r="AB290" s="183" t="str">
        <f t="shared" si="129"/>
        <v/>
      </c>
      <c r="AC290" s="183" t="str">
        <f>IF(AB290="","",IF($I$8="A",(RANK(AB290,AB$11:AB$349)+COUNTIF(AB$11:AB290,AB290)-1),(RANK(AB290,AB$11:AB$349,1)+COUNTIF(AB$11:AB290,AB290)-1)))</f>
        <v/>
      </c>
      <c r="AD290" s="183"/>
      <c r="AE290" s="49">
        <f>IF(I$8="A",(RANK(AG290,AG$11:AG$349,1)+COUNTIF(AG$11:AG290,AG290)-1),(RANK(AG290,AG$11:AG$349)+COUNTIF(AG$11:AG290,AG290)-1))</f>
        <v>280</v>
      </c>
      <c r="AF290" t="str">
        <f>VLOOKUP(Profile!$J$5,Families!$C:$R,6,FALSE)</f>
        <v>Herefordshire</v>
      </c>
      <c r="AG290" s="15">
        <f t="shared" si="130"/>
        <v>62.711864406779661</v>
      </c>
      <c r="AH290" s="50">
        <f t="shared" si="131"/>
        <v>280</v>
      </c>
      <c r="AI290" s="5" t="str">
        <f>IF(L290="","",VLOOKUP($L290,classifications!$C:$J,8,FALSE))</f>
        <v/>
      </c>
      <c r="AJ290" s="43" t="str">
        <f t="shared" si="132"/>
        <v/>
      </c>
      <c r="AK290" s="40" t="str">
        <f>IF(AJ290="","",IF(I$8="A",(RANK(AJ290,AJ$11:AJ$349,1)+COUNTIF(AJ$11:AJ290,AJ290)-1),(RANK(AJ290,AJ$11:AJ$349)+COUNTIF(AJ$11:AJ290,AJ290)-1)))</f>
        <v/>
      </c>
      <c r="AL290" s="3" t="str">
        <f t="shared" si="133"/>
        <v/>
      </c>
      <c r="AM290" t="str">
        <f t="shared" si="134"/>
        <v/>
      </c>
      <c r="AN290" t="str">
        <f t="shared" si="135"/>
        <v/>
      </c>
      <c r="AP290" s="5" t="str">
        <f>IF(L290="","",VLOOKUP($L290,classifications!$C:$E,3,FALSE))</f>
        <v/>
      </c>
      <c r="AQ290" s="43" t="str">
        <f t="shared" si="136"/>
        <v/>
      </c>
      <c r="AR290" s="40" t="str">
        <f>IF(AQ290="","",IF(I$8="A",(RANK(AQ290,AQ$11:AQ$349,1)+COUNTIF(AQ$11:AQ290,AQ290)-1),(RANK(AQ290,AQ$11:AQ$349)+COUNTIF(AQ$11:AQ290,AQ290)-1)))</f>
        <v/>
      </c>
      <c r="AS290" s="3" t="str">
        <f t="shared" si="137"/>
        <v/>
      </c>
      <c r="AT290" s="40" t="str">
        <f t="shared" si="138"/>
        <v/>
      </c>
      <c r="AU290" s="43" t="str">
        <f t="shared" si="139"/>
        <v/>
      </c>
      <c r="AX290">
        <f>HLOOKUP($AX$9&amp;$AX$10,Data!$A$1:$ZZ$1988,(MATCH($C290,Data!$A$1:$A$1988,0)),FALSE)</f>
        <v>100</v>
      </c>
    </row>
    <row r="291" spans="1:50">
      <c r="A291" s="59" t="str">
        <f>$D$1&amp;281</f>
        <v>UA281</v>
      </c>
      <c r="B291" s="60">
        <f>IF(ISERROR(VLOOKUP(A291,classifications!A:C,3,FALSE)),0,VLOOKUP(A291,classifications!A:C,3,FALSE))</f>
        <v>0</v>
      </c>
      <c r="C291" t="s">
        <v>161</v>
      </c>
      <c r="D291" t="str">
        <f>VLOOKUP($C291,classifications!$C:$J,4,FALSE)</f>
        <v>SD</v>
      </c>
      <c r="E291">
        <f>VLOOKUP(C291,classifications!C:K,9,FALSE)</f>
        <v>0</v>
      </c>
      <c r="F291">
        <f t="shared" si="116"/>
        <v>100</v>
      </c>
      <c r="G291" s="15"/>
      <c r="H291" s="42" t="str">
        <f t="shared" si="117"/>
        <v/>
      </c>
      <c r="I291" s="79" t="str">
        <f>IF(H291="","",IF($I$8="A",(RANK(H291,H$11:H$349,1)+COUNTIF(H$11:H291,H291)-1),(RANK(H291,H$11:H$349)+COUNTIF(H$11:H291,H291)-1)))</f>
        <v/>
      </c>
      <c r="J291" s="41"/>
      <c r="K291" s="36" t="str">
        <f t="shared" si="118"/>
        <v/>
      </c>
      <c r="L291" t="str">
        <f t="shared" si="119"/>
        <v/>
      </c>
      <c r="M291" s="117" t="str">
        <f t="shared" si="120"/>
        <v/>
      </c>
      <c r="N291" s="112" t="str">
        <f t="shared" si="121"/>
        <v/>
      </c>
      <c r="O291" s="96" t="str">
        <f t="shared" si="122"/>
        <v/>
      </c>
      <c r="P291" s="96" t="str">
        <f t="shared" si="123"/>
        <v/>
      </c>
      <c r="Q291" s="96" t="str">
        <f t="shared" si="124"/>
        <v/>
      </c>
      <c r="R291" s="92" t="str">
        <f t="shared" si="125"/>
        <v/>
      </c>
      <c r="S291" s="42" t="str">
        <f t="shared" si="126"/>
        <v/>
      </c>
      <c r="T291" s="176" t="str">
        <f>IF(L291="","",VLOOKUP(L291,classifications!C:K,9,FALSE))</f>
        <v/>
      </c>
      <c r="U291" s="177" t="str">
        <f t="shared" si="127"/>
        <v/>
      </c>
      <c r="V291" s="183" t="str">
        <f>IF(U291="","",IF($I$8="A",(RANK(U291,U$11:U$349)+COUNTIF(U$11:U291,U291)-1),(RANK(U291,U$11:U$349,1)+COUNTIF(U$11:U291,U291)-1)))</f>
        <v/>
      </c>
      <c r="W291" s="184"/>
      <c r="X291" s="5" t="str">
        <f>IF(L291="","",VLOOKUP($L291,classifications!$C:$J,6,FALSE))</f>
        <v/>
      </c>
      <c r="Y291" t="str">
        <f t="shared" si="128"/>
        <v/>
      </c>
      <c r="Z291" s="40" t="str">
        <f>IF(Y291="","",IF(I$8="A",(RANK(Y291,Y$11:Y$349,1)+COUNTIF(Y$11:Y291,Y291)-1),(RANK(Y291,Y$11:Y$349)+COUNTIF(Y$11:Y291,Y291)-1)))</f>
        <v/>
      </c>
      <c r="AA291" s="189" t="str">
        <f>IF(L291="","",VLOOKUP($L291,classifications!C:I,7,FALSE))</f>
        <v/>
      </c>
      <c r="AB291" s="183" t="str">
        <f t="shared" si="129"/>
        <v/>
      </c>
      <c r="AC291" s="183" t="str">
        <f>IF(AB291="","",IF($I$8="A",(RANK(AB291,AB$11:AB$349)+COUNTIF(AB$11:AB291,AB291)-1),(RANK(AB291,AB$11:AB$349,1)+COUNTIF(AB$11:AB291,AB291)-1)))</f>
        <v/>
      </c>
      <c r="AD291" s="183"/>
      <c r="AE291" s="49">
        <f>IF(I$8="A",(RANK(AG291,AG$11:AG$349,1)+COUNTIF(AG$11:AG291,AG291)-1),(RANK(AG291,AG$11:AG$349)+COUNTIF(AG$11:AG291,AG291)-1))</f>
        <v>281</v>
      </c>
      <c r="AF291" t="str">
        <f>VLOOKUP(Profile!$J$5,Families!$C:$R,6,FALSE)</f>
        <v>Herefordshire</v>
      </c>
      <c r="AG291" s="15">
        <f t="shared" si="130"/>
        <v>62.711864406779661</v>
      </c>
      <c r="AH291" s="50">
        <f t="shared" si="131"/>
        <v>281</v>
      </c>
      <c r="AI291" s="5" t="str">
        <f>IF(L291="","",VLOOKUP($L291,classifications!$C:$J,8,FALSE))</f>
        <v/>
      </c>
      <c r="AJ291" s="43" t="str">
        <f t="shared" si="132"/>
        <v/>
      </c>
      <c r="AK291" s="40" t="str">
        <f>IF(AJ291="","",IF(I$8="A",(RANK(AJ291,AJ$11:AJ$349,1)+COUNTIF(AJ$11:AJ291,AJ291)-1),(RANK(AJ291,AJ$11:AJ$349)+COUNTIF(AJ$11:AJ291,AJ291)-1)))</f>
        <v/>
      </c>
      <c r="AL291" s="3" t="str">
        <f t="shared" si="133"/>
        <v/>
      </c>
      <c r="AM291" t="str">
        <f t="shared" si="134"/>
        <v/>
      </c>
      <c r="AN291" t="str">
        <f t="shared" si="135"/>
        <v/>
      </c>
      <c r="AP291" s="5" t="str">
        <f>IF(L291="","",VLOOKUP($L291,classifications!$C:$E,3,FALSE))</f>
        <v/>
      </c>
      <c r="AQ291" s="43" t="str">
        <f t="shared" si="136"/>
        <v/>
      </c>
      <c r="AR291" s="40" t="str">
        <f>IF(AQ291="","",IF(I$8="A",(RANK(AQ291,AQ$11:AQ$349,1)+COUNTIF(AQ$11:AQ291,AQ291)-1),(RANK(AQ291,AQ$11:AQ$349)+COUNTIF(AQ$11:AQ291,AQ291)-1)))</f>
        <v/>
      </c>
      <c r="AS291" s="3" t="str">
        <f t="shared" si="137"/>
        <v/>
      </c>
      <c r="AT291" s="40" t="str">
        <f t="shared" si="138"/>
        <v/>
      </c>
      <c r="AU291" s="43" t="str">
        <f t="shared" si="139"/>
        <v/>
      </c>
      <c r="AX291">
        <f>HLOOKUP($AX$9&amp;$AX$10,Data!$A$1:$ZZ$1988,(MATCH($C291,Data!$A$1:$A$1988,0)),FALSE)</f>
        <v>100</v>
      </c>
    </row>
    <row r="292" spans="1:50">
      <c r="A292" s="59" t="str">
        <f>$D$1&amp;282</f>
        <v>UA282</v>
      </c>
      <c r="B292" s="60">
        <f>IF(ISERROR(VLOOKUP(A292,classifications!A:C,3,FALSE)),0,VLOOKUP(A292,classifications!A:C,3,FALSE))</f>
        <v>0</v>
      </c>
      <c r="C292" t="s">
        <v>162</v>
      </c>
      <c r="D292" t="str">
        <f>VLOOKUP($C292,classifications!$C:$J,4,FALSE)</f>
        <v>SD</v>
      </c>
      <c r="E292">
        <f>VLOOKUP(C292,classifications!C:K,9,FALSE)</f>
        <v>0</v>
      </c>
      <c r="F292">
        <f t="shared" si="116"/>
        <v>55.000000000000007</v>
      </c>
      <c r="G292" s="15"/>
      <c r="H292" s="42" t="str">
        <f t="shared" si="117"/>
        <v/>
      </c>
      <c r="I292" s="79" t="str">
        <f>IF(H292="","",IF($I$8="A",(RANK(H292,H$11:H$349,1)+COUNTIF(H$11:H292,H292)-1),(RANK(H292,H$11:H$349)+COUNTIF(H$11:H292,H292)-1)))</f>
        <v/>
      </c>
      <c r="J292" s="41"/>
      <c r="K292" s="36" t="str">
        <f t="shared" si="118"/>
        <v/>
      </c>
      <c r="L292" t="str">
        <f t="shared" si="119"/>
        <v/>
      </c>
      <c r="M292" s="117" t="str">
        <f t="shared" si="120"/>
        <v/>
      </c>
      <c r="N292" s="112" t="str">
        <f t="shared" si="121"/>
        <v/>
      </c>
      <c r="O292" s="96" t="str">
        <f t="shared" si="122"/>
        <v/>
      </c>
      <c r="P292" s="96" t="str">
        <f t="shared" si="123"/>
        <v/>
      </c>
      <c r="Q292" s="96" t="str">
        <f t="shared" si="124"/>
        <v/>
      </c>
      <c r="R292" s="92" t="str">
        <f t="shared" si="125"/>
        <v/>
      </c>
      <c r="S292" s="42" t="str">
        <f t="shared" si="126"/>
        <v/>
      </c>
      <c r="T292" s="176" t="str">
        <f>IF(L292="","",VLOOKUP(L292,classifications!C:K,9,FALSE))</f>
        <v/>
      </c>
      <c r="U292" s="177" t="str">
        <f t="shared" si="127"/>
        <v/>
      </c>
      <c r="V292" s="183" t="str">
        <f>IF(U292="","",IF($I$8="A",(RANK(U292,U$11:U$349)+COUNTIF(U$11:U292,U292)-1),(RANK(U292,U$11:U$349,1)+COUNTIF(U$11:U292,U292)-1)))</f>
        <v/>
      </c>
      <c r="W292" s="184"/>
      <c r="X292" s="5" t="str">
        <f>IF(L292="","",VLOOKUP($L292,classifications!$C:$J,6,FALSE))</f>
        <v/>
      </c>
      <c r="Y292" t="str">
        <f t="shared" si="128"/>
        <v/>
      </c>
      <c r="Z292" s="40" t="str">
        <f>IF(Y292="","",IF(I$8="A",(RANK(Y292,Y$11:Y$349,1)+COUNTIF(Y$11:Y292,Y292)-1),(RANK(Y292,Y$11:Y$349)+COUNTIF(Y$11:Y292,Y292)-1)))</f>
        <v/>
      </c>
      <c r="AA292" s="189" t="str">
        <f>IF(L292="","",VLOOKUP($L292,classifications!C:I,7,FALSE))</f>
        <v/>
      </c>
      <c r="AB292" s="183" t="str">
        <f t="shared" si="129"/>
        <v/>
      </c>
      <c r="AC292" s="183" t="str">
        <f>IF(AB292="","",IF($I$8="A",(RANK(AB292,AB$11:AB$349)+COUNTIF(AB$11:AB292,AB292)-1),(RANK(AB292,AB$11:AB$349,1)+COUNTIF(AB$11:AB292,AB292)-1)))</f>
        <v/>
      </c>
      <c r="AD292" s="183"/>
      <c r="AE292" s="49">
        <f>IF(I$8="A",(RANK(AG292,AG$11:AG$349,1)+COUNTIF(AG$11:AG292,AG292)-1),(RANK(AG292,AG$11:AG$349)+COUNTIF(AG$11:AG292,AG292)-1))</f>
        <v>282</v>
      </c>
      <c r="AF292" t="str">
        <f>VLOOKUP(Profile!$J$5,Families!$C:$R,6,FALSE)</f>
        <v>Herefordshire</v>
      </c>
      <c r="AG292" s="15">
        <f t="shared" si="130"/>
        <v>62.711864406779661</v>
      </c>
      <c r="AH292" s="50">
        <f t="shared" si="131"/>
        <v>282</v>
      </c>
      <c r="AI292" s="5" t="str">
        <f>IF(L292="","",VLOOKUP($L292,classifications!$C:$J,8,FALSE))</f>
        <v/>
      </c>
      <c r="AJ292" s="43" t="str">
        <f t="shared" si="132"/>
        <v/>
      </c>
      <c r="AK292" s="40" t="str">
        <f>IF(AJ292="","",IF(I$8="A",(RANK(AJ292,AJ$11:AJ$349,1)+COUNTIF(AJ$11:AJ292,AJ292)-1),(RANK(AJ292,AJ$11:AJ$349)+COUNTIF(AJ$11:AJ292,AJ292)-1)))</f>
        <v/>
      </c>
      <c r="AL292" s="3" t="str">
        <f t="shared" si="133"/>
        <v/>
      </c>
      <c r="AM292" t="str">
        <f t="shared" si="134"/>
        <v/>
      </c>
      <c r="AN292" t="str">
        <f t="shared" si="135"/>
        <v/>
      </c>
      <c r="AP292" s="5" t="str">
        <f>IF(L292="","",VLOOKUP($L292,classifications!$C:$E,3,FALSE))</f>
        <v/>
      </c>
      <c r="AQ292" s="43" t="str">
        <f t="shared" si="136"/>
        <v/>
      </c>
      <c r="AR292" s="40" t="str">
        <f>IF(AQ292="","",IF(I$8="A",(RANK(AQ292,AQ$11:AQ$349,1)+COUNTIF(AQ$11:AQ292,AQ292)-1),(RANK(AQ292,AQ$11:AQ$349)+COUNTIF(AQ$11:AQ292,AQ292)-1)))</f>
        <v/>
      </c>
      <c r="AS292" s="3" t="str">
        <f t="shared" si="137"/>
        <v/>
      </c>
      <c r="AT292" s="40" t="str">
        <f t="shared" si="138"/>
        <v/>
      </c>
      <c r="AU292" s="43" t="str">
        <f t="shared" si="139"/>
        <v/>
      </c>
      <c r="AX292">
        <f>HLOOKUP($AX$9&amp;$AX$10,Data!$A$1:$ZZ$1988,(MATCH($C292,Data!$A$1:$A$1988,0)),FALSE)</f>
        <v>55.000000000000007</v>
      </c>
    </row>
    <row r="293" spans="1:50">
      <c r="A293" s="59" t="str">
        <f>$D$1&amp;283</f>
        <v>UA283</v>
      </c>
      <c r="B293" s="60">
        <f>IF(ISERROR(VLOOKUP(A293,classifications!A:C,3,FALSE)),0,VLOOKUP(A293,classifications!A:C,3,FALSE))</f>
        <v>0</v>
      </c>
      <c r="C293" t="s">
        <v>164</v>
      </c>
      <c r="D293" t="str">
        <f>VLOOKUP($C293,classifications!$C:$J,4,FALSE)</f>
        <v>SD</v>
      </c>
      <c r="E293" t="str">
        <f>VLOOKUP(C293,classifications!C:K,9,FALSE)</f>
        <v>Sparse</v>
      </c>
      <c r="F293">
        <f t="shared" si="116"/>
        <v>83.333333333333343</v>
      </c>
      <c r="G293" s="15"/>
      <c r="H293" s="42" t="str">
        <f t="shared" si="117"/>
        <v/>
      </c>
      <c r="I293" s="79" t="str">
        <f>IF(H293="","",IF($I$8="A",(RANK(H293,H$11:H$349,1)+COUNTIF(H$11:H293,H293)-1),(RANK(H293,H$11:H$349)+COUNTIF(H$11:H293,H293)-1)))</f>
        <v/>
      </c>
      <c r="J293" s="41"/>
      <c r="K293" s="36" t="str">
        <f t="shared" si="118"/>
        <v/>
      </c>
      <c r="L293" t="str">
        <f t="shared" si="119"/>
        <v/>
      </c>
      <c r="M293" s="117" t="str">
        <f t="shared" si="120"/>
        <v/>
      </c>
      <c r="N293" s="112" t="str">
        <f t="shared" si="121"/>
        <v/>
      </c>
      <c r="O293" s="96" t="str">
        <f t="shared" si="122"/>
        <v/>
      </c>
      <c r="P293" s="96" t="str">
        <f t="shared" si="123"/>
        <v/>
      </c>
      <c r="Q293" s="96" t="str">
        <f t="shared" si="124"/>
        <v/>
      </c>
      <c r="R293" s="92" t="str">
        <f t="shared" si="125"/>
        <v/>
      </c>
      <c r="S293" s="42" t="str">
        <f t="shared" si="126"/>
        <v/>
      </c>
      <c r="T293" s="176" t="str">
        <f>IF(L293="","",VLOOKUP(L293,classifications!C:K,9,FALSE))</f>
        <v/>
      </c>
      <c r="U293" s="177" t="str">
        <f t="shared" si="127"/>
        <v/>
      </c>
      <c r="V293" s="183" t="str">
        <f>IF(U293="","",IF($I$8="A",(RANK(U293,U$11:U$349)+COUNTIF(U$11:U293,U293)-1),(RANK(U293,U$11:U$349,1)+COUNTIF(U$11:U293,U293)-1)))</f>
        <v/>
      </c>
      <c r="W293" s="184"/>
      <c r="X293" s="5" t="str">
        <f>IF(L293="","",VLOOKUP($L293,classifications!$C:$J,6,FALSE))</f>
        <v/>
      </c>
      <c r="Y293" t="str">
        <f t="shared" si="128"/>
        <v/>
      </c>
      <c r="Z293" s="40" t="str">
        <f>IF(Y293="","",IF(I$8="A",(RANK(Y293,Y$11:Y$349,1)+COUNTIF(Y$11:Y293,Y293)-1),(RANK(Y293,Y$11:Y$349)+COUNTIF(Y$11:Y293,Y293)-1)))</f>
        <v/>
      </c>
      <c r="AA293" s="189" t="str">
        <f>IF(L293="","",VLOOKUP($L293,classifications!C:I,7,FALSE))</f>
        <v/>
      </c>
      <c r="AB293" s="183" t="str">
        <f t="shared" si="129"/>
        <v/>
      </c>
      <c r="AC293" s="183" t="str">
        <f>IF(AB293="","",IF($I$8="A",(RANK(AB293,AB$11:AB$349)+COUNTIF(AB$11:AB293,AB293)-1),(RANK(AB293,AB$11:AB$349,1)+COUNTIF(AB$11:AB293,AB293)-1)))</f>
        <v/>
      </c>
      <c r="AD293" s="183"/>
      <c r="AE293" s="49">
        <f>IF(I$8="A",(RANK(AG293,AG$11:AG$349,1)+COUNTIF(AG$11:AG293,AG293)-1),(RANK(AG293,AG$11:AG$349)+COUNTIF(AG$11:AG293,AG293)-1))</f>
        <v>283</v>
      </c>
      <c r="AF293" t="str">
        <f>VLOOKUP(Profile!$J$5,Families!$C:$R,6,FALSE)</f>
        <v>Herefordshire</v>
      </c>
      <c r="AG293" s="15">
        <f t="shared" si="130"/>
        <v>62.711864406779661</v>
      </c>
      <c r="AH293" s="50">
        <f t="shared" si="131"/>
        <v>283</v>
      </c>
      <c r="AI293" s="5" t="str">
        <f>IF(L293="","",VLOOKUP($L293,classifications!$C:$J,8,FALSE))</f>
        <v/>
      </c>
      <c r="AJ293" s="43" t="str">
        <f t="shared" si="132"/>
        <v/>
      </c>
      <c r="AK293" s="40" t="str">
        <f>IF(AJ293="","",IF(I$8="A",(RANK(AJ293,AJ$11:AJ$349,1)+COUNTIF(AJ$11:AJ293,AJ293)-1),(RANK(AJ293,AJ$11:AJ$349)+COUNTIF(AJ$11:AJ293,AJ293)-1)))</f>
        <v/>
      </c>
      <c r="AL293" s="3" t="str">
        <f t="shared" si="133"/>
        <v/>
      </c>
      <c r="AM293" t="str">
        <f t="shared" si="134"/>
        <v/>
      </c>
      <c r="AN293" t="str">
        <f t="shared" si="135"/>
        <v/>
      </c>
      <c r="AP293" s="5" t="str">
        <f>IF(L293="","",VLOOKUP($L293,classifications!$C:$E,3,FALSE))</f>
        <v/>
      </c>
      <c r="AQ293" s="43" t="str">
        <f t="shared" si="136"/>
        <v/>
      </c>
      <c r="AR293" s="40" t="str">
        <f>IF(AQ293="","",IF(I$8="A",(RANK(AQ293,AQ$11:AQ$349,1)+COUNTIF(AQ$11:AQ293,AQ293)-1),(RANK(AQ293,AQ$11:AQ$349)+COUNTIF(AQ$11:AQ293,AQ293)-1)))</f>
        <v/>
      </c>
      <c r="AS293" s="3" t="str">
        <f t="shared" si="137"/>
        <v/>
      </c>
      <c r="AT293" s="40" t="str">
        <f t="shared" si="138"/>
        <v/>
      </c>
      <c r="AU293" s="43" t="str">
        <f t="shared" si="139"/>
        <v/>
      </c>
      <c r="AX293">
        <f>HLOOKUP($AX$9&amp;$AX$10,Data!$A$1:$ZZ$1988,(MATCH($C293,Data!$A$1:$A$1988,0)),FALSE)</f>
        <v>83.333333333333343</v>
      </c>
    </row>
    <row r="294" spans="1:50">
      <c r="A294" s="59" t="str">
        <f>$D$1&amp;284</f>
        <v>UA284</v>
      </c>
      <c r="B294" s="60">
        <f>IF(ISERROR(VLOOKUP(A294,classifications!A:C,3,FALSE)),0,VLOOKUP(A294,classifications!A:C,3,FALSE))</f>
        <v>0</v>
      </c>
      <c r="C294" t="s">
        <v>814</v>
      </c>
      <c r="D294" t="str">
        <f>VLOOKUP($C294,classifications!$C:$J,4,FALSE)</f>
        <v>UA</v>
      </c>
      <c r="E294">
        <f>VLOOKUP(C294,classifications!C:K,9,FALSE)</f>
        <v>0</v>
      </c>
      <c r="F294">
        <f t="shared" si="116"/>
        <v>100</v>
      </c>
      <c r="G294" s="15"/>
      <c r="H294" s="42">
        <f t="shared" si="117"/>
        <v>100</v>
      </c>
      <c r="I294" s="79">
        <f>IF(H294="","",IF($I$8="A",(RANK(H294,H$11:H$349,1)+COUNTIF(H$11:H294,H294)-1),(RANK(H294,H$11:H$349)+COUNTIF(H$11:H294,H294)-1)))</f>
        <v>11</v>
      </c>
      <c r="J294" s="41"/>
      <c r="K294" s="36" t="str">
        <f t="shared" si="118"/>
        <v/>
      </c>
      <c r="L294" t="str">
        <f t="shared" si="119"/>
        <v/>
      </c>
      <c r="M294" s="117" t="str">
        <f t="shared" si="120"/>
        <v/>
      </c>
      <c r="N294" s="112" t="str">
        <f t="shared" si="121"/>
        <v/>
      </c>
      <c r="O294" s="96" t="str">
        <f t="shared" si="122"/>
        <v/>
      </c>
      <c r="P294" s="96" t="str">
        <f t="shared" si="123"/>
        <v/>
      </c>
      <c r="Q294" s="96" t="str">
        <f t="shared" si="124"/>
        <v/>
      </c>
      <c r="R294" s="92" t="str">
        <f t="shared" si="125"/>
        <v/>
      </c>
      <c r="S294" s="42" t="str">
        <f t="shared" si="126"/>
        <v/>
      </c>
      <c r="T294" s="176" t="str">
        <f>IF(L294="","",VLOOKUP(L294,classifications!C:K,9,FALSE))</f>
        <v/>
      </c>
      <c r="U294" s="177" t="str">
        <f t="shared" si="127"/>
        <v/>
      </c>
      <c r="V294" s="183" t="str">
        <f>IF(U294="","",IF($I$8="A",(RANK(U294,U$11:U$349)+COUNTIF(U$11:U294,U294)-1),(RANK(U294,U$11:U$349,1)+COUNTIF(U$11:U294,U294)-1)))</f>
        <v/>
      </c>
      <c r="W294" s="184"/>
      <c r="X294" s="5" t="str">
        <f>IF(L294="","",VLOOKUP($L294,classifications!$C:$J,6,FALSE))</f>
        <v/>
      </c>
      <c r="Y294" t="str">
        <f t="shared" si="128"/>
        <v/>
      </c>
      <c r="Z294" s="40" t="str">
        <f>IF(Y294="","",IF(I$8="A",(RANK(Y294,Y$11:Y$349,1)+COUNTIF(Y$11:Y294,Y294)-1),(RANK(Y294,Y$11:Y$349)+COUNTIF(Y$11:Y294,Y294)-1)))</f>
        <v/>
      </c>
      <c r="AA294" s="189" t="str">
        <f>IF(L294="","",VLOOKUP($L294,classifications!C:I,7,FALSE))</f>
        <v/>
      </c>
      <c r="AB294" s="183" t="str">
        <f t="shared" si="129"/>
        <v/>
      </c>
      <c r="AC294" s="183" t="str">
        <f>IF(AB294="","",IF($I$8="A",(RANK(AB294,AB$11:AB$349)+COUNTIF(AB$11:AB294,AB294)-1),(RANK(AB294,AB$11:AB$349,1)+COUNTIF(AB$11:AB294,AB294)-1)))</f>
        <v/>
      </c>
      <c r="AD294" s="183"/>
      <c r="AE294" s="49">
        <f>IF(I$8="A",(RANK(AG294,AG$11:AG$349,1)+COUNTIF(AG$11:AG294,AG294)-1),(RANK(AG294,AG$11:AG$349)+COUNTIF(AG$11:AG294,AG294)-1))</f>
        <v>284</v>
      </c>
      <c r="AF294" t="str">
        <f>VLOOKUP(Profile!$J$5,Families!$C:$R,6,FALSE)</f>
        <v>Herefordshire</v>
      </c>
      <c r="AG294" s="15">
        <f t="shared" si="130"/>
        <v>62.711864406779661</v>
      </c>
      <c r="AH294" s="50">
        <f t="shared" si="131"/>
        <v>284</v>
      </c>
      <c r="AI294" s="5" t="str">
        <f>IF(L294="","",VLOOKUP($L294,classifications!$C:$J,8,FALSE))</f>
        <v/>
      </c>
      <c r="AJ294" s="43" t="str">
        <f t="shared" si="132"/>
        <v/>
      </c>
      <c r="AK294" s="40" t="str">
        <f>IF(AJ294="","",IF(I$8="A",(RANK(AJ294,AJ$11:AJ$349,1)+COUNTIF(AJ$11:AJ294,AJ294)-1),(RANK(AJ294,AJ$11:AJ$349)+COUNTIF(AJ$11:AJ294,AJ294)-1)))</f>
        <v/>
      </c>
      <c r="AL294" s="3" t="str">
        <f t="shared" si="133"/>
        <v/>
      </c>
      <c r="AM294" t="str">
        <f t="shared" si="134"/>
        <v/>
      </c>
      <c r="AN294" t="str">
        <f t="shared" si="135"/>
        <v/>
      </c>
      <c r="AP294" s="5" t="str">
        <f>IF(L294="","",VLOOKUP($L294,classifications!$C:$E,3,FALSE))</f>
        <v/>
      </c>
      <c r="AQ294" s="43" t="str">
        <f t="shared" si="136"/>
        <v/>
      </c>
      <c r="AR294" s="40" t="str">
        <f>IF(AQ294="","",IF(I$8="A",(RANK(AQ294,AQ$11:AQ$349,1)+COUNTIF(AQ$11:AQ294,AQ294)-1),(RANK(AQ294,AQ$11:AQ$349)+COUNTIF(AQ$11:AQ294,AQ294)-1)))</f>
        <v/>
      </c>
      <c r="AS294" s="3" t="str">
        <f t="shared" si="137"/>
        <v/>
      </c>
      <c r="AT294" s="40" t="str">
        <f t="shared" si="138"/>
        <v/>
      </c>
      <c r="AU294" s="43" t="str">
        <f t="shared" si="139"/>
        <v/>
      </c>
      <c r="AX294">
        <f>HLOOKUP($AX$9&amp;$AX$10,Data!$A$1:$ZZ$1988,(MATCH($C294,Data!$A$1:$A$1988,0)),FALSE)</f>
        <v>100</v>
      </c>
    </row>
    <row r="295" spans="1:50">
      <c r="A295" s="59" t="str">
        <f>$D$1&amp;285</f>
        <v>UA285</v>
      </c>
      <c r="B295" s="60">
        <f>IF(ISERROR(VLOOKUP(A295,classifications!A:C,3,FALSE)),0,VLOOKUP(A295,classifications!A:C,3,FALSE))</f>
        <v>0</v>
      </c>
      <c r="C295" t="s">
        <v>165</v>
      </c>
      <c r="D295" t="str">
        <f>VLOOKUP($C295,classifications!$C:$J,4,FALSE)</f>
        <v>SD</v>
      </c>
      <c r="E295">
        <f>VLOOKUP(C295,classifications!C:K,9,FALSE)</f>
        <v>0</v>
      </c>
      <c r="F295">
        <f t="shared" si="116"/>
        <v>89.130434782608688</v>
      </c>
      <c r="G295" s="15"/>
      <c r="H295" s="42" t="str">
        <f t="shared" si="117"/>
        <v/>
      </c>
      <c r="I295" s="79" t="str">
        <f>IF(H295="","",IF($I$8="A",(RANK(H295,H$11:H$349,1)+COUNTIF(H$11:H295,H295)-1),(RANK(H295,H$11:H$349)+COUNTIF(H$11:H295,H295)-1)))</f>
        <v/>
      </c>
      <c r="J295" s="41"/>
      <c r="K295" s="36" t="str">
        <f t="shared" si="118"/>
        <v/>
      </c>
      <c r="L295" t="str">
        <f t="shared" si="119"/>
        <v/>
      </c>
      <c r="M295" s="117" t="str">
        <f t="shared" si="120"/>
        <v/>
      </c>
      <c r="N295" s="112" t="str">
        <f t="shared" si="121"/>
        <v/>
      </c>
      <c r="O295" s="96" t="str">
        <f t="shared" si="122"/>
        <v/>
      </c>
      <c r="P295" s="96" t="str">
        <f t="shared" si="123"/>
        <v/>
      </c>
      <c r="Q295" s="96" t="str">
        <f t="shared" si="124"/>
        <v/>
      </c>
      <c r="R295" s="92" t="str">
        <f t="shared" si="125"/>
        <v/>
      </c>
      <c r="S295" s="42" t="str">
        <f t="shared" si="126"/>
        <v/>
      </c>
      <c r="T295" s="176" t="str">
        <f>IF(L295="","",VLOOKUP(L295,classifications!C:K,9,FALSE))</f>
        <v/>
      </c>
      <c r="U295" s="177" t="str">
        <f t="shared" si="127"/>
        <v/>
      </c>
      <c r="V295" s="183" t="str">
        <f>IF(U295="","",IF($I$8="A",(RANK(U295,U$11:U$349)+COUNTIF(U$11:U295,U295)-1),(RANK(U295,U$11:U$349,1)+COUNTIF(U$11:U295,U295)-1)))</f>
        <v/>
      </c>
      <c r="W295" s="184"/>
      <c r="X295" s="5" t="str">
        <f>IF(L295="","",VLOOKUP($L295,classifications!$C:$J,6,FALSE))</f>
        <v/>
      </c>
      <c r="Y295" t="str">
        <f t="shared" si="128"/>
        <v/>
      </c>
      <c r="Z295" s="40" t="str">
        <f>IF(Y295="","",IF(I$8="A",(RANK(Y295,Y$11:Y$349,1)+COUNTIF(Y$11:Y295,Y295)-1),(RANK(Y295,Y$11:Y$349)+COUNTIF(Y$11:Y295,Y295)-1)))</f>
        <v/>
      </c>
      <c r="AA295" s="189" t="str">
        <f>IF(L295="","",VLOOKUP($L295,classifications!C:I,7,FALSE))</f>
        <v/>
      </c>
      <c r="AB295" s="183" t="str">
        <f t="shared" si="129"/>
        <v/>
      </c>
      <c r="AC295" s="183" t="str">
        <f>IF(AB295="","",IF($I$8="A",(RANK(AB295,AB$11:AB$349)+COUNTIF(AB$11:AB295,AB295)-1),(RANK(AB295,AB$11:AB$349,1)+COUNTIF(AB$11:AB295,AB295)-1)))</f>
        <v/>
      </c>
      <c r="AD295" s="183"/>
      <c r="AE295" s="49">
        <f>IF(I$8="A",(RANK(AG295,AG$11:AG$349,1)+COUNTIF(AG$11:AG295,AG295)-1),(RANK(AG295,AG$11:AG$349)+COUNTIF(AG$11:AG295,AG295)-1))</f>
        <v>285</v>
      </c>
      <c r="AF295" t="str">
        <f>VLOOKUP(Profile!$J$5,Families!$C:$R,6,FALSE)</f>
        <v>Herefordshire</v>
      </c>
      <c r="AG295" s="15">
        <f t="shared" si="130"/>
        <v>62.711864406779661</v>
      </c>
      <c r="AH295" s="50">
        <f t="shared" si="131"/>
        <v>285</v>
      </c>
      <c r="AI295" s="5" t="str">
        <f>IF(L295="","",VLOOKUP($L295,classifications!$C:$J,8,FALSE))</f>
        <v/>
      </c>
      <c r="AJ295" s="43" t="str">
        <f t="shared" si="132"/>
        <v/>
      </c>
      <c r="AK295" s="40" t="str">
        <f>IF(AJ295="","",IF(I$8="A",(RANK(AJ295,AJ$11:AJ$349,1)+COUNTIF(AJ$11:AJ295,AJ295)-1),(RANK(AJ295,AJ$11:AJ$349)+COUNTIF(AJ$11:AJ295,AJ295)-1)))</f>
        <v/>
      </c>
      <c r="AL295" s="3" t="str">
        <f t="shared" si="133"/>
        <v/>
      </c>
      <c r="AM295" t="str">
        <f t="shared" si="134"/>
        <v/>
      </c>
      <c r="AN295" t="str">
        <f t="shared" si="135"/>
        <v/>
      </c>
      <c r="AP295" s="5" t="str">
        <f>IF(L295="","",VLOOKUP($L295,classifications!$C:$E,3,FALSE))</f>
        <v/>
      </c>
      <c r="AQ295" s="43" t="str">
        <f t="shared" si="136"/>
        <v/>
      </c>
      <c r="AR295" s="40" t="str">
        <f>IF(AQ295="","",IF(I$8="A",(RANK(AQ295,AQ$11:AQ$349,1)+COUNTIF(AQ$11:AQ295,AQ295)-1),(RANK(AQ295,AQ$11:AQ$349)+COUNTIF(AQ$11:AQ295,AQ295)-1)))</f>
        <v/>
      </c>
      <c r="AS295" s="3" t="str">
        <f t="shared" si="137"/>
        <v/>
      </c>
      <c r="AT295" s="40" t="str">
        <f t="shared" si="138"/>
        <v/>
      </c>
      <c r="AU295" s="43" t="str">
        <f t="shared" si="139"/>
        <v/>
      </c>
      <c r="AX295">
        <f>HLOOKUP($AX$9&amp;$AX$10,Data!$A$1:$ZZ$1988,(MATCH($C295,Data!$A$1:$A$1988,0)),FALSE)</f>
        <v>89.130434782608688</v>
      </c>
    </row>
    <row r="296" spans="1:50">
      <c r="A296" s="59" t="str">
        <f>$D$1&amp;286</f>
        <v>UA286</v>
      </c>
      <c r="B296" s="60">
        <f>IF(ISERROR(VLOOKUP(A296,classifications!A:C,3,FALSE)),0,VLOOKUP(A296,classifications!A:C,3,FALSE))</f>
        <v>0</v>
      </c>
      <c r="C296" t="s">
        <v>166</v>
      </c>
      <c r="D296" t="str">
        <f>VLOOKUP($C296,classifications!$C:$J,4,FALSE)</f>
        <v>SD</v>
      </c>
      <c r="E296">
        <f>VLOOKUP(C296,classifications!C:K,9,FALSE)</f>
        <v>0</v>
      </c>
      <c r="F296">
        <f t="shared" si="116"/>
        <v>93.548387096774192</v>
      </c>
      <c r="G296" s="15"/>
      <c r="H296" s="42" t="str">
        <f t="shared" si="117"/>
        <v/>
      </c>
      <c r="I296" s="79" t="str">
        <f>IF(H296="","",IF($I$8="A",(RANK(H296,H$11:H$349,1)+COUNTIF(H$11:H296,H296)-1),(RANK(H296,H$11:H$349)+COUNTIF(H$11:H296,H296)-1)))</f>
        <v/>
      </c>
      <c r="J296" s="41"/>
      <c r="K296" s="36" t="str">
        <f t="shared" si="118"/>
        <v/>
      </c>
      <c r="L296" t="str">
        <f t="shared" si="119"/>
        <v/>
      </c>
      <c r="M296" s="117" t="str">
        <f t="shared" si="120"/>
        <v/>
      </c>
      <c r="N296" s="112" t="str">
        <f t="shared" si="121"/>
        <v/>
      </c>
      <c r="O296" s="96" t="str">
        <f t="shared" si="122"/>
        <v/>
      </c>
      <c r="P296" s="96" t="str">
        <f t="shared" si="123"/>
        <v/>
      </c>
      <c r="Q296" s="96" t="str">
        <f t="shared" si="124"/>
        <v/>
      </c>
      <c r="R296" s="92" t="str">
        <f t="shared" si="125"/>
        <v/>
      </c>
      <c r="S296" s="42" t="str">
        <f t="shared" si="126"/>
        <v/>
      </c>
      <c r="T296" s="176" t="str">
        <f>IF(L296="","",VLOOKUP(L296,classifications!C:K,9,FALSE))</f>
        <v/>
      </c>
      <c r="U296" s="177" t="str">
        <f t="shared" si="127"/>
        <v/>
      </c>
      <c r="V296" s="183" t="str">
        <f>IF(U296="","",IF($I$8="A",(RANK(U296,U$11:U$349)+COUNTIF(U$11:U296,U296)-1),(RANK(U296,U$11:U$349,1)+COUNTIF(U$11:U296,U296)-1)))</f>
        <v/>
      </c>
      <c r="W296" s="184"/>
      <c r="X296" s="5" t="str">
        <f>IF(L296="","",VLOOKUP($L296,classifications!$C:$J,6,FALSE))</f>
        <v/>
      </c>
      <c r="Y296" t="str">
        <f t="shared" si="128"/>
        <v/>
      </c>
      <c r="Z296" s="40" t="str">
        <f>IF(Y296="","",IF(I$8="A",(RANK(Y296,Y$11:Y$349,1)+COUNTIF(Y$11:Y296,Y296)-1),(RANK(Y296,Y$11:Y$349)+COUNTIF(Y$11:Y296,Y296)-1)))</f>
        <v/>
      </c>
      <c r="AA296" s="189" t="str">
        <f>IF(L296="","",VLOOKUP($L296,classifications!C:I,7,FALSE))</f>
        <v/>
      </c>
      <c r="AB296" s="183" t="str">
        <f t="shared" si="129"/>
        <v/>
      </c>
      <c r="AC296" s="183" t="str">
        <f>IF(AB296="","",IF($I$8="A",(RANK(AB296,AB$11:AB$349)+COUNTIF(AB$11:AB296,AB296)-1),(RANK(AB296,AB$11:AB$349,1)+COUNTIF(AB$11:AB296,AB296)-1)))</f>
        <v/>
      </c>
      <c r="AD296" s="183"/>
      <c r="AE296" s="49">
        <f>IF(I$8="A",(RANK(AG296,AG$11:AG$349,1)+COUNTIF(AG$11:AG296,AG296)-1),(RANK(AG296,AG$11:AG$349)+COUNTIF(AG$11:AG296,AG296)-1))</f>
        <v>286</v>
      </c>
      <c r="AF296" t="str">
        <f>VLOOKUP(Profile!$J$5,Families!$C:$R,6,FALSE)</f>
        <v>Herefordshire</v>
      </c>
      <c r="AG296" s="15">
        <f t="shared" si="130"/>
        <v>62.711864406779661</v>
      </c>
      <c r="AH296" s="50">
        <f t="shared" si="131"/>
        <v>286</v>
      </c>
      <c r="AI296" s="5" t="str">
        <f>IF(L296="","",VLOOKUP($L296,classifications!$C:$J,8,FALSE))</f>
        <v/>
      </c>
      <c r="AJ296" s="43" t="str">
        <f t="shared" si="132"/>
        <v/>
      </c>
      <c r="AK296" s="40" t="str">
        <f>IF(AJ296="","",IF(I$8="A",(RANK(AJ296,AJ$11:AJ$349,1)+COUNTIF(AJ$11:AJ296,AJ296)-1),(RANK(AJ296,AJ$11:AJ$349)+COUNTIF(AJ$11:AJ296,AJ296)-1)))</f>
        <v/>
      </c>
      <c r="AL296" s="3" t="str">
        <f t="shared" si="133"/>
        <v/>
      </c>
      <c r="AM296" t="str">
        <f t="shared" si="134"/>
        <v/>
      </c>
      <c r="AN296" t="str">
        <f t="shared" si="135"/>
        <v/>
      </c>
      <c r="AP296" s="5" t="str">
        <f>IF(L296="","",VLOOKUP($L296,classifications!$C:$E,3,FALSE))</f>
        <v/>
      </c>
      <c r="AQ296" s="43" t="str">
        <f t="shared" si="136"/>
        <v/>
      </c>
      <c r="AR296" s="40" t="str">
        <f>IF(AQ296="","",IF(I$8="A",(RANK(AQ296,AQ$11:AQ$349,1)+COUNTIF(AQ$11:AQ296,AQ296)-1),(RANK(AQ296,AQ$11:AQ$349)+COUNTIF(AQ$11:AQ296,AQ296)-1)))</f>
        <v/>
      </c>
      <c r="AS296" s="3" t="str">
        <f t="shared" si="137"/>
        <v/>
      </c>
      <c r="AT296" s="40" t="str">
        <f t="shared" si="138"/>
        <v/>
      </c>
      <c r="AU296" s="43" t="str">
        <f t="shared" si="139"/>
        <v/>
      </c>
      <c r="AX296">
        <f>HLOOKUP($AX$9&amp;$AX$10,Data!$A$1:$ZZ$1988,(MATCH($C296,Data!$A$1:$A$1988,0)),FALSE)</f>
        <v>93.548387096774192</v>
      </c>
    </row>
    <row r="297" spans="1:50">
      <c r="A297" s="59" t="str">
        <f>$D$1&amp;287</f>
        <v>UA287</v>
      </c>
      <c r="B297" s="60">
        <f>IF(ISERROR(VLOOKUP(A297,classifications!A:C,3,FALSE)),0,VLOOKUP(A297,classifications!A:C,3,FALSE))</f>
        <v>0</v>
      </c>
      <c r="C297" t="s">
        <v>167</v>
      </c>
      <c r="D297" t="str">
        <f>VLOOKUP($C297,classifications!$C:$J,4,FALSE)</f>
        <v>SD</v>
      </c>
      <c r="E297" t="str">
        <f>VLOOKUP(C297,classifications!C:K,9,FALSE)</f>
        <v>Sparse</v>
      </c>
      <c r="F297">
        <f t="shared" si="116"/>
        <v>63.888888888888886</v>
      </c>
      <c r="G297" s="15"/>
      <c r="H297" s="42" t="str">
        <f t="shared" si="117"/>
        <v/>
      </c>
      <c r="I297" s="79" t="str">
        <f>IF(H297="","",IF($I$8="A",(RANK(H297,H$11:H$349,1)+COUNTIF(H$11:H297,H297)-1),(RANK(H297,H$11:H$349)+COUNTIF(H$11:H297,H297)-1)))</f>
        <v/>
      </c>
      <c r="J297" s="41"/>
      <c r="K297" s="36" t="str">
        <f t="shared" si="118"/>
        <v/>
      </c>
      <c r="L297" t="str">
        <f t="shared" si="119"/>
        <v/>
      </c>
      <c r="M297" s="117" t="str">
        <f t="shared" si="120"/>
        <v/>
      </c>
      <c r="N297" s="112" t="str">
        <f t="shared" si="121"/>
        <v/>
      </c>
      <c r="O297" s="96" t="str">
        <f t="shared" si="122"/>
        <v/>
      </c>
      <c r="P297" s="96" t="str">
        <f t="shared" si="123"/>
        <v/>
      </c>
      <c r="Q297" s="96" t="str">
        <f t="shared" si="124"/>
        <v/>
      </c>
      <c r="R297" s="92" t="str">
        <f t="shared" si="125"/>
        <v/>
      </c>
      <c r="S297" s="42" t="str">
        <f t="shared" si="126"/>
        <v/>
      </c>
      <c r="T297" s="176" t="str">
        <f>IF(L297="","",VLOOKUP(L297,classifications!C:K,9,FALSE))</f>
        <v/>
      </c>
      <c r="U297" s="177" t="str">
        <f t="shared" si="127"/>
        <v/>
      </c>
      <c r="V297" s="183" t="str">
        <f>IF(U297="","",IF($I$8="A",(RANK(U297,U$11:U$349)+COUNTIF(U$11:U297,U297)-1),(RANK(U297,U$11:U$349,1)+COUNTIF(U$11:U297,U297)-1)))</f>
        <v/>
      </c>
      <c r="W297" s="184"/>
      <c r="X297" s="5" t="str">
        <f>IF(L297="","",VLOOKUP($L297,classifications!$C:$J,6,FALSE))</f>
        <v/>
      </c>
      <c r="Y297" t="str">
        <f t="shared" si="128"/>
        <v/>
      </c>
      <c r="Z297" s="40" t="str">
        <f>IF(Y297="","",IF(I$8="A",(RANK(Y297,Y$11:Y$349,1)+COUNTIF(Y$11:Y297,Y297)-1),(RANK(Y297,Y$11:Y$349)+COUNTIF(Y$11:Y297,Y297)-1)))</f>
        <v/>
      </c>
      <c r="AA297" s="189" t="str">
        <f>IF(L297="","",VLOOKUP($L297,classifications!C:I,7,FALSE))</f>
        <v/>
      </c>
      <c r="AB297" s="183" t="str">
        <f t="shared" si="129"/>
        <v/>
      </c>
      <c r="AC297" s="183" t="str">
        <f>IF(AB297="","",IF($I$8="A",(RANK(AB297,AB$11:AB$349)+COUNTIF(AB$11:AB297,AB297)-1),(RANK(AB297,AB$11:AB$349,1)+COUNTIF(AB$11:AB297,AB297)-1)))</f>
        <v/>
      </c>
      <c r="AD297" s="183"/>
      <c r="AE297" s="49">
        <f>IF(I$8="A",(RANK(AG297,AG$11:AG$349,1)+COUNTIF(AG$11:AG297,AG297)-1),(RANK(AG297,AG$11:AG$349)+COUNTIF(AG$11:AG297,AG297)-1))</f>
        <v>287</v>
      </c>
      <c r="AF297" t="str">
        <f>VLOOKUP(Profile!$J$5,Families!$C:$R,6,FALSE)</f>
        <v>Herefordshire</v>
      </c>
      <c r="AG297" s="15">
        <f t="shared" si="130"/>
        <v>62.711864406779661</v>
      </c>
      <c r="AH297" s="50">
        <f t="shared" si="131"/>
        <v>287</v>
      </c>
      <c r="AI297" s="5" t="str">
        <f>IF(L297="","",VLOOKUP($L297,classifications!$C:$J,8,FALSE))</f>
        <v/>
      </c>
      <c r="AJ297" s="43" t="str">
        <f t="shared" si="132"/>
        <v/>
      </c>
      <c r="AK297" s="40" t="str">
        <f>IF(AJ297="","",IF(I$8="A",(RANK(AJ297,AJ$11:AJ$349,1)+COUNTIF(AJ$11:AJ297,AJ297)-1),(RANK(AJ297,AJ$11:AJ$349)+COUNTIF(AJ$11:AJ297,AJ297)-1)))</f>
        <v/>
      </c>
      <c r="AL297" s="3" t="str">
        <f t="shared" si="133"/>
        <v/>
      </c>
      <c r="AM297" t="str">
        <f t="shared" si="134"/>
        <v/>
      </c>
      <c r="AN297" t="str">
        <f t="shared" si="135"/>
        <v/>
      </c>
      <c r="AP297" s="5" t="str">
        <f>IF(L297="","",VLOOKUP($L297,classifications!$C:$E,3,FALSE))</f>
        <v/>
      </c>
      <c r="AQ297" s="43" t="str">
        <f t="shared" si="136"/>
        <v/>
      </c>
      <c r="AR297" s="40" t="str">
        <f>IF(AQ297="","",IF(I$8="A",(RANK(AQ297,AQ$11:AQ$349,1)+COUNTIF(AQ$11:AQ297,AQ297)-1),(RANK(AQ297,AQ$11:AQ$349)+COUNTIF(AQ$11:AQ297,AQ297)-1)))</f>
        <v/>
      </c>
      <c r="AS297" s="3" t="str">
        <f t="shared" si="137"/>
        <v/>
      </c>
      <c r="AT297" s="40" t="str">
        <f t="shared" si="138"/>
        <v/>
      </c>
      <c r="AU297" s="43" t="str">
        <f t="shared" si="139"/>
        <v/>
      </c>
      <c r="AX297">
        <f>HLOOKUP($AX$9&amp;$AX$10,Data!$A$1:$ZZ$1988,(MATCH($C297,Data!$A$1:$A$1988,0)),FALSE)</f>
        <v>63.888888888888886</v>
      </c>
    </row>
    <row r="298" spans="1:50">
      <c r="A298" s="59" t="str">
        <f>$D$1&amp;288</f>
        <v>UA288</v>
      </c>
      <c r="B298" s="60">
        <f>IF(ISERROR(VLOOKUP(A298,classifications!A:C,3,FALSE)),0,VLOOKUP(A298,classifications!A:C,3,FALSE))</f>
        <v>0</v>
      </c>
      <c r="C298" t="s">
        <v>168</v>
      </c>
      <c r="D298" t="str">
        <f>VLOOKUP($C298,classifications!$C:$J,4,FALSE)</f>
        <v>SD</v>
      </c>
      <c r="E298">
        <f>VLOOKUP(C298,classifications!C:K,9,FALSE)</f>
        <v>0</v>
      </c>
      <c r="F298">
        <f t="shared" si="116"/>
        <v>66.666666666666657</v>
      </c>
      <c r="G298" s="15"/>
      <c r="H298" s="42" t="str">
        <f t="shared" si="117"/>
        <v/>
      </c>
      <c r="I298" s="79" t="str">
        <f>IF(H298="","",IF($I$8="A",(RANK(H298,H$11:H$349,1)+COUNTIF(H$11:H298,H298)-1),(RANK(H298,H$11:H$349)+COUNTIF(H$11:H298,H298)-1)))</f>
        <v/>
      </c>
      <c r="J298" s="41"/>
      <c r="K298" s="36" t="str">
        <f t="shared" si="118"/>
        <v/>
      </c>
      <c r="L298" t="str">
        <f t="shared" si="119"/>
        <v/>
      </c>
      <c r="M298" s="117" t="str">
        <f t="shared" si="120"/>
        <v/>
      </c>
      <c r="N298" s="112" t="str">
        <f t="shared" si="121"/>
        <v/>
      </c>
      <c r="O298" s="96" t="str">
        <f t="shared" si="122"/>
        <v/>
      </c>
      <c r="P298" s="96" t="str">
        <f t="shared" si="123"/>
        <v/>
      </c>
      <c r="Q298" s="96" t="str">
        <f t="shared" si="124"/>
        <v/>
      </c>
      <c r="R298" s="92" t="str">
        <f t="shared" si="125"/>
        <v/>
      </c>
      <c r="S298" s="42" t="str">
        <f t="shared" si="126"/>
        <v/>
      </c>
      <c r="T298" s="176" t="str">
        <f>IF(L298="","",VLOOKUP(L298,classifications!C:K,9,FALSE))</f>
        <v/>
      </c>
      <c r="U298" s="177" t="str">
        <f t="shared" si="127"/>
        <v/>
      </c>
      <c r="V298" s="183" t="str">
        <f>IF(U298="","",IF($I$8="A",(RANK(U298,U$11:U$349)+COUNTIF(U$11:U298,U298)-1),(RANK(U298,U$11:U$349,1)+COUNTIF(U$11:U298,U298)-1)))</f>
        <v/>
      </c>
      <c r="W298" s="184"/>
      <c r="X298" s="5" t="str">
        <f>IF(L298="","",VLOOKUP($L298,classifications!$C:$J,6,FALSE))</f>
        <v/>
      </c>
      <c r="Y298" t="str">
        <f t="shared" si="128"/>
        <v/>
      </c>
      <c r="Z298" s="40" t="str">
        <f>IF(Y298="","",IF(I$8="A",(RANK(Y298,Y$11:Y$349,1)+COUNTIF(Y$11:Y298,Y298)-1),(RANK(Y298,Y$11:Y$349)+COUNTIF(Y$11:Y298,Y298)-1)))</f>
        <v/>
      </c>
      <c r="AA298" s="189" t="str">
        <f>IF(L298="","",VLOOKUP($L298,classifications!C:I,7,FALSE))</f>
        <v/>
      </c>
      <c r="AB298" s="183" t="str">
        <f t="shared" si="129"/>
        <v/>
      </c>
      <c r="AC298" s="183" t="str">
        <f>IF(AB298="","",IF($I$8="A",(RANK(AB298,AB$11:AB$349)+COUNTIF(AB$11:AB298,AB298)-1),(RANK(AB298,AB$11:AB$349,1)+COUNTIF(AB$11:AB298,AB298)-1)))</f>
        <v/>
      </c>
      <c r="AD298" s="183"/>
      <c r="AE298" s="49">
        <f>IF(I$8="A",(RANK(AG298,AG$11:AG$349,1)+COUNTIF(AG$11:AG298,AG298)-1),(RANK(AG298,AG$11:AG$349)+COUNTIF(AG$11:AG298,AG298)-1))</f>
        <v>288</v>
      </c>
      <c r="AF298" t="str">
        <f>VLOOKUP(Profile!$J$5,Families!$C:$R,6,FALSE)</f>
        <v>Herefordshire</v>
      </c>
      <c r="AG298" s="15">
        <f t="shared" si="130"/>
        <v>62.711864406779661</v>
      </c>
      <c r="AH298" s="50">
        <f t="shared" si="131"/>
        <v>288</v>
      </c>
      <c r="AI298" s="5" t="str">
        <f>IF(L298="","",VLOOKUP($L298,classifications!$C:$J,8,FALSE))</f>
        <v/>
      </c>
      <c r="AJ298" s="43" t="str">
        <f t="shared" si="132"/>
        <v/>
      </c>
      <c r="AK298" s="40" t="str">
        <f>IF(AJ298="","",IF(I$8="A",(RANK(AJ298,AJ$11:AJ$349,1)+COUNTIF(AJ$11:AJ298,AJ298)-1),(RANK(AJ298,AJ$11:AJ$349)+COUNTIF(AJ$11:AJ298,AJ298)-1)))</f>
        <v/>
      </c>
      <c r="AL298" s="3" t="str">
        <f t="shared" si="133"/>
        <v/>
      </c>
      <c r="AM298" t="str">
        <f t="shared" si="134"/>
        <v/>
      </c>
      <c r="AN298" t="str">
        <f t="shared" si="135"/>
        <v/>
      </c>
      <c r="AP298" s="5" t="str">
        <f>IF(L298="","",VLOOKUP($L298,classifications!$C:$E,3,FALSE))</f>
        <v/>
      </c>
      <c r="AQ298" s="43" t="str">
        <f t="shared" si="136"/>
        <v/>
      </c>
      <c r="AR298" s="40" t="str">
        <f>IF(AQ298="","",IF(I$8="A",(RANK(AQ298,AQ$11:AQ$349,1)+COUNTIF(AQ$11:AQ298,AQ298)-1),(RANK(AQ298,AQ$11:AQ$349)+COUNTIF(AQ$11:AQ298,AQ298)-1)))</f>
        <v/>
      </c>
      <c r="AS298" s="3" t="str">
        <f t="shared" si="137"/>
        <v/>
      </c>
      <c r="AT298" s="40" t="str">
        <f t="shared" si="138"/>
        <v/>
      </c>
      <c r="AU298" s="43" t="str">
        <f t="shared" si="139"/>
        <v/>
      </c>
      <c r="AX298">
        <f>HLOOKUP($AX$9&amp;$AX$10,Data!$A$1:$ZZ$1988,(MATCH($C298,Data!$A$1:$A$1988,0)),FALSE)</f>
        <v>66.666666666666657</v>
      </c>
    </row>
    <row r="299" spans="1:50">
      <c r="A299" s="59" t="str">
        <f>$D$1&amp;289</f>
        <v>UA289</v>
      </c>
      <c r="B299" s="60">
        <f>IF(ISERROR(VLOOKUP(A299,classifications!A:C,3,FALSE)),0,VLOOKUP(A299,classifications!A:C,3,FALSE))</f>
        <v>0</v>
      </c>
      <c r="C299" t="s">
        <v>169</v>
      </c>
      <c r="D299" t="str">
        <f>VLOOKUP($C299,classifications!$C:$J,4,FALSE)</f>
        <v>SD</v>
      </c>
      <c r="E299">
        <f>VLOOKUP(C299,classifications!C:K,9,FALSE)</f>
        <v>0</v>
      </c>
      <c r="F299">
        <f t="shared" si="116"/>
        <v>100</v>
      </c>
      <c r="G299" s="15"/>
      <c r="H299" s="42" t="str">
        <f t="shared" si="117"/>
        <v/>
      </c>
      <c r="I299" s="79" t="str">
        <f>IF(H299="","",IF($I$8="A",(RANK(H299,H$11:H$349,1)+COUNTIF(H$11:H299,H299)-1),(RANK(H299,H$11:H$349)+COUNTIF(H$11:H299,H299)-1)))</f>
        <v/>
      </c>
      <c r="J299" s="41"/>
      <c r="K299" s="36" t="str">
        <f t="shared" si="118"/>
        <v/>
      </c>
      <c r="L299" t="str">
        <f t="shared" si="119"/>
        <v/>
      </c>
      <c r="M299" s="117" t="str">
        <f t="shared" si="120"/>
        <v/>
      </c>
      <c r="N299" s="112" t="str">
        <f t="shared" si="121"/>
        <v/>
      </c>
      <c r="O299" s="96" t="str">
        <f t="shared" si="122"/>
        <v/>
      </c>
      <c r="P299" s="96" t="str">
        <f t="shared" si="123"/>
        <v/>
      </c>
      <c r="Q299" s="96" t="str">
        <f t="shared" si="124"/>
        <v/>
      </c>
      <c r="R299" s="92" t="str">
        <f t="shared" si="125"/>
        <v/>
      </c>
      <c r="S299" s="42" t="str">
        <f t="shared" si="126"/>
        <v/>
      </c>
      <c r="T299" s="176" t="str">
        <f>IF(L299="","",VLOOKUP(L299,classifications!C:K,9,FALSE))</f>
        <v/>
      </c>
      <c r="U299" s="177" t="str">
        <f t="shared" si="127"/>
        <v/>
      </c>
      <c r="V299" s="183" t="str">
        <f>IF(U299="","",IF($I$8="A",(RANK(U299,U$11:U$349)+COUNTIF(U$11:U299,U299)-1),(RANK(U299,U$11:U$349,1)+COUNTIF(U$11:U299,U299)-1)))</f>
        <v/>
      </c>
      <c r="W299" s="184"/>
      <c r="X299" s="5" t="str">
        <f>IF(L299="","",VLOOKUP($L299,classifications!$C:$J,6,FALSE))</f>
        <v/>
      </c>
      <c r="Y299" t="str">
        <f t="shared" si="128"/>
        <v/>
      </c>
      <c r="Z299" s="40" t="str">
        <f>IF(Y299="","",IF(I$8="A",(RANK(Y299,Y$11:Y$349,1)+COUNTIF(Y$11:Y299,Y299)-1),(RANK(Y299,Y$11:Y$349)+COUNTIF(Y$11:Y299,Y299)-1)))</f>
        <v/>
      </c>
      <c r="AA299" s="189" t="str">
        <f>IF(L299="","",VLOOKUP($L299,classifications!C:I,7,FALSE))</f>
        <v/>
      </c>
      <c r="AB299" s="183" t="str">
        <f t="shared" si="129"/>
        <v/>
      </c>
      <c r="AC299" s="183" t="str">
        <f>IF(AB299="","",IF($I$8="A",(RANK(AB299,AB$11:AB$349)+COUNTIF(AB$11:AB299,AB299)-1),(RANK(AB299,AB$11:AB$349,1)+COUNTIF(AB$11:AB299,AB299)-1)))</f>
        <v/>
      </c>
      <c r="AD299" s="183"/>
      <c r="AE299" s="49">
        <f>IF(I$8="A",(RANK(AG299,AG$11:AG$349,1)+COUNTIF(AG$11:AG299,AG299)-1),(RANK(AG299,AG$11:AG$349)+COUNTIF(AG$11:AG299,AG299)-1))</f>
        <v>289</v>
      </c>
      <c r="AF299" t="str">
        <f>VLOOKUP(Profile!$J$5,Families!$C:$R,6,FALSE)</f>
        <v>Herefordshire</v>
      </c>
      <c r="AG299" s="15">
        <f t="shared" si="130"/>
        <v>62.711864406779661</v>
      </c>
      <c r="AH299" s="50">
        <f t="shared" si="131"/>
        <v>289</v>
      </c>
      <c r="AI299" s="5" t="str">
        <f>IF(L299="","",VLOOKUP($L299,classifications!$C:$J,8,FALSE))</f>
        <v/>
      </c>
      <c r="AJ299" s="43" t="str">
        <f t="shared" si="132"/>
        <v/>
      </c>
      <c r="AK299" s="40" t="str">
        <f>IF(AJ299="","",IF(I$8="A",(RANK(AJ299,AJ$11:AJ$349,1)+COUNTIF(AJ$11:AJ299,AJ299)-1),(RANK(AJ299,AJ$11:AJ$349)+COUNTIF(AJ$11:AJ299,AJ299)-1)))</f>
        <v/>
      </c>
      <c r="AL299" s="3" t="str">
        <f t="shared" si="133"/>
        <v/>
      </c>
      <c r="AM299" t="str">
        <f t="shared" si="134"/>
        <v/>
      </c>
      <c r="AN299" t="str">
        <f t="shared" si="135"/>
        <v/>
      </c>
      <c r="AP299" s="5" t="str">
        <f>IF(L299="","",VLOOKUP($L299,classifications!$C:$E,3,FALSE))</f>
        <v/>
      </c>
      <c r="AQ299" s="43" t="str">
        <f t="shared" si="136"/>
        <v/>
      </c>
      <c r="AR299" s="40" t="str">
        <f>IF(AQ299="","",IF(I$8="A",(RANK(AQ299,AQ$11:AQ$349,1)+COUNTIF(AQ$11:AQ299,AQ299)-1),(RANK(AQ299,AQ$11:AQ$349)+COUNTIF(AQ$11:AQ299,AQ299)-1)))</f>
        <v/>
      </c>
      <c r="AS299" s="3" t="str">
        <f t="shared" si="137"/>
        <v/>
      </c>
      <c r="AT299" s="40" t="str">
        <f t="shared" si="138"/>
        <v/>
      </c>
      <c r="AU299" s="43" t="str">
        <f t="shared" si="139"/>
        <v/>
      </c>
      <c r="AX299">
        <f>HLOOKUP($AX$9&amp;$AX$10,Data!$A$1:$ZZ$1988,(MATCH($C299,Data!$A$1:$A$1988,0)),FALSE)</f>
        <v>100</v>
      </c>
    </row>
    <row r="300" spans="1:50">
      <c r="A300" s="59" t="str">
        <f>$D$1&amp;290</f>
        <v>UA290</v>
      </c>
      <c r="B300" s="60">
        <f>IF(ISERROR(VLOOKUP(A300,classifications!A:C,3,FALSE)),0,VLOOKUP(A300,classifications!A:C,3,FALSE))</f>
        <v>0</v>
      </c>
      <c r="C300" t="s">
        <v>293</v>
      </c>
      <c r="D300" t="str">
        <f>VLOOKUP($C300,classifications!$C:$J,4,FALSE)</f>
        <v>UA</v>
      </c>
      <c r="E300">
        <f>VLOOKUP(C300,classifications!C:K,9,FALSE)</f>
        <v>0</v>
      </c>
      <c r="F300">
        <f t="shared" si="116"/>
        <v>96.666666666666671</v>
      </c>
      <c r="G300" s="15"/>
      <c r="H300" s="42">
        <f t="shared" si="117"/>
        <v>96.666666666666671</v>
      </c>
      <c r="I300" s="79">
        <f>IF(H300="","",IF($I$8="A",(RANK(H300,H$11:H$349,1)+COUNTIF(H$11:H300,H300)-1),(RANK(H300,H$11:H$349)+COUNTIF(H$11:H300,H300)-1)))</f>
        <v>13</v>
      </c>
      <c r="J300" s="41"/>
      <c r="K300" s="36" t="str">
        <f t="shared" si="118"/>
        <v/>
      </c>
      <c r="L300" t="str">
        <f t="shared" si="119"/>
        <v/>
      </c>
      <c r="M300" s="117" t="str">
        <f t="shared" si="120"/>
        <v/>
      </c>
      <c r="N300" s="112" t="str">
        <f t="shared" si="121"/>
        <v/>
      </c>
      <c r="O300" s="96" t="str">
        <f t="shared" si="122"/>
        <v/>
      </c>
      <c r="P300" s="96" t="str">
        <f t="shared" si="123"/>
        <v/>
      </c>
      <c r="Q300" s="96" t="str">
        <f t="shared" si="124"/>
        <v/>
      </c>
      <c r="R300" s="92" t="str">
        <f t="shared" si="125"/>
        <v/>
      </c>
      <c r="S300" s="42" t="str">
        <f t="shared" si="126"/>
        <v/>
      </c>
      <c r="T300" s="176" t="str">
        <f>IF(L300="","",VLOOKUP(L300,classifications!C:K,9,FALSE))</f>
        <v/>
      </c>
      <c r="U300" s="177" t="str">
        <f t="shared" si="127"/>
        <v/>
      </c>
      <c r="V300" s="183" t="str">
        <f>IF(U300="","",IF($I$8="A",(RANK(U300,U$11:U$349)+COUNTIF(U$11:U300,U300)-1),(RANK(U300,U$11:U$349,1)+COUNTIF(U$11:U300,U300)-1)))</f>
        <v/>
      </c>
      <c r="W300" s="184"/>
      <c r="X300" s="5" t="str">
        <f>IF(L300="","",VLOOKUP($L300,classifications!$C:$J,6,FALSE))</f>
        <v/>
      </c>
      <c r="Y300" t="str">
        <f t="shared" si="128"/>
        <v/>
      </c>
      <c r="Z300" s="40" t="str">
        <f>IF(Y300="","",IF(I$8="A",(RANK(Y300,Y$11:Y$349,1)+COUNTIF(Y$11:Y300,Y300)-1),(RANK(Y300,Y$11:Y$349)+COUNTIF(Y$11:Y300,Y300)-1)))</f>
        <v/>
      </c>
      <c r="AA300" s="189" t="str">
        <f>IF(L300="","",VLOOKUP($L300,classifications!C:I,7,FALSE))</f>
        <v/>
      </c>
      <c r="AB300" s="183" t="str">
        <f t="shared" si="129"/>
        <v/>
      </c>
      <c r="AC300" s="183" t="str">
        <f>IF(AB300="","",IF($I$8="A",(RANK(AB300,AB$11:AB$349)+COUNTIF(AB$11:AB300,AB300)-1),(RANK(AB300,AB$11:AB$349,1)+COUNTIF(AB$11:AB300,AB300)-1)))</f>
        <v/>
      </c>
      <c r="AD300" s="183"/>
      <c r="AE300" s="49">
        <f>IF(I$8="A",(RANK(AG300,AG$11:AG$349,1)+COUNTIF(AG$11:AG300,AG300)-1),(RANK(AG300,AG$11:AG$349)+COUNTIF(AG$11:AG300,AG300)-1))</f>
        <v>290</v>
      </c>
      <c r="AF300" t="str">
        <f>VLOOKUP(Profile!$J$5,Families!$C:$R,6,FALSE)</f>
        <v>Herefordshire</v>
      </c>
      <c r="AG300" s="15">
        <f t="shared" si="130"/>
        <v>62.711864406779661</v>
      </c>
      <c r="AH300" s="50">
        <f t="shared" si="131"/>
        <v>290</v>
      </c>
      <c r="AI300" s="5" t="str">
        <f>IF(L300="","",VLOOKUP($L300,classifications!$C:$J,8,FALSE))</f>
        <v/>
      </c>
      <c r="AJ300" s="43" t="str">
        <f t="shared" si="132"/>
        <v/>
      </c>
      <c r="AK300" s="40" t="str">
        <f>IF(AJ300="","",IF(I$8="A",(RANK(AJ300,AJ$11:AJ$349,1)+COUNTIF(AJ$11:AJ300,AJ300)-1),(RANK(AJ300,AJ$11:AJ$349)+COUNTIF(AJ$11:AJ300,AJ300)-1)))</f>
        <v/>
      </c>
      <c r="AL300" s="3" t="str">
        <f t="shared" si="133"/>
        <v/>
      </c>
      <c r="AM300" t="str">
        <f t="shared" si="134"/>
        <v/>
      </c>
      <c r="AN300" t="str">
        <f t="shared" si="135"/>
        <v/>
      </c>
      <c r="AP300" s="5" t="str">
        <f>IF(L300="","",VLOOKUP($L300,classifications!$C:$E,3,FALSE))</f>
        <v/>
      </c>
      <c r="AQ300" s="43" t="str">
        <f t="shared" si="136"/>
        <v/>
      </c>
      <c r="AR300" s="40" t="str">
        <f>IF(AQ300="","",IF(I$8="A",(RANK(AQ300,AQ$11:AQ$349,1)+COUNTIF(AQ$11:AQ300,AQ300)-1),(RANK(AQ300,AQ$11:AQ$349)+COUNTIF(AQ$11:AQ300,AQ300)-1)))</f>
        <v/>
      </c>
      <c r="AS300" s="3" t="str">
        <f t="shared" si="137"/>
        <v/>
      </c>
      <c r="AT300" s="40" t="str">
        <f t="shared" si="138"/>
        <v/>
      </c>
      <c r="AU300" s="43" t="str">
        <f t="shared" si="139"/>
        <v/>
      </c>
      <c r="AX300">
        <f>HLOOKUP($AX$9&amp;$AX$10,Data!$A$1:$ZZ$1988,(MATCH($C300,Data!$A$1:$A$1988,0)),FALSE)</f>
        <v>96.666666666666671</v>
      </c>
    </row>
    <row r="301" spans="1:50">
      <c r="A301" s="59" t="str">
        <f>$D$1&amp;291</f>
        <v>UA291</v>
      </c>
      <c r="B301" s="60">
        <f>IF(ISERROR(VLOOKUP(A301,classifications!A:C,3,FALSE)),0,VLOOKUP(A301,classifications!A:C,3,FALSE))</f>
        <v>0</v>
      </c>
      <c r="C301" t="s">
        <v>349</v>
      </c>
      <c r="D301" t="str">
        <f>VLOOKUP($C301,classifications!$C:$J,4,FALSE)</f>
        <v>SD</v>
      </c>
      <c r="E301">
        <f>VLOOKUP(C301,classifications!C:K,9,FALSE)</f>
        <v>0</v>
      </c>
      <c r="F301">
        <f t="shared" si="116"/>
        <v>82.35294117647058</v>
      </c>
      <c r="G301" s="15"/>
      <c r="H301" s="42" t="str">
        <f t="shared" si="117"/>
        <v/>
      </c>
      <c r="I301" s="79" t="str">
        <f>IF(H301="","",IF($I$8="A",(RANK(H301,H$11:H$349,1)+COUNTIF(H$11:H301,H301)-1),(RANK(H301,H$11:H$349)+COUNTIF(H$11:H301,H301)-1)))</f>
        <v/>
      </c>
      <c r="J301" s="41"/>
      <c r="K301" s="36" t="str">
        <f t="shared" si="118"/>
        <v/>
      </c>
      <c r="L301" t="str">
        <f t="shared" si="119"/>
        <v/>
      </c>
      <c r="M301" s="117" t="str">
        <f t="shared" si="120"/>
        <v/>
      </c>
      <c r="N301" s="112" t="str">
        <f t="shared" si="121"/>
        <v/>
      </c>
      <c r="O301" s="96" t="str">
        <f t="shared" si="122"/>
        <v/>
      </c>
      <c r="P301" s="96" t="str">
        <f t="shared" si="123"/>
        <v/>
      </c>
      <c r="Q301" s="96" t="str">
        <f t="shared" si="124"/>
        <v/>
      </c>
      <c r="R301" s="92" t="str">
        <f t="shared" si="125"/>
        <v/>
      </c>
      <c r="S301" s="42" t="str">
        <f t="shared" si="126"/>
        <v/>
      </c>
      <c r="T301" s="176" t="str">
        <f>IF(L301="","",VLOOKUP(L301,classifications!C:K,9,FALSE))</f>
        <v/>
      </c>
      <c r="U301" s="177" t="str">
        <f t="shared" si="127"/>
        <v/>
      </c>
      <c r="V301" s="183" t="str">
        <f>IF(U301="","",IF($I$8="A",(RANK(U301,U$11:U$349)+COUNTIF(U$11:U301,U301)-1),(RANK(U301,U$11:U$349,1)+COUNTIF(U$11:U301,U301)-1)))</f>
        <v/>
      </c>
      <c r="W301" s="184"/>
      <c r="X301" s="5" t="str">
        <f>IF(L301="","",VLOOKUP($L301,classifications!$C:$J,6,FALSE))</f>
        <v/>
      </c>
      <c r="Y301" t="str">
        <f t="shared" si="128"/>
        <v/>
      </c>
      <c r="Z301" s="40" t="str">
        <f>IF(Y301="","",IF(I$8="A",(RANK(Y301,Y$11:Y$349,1)+COUNTIF(Y$11:Y301,Y301)-1),(RANK(Y301,Y$11:Y$349)+COUNTIF(Y$11:Y301,Y301)-1)))</f>
        <v/>
      </c>
      <c r="AA301" s="189" t="str">
        <f>IF(L301="","",VLOOKUP($L301,classifications!C:I,7,FALSE))</f>
        <v/>
      </c>
      <c r="AB301" s="183" t="str">
        <f t="shared" si="129"/>
        <v/>
      </c>
      <c r="AC301" s="183" t="str">
        <f>IF(AB301="","",IF($I$8="A",(RANK(AB301,AB$11:AB$349)+COUNTIF(AB$11:AB301,AB301)-1),(RANK(AB301,AB$11:AB$349,1)+COUNTIF(AB$11:AB301,AB301)-1)))</f>
        <v/>
      </c>
      <c r="AD301" s="183"/>
      <c r="AE301" s="49">
        <f>IF(I$8="A",(RANK(AG301,AG$11:AG$349,1)+COUNTIF(AG$11:AG301,AG301)-1),(RANK(AG301,AG$11:AG$349)+COUNTIF(AG$11:AG301,AG301)-1))</f>
        <v>291</v>
      </c>
      <c r="AF301" t="str">
        <f>VLOOKUP(Profile!$J$5,Families!$C:$R,6,FALSE)</f>
        <v>Herefordshire</v>
      </c>
      <c r="AG301" s="15">
        <f t="shared" si="130"/>
        <v>62.711864406779661</v>
      </c>
      <c r="AH301" s="50">
        <f t="shared" si="131"/>
        <v>291</v>
      </c>
      <c r="AI301" s="5" t="str">
        <f>IF(L301="","",VLOOKUP($L301,classifications!$C:$J,8,FALSE))</f>
        <v/>
      </c>
      <c r="AJ301" s="43" t="str">
        <f t="shared" si="132"/>
        <v/>
      </c>
      <c r="AK301" s="40" t="str">
        <f>IF(AJ301="","",IF(I$8="A",(RANK(AJ301,AJ$11:AJ$349,1)+COUNTIF(AJ$11:AJ301,AJ301)-1),(RANK(AJ301,AJ$11:AJ$349)+COUNTIF(AJ$11:AJ301,AJ301)-1)))</f>
        <v/>
      </c>
      <c r="AL301" s="3" t="str">
        <f t="shared" si="133"/>
        <v/>
      </c>
      <c r="AM301" t="str">
        <f t="shared" si="134"/>
        <v/>
      </c>
      <c r="AN301" t="str">
        <f t="shared" si="135"/>
        <v/>
      </c>
      <c r="AP301" s="5" t="str">
        <f>IF(L301="","",VLOOKUP($L301,classifications!$C:$E,3,FALSE))</f>
        <v/>
      </c>
      <c r="AQ301" s="43" t="str">
        <f t="shared" si="136"/>
        <v/>
      </c>
      <c r="AR301" s="40" t="str">
        <f>IF(AQ301="","",IF(I$8="A",(RANK(AQ301,AQ$11:AQ$349,1)+COUNTIF(AQ$11:AQ301,AQ301)-1),(RANK(AQ301,AQ$11:AQ$349)+COUNTIF(AQ$11:AQ301,AQ301)-1)))</f>
        <v/>
      </c>
      <c r="AS301" s="3" t="str">
        <f t="shared" si="137"/>
        <v/>
      </c>
      <c r="AT301" s="40" t="str">
        <f t="shared" si="138"/>
        <v/>
      </c>
      <c r="AU301" s="43" t="str">
        <f t="shared" si="139"/>
        <v/>
      </c>
      <c r="AX301">
        <f>HLOOKUP($AX$9&amp;$AX$10,Data!$A$1:$ZZ$1988,(MATCH($C301,Data!$A$1:$A$1988,0)),FALSE)</f>
        <v>82.35294117647058</v>
      </c>
    </row>
    <row r="302" spans="1:50">
      <c r="A302" s="59" t="str">
        <f>$D$1&amp;292</f>
        <v>UA292</v>
      </c>
      <c r="B302" s="60">
        <f>IF(ISERROR(VLOOKUP(A302,classifications!A:C,3,FALSE)),0,VLOOKUP(A302,classifications!A:C,3,FALSE))</f>
        <v>0</v>
      </c>
      <c r="C302" t="s">
        <v>294</v>
      </c>
      <c r="D302" t="str">
        <f>VLOOKUP($C302,classifications!$C:$J,4,FALSE)</f>
        <v>UA</v>
      </c>
      <c r="E302">
        <f>VLOOKUP(C302,classifications!C:K,9,FALSE)</f>
        <v>0</v>
      </c>
      <c r="F302">
        <f t="shared" si="116"/>
        <v>95.652173913043484</v>
      </c>
      <c r="G302" s="15"/>
      <c r="H302" s="42">
        <f t="shared" si="117"/>
        <v>95.652173913043484</v>
      </c>
      <c r="I302" s="79">
        <f>IF(H302="","",IF($I$8="A",(RANK(H302,H$11:H$349,1)+COUNTIF(H$11:H302,H302)-1),(RANK(H302,H$11:H$349)+COUNTIF(H$11:H302,H302)-1)))</f>
        <v>16</v>
      </c>
      <c r="J302" s="41"/>
      <c r="K302" s="36" t="str">
        <f t="shared" si="118"/>
        <v/>
      </c>
      <c r="L302" t="str">
        <f t="shared" si="119"/>
        <v/>
      </c>
      <c r="M302" s="117" t="str">
        <f t="shared" si="120"/>
        <v/>
      </c>
      <c r="N302" s="112" t="str">
        <f t="shared" si="121"/>
        <v/>
      </c>
      <c r="O302" s="96" t="str">
        <f t="shared" si="122"/>
        <v/>
      </c>
      <c r="P302" s="96" t="str">
        <f t="shared" si="123"/>
        <v/>
      </c>
      <c r="Q302" s="96" t="str">
        <f t="shared" si="124"/>
        <v/>
      </c>
      <c r="R302" s="92" t="str">
        <f t="shared" si="125"/>
        <v/>
      </c>
      <c r="S302" s="42" t="str">
        <f t="shared" si="126"/>
        <v/>
      </c>
      <c r="T302" s="176" t="str">
        <f>IF(L302="","",VLOOKUP(L302,classifications!C:K,9,FALSE))</f>
        <v/>
      </c>
      <c r="U302" s="177" t="str">
        <f t="shared" si="127"/>
        <v/>
      </c>
      <c r="V302" s="183" t="str">
        <f>IF(U302="","",IF($I$8="A",(RANK(U302,U$11:U$349)+COUNTIF(U$11:U302,U302)-1),(RANK(U302,U$11:U$349,1)+COUNTIF(U$11:U302,U302)-1)))</f>
        <v/>
      </c>
      <c r="W302" s="184"/>
      <c r="X302" s="5" t="str">
        <f>IF(L302="","",VLOOKUP($L302,classifications!$C:$J,6,FALSE))</f>
        <v/>
      </c>
      <c r="Y302" t="str">
        <f t="shared" si="128"/>
        <v/>
      </c>
      <c r="Z302" s="40" t="str">
        <f>IF(Y302="","",IF(I$8="A",(RANK(Y302,Y$11:Y$349,1)+COUNTIF(Y$11:Y302,Y302)-1),(RANK(Y302,Y$11:Y$349)+COUNTIF(Y$11:Y302,Y302)-1)))</f>
        <v/>
      </c>
      <c r="AA302" s="189" t="str">
        <f>IF(L302="","",VLOOKUP($L302,classifications!C:I,7,FALSE))</f>
        <v/>
      </c>
      <c r="AB302" s="183" t="str">
        <f t="shared" si="129"/>
        <v/>
      </c>
      <c r="AC302" s="183" t="str">
        <f>IF(AB302="","",IF($I$8="A",(RANK(AB302,AB$11:AB$349)+COUNTIF(AB$11:AB302,AB302)-1),(RANK(AB302,AB$11:AB$349,1)+COUNTIF(AB$11:AB302,AB302)-1)))</f>
        <v/>
      </c>
      <c r="AD302" s="183"/>
      <c r="AE302" s="49">
        <f>IF(I$8="A",(RANK(AG302,AG$11:AG$349,1)+COUNTIF(AG$11:AG302,AG302)-1),(RANK(AG302,AG$11:AG$349)+COUNTIF(AG$11:AG302,AG302)-1))</f>
        <v>292</v>
      </c>
      <c r="AF302" t="str">
        <f>VLOOKUP(Profile!$J$5,Families!$C:$R,6,FALSE)</f>
        <v>Herefordshire</v>
      </c>
      <c r="AG302" s="15">
        <f t="shared" si="130"/>
        <v>62.711864406779661</v>
      </c>
      <c r="AH302" s="50">
        <f t="shared" si="131"/>
        <v>292</v>
      </c>
      <c r="AI302" s="5" t="str">
        <f>IF(L302="","",VLOOKUP($L302,classifications!$C:$J,8,FALSE))</f>
        <v/>
      </c>
      <c r="AJ302" s="43" t="str">
        <f t="shared" si="132"/>
        <v/>
      </c>
      <c r="AK302" s="40" t="str">
        <f>IF(AJ302="","",IF(I$8="A",(RANK(AJ302,AJ$11:AJ$349,1)+COUNTIF(AJ$11:AJ302,AJ302)-1),(RANK(AJ302,AJ$11:AJ$349)+COUNTIF(AJ$11:AJ302,AJ302)-1)))</f>
        <v/>
      </c>
      <c r="AL302" s="3" t="str">
        <f t="shared" si="133"/>
        <v/>
      </c>
      <c r="AM302" t="str">
        <f t="shared" si="134"/>
        <v/>
      </c>
      <c r="AN302" t="str">
        <f t="shared" si="135"/>
        <v/>
      </c>
      <c r="AP302" s="5" t="str">
        <f>IF(L302="","",VLOOKUP($L302,classifications!$C:$E,3,FALSE))</f>
        <v/>
      </c>
      <c r="AQ302" s="43" t="str">
        <f t="shared" si="136"/>
        <v/>
      </c>
      <c r="AR302" s="40" t="str">
        <f>IF(AQ302="","",IF(I$8="A",(RANK(AQ302,AQ$11:AQ$349,1)+COUNTIF(AQ$11:AQ302,AQ302)-1),(RANK(AQ302,AQ$11:AQ$349)+COUNTIF(AQ$11:AQ302,AQ302)-1)))</f>
        <v/>
      </c>
      <c r="AS302" s="3" t="str">
        <f t="shared" si="137"/>
        <v/>
      </c>
      <c r="AT302" s="40" t="str">
        <f t="shared" si="138"/>
        <v/>
      </c>
      <c r="AU302" s="43" t="str">
        <f t="shared" si="139"/>
        <v/>
      </c>
      <c r="AX302">
        <f>HLOOKUP($AX$9&amp;$AX$10,Data!$A$1:$ZZ$1988,(MATCH($C302,Data!$A$1:$A$1988,0)),FALSE)</f>
        <v>95.652173913043484</v>
      </c>
    </row>
    <row r="303" spans="1:50">
      <c r="A303" s="59" t="str">
        <f>$D$1&amp;293</f>
        <v>UA293</v>
      </c>
      <c r="B303" s="60">
        <f>IF(ISERROR(VLOOKUP(A303,classifications!A:C,3,FALSE)),0,VLOOKUP(A303,classifications!A:C,3,FALSE))</f>
        <v>0</v>
      </c>
      <c r="C303" t="s">
        <v>170</v>
      </c>
      <c r="D303" t="str">
        <f>VLOOKUP($C303,classifications!$C:$J,4,FALSE)</f>
        <v>SD</v>
      </c>
      <c r="E303" t="str">
        <f>VLOOKUP(C303,classifications!C:K,9,FALSE)</f>
        <v>Sparse</v>
      </c>
      <c r="F303">
        <f t="shared" si="116"/>
        <v>94.285714285714278</v>
      </c>
      <c r="G303" s="15"/>
      <c r="H303" s="42" t="str">
        <f t="shared" si="117"/>
        <v/>
      </c>
      <c r="I303" s="79" t="str">
        <f>IF(H303="","",IF($I$8="A",(RANK(H303,H$11:H$349,1)+COUNTIF(H$11:H303,H303)-1),(RANK(H303,H$11:H$349)+COUNTIF(H$11:H303,H303)-1)))</f>
        <v/>
      </c>
      <c r="J303" s="41"/>
      <c r="K303" s="36" t="str">
        <f t="shared" si="118"/>
        <v/>
      </c>
      <c r="L303" t="str">
        <f t="shared" si="119"/>
        <v/>
      </c>
      <c r="M303" s="117" t="str">
        <f t="shared" si="120"/>
        <v/>
      </c>
      <c r="N303" s="112" t="str">
        <f t="shared" si="121"/>
        <v/>
      </c>
      <c r="O303" s="96" t="str">
        <f t="shared" si="122"/>
        <v/>
      </c>
      <c r="P303" s="96" t="str">
        <f t="shared" si="123"/>
        <v/>
      </c>
      <c r="Q303" s="96" t="str">
        <f t="shared" si="124"/>
        <v/>
      </c>
      <c r="R303" s="92" t="str">
        <f t="shared" si="125"/>
        <v/>
      </c>
      <c r="S303" s="42" t="str">
        <f t="shared" si="126"/>
        <v/>
      </c>
      <c r="T303" s="176" t="str">
        <f>IF(L303="","",VLOOKUP(L303,classifications!C:K,9,FALSE))</f>
        <v/>
      </c>
      <c r="U303" s="177" t="str">
        <f t="shared" si="127"/>
        <v/>
      </c>
      <c r="V303" s="183" t="str">
        <f>IF(U303="","",IF($I$8="A",(RANK(U303,U$11:U$349)+COUNTIF(U$11:U303,U303)-1),(RANK(U303,U$11:U$349,1)+COUNTIF(U$11:U303,U303)-1)))</f>
        <v/>
      </c>
      <c r="W303" s="184"/>
      <c r="X303" s="5" t="str">
        <f>IF(L303="","",VLOOKUP($L303,classifications!$C:$J,6,FALSE))</f>
        <v/>
      </c>
      <c r="Y303" t="str">
        <f t="shared" si="128"/>
        <v/>
      </c>
      <c r="Z303" s="40" t="str">
        <f>IF(Y303="","",IF(I$8="A",(RANK(Y303,Y$11:Y$349,1)+COUNTIF(Y$11:Y303,Y303)-1),(RANK(Y303,Y$11:Y$349)+COUNTIF(Y$11:Y303,Y303)-1)))</f>
        <v/>
      </c>
      <c r="AA303" s="189" t="str">
        <f>IF(L303="","",VLOOKUP($L303,classifications!C:I,7,FALSE))</f>
        <v/>
      </c>
      <c r="AB303" s="183" t="str">
        <f t="shared" si="129"/>
        <v/>
      </c>
      <c r="AC303" s="183" t="str">
        <f>IF(AB303="","",IF($I$8="A",(RANK(AB303,AB$11:AB$349)+COUNTIF(AB$11:AB303,AB303)-1),(RANK(AB303,AB$11:AB$349,1)+COUNTIF(AB$11:AB303,AB303)-1)))</f>
        <v/>
      </c>
      <c r="AD303" s="183"/>
      <c r="AE303" s="49">
        <f>IF(I$8="A",(RANK(AG303,AG$11:AG$349,1)+COUNTIF(AG$11:AG303,AG303)-1),(RANK(AG303,AG$11:AG$349)+COUNTIF(AG$11:AG303,AG303)-1))</f>
        <v>293</v>
      </c>
      <c r="AF303" t="str">
        <f>VLOOKUP(Profile!$J$5,Families!$C:$R,6,FALSE)</f>
        <v>Herefordshire</v>
      </c>
      <c r="AG303" s="15">
        <f t="shared" si="130"/>
        <v>62.711864406779661</v>
      </c>
      <c r="AH303" s="50">
        <f t="shared" si="131"/>
        <v>293</v>
      </c>
      <c r="AI303" s="5" t="str">
        <f>IF(L303="","",VLOOKUP($L303,classifications!$C:$J,8,FALSE))</f>
        <v/>
      </c>
      <c r="AJ303" s="43" t="str">
        <f t="shared" si="132"/>
        <v/>
      </c>
      <c r="AK303" s="40" t="str">
        <f>IF(AJ303="","",IF(I$8="A",(RANK(AJ303,AJ$11:AJ$349,1)+COUNTIF(AJ$11:AJ303,AJ303)-1),(RANK(AJ303,AJ$11:AJ$349)+COUNTIF(AJ$11:AJ303,AJ303)-1)))</f>
        <v/>
      </c>
      <c r="AL303" s="3" t="str">
        <f t="shared" si="133"/>
        <v/>
      </c>
      <c r="AM303" t="str">
        <f t="shared" si="134"/>
        <v/>
      </c>
      <c r="AN303" t="str">
        <f t="shared" si="135"/>
        <v/>
      </c>
      <c r="AP303" s="5" t="str">
        <f>IF(L303="","",VLOOKUP($L303,classifications!$C:$E,3,FALSE))</f>
        <v/>
      </c>
      <c r="AQ303" s="43" t="str">
        <f t="shared" si="136"/>
        <v/>
      </c>
      <c r="AR303" s="40" t="str">
        <f>IF(AQ303="","",IF(I$8="A",(RANK(AQ303,AQ$11:AQ$349,1)+COUNTIF(AQ$11:AQ303,AQ303)-1),(RANK(AQ303,AQ$11:AQ$349)+COUNTIF(AQ$11:AQ303,AQ303)-1)))</f>
        <v/>
      </c>
      <c r="AS303" s="3" t="str">
        <f t="shared" si="137"/>
        <v/>
      </c>
      <c r="AT303" s="40" t="str">
        <f t="shared" si="138"/>
        <v/>
      </c>
      <c r="AU303" s="43" t="str">
        <f t="shared" si="139"/>
        <v/>
      </c>
      <c r="AX303">
        <f>HLOOKUP($AX$9&amp;$AX$10,Data!$A$1:$ZZ$1988,(MATCH($C303,Data!$A$1:$A$1988,0)),FALSE)</f>
        <v>94.285714285714278</v>
      </c>
    </row>
    <row r="304" spans="1:50">
      <c r="A304" s="59" t="str">
        <f>$D$1&amp;294</f>
        <v>UA294</v>
      </c>
      <c r="B304" s="60">
        <f>IF(ISERROR(VLOOKUP(A304,classifications!A:C,3,FALSE)),0,VLOOKUP(A304,classifications!A:C,3,FALSE))</f>
        <v>0</v>
      </c>
      <c r="C304" t="s">
        <v>219</v>
      </c>
      <c r="D304" t="str">
        <f>VLOOKUP($C304,classifications!$C:$J,4,FALSE)</f>
        <v>L</v>
      </c>
      <c r="E304">
        <f>VLOOKUP(C304,classifications!C:K,9,FALSE)</f>
        <v>0</v>
      </c>
      <c r="F304">
        <f t="shared" si="116"/>
        <v>95.238095238095227</v>
      </c>
      <c r="G304" s="15"/>
      <c r="H304" s="42" t="str">
        <f t="shared" si="117"/>
        <v/>
      </c>
      <c r="I304" s="79" t="str">
        <f>IF(H304="","",IF($I$8="A",(RANK(H304,H$11:H$349,1)+COUNTIF(H$11:H304,H304)-1),(RANK(H304,H$11:H$349)+COUNTIF(H$11:H304,H304)-1)))</f>
        <v/>
      </c>
      <c r="J304" s="41"/>
      <c r="K304" s="36" t="str">
        <f t="shared" si="118"/>
        <v/>
      </c>
      <c r="L304" t="str">
        <f t="shared" si="119"/>
        <v/>
      </c>
      <c r="M304" s="117" t="str">
        <f t="shared" si="120"/>
        <v/>
      </c>
      <c r="N304" s="112" t="str">
        <f t="shared" si="121"/>
        <v/>
      </c>
      <c r="O304" s="96" t="str">
        <f t="shared" si="122"/>
        <v/>
      </c>
      <c r="P304" s="96" t="str">
        <f t="shared" si="123"/>
        <v/>
      </c>
      <c r="Q304" s="96" t="str">
        <f t="shared" si="124"/>
        <v/>
      </c>
      <c r="R304" s="92" t="str">
        <f t="shared" si="125"/>
        <v/>
      </c>
      <c r="S304" s="42" t="str">
        <f t="shared" si="126"/>
        <v/>
      </c>
      <c r="T304" s="176" t="str">
        <f>IF(L304="","",VLOOKUP(L304,classifications!C:K,9,FALSE))</f>
        <v/>
      </c>
      <c r="U304" s="177" t="str">
        <f t="shared" si="127"/>
        <v/>
      </c>
      <c r="V304" s="183" t="str">
        <f>IF(U304="","",IF($I$8="A",(RANK(U304,U$11:U$349)+COUNTIF(U$11:U304,U304)-1),(RANK(U304,U$11:U$349,1)+COUNTIF(U$11:U304,U304)-1)))</f>
        <v/>
      </c>
      <c r="W304" s="184"/>
      <c r="X304" s="5" t="str">
        <f>IF(L304="","",VLOOKUP($L304,classifications!$C:$J,6,FALSE))</f>
        <v/>
      </c>
      <c r="Y304" t="str">
        <f t="shared" si="128"/>
        <v/>
      </c>
      <c r="Z304" s="40" t="str">
        <f>IF(Y304="","",IF(I$8="A",(RANK(Y304,Y$11:Y$349,1)+COUNTIF(Y$11:Y304,Y304)-1),(RANK(Y304,Y$11:Y$349)+COUNTIF(Y$11:Y304,Y304)-1)))</f>
        <v/>
      </c>
      <c r="AA304" s="189" t="str">
        <f>IF(L304="","",VLOOKUP($L304,classifications!C:I,7,FALSE))</f>
        <v/>
      </c>
      <c r="AB304" s="183" t="str">
        <f t="shared" si="129"/>
        <v/>
      </c>
      <c r="AC304" s="183" t="str">
        <f>IF(AB304="","",IF($I$8="A",(RANK(AB304,AB$11:AB$349)+COUNTIF(AB$11:AB304,AB304)-1),(RANK(AB304,AB$11:AB$349,1)+COUNTIF(AB$11:AB304,AB304)-1)))</f>
        <v/>
      </c>
      <c r="AD304" s="183"/>
      <c r="AE304" s="49">
        <f>IF(I$8="A",(RANK(AG304,AG$11:AG$349,1)+COUNTIF(AG$11:AG304,AG304)-1),(RANK(AG304,AG$11:AG$349)+COUNTIF(AG$11:AG304,AG304)-1))</f>
        <v>294</v>
      </c>
      <c r="AF304" t="str">
        <f>VLOOKUP(Profile!$J$5,Families!$C:$R,6,FALSE)</f>
        <v>Herefordshire</v>
      </c>
      <c r="AG304" s="15">
        <f t="shared" si="130"/>
        <v>62.711864406779661</v>
      </c>
      <c r="AH304" s="50">
        <f t="shared" si="131"/>
        <v>294</v>
      </c>
      <c r="AI304" s="5" t="str">
        <f>IF(L304="","",VLOOKUP($L304,classifications!$C:$J,8,FALSE))</f>
        <v/>
      </c>
      <c r="AJ304" s="43" t="str">
        <f t="shared" si="132"/>
        <v/>
      </c>
      <c r="AK304" s="40" t="str">
        <f>IF(AJ304="","",IF(I$8="A",(RANK(AJ304,AJ$11:AJ$349,1)+COUNTIF(AJ$11:AJ304,AJ304)-1),(RANK(AJ304,AJ$11:AJ$349)+COUNTIF(AJ$11:AJ304,AJ304)-1)))</f>
        <v/>
      </c>
      <c r="AL304" s="3" t="str">
        <f t="shared" si="133"/>
        <v/>
      </c>
      <c r="AM304" t="str">
        <f t="shared" si="134"/>
        <v/>
      </c>
      <c r="AN304" t="str">
        <f t="shared" si="135"/>
        <v/>
      </c>
      <c r="AP304" s="5" t="str">
        <f>IF(L304="","",VLOOKUP($L304,classifications!$C:$E,3,FALSE))</f>
        <v/>
      </c>
      <c r="AQ304" s="43" t="str">
        <f t="shared" si="136"/>
        <v/>
      </c>
      <c r="AR304" s="40" t="str">
        <f>IF(AQ304="","",IF(I$8="A",(RANK(AQ304,AQ$11:AQ$349,1)+COUNTIF(AQ$11:AQ304,AQ304)-1),(RANK(AQ304,AQ$11:AQ$349)+COUNTIF(AQ$11:AQ304,AQ304)-1)))</f>
        <v/>
      </c>
      <c r="AS304" s="3" t="str">
        <f t="shared" si="137"/>
        <v/>
      </c>
      <c r="AT304" s="40" t="str">
        <f t="shared" si="138"/>
        <v/>
      </c>
      <c r="AU304" s="43" t="str">
        <f t="shared" si="139"/>
        <v/>
      </c>
      <c r="AX304">
        <f>HLOOKUP($AX$9&amp;$AX$10,Data!$A$1:$ZZ$1988,(MATCH($C304,Data!$A$1:$A$1988,0)),FALSE)</f>
        <v>95.238095238095227</v>
      </c>
    </row>
    <row r="305" spans="1:50">
      <c r="A305" s="59" t="str">
        <f>$D$1&amp;295</f>
        <v>UA295</v>
      </c>
      <c r="B305" s="60">
        <f>IF(ISERROR(VLOOKUP(A305,classifications!A:C,3,FALSE)),0,VLOOKUP(A305,classifications!A:C,3,FALSE))</f>
        <v>0</v>
      </c>
      <c r="C305" t="s">
        <v>252</v>
      </c>
      <c r="D305" t="str">
        <f>VLOOKUP($C305,classifications!$C:$J,4,FALSE)</f>
        <v>MD</v>
      </c>
      <c r="E305">
        <f>VLOOKUP(C305,classifications!C:K,9,FALSE)</f>
        <v>0</v>
      </c>
      <c r="F305">
        <f t="shared" si="116"/>
        <v>96</v>
      </c>
      <c r="G305" s="15"/>
      <c r="H305" s="42" t="str">
        <f t="shared" si="117"/>
        <v/>
      </c>
      <c r="I305" s="79" t="str">
        <f>IF(H305="","",IF($I$8="A",(RANK(H305,H$11:H$349,1)+COUNTIF(H$11:H305,H305)-1),(RANK(H305,H$11:H$349)+COUNTIF(H$11:H305,H305)-1)))</f>
        <v/>
      </c>
      <c r="J305" s="41"/>
      <c r="K305" s="36" t="str">
        <f t="shared" si="118"/>
        <v/>
      </c>
      <c r="L305" t="str">
        <f t="shared" si="119"/>
        <v/>
      </c>
      <c r="M305" s="117" t="str">
        <f t="shared" si="120"/>
        <v/>
      </c>
      <c r="N305" s="112" t="str">
        <f t="shared" si="121"/>
        <v/>
      </c>
      <c r="O305" s="96" t="str">
        <f t="shared" si="122"/>
        <v/>
      </c>
      <c r="P305" s="96" t="str">
        <f t="shared" si="123"/>
        <v/>
      </c>
      <c r="Q305" s="96" t="str">
        <f t="shared" si="124"/>
        <v/>
      </c>
      <c r="R305" s="92" t="str">
        <f t="shared" si="125"/>
        <v/>
      </c>
      <c r="S305" s="42" t="str">
        <f t="shared" si="126"/>
        <v/>
      </c>
      <c r="T305" s="176" t="str">
        <f>IF(L305="","",VLOOKUP(L305,classifications!C:K,9,FALSE))</f>
        <v/>
      </c>
      <c r="U305" s="177" t="str">
        <f t="shared" si="127"/>
        <v/>
      </c>
      <c r="V305" s="183" t="str">
        <f>IF(U305="","",IF($I$8="A",(RANK(U305,U$11:U$349)+COUNTIF(U$11:U305,U305)-1),(RANK(U305,U$11:U$349,1)+COUNTIF(U$11:U305,U305)-1)))</f>
        <v/>
      </c>
      <c r="W305" s="184"/>
      <c r="X305" s="5" t="str">
        <f>IF(L305="","",VLOOKUP($L305,classifications!$C:$J,6,FALSE))</f>
        <v/>
      </c>
      <c r="Y305" t="str">
        <f t="shared" si="128"/>
        <v/>
      </c>
      <c r="Z305" s="40" t="str">
        <f>IF(Y305="","",IF(I$8="A",(RANK(Y305,Y$11:Y$349,1)+COUNTIF(Y$11:Y305,Y305)-1),(RANK(Y305,Y$11:Y$349)+COUNTIF(Y$11:Y305,Y305)-1)))</f>
        <v/>
      </c>
      <c r="AA305" s="189" t="str">
        <f>IF(L305="","",VLOOKUP($L305,classifications!C:I,7,FALSE))</f>
        <v/>
      </c>
      <c r="AB305" s="183" t="str">
        <f t="shared" si="129"/>
        <v/>
      </c>
      <c r="AC305" s="183" t="str">
        <f>IF(AB305="","",IF($I$8="A",(RANK(AB305,AB$11:AB$349)+COUNTIF(AB$11:AB305,AB305)-1),(RANK(AB305,AB$11:AB$349,1)+COUNTIF(AB$11:AB305,AB305)-1)))</f>
        <v/>
      </c>
      <c r="AD305" s="183"/>
      <c r="AE305" s="49">
        <f>IF(I$8="A",(RANK(AG305,AG$11:AG$349,1)+COUNTIF(AG$11:AG305,AG305)-1),(RANK(AG305,AG$11:AG$349)+COUNTIF(AG$11:AG305,AG305)-1))</f>
        <v>295</v>
      </c>
      <c r="AF305" t="str">
        <f>VLOOKUP(Profile!$J$5,Families!$C:$R,6,FALSE)</f>
        <v>Herefordshire</v>
      </c>
      <c r="AG305" s="15">
        <f t="shared" si="130"/>
        <v>62.711864406779661</v>
      </c>
      <c r="AH305" s="50">
        <f t="shared" si="131"/>
        <v>295</v>
      </c>
      <c r="AI305" s="5" t="str">
        <f>IF(L305="","",VLOOKUP($L305,classifications!$C:$J,8,FALSE))</f>
        <v/>
      </c>
      <c r="AJ305" s="43" t="str">
        <f t="shared" si="132"/>
        <v/>
      </c>
      <c r="AK305" s="40" t="str">
        <f>IF(AJ305="","",IF(I$8="A",(RANK(AJ305,AJ$11:AJ$349,1)+COUNTIF(AJ$11:AJ305,AJ305)-1),(RANK(AJ305,AJ$11:AJ$349)+COUNTIF(AJ$11:AJ305,AJ305)-1)))</f>
        <v/>
      </c>
      <c r="AL305" s="3" t="str">
        <f t="shared" si="133"/>
        <v/>
      </c>
      <c r="AM305" t="str">
        <f t="shared" si="134"/>
        <v/>
      </c>
      <c r="AN305" t="str">
        <f t="shared" si="135"/>
        <v/>
      </c>
      <c r="AP305" s="5" t="str">
        <f>IF(L305="","",VLOOKUP($L305,classifications!$C:$E,3,FALSE))</f>
        <v/>
      </c>
      <c r="AQ305" s="43" t="str">
        <f t="shared" si="136"/>
        <v/>
      </c>
      <c r="AR305" s="40" t="str">
        <f>IF(AQ305="","",IF(I$8="A",(RANK(AQ305,AQ$11:AQ$349,1)+COUNTIF(AQ$11:AQ305,AQ305)-1),(RANK(AQ305,AQ$11:AQ$349)+COUNTIF(AQ$11:AQ305,AQ305)-1)))</f>
        <v/>
      </c>
      <c r="AS305" s="3" t="str">
        <f t="shared" si="137"/>
        <v/>
      </c>
      <c r="AT305" s="40" t="str">
        <f t="shared" si="138"/>
        <v/>
      </c>
      <c r="AU305" s="43" t="str">
        <f t="shared" si="139"/>
        <v/>
      </c>
      <c r="AX305">
        <f>HLOOKUP($AX$9&amp;$AX$10,Data!$A$1:$ZZ$1988,(MATCH($C305,Data!$A$1:$A$1988,0)),FALSE)</f>
        <v>96</v>
      </c>
    </row>
    <row r="306" spans="1:50">
      <c r="A306" s="59" t="str">
        <f>$D$1&amp;296</f>
        <v>UA296</v>
      </c>
      <c r="B306" s="60">
        <f>IF(ISERROR(VLOOKUP(A306,classifications!A:C,3,FALSE)),0,VLOOKUP(A306,classifications!A:C,3,FALSE))</f>
        <v>0</v>
      </c>
      <c r="C306" t="s">
        <v>171</v>
      </c>
      <c r="D306" t="str">
        <f>VLOOKUP($C306,classifications!$C:$J,4,FALSE)</f>
        <v>SD</v>
      </c>
      <c r="E306">
        <f>VLOOKUP(C306,classifications!C:K,9,FALSE)</f>
        <v>0</v>
      </c>
      <c r="F306">
        <f t="shared" si="116"/>
        <v>98.75</v>
      </c>
      <c r="G306" s="15"/>
      <c r="H306" s="42" t="str">
        <f t="shared" si="117"/>
        <v/>
      </c>
      <c r="I306" s="79" t="str">
        <f>IF(H306="","",IF($I$8="A",(RANK(H306,H$11:H$349,1)+COUNTIF(H$11:H306,H306)-1),(RANK(H306,H$11:H$349)+COUNTIF(H$11:H306,H306)-1)))</f>
        <v/>
      </c>
      <c r="J306" s="41"/>
      <c r="K306" s="36" t="str">
        <f t="shared" si="118"/>
        <v/>
      </c>
      <c r="L306" t="str">
        <f t="shared" si="119"/>
        <v/>
      </c>
      <c r="M306" s="117" t="str">
        <f t="shared" si="120"/>
        <v/>
      </c>
      <c r="N306" s="112" t="str">
        <f t="shared" si="121"/>
        <v/>
      </c>
      <c r="O306" s="96" t="str">
        <f t="shared" si="122"/>
        <v/>
      </c>
      <c r="P306" s="96" t="str">
        <f t="shared" si="123"/>
        <v/>
      </c>
      <c r="Q306" s="96" t="str">
        <f t="shared" si="124"/>
        <v/>
      </c>
      <c r="R306" s="92" t="str">
        <f t="shared" si="125"/>
        <v/>
      </c>
      <c r="S306" s="42" t="str">
        <f t="shared" si="126"/>
        <v/>
      </c>
      <c r="T306" s="176" t="str">
        <f>IF(L306="","",VLOOKUP(L306,classifications!C:K,9,FALSE))</f>
        <v/>
      </c>
      <c r="U306" s="177" t="str">
        <f t="shared" si="127"/>
        <v/>
      </c>
      <c r="V306" s="183" t="str">
        <f>IF(U306="","",IF($I$8="A",(RANK(U306,U$11:U$349)+COUNTIF(U$11:U306,U306)-1),(RANK(U306,U$11:U$349,1)+COUNTIF(U$11:U306,U306)-1)))</f>
        <v/>
      </c>
      <c r="W306" s="184"/>
      <c r="X306" s="5" t="str">
        <f>IF(L306="","",VLOOKUP($L306,classifications!$C:$J,6,FALSE))</f>
        <v/>
      </c>
      <c r="Y306" t="str">
        <f t="shared" si="128"/>
        <v/>
      </c>
      <c r="Z306" s="40" t="str">
        <f>IF(Y306="","",IF(I$8="A",(RANK(Y306,Y$11:Y$349,1)+COUNTIF(Y$11:Y306,Y306)-1),(RANK(Y306,Y$11:Y$349)+COUNTIF(Y$11:Y306,Y306)-1)))</f>
        <v/>
      </c>
      <c r="AA306" s="189" t="str">
        <f>IF(L306="","",VLOOKUP($L306,classifications!C:I,7,FALSE))</f>
        <v/>
      </c>
      <c r="AB306" s="183" t="str">
        <f t="shared" si="129"/>
        <v/>
      </c>
      <c r="AC306" s="183" t="str">
        <f>IF(AB306="","",IF($I$8="A",(RANK(AB306,AB$11:AB$349)+COUNTIF(AB$11:AB306,AB306)-1),(RANK(AB306,AB$11:AB$349,1)+COUNTIF(AB$11:AB306,AB306)-1)))</f>
        <v/>
      </c>
      <c r="AD306" s="183"/>
      <c r="AE306" s="49">
        <f>IF(I$8="A",(RANK(AG306,AG$11:AG$349,1)+COUNTIF(AG$11:AG306,AG306)-1),(RANK(AG306,AG$11:AG$349)+COUNTIF(AG$11:AG306,AG306)-1))</f>
        <v>296</v>
      </c>
      <c r="AF306" t="str">
        <f>VLOOKUP(Profile!$J$5,Families!$C:$R,6,FALSE)</f>
        <v>Herefordshire</v>
      </c>
      <c r="AG306" s="15">
        <f t="shared" si="130"/>
        <v>62.711864406779661</v>
      </c>
      <c r="AH306" s="50">
        <f t="shared" si="131"/>
        <v>296</v>
      </c>
      <c r="AI306" s="5" t="str">
        <f>IF(L306="","",VLOOKUP($L306,classifications!$C:$J,8,FALSE))</f>
        <v/>
      </c>
      <c r="AJ306" s="43" t="str">
        <f t="shared" si="132"/>
        <v/>
      </c>
      <c r="AK306" s="40" t="str">
        <f>IF(AJ306="","",IF(I$8="A",(RANK(AJ306,AJ$11:AJ$349,1)+COUNTIF(AJ$11:AJ306,AJ306)-1),(RANK(AJ306,AJ$11:AJ$349)+COUNTIF(AJ$11:AJ306,AJ306)-1)))</f>
        <v/>
      </c>
      <c r="AL306" s="3" t="str">
        <f t="shared" si="133"/>
        <v/>
      </c>
      <c r="AM306" t="str">
        <f t="shared" si="134"/>
        <v/>
      </c>
      <c r="AN306" t="str">
        <f t="shared" si="135"/>
        <v/>
      </c>
      <c r="AP306" s="5" t="str">
        <f>IF(L306="","",VLOOKUP($L306,classifications!$C:$E,3,FALSE))</f>
        <v/>
      </c>
      <c r="AQ306" s="43" t="str">
        <f t="shared" si="136"/>
        <v/>
      </c>
      <c r="AR306" s="40" t="str">
        <f>IF(AQ306="","",IF(I$8="A",(RANK(AQ306,AQ$11:AQ$349,1)+COUNTIF(AQ$11:AQ306,AQ306)-1),(RANK(AQ306,AQ$11:AQ$349)+COUNTIF(AQ$11:AQ306,AQ306)-1)))</f>
        <v/>
      </c>
      <c r="AS306" s="3" t="str">
        <f t="shared" si="137"/>
        <v/>
      </c>
      <c r="AT306" s="40" t="str">
        <f t="shared" si="138"/>
        <v/>
      </c>
      <c r="AU306" s="43" t="str">
        <f t="shared" si="139"/>
        <v/>
      </c>
      <c r="AX306">
        <f>HLOOKUP($AX$9&amp;$AX$10,Data!$A$1:$ZZ$1988,(MATCH($C306,Data!$A$1:$A$1988,0)),FALSE)</f>
        <v>98.75</v>
      </c>
    </row>
    <row r="307" spans="1:50">
      <c r="A307" s="59" t="str">
        <f>$D$1&amp;297</f>
        <v>UA297</v>
      </c>
      <c r="B307" s="60">
        <f>IF(ISERROR(VLOOKUP(A307,classifications!A:C,3,FALSE)),0,VLOOKUP(A307,classifications!A:C,3,FALSE))</f>
        <v>0</v>
      </c>
      <c r="C307" t="s">
        <v>172</v>
      </c>
      <c r="D307" t="str">
        <f>VLOOKUP($C307,classifications!$C:$J,4,FALSE)</f>
        <v>SD</v>
      </c>
      <c r="E307" t="str">
        <f>VLOOKUP(C307,classifications!C:K,9,FALSE)</f>
        <v>Sparse</v>
      </c>
      <c r="F307">
        <f t="shared" si="116"/>
        <v>76.19047619047619</v>
      </c>
      <c r="G307" s="15"/>
      <c r="H307" s="42" t="str">
        <f t="shared" si="117"/>
        <v/>
      </c>
      <c r="I307" s="79" t="str">
        <f>IF(H307="","",IF($I$8="A",(RANK(H307,H$11:H$349,1)+COUNTIF(H$11:H307,H307)-1),(RANK(H307,H$11:H$349)+COUNTIF(H$11:H307,H307)-1)))</f>
        <v/>
      </c>
      <c r="J307" s="41"/>
      <c r="K307" s="36" t="str">
        <f t="shared" si="118"/>
        <v/>
      </c>
      <c r="L307" t="str">
        <f t="shared" si="119"/>
        <v/>
      </c>
      <c r="M307" s="117" t="str">
        <f t="shared" si="120"/>
        <v/>
      </c>
      <c r="N307" s="112" t="str">
        <f t="shared" si="121"/>
        <v/>
      </c>
      <c r="O307" s="96" t="str">
        <f t="shared" si="122"/>
        <v/>
      </c>
      <c r="P307" s="96" t="str">
        <f t="shared" si="123"/>
        <v/>
      </c>
      <c r="Q307" s="96" t="str">
        <f t="shared" si="124"/>
        <v/>
      </c>
      <c r="R307" s="92" t="str">
        <f t="shared" si="125"/>
        <v/>
      </c>
      <c r="S307" s="42" t="str">
        <f t="shared" si="126"/>
        <v/>
      </c>
      <c r="T307" s="176" t="str">
        <f>IF(L307="","",VLOOKUP(L307,classifications!C:K,9,FALSE))</f>
        <v/>
      </c>
      <c r="U307" s="177" t="str">
        <f t="shared" si="127"/>
        <v/>
      </c>
      <c r="V307" s="183" t="str">
        <f>IF(U307="","",IF($I$8="A",(RANK(U307,U$11:U$349)+COUNTIF(U$11:U307,U307)-1),(RANK(U307,U$11:U$349,1)+COUNTIF(U$11:U307,U307)-1)))</f>
        <v/>
      </c>
      <c r="W307" s="184"/>
      <c r="X307" s="5" t="str">
        <f>IF(L307="","",VLOOKUP($L307,classifications!$C:$J,6,FALSE))</f>
        <v/>
      </c>
      <c r="Y307" t="str">
        <f t="shared" si="128"/>
        <v/>
      </c>
      <c r="Z307" s="40" t="str">
        <f>IF(Y307="","",IF(I$8="A",(RANK(Y307,Y$11:Y$349,1)+COUNTIF(Y$11:Y307,Y307)-1),(RANK(Y307,Y$11:Y$349)+COUNTIF(Y$11:Y307,Y307)-1)))</f>
        <v/>
      </c>
      <c r="AA307" s="189" t="str">
        <f>IF(L307="","",VLOOKUP($L307,classifications!C:I,7,FALSE))</f>
        <v/>
      </c>
      <c r="AB307" s="183" t="str">
        <f t="shared" si="129"/>
        <v/>
      </c>
      <c r="AC307" s="183" t="str">
        <f>IF(AB307="","",IF($I$8="A",(RANK(AB307,AB$11:AB$349)+COUNTIF(AB$11:AB307,AB307)-1),(RANK(AB307,AB$11:AB$349,1)+COUNTIF(AB$11:AB307,AB307)-1)))</f>
        <v/>
      </c>
      <c r="AD307" s="183"/>
      <c r="AE307" s="49">
        <f>IF(I$8="A",(RANK(AG307,AG$11:AG$349,1)+COUNTIF(AG$11:AG307,AG307)-1),(RANK(AG307,AG$11:AG$349)+COUNTIF(AG$11:AG307,AG307)-1))</f>
        <v>297</v>
      </c>
      <c r="AF307" t="str">
        <f>VLOOKUP(Profile!$J$5,Families!$C:$R,6,FALSE)</f>
        <v>Herefordshire</v>
      </c>
      <c r="AG307" s="15">
        <f t="shared" si="130"/>
        <v>62.711864406779661</v>
      </c>
      <c r="AH307" s="50">
        <f t="shared" si="131"/>
        <v>297</v>
      </c>
      <c r="AI307" s="5" t="str">
        <f>IF(L307="","",VLOOKUP($L307,classifications!$C:$J,8,FALSE))</f>
        <v/>
      </c>
      <c r="AJ307" s="43" t="str">
        <f t="shared" si="132"/>
        <v/>
      </c>
      <c r="AK307" s="40" t="str">
        <f>IF(AJ307="","",IF(I$8="A",(RANK(AJ307,AJ$11:AJ$349,1)+COUNTIF(AJ$11:AJ307,AJ307)-1),(RANK(AJ307,AJ$11:AJ$349)+COUNTIF(AJ$11:AJ307,AJ307)-1)))</f>
        <v/>
      </c>
      <c r="AL307" s="3" t="str">
        <f t="shared" si="133"/>
        <v/>
      </c>
      <c r="AM307" t="str">
        <f t="shared" si="134"/>
        <v/>
      </c>
      <c r="AN307" t="str">
        <f t="shared" si="135"/>
        <v/>
      </c>
      <c r="AP307" s="5" t="str">
        <f>IF(L307="","",VLOOKUP($L307,classifications!$C:$E,3,FALSE))</f>
        <v/>
      </c>
      <c r="AQ307" s="43" t="str">
        <f t="shared" si="136"/>
        <v/>
      </c>
      <c r="AR307" s="40" t="str">
        <f>IF(AQ307="","",IF(I$8="A",(RANK(AQ307,AQ$11:AQ$349,1)+COUNTIF(AQ$11:AQ307,AQ307)-1),(RANK(AQ307,AQ$11:AQ$349)+COUNTIF(AQ$11:AQ307,AQ307)-1)))</f>
        <v/>
      </c>
      <c r="AS307" s="3" t="str">
        <f t="shared" si="137"/>
        <v/>
      </c>
      <c r="AT307" s="40" t="str">
        <f t="shared" si="138"/>
        <v/>
      </c>
      <c r="AU307" s="43" t="str">
        <f t="shared" si="139"/>
        <v/>
      </c>
      <c r="AX307">
        <f>HLOOKUP($AX$9&amp;$AX$10,Data!$A$1:$ZZ$1988,(MATCH($C307,Data!$A$1:$A$1988,0)),FALSE)</f>
        <v>76.19047619047619</v>
      </c>
    </row>
    <row r="308" spans="1:50">
      <c r="A308" s="59" t="str">
        <f>$D$1&amp;298</f>
        <v>UA298</v>
      </c>
      <c r="B308" s="60">
        <f>IF(ISERROR(VLOOKUP(A308,classifications!A:C,3,FALSE)),0,VLOOKUP(A308,classifications!A:C,3,FALSE))</f>
        <v>0</v>
      </c>
      <c r="C308" t="s">
        <v>173</v>
      </c>
      <c r="D308" t="str">
        <f>VLOOKUP($C308,classifications!$C:$J,4,FALSE)</f>
        <v>SD</v>
      </c>
      <c r="E308" t="str">
        <f>VLOOKUP(C308,classifications!C:K,9,FALSE)</f>
        <v>Sparse</v>
      </c>
      <c r="F308">
        <f t="shared" si="116"/>
        <v>54.761904761904766</v>
      </c>
      <c r="G308" s="15"/>
      <c r="H308" s="42" t="str">
        <f t="shared" si="117"/>
        <v/>
      </c>
      <c r="I308" s="79" t="str">
        <f>IF(H308="","",IF($I$8="A",(RANK(H308,H$11:H$349,1)+COUNTIF(H$11:H308,H308)-1),(RANK(H308,H$11:H$349)+COUNTIF(H$11:H308,H308)-1)))</f>
        <v/>
      </c>
      <c r="J308" s="41"/>
      <c r="K308" s="36" t="str">
        <f t="shared" si="118"/>
        <v/>
      </c>
      <c r="L308" t="str">
        <f t="shared" si="119"/>
        <v/>
      </c>
      <c r="M308" s="117" t="str">
        <f t="shared" si="120"/>
        <v/>
      </c>
      <c r="N308" s="112" t="str">
        <f t="shared" si="121"/>
        <v/>
      </c>
      <c r="O308" s="96" t="str">
        <f t="shared" si="122"/>
        <v/>
      </c>
      <c r="P308" s="96" t="str">
        <f t="shared" si="123"/>
        <v/>
      </c>
      <c r="Q308" s="96" t="str">
        <f t="shared" si="124"/>
        <v/>
      </c>
      <c r="R308" s="92" t="str">
        <f t="shared" si="125"/>
        <v/>
      </c>
      <c r="S308" s="42" t="str">
        <f t="shared" si="126"/>
        <v/>
      </c>
      <c r="T308" s="176" t="str">
        <f>IF(L308="","",VLOOKUP(L308,classifications!C:K,9,FALSE))</f>
        <v/>
      </c>
      <c r="U308" s="177" t="str">
        <f t="shared" si="127"/>
        <v/>
      </c>
      <c r="V308" s="183" t="str">
        <f>IF(U308="","",IF($I$8="A",(RANK(U308,U$11:U$349)+COUNTIF(U$11:U308,U308)-1),(RANK(U308,U$11:U$349,1)+COUNTIF(U$11:U308,U308)-1)))</f>
        <v/>
      </c>
      <c r="W308" s="184"/>
      <c r="X308" s="5" t="str">
        <f>IF(L308="","",VLOOKUP($L308,classifications!$C:$J,6,FALSE))</f>
        <v/>
      </c>
      <c r="Y308" t="str">
        <f t="shared" si="128"/>
        <v/>
      </c>
      <c r="Z308" s="40" t="str">
        <f>IF(Y308="","",IF(I$8="A",(RANK(Y308,Y$11:Y$349,1)+COUNTIF(Y$11:Y308,Y308)-1),(RANK(Y308,Y$11:Y$349)+COUNTIF(Y$11:Y308,Y308)-1)))</f>
        <v/>
      </c>
      <c r="AA308" s="189" t="str">
        <f>IF(L308="","",VLOOKUP($L308,classifications!C:I,7,FALSE))</f>
        <v/>
      </c>
      <c r="AB308" s="183" t="str">
        <f t="shared" si="129"/>
        <v/>
      </c>
      <c r="AC308" s="183" t="str">
        <f>IF(AB308="","",IF($I$8="A",(RANK(AB308,AB$11:AB$349)+COUNTIF(AB$11:AB308,AB308)-1),(RANK(AB308,AB$11:AB$349,1)+COUNTIF(AB$11:AB308,AB308)-1)))</f>
        <v/>
      </c>
      <c r="AD308" s="183"/>
      <c r="AE308" s="49">
        <f>IF(I$8="A",(RANK(AG308,AG$11:AG$349,1)+COUNTIF(AG$11:AG308,AG308)-1),(RANK(AG308,AG$11:AG$349)+COUNTIF(AG$11:AG308,AG308)-1))</f>
        <v>298</v>
      </c>
      <c r="AF308" t="str">
        <f>VLOOKUP(Profile!$J$5,Families!$C:$R,6,FALSE)</f>
        <v>Herefordshire</v>
      </c>
      <c r="AG308" s="15">
        <f t="shared" si="130"/>
        <v>62.711864406779661</v>
      </c>
      <c r="AH308" s="50">
        <f t="shared" si="131"/>
        <v>298</v>
      </c>
      <c r="AI308" s="5" t="str">
        <f>IF(L308="","",VLOOKUP($L308,classifications!$C:$J,8,FALSE))</f>
        <v/>
      </c>
      <c r="AJ308" s="43" t="str">
        <f t="shared" si="132"/>
        <v/>
      </c>
      <c r="AK308" s="40" t="str">
        <f>IF(AJ308="","",IF(I$8="A",(RANK(AJ308,AJ$11:AJ$349,1)+COUNTIF(AJ$11:AJ308,AJ308)-1),(RANK(AJ308,AJ$11:AJ$349)+COUNTIF(AJ$11:AJ308,AJ308)-1)))</f>
        <v/>
      </c>
      <c r="AL308" s="3" t="str">
        <f t="shared" si="133"/>
        <v/>
      </c>
      <c r="AM308" t="str">
        <f t="shared" si="134"/>
        <v/>
      </c>
      <c r="AN308" t="str">
        <f t="shared" si="135"/>
        <v/>
      </c>
      <c r="AP308" s="5" t="str">
        <f>IF(L308="","",VLOOKUP($L308,classifications!$C:$E,3,FALSE))</f>
        <v/>
      </c>
      <c r="AQ308" s="43" t="str">
        <f t="shared" si="136"/>
        <v/>
      </c>
      <c r="AR308" s="40" t="str">
        <f>IF(AQ308="","",IF(I$8="A",(RANK(AQ308,AQ$11:AQ$349,1)+COUNTIF(AQ$11:AQ308,AQ308)-1),(RANK(AQ308,AQ$11:AQ$349)+COUNTIF(AQ$11:AQ308,AQ308)-1)))</f>
        <v/>
      </c>
      <c r="AS308" s="3" t="str">
        <f t="shared" si="137"/>
        <v/>
      </c>
      <c r="AT308" s="40" t="str">
        <f t="shared" si="138"/>
        <v/>
      </c>
      <c r="AU308" s="43" t="str">
        <f t="shared" si="139"/>
        <v/>
      </c>
      <c r="AX308">
        <f>HLOOKUP($AX$9&amp;$AX$10,Data!$A$1:$ZZ$1988,(MATCH($C308,Data!$A$1:$A$1988,0)),FALSE)</f>
        <v>54.761904761904766</v>
      </c>
    </row>
    <row r="309" spans="1:50">
      <c r="A309" s="59" t="str">
        <f>$D$1&amp;299</f>
        <v>UA299</v>
      </c>
      <c r="B309" s="60">
        <f>IF(ISERROR(VLOOKUP(A309,classifications!A:C,3,FALSE)),0,VLOOKUP(A309,classifications!A:C,3,FALSE))</f>
        <v>0</v>
      </c>
      <c r="C309" t="s">
        <v>253</v>
      </c>
      <c r="D309" t="str">
        <f>VLOOKUP($C309,classifications!$C:$J,4,FALSE)</f>
        <v>MD</v>
      </c>
      <c r="E309">
        <f>VLOOKUP(C309,classifications!C:K,9,FALSE)</f>
        <v>0</v>
      </c>
      <c r="F309">
        <f t="shared" si="116"/>
        <v>87.931034482758619</v>
      </c>
      <c r="G309" s="15"/>
      <c r="H309" s="42" t="str">
        <f t="shared" si="117"/>
        <v/>
      </c>
      <c r="I309" s="79" t="str">
        <f>IF(H309="","",IF($I$8="A",(RANK(H309,H$11:H$349,1)+COUNTIF(H$11:H309,H309)-1),(RANK(H309,H$11:H$349)+COUNTIF(H$11:H309,H309)-1)))</f>
        <v/>
      </c>
      <c r="J309" s="41"/>
      <c r="K309" s="36" t="str">
        <f t="shared" si="118"/>
        <v/>
      </c>
      <c r="L309" t="str">
        <f t="shared" si="119"/>
        <v/>
      </c>
      <c r="M309" s="117" t="str">
        <f t="shared" si="120"/>
        <v/>
      </c>
      <c r="N309" s="112" t="str">
        <f t="shared" si="121"/>
        <v/>
      </c>
      <c r="O309" s="96" t="str">
        <f t="shared" si="122"/>
        <v/>
      </c>
      <c r="P309" s="96" t="str">
        <f t="shared" si="123"/>
        <v/>
      </c>
      <c r="Q309" s="96" t="str">
        <f t="shared" si="124"/>
        <v/>
      </c>
      <c r="R309" s="92" t="str">
        <f t="shared" si="125"/>
        <v/>
      </c>
      <c r="S309" s="42" t="str">
        <f t="shared" si="126"/>
        <v/>
      </c>
      <c r="T309" s="176" t="str">
        <f>IF(L309="","",VLOOKUP(L309,classifications!C:K,9,FALSE))</f>
        <v/>
      </c>
      <c r="U309" s="177" t="str">
        <f t="shared" si="127"/>
        <v/>
      </c>
      <c r="V309" s="183" t="str">
        <f>IF(U309="","",IF($I$8="A",(RANK(U309,U$11:U$349)+COUNTIF(U$11:U309,U309)-1),(RANK(U309,U$11:U$349,1)+COUNTIF(U$11:U309,U309)-1)))</f>
        <v/>
      </c>
      <c r="W309" s="184"/>
      <c r="X309" s="5" t="str">
        <f>IF(L309="","",VLOOKUP($L309,classifications!$C:$J,6,FALSE))</f>
        <v/>
      </c>
      <c r="Y309" t="str">
        <f t="shared" si="128"/>
        <v/>
      </c>
      <c r="Z309" s="40" t="str">
        <f>IF(Y309="","",IF(I$8="A",(RANK(Y309,Y$11:Y$349,1)+COUNTIF(Y$11:Y309,Y309)-1),(RANK(Y309,Y$11:Y$349)+COUNTIF(Y$11:Y309,Y309)-1)))</f>
        <v/>
      </c>
      <c r="AA309" s="189" t="str">
        <f>IF(L309="","",VLOOKUP($L309,classifications!C:I,7,FALSE))</f>
        <v/>
      </c>
      <c r="AB309" s="183" t="str">
        <f t="shared" si="129"/>
        <v/>
      </c>
      <c r="AC309" s="183" t="str">
        <f>IF(AB309="","",IF($I$8="A",(RANK(AB309,AB$11:AB$349)+COUNTIF(AB$11:AB309,AB309)-1),(RANK(AB309,AB$11:AB$349,1)+COUNTIF(AB$11:AB309,AB309)-1)))</f>
        <v/>
      </c>
      <c r="AD309" s="183"/>
      <c r="AE309" s="49">
        <f>IF(I$8="A",(RANK(AG309,AG$11:AG$349,1)+COUNTIF(AG$11:AG309,AG309)-1),(RANK(AG309,AG$11:AG$349)+COUNTIF(AG$11:AG309,AG309)-1))</f>
        <v>299</v>
      </c>
      <c r="AF309" t="str">
        <f>VLOOKUP(Profile!$J$5,Families!$C:$R,6,FALSE)</f>
        <v>Herefordshire</v>
      </c>
      <c r="AG309" s="15">
        <f t="shared" si="130"/>
        <v>62.711864406779661</v>
      </c>
      <c r="AH309" s="50">
        <f t="shared" si="131"/>
        <v>299</v>
      </c>
      <c r="AI309" s="5" t="str">
        <f>IF(L309="","",VLOOKUP($L309,classifications!$C:$J,8,FALSE))</f>
        <v/>
      </c>
      <c r="AJ309" s="43" t="str">
        <f t="shared" si="132"/>
        <v/>
      </c>
      <c r="AK309" s="40" t="str">
        <f>IF(AJ309="","",IF(I$8="A",(RANK(AJ309,AJ$11:AJ$349,1)+COUNTIF(AJ$11:AJ309,AJ309)-1),(RANK(AJ309,AJ$11:AJ$349)+COUNTIF(AJ$11:AJ309,AJ309)-1)))</f>
        <v/>
      </c>
      <c r="AL309" s="3" t="str">
        <f t="shared" si="133"/>
        <v/>
      </c>
      <c r="AM309" t="str">
        <f t="shared" si="134"/>
        <v/>
      </c>
      <c r="AN309" t="str">
        <f t="shared" si="135"/>
        <v/>
      </c>
      <c r="AP309" s="5" t="str">
        <f>IF(L309="","",VLOOKUP($L309,classifications!$C:$E,3,FALSE))</f>
        <v/>
      </c>
      <c r="AQ309" s="43" t="str">
        <f t="shared" si="136"/>
        <v/>
      </c>
      <c r="AR309" s="40" t="str">
        <f>IF(AQ309="","",IF(I$8="A",(RANK(AQ309,AQ$11:AQ$349,1)+COUNTIF(AQ$11:AQ309,AQ309)-1),(RANK(AQ309,AQ$11:AQ$349)+COUNTIF(AQ$11:AQ309,AQ309)-1)))</f>
        <v/>
      </c>
      <c r="AS309" s="3" t="str">
        <f t="shared" si="137"/>
        <v/>
      </c>
      <c r="AT309" s="40" t="str">
        <f t="shared" si="138"/>
        <v/>
      </c>
      <c r="AU309" s="43" t="str">
        <f t="shared" si="139"/>
        <v/>
      </c>
      <c r="AX309">
        <f>HLOOKUP($AX$9&amp;$AX$10,Data!$A$1:$ZZ$1988,(MATCH($C309,Data!$A$1:$A$1988,0)),FALSE)</f>
        <v>87.931034482758619</v>
      </c>
    </row>
    <row r="310" spans="1:50">
      <c r="A310" s="59" t="str">
        <f>$D$1&amp;300</f>
        <v>UA300</v>
      </c>
      <c r="B310" s="60">
        <f>IF(ISERROR(VLOOKUP(A310,classifications!A:C,3,FALSE)),0,VLOOKUP(A310,classifications!A:C,3,FALSE))</f>
        <v>0</v>
      </c>
      <c r="C310" t="s">
        <v>254</v>
      </c>
      <c r="D310" t="str">
        <f>VLOOKUP($C310,classifications!$C:$J,4,FALSE)</f>
        <v>MD</v>
      </c>
      <c r="E310">
        <f>VLOOKUP(C310,classifications!C:K,9,FALSE)</f>
        <v>0</v>
      </c>
      <c r="F310">
        <f t="shared" si="116"/>
        <v>68.75</v>
      </c>
      <c r="G310" s="15"/>
      <c r="H310" s="42" t="str">
        <f t="shared" si="117"/>
        <v/>
      </c>
      <c r="I310" s="79" t="str">
        <f>IF(H310="","",IF($I$8="A",(RANK(H310,H$11:H$349,1)+COUNTIF(H$11:H310,H310)-1),(RANK(H310,H$11:H$349)+COUNTIF(H$11:H310,H310)-1)))</f>
        <v/>
      </c>
      <c r="J310" s="41"/>
      <c r="K310" s="36" t="str">
        <f t="shared" si="118"/>
        <v/>
      </c>
      <c r="L310" t="str">
        <f t="shared" si="119"/>
        <v/>
      </c>
      <c r="M310" s="117" t="str">
        <f t="shared" si="120"/>
        <v/>
      </c>
      <c r="N310" s="112" t="str">
        <f t="shared" si="121"/>
        <v/>
      </c>
      <c r="O310" s="96" t="str">
        <f t="shared" si="122"/>
        <v/>
      </c>
      <c r="P310" s="96" t="str">
        <f t="shared" si="123"/>
        <v/>
      </c>
      <c r="Q310" s="96" t="str">
        <f t="shared" si="124"/>
        <v/>
      </c>
      <c r="R310" s="92" t="str">
        <f t="shared" si="125"/>
        <v/>
      </c>
      <c r="S310" s="42" t="str">
        <f t="shared" si="126"/>
        <v/>
      </c>
      <c r="T310" s="176" t="str">
        <f>IF(L310="","",VLOOKUP(L310,classifications!C:K,9,FALSE))</f>
        <v/>
      </c>
      <c r="U310" s="177" t="str">
        <f t="shared" si="127"/>
        <v/>
      </c>
      <c r="V310" s="183" t="str">
        <f>IF(U310="","",IF($I$8="A",(RANK(U310,U$11:U$349)+COUNTIF(U$11:U310,U310)-1),(RANK(U310,U$11:U$349,1)+COUNTIF(U$11:U310,U310)-1)))</f>
        <v/>
      </c>
      <c r="W310" s="184"/>
      <c r="X310" s="5" t="str">
        <f>IF(L310="","",VLOOKUP($L310,classifications!$C:$J,6,FALSE))</f>
        <v/>
      </c>
      <c r="Y310" t="str">
        <f t="shared" si="128"/>
        <v/>
      </c>
      <c r="Z310" s="40" t="str">
        <f>IF(Y310="","",IF(I$8="A",(RANK(Y310,Y$11:Y$349,1)+COUNTIF(Y$11:Y310,Y310)-1),(RANK(Y310,Y$11:Y$349)+COUNTIF(Y$11:Y310,Y310)-1)))</f>
        <v/>
      </c>
      <c r="AA310" s="189" t="str">
        <f>IF(L310="","",VLOOKUP($L310,classifications!C:I,7,FALSE))</f>
        <v/>
      </c>
      <c r="AB310" s="183" t="str">
        <f t="shared" si="129"/>
        <v/>
      </c>
      <c r="AC310" s="183" t="str">
        <f>IF(AB310="","",IF($I$8="A",(RANK(AB310,AB$11:AB$349)+COUNTIF(AB$11:AB310,AB310)-1),(RANK(AB310,AB$11:AB$349,1)+COUNTIF(AB$11:AB310,AB310)-1)))</f>
        <v/>
      </c>
      <c r="AD310" s="183"/>
      <c r="AE310" s="49">
        <f>IF(I$8="A",(RANK(AG310,AG$11:AG$349,1)+COUNTIF(AG$11:AG310,AG310)-1),(RANK(AG310,AG$11:AG$349)+COUNTIF(AG$11:AG310,AG310)-1))</f>
        <v>300</v>
      </c>
      <c r="AF310" t="str">
        <f>VLOOKUP(Profile!$J$5,Families!$C:$R,6,FALSE)</f>
        <v>Herefordshire</v>
      </c>
      <c r="AG310" s="15">
        <f t="shared" si="130"/>
        <v>62.711864406779661</v>
      </c>
      <c r="AH310" s="50">
        <f t="shared" si="131"/>
        <v>300</v>
      </c>
      <c r="AI310" s="5" t="str">
        <f>IF(L310="","",VLOOKUP($L310,classifications!$C:$J,8,FALSE))</f>
        <v/>
      </c>
      <c r="AJ310" s="43" t="str">
        <f t="shared" si="132"/>
        <v/>
      </c>
      <c r="AK310" s="40" t="str">
        <f>IF(AJ310="","",IF(I$8="A",(RANK(AJ310,AJ$11:AJ$349,1)+COUNTIF(AJ$11:AJ310,AJ310)-1),(RANK(AJ310,AJ$11:AJ$349)+COUNTIF(AJ$11:AJ310,AJ310)-1)))</f>
        <v/>
      </c>
      <c r="AL310" s="3" t="str">
        <f t="shared" si="133"/>
        <v/>
      </c>
      <c r="AM310" t="str">
        <f t="shared" si="134"/>
        <v/>
      </c>
      <c r="AN310" t="str">
        <f t="shared" si="135"/>
        <v/>
      </c>
      <c r="AP310" s="5" t="str">
        <f>IF(L310="","",VLOOKUP($L310,classifications!$C:$E,3,FALSE))</f>
        <v/>
      </c>
      <c r="AQ310" s="43" t="str">
        <f t="shared" si="136"/>
        <v/>
      </c>
      <c r="AR310" s="40" t="str">
        <f>IF(AQ310="","",IF(I$8="A",(RANK(AQ310,AQ$11:AQ$349,1)+COUNTIF(AQ$11:AQ310,AQ310)-1),(RANK(AQ310,AQ$11:AQ$349)+COUNTIF(AQ$11:AQ310,AQ310)-1)))</f>
        <v/>
      </c>
      <c r="AS310" s="3" t="str">
        <f t="shared" si="137"/>
        <v/>
      </c>
      <c r="AT310" s="40" t="str">
        <f t="shared" si="138"/>
        <v/>
      </c>
      <c r="AU310" s="43" t="str">
        <f t="shared" si="139"/>
        <v/>
      </c>
      <c r="AX310">
        <f>HLOOKUP($AX$9&amp;$AX$10,Data!$A$1:$ZZ$1988,(MATCH($C310,Data!$A$1:$A$1988,0)),FALSE)</f>
        <v>68.75</v>
      </c>
    </row>
    <row r="311" spans="1:50">
      <c r="A311" s="59" t="str">
        <f>$D$1&amp;301</f>
        <v>UA301</v>
      </c>
      <c r="B311" s="60">
        <f>IF(ISERROR(VLOOKUP(A311,classifications!A:C,3,FALSE)),0,VLOOKUP(A311,classifications!A:C,3,FALSE))</f>
        <v>0</v>
      </c>
      <c r="C311" t="s">
        <v>220</v>
      </c>
      <c r="D311" t="str">
        <f>VLOOKUP($C311,classifications!$C:$J,4,FALSE)</f>
        <v>L</v>
      </c>
      <c r="E311">
        <f>VLOOKUP(C311,classifications!C:K,9,FALSE)</f>
        <v>0</v>
      </c>
      <c r="F311">
        <f t="shared" si="116"/>
        <v>92.307692307692307</v>
      </c>
      <c r="G311" s="15"/>
      <c r="H311" s="42" t="str">
        <f t="shared" si="117"/>
        <v/>
      </c>
      <c r="I311" s="79" t="str">
        <f>IF(H311="","",IF($I$8="A",(RANK(H311,H$11:H$349,1)+COUNTIF(H$11:H311,H311)-1),(RANK(H311,H$11:H$349)+COUNTIF(H$11:H311,H311)-1)))</f>
        <v/>
      </c>
      <c r="J311" s="41"/>
      <c r="K311" s="36" t="str">
        <f t="shared" si="118"/>
        <v/>
      </c>
      <c r="L311" t="str">
        <f t="shared" si="119"/>
        <v/>
      </c>
      <c r="M311" s="117" t="str">
        <f t="shared" si="120"/>
        <v/>
      </c>
      <c r="N311" s="112" t="str">
        <f t="shared" si="121"/>
        <v/>
      </c>
      <c r="O311" s="96" t="str">
        <f t="shared" si="122"/>
        <v/>
      </c>
      <c r="P311" s="96" t="str">
        <f t="shared" si="123"/>
        <v/>
      </c>
      <c r="Q311" s="96" t="str">
        <f t="shared" si="124"/>
        <v/>
      </c>
      <c r="R311" s="92" t="str">
        <f t="shared" si="125"/>
        <v/>
      </c>
      <c r="S311" s="42" t="str">
        <f t="shared" si="126"/>
        <v/>
      </c>
      <c r="T311" s="176" t="str">
        <f>IF(L311="","",VLOOKUP(L311,classifications!C:K,9,FALSE))</f>
        <v/>
      </c>
      <c r="U311" s="177" t="str">
        <f t="shared" si="127"/>
        <v/>
      </c>
      <c r="V311" s="183" t="str">
        <f>IF(U311="","",IF($I$8="A",(RANK(U311,U$11:U$349)+COUNTIF(U$11:U311,U311)-1),(RANK(U311,U$11:U$349,1)+COUNTIF(U$11:U311,U311)-1)))</f>
        <v/>
      </c>
      <c r="W311" s="184"/>
      <c r="X311" s="5" t="str">
        <f>IF(L311="","",VLOOKUP($L311,classifications!$C:$J,6,FALSE))</f>
        <v/>
      </c>
      <c r="Y311" t="str">
        <f t="shared" si="128"/>
        <v/>
      </c>
      <c r="Z311" s="40" t="str">
        <f>IF(Y311="","",IF(I$8="A",(RANK(Y311,Y$11:Y$349,1)+COUNTIF(Y$11:Y311,Y311)-1),(RANK(Y311,Y$11:Y$349)+COUNTIF(Y$11:Y311,Y311)-1)))</f>
        <v/>
      </c>
      <c r="AA311" s="189" t="str">
        <f>IF(L311="","",VLOOKUP($L311,classifications!C:I,7,FALSE))</f>
        <v/>
      </c>
      <c r="AB311" s="183" t="str">
        <f t="shared" si="129"/>
        <v/>
      </c>
      <c r="AC311" s="183" t="str">
        <f>IF(AB311="","",IF($I$8="A",(RANK(AB311,AB$11:AB$349)+COUNTIF(AB$11:AB311,AB311)-1),(RANK(AB311,AB$11:AB$349,1)+COUNTIF(AB$11:AB311,AB311)-1)))</f>
        <v/>
      </c>
      <c r="AD311" s="183"/>
      <c r="AE311" s="49">
        <f>IF(I$8="A",(RANK(AG311,AG$11:AG$349,1)+COUNTIF(AG$11:AG311,AG311)-1),(RANK(AG311,AG$11:AG$349)+COUNTIF(AG$11:AG311,AG311)-1))</f>
        <v>301</v>
      </c>
      <c r="AF311" t="str">
        <f>VLOOKUP(Profile!$J$5,Families!$C:$R,6,FALSE)</f>
        <v>Herefordshire</v>
      </c>
      <c r="AG311" s="15">
        <f t="shared" si="130"/>
        <v>62.711864406779661</v>
      </c>
      <c r="AH311" s="50">
        <f t="shared" si="131"/>
        <v>301</v>
      </c>
      <c r="AI311" s="5" t="str">
        <f>IF(L311="","",VLOOKUP($L311,classifications!$C:$J,8,FALSE))</f>
        <v/>
      </c>
      <c r="AJ311" s="43" t="str">
        <f t="shared" si="132"/>
        <v/>
      </c>
      <c r="AK311" s="40" t="str">
        <f>IF(AJ311="","",IF(I$8="A",(RANK(AJ311,AJ$11:AJ$349,1)+COUNTIF(AJ$11:AJ311,AJ311)-1),(RANK(AJ311,AJ$11:AJ$349)+COUNTIF(AJ$11:AJ311,AJ311)-1)))</f>
        <v/>
      </c>
      <c r="AL311" s="3" t="str">
        <f t="shared" si="133"/>
        <v/>
      </c>
      <c r="AM311" t="str">
        <f t="shared" si="134"/>
        <v/>
      </c>
      <c r="AN311" t="str">
        <f t="shared" si="135"/>
        <v/>
      </c>
      <c r="AP311" s="5" t="str">
        <f>IF(L311="","",VLOOKUP($L311,classifications!$C:$E,3,FALSE))</f>
        <v/>
      </c>
      <c r="AQ311" s="43" t="str">
        <f t="shared" si="136"/>
        <v/>
      </c>
      <c r="AR311" s="40" t="str">
        <f>IF(AQ311="","",IF(I$8="A",(RANK(AQ311,AQ$11:AQ$349,1)+COUNTIF(AQ$11:AQ311,AQ311)-1),(RANK(AQ311,AQ$11:AQ$349)+COUNTIF(AQ$11:AQ311,AQ311)-1)))</f>
        <v/>
      </c>
      <c r="AS311" s="3" t="str">
        <f t="shared" si="137"/>
        <v/>
      </c>
      <c r="AT311" s="40" t="str">
        <f t="shared" si="138"/>
        <v/>
      </c>
      <c r="AU311" s="43" t="str">
        <f t="shared" si="139"/>
        <v/>
      </c>
      <c r="AX311">
        <f>HLOOKUP($AX$9&amp;$AX$10,Data!$A$1:$ZZ$1988,(MATCH($C311,Data!$A$1:$A$1988,0)),FALSE)</f>
        <v>92.307692307692307</v>
      </c>
    </row>
    <row r="312" spans="1:50">
      <c r="A312" s="59" t="str">
        <f>$D$1&amp;302</f>
        <v>UA302</v>
      </c>
      <c r="B312" s="60">
        <f>IF(ISERROR(VLOOKUP(A312,classifications!A:C,3,FALSE)),0,VLOOKUP(A312,classifications!A:C,3,FALSE))</f>
        <v>0</v>
      </c>
      <c r="C312" t="s">
        <v>221</v>
      </c>
      <c r="D312" t="str">
        <f>VLOOKUP($C312,classifications!$C:$J,4,FALSE)</f>
        <v>L</v>
      </c>
      <c r="E312">
        <f>VLOOKUP(C312,classifications!C:K,9,FALSE)</f>
        <v>0</v>
      </c>
      <c r="F312">
        <f t="shared" si="116"/>
        <v>86.486486486486484</v>
      </c>
      <c r="G312" s="15"/>
      <c r="H312" s="42" t="str">
        <f t="shared" si="117"/>
        <v/>
      </c>
      <c r="I312" s="79" t="str">
        <f>IF(H312="","",IF($I$8="A",(RANK(H312,H$11:H$349,1)+COUNTIF(H$11:H312,H312)-1),(RANK(H312,H$11:H$349)+COUNTIF(H$11:H312,H312)-1)))</f>
        <v/>
      </c>
      <c r="J312" s="41"/>
      <c r="K312" s="36" t="str">
        <f t="shared" si="118"/>
        <v/>
      </c>
      <c r="L312" t="str">
        <f t="shared" si="119"/>
        <v/>
      </c>
      <c r="M312" s="117" t="str">
        <f t="shared" si="120"/>
        <v/>
      </c>
      <c r="N312" s="112" t="str">
        <f t="shared" si="121"/>
        <v/>
      </c>
      <c r="O312" s="96" t="str">
        <f t="shared" si="122"/>
        <v/>
      </c>
      <c r="P312" s="96" t="str">
        <f t="shared" si="123"/>
        <v/>
      </c>
      <c r="Q312" s="96" t="str">
        <f t="shared" si="124"/>
        <v/>
      </c>
      <c r="R312" s="92" t="str">
        <f t="shared" si="125"/>
        <v/>
      </c>
      <c r="S312" s="42" t="str">
        <f t="shared" si="126"/>
        <v/>
      </c>
      <c r="T312" s="176" t="str">
        <f>IF(L312="","",VLOOKUP(L312,classifications!C:K,9,FALSE))</f>
        <v/>
      </c>
      <c r="U312" s="177" t="str">
        <f t="shared" si="127"/>
        <v/>
      </c>
      <c r="V312" s="183" t="str">
        <f>IF(U312="","",IF($I$8="A",(RANK(U312,U$11:U$349)+COUNTIF(U$11:U312,U312)-1),(RANK(U312,U$11:U$349,1)+COUNTIF(U$11:U312,U312)-1)))</f>
        <v/>
      </c>
      <c r="W312" s="184"/>
      <c r="X312" s="5" t="str">
        <f>IF(L312="","",VLOOKUP($L312,classifications!$C:$J,6,FALSE))</f>
        <v/>
      </c>
      <c r="Y312" t="str">
        <f t="shared" si="128"/>
        <v/>
      </c>
      <c r="Z312" s="40" t="str">
        <f>IF(Y312="","",IF(I$8="A",(RANK(Y312,Y$11:Y$349,1)+COUNTIF(Y$11:Y312,Y312)-1),(RANK(Y312,Y$11:Y$349)+COUNTIF(Y$11:Y312,Y312)-1)))</f>
        <v/>
      </c>
      <c r="AA312" s="189" t="str">
        <f>IF(L312="","",VLOOKUP($L312,classifications!C:I,7,FALSE))</f>
        <v/>
      </c>
      <c r="AB312" s="183" t="str">
        <f t="shared" si="129"/>
        <v/>
      </c>
      <c r="AC312" s="183" t="str">
        <f>IF(AB312="","",IF($I$8="A",(RANK(AB312,AB$11:AB$349)+COUNTIF(AB$11:AB312,AB312)-1),(RANK(AB312,AB$11:AB$349,1)+COUNTIF(AB$11:AB312,AB312)-1)))</f>
        <v/>
      </c>
      <c r="AD312" s="183"/>
      <c r="AE312" s="49">
        <f>IF(I$8="A",(RANK(AG312,AG$11:AG$349,1)+COUNTIF(AG$11:AG312,AG312)-1),(RANK(AG312,AG$11:AG$349)+COUNTIF(AG$11:AG312,AG312)-1))</f>
        <v>302</v>
      </c>
      <c r="AF312" t="str">
        <f>VLOOKUP(Profile!$J$5,Families!$C:$R,6,FALSE)</f>
        <v>Herefordshire</v>
      </c>
      <c r="AG312" s="15">
        <f t="shared" si="130"/>
        <v>62.711864406779661</v>
      </c>
      <c r="AH312" s="50">
        <f t="shared" si="131"/>
        <v>302</v>
      </c>
      <c r="AI312" s="5" t="str">
        <f>IF(L312="","",VLOOKUP($L312,classifications!$C:$J,8,FALSE))</f>
        <v/>
      </c>
      <c r="AJ312" s="43" t="str">
        <f t="shared" si="132"/>
        <v/>
      </c>
      <c r="AK312" s="40" t="str">
        <f>IF(AJ312="","",IF(I$8="A",(RANK(AJ312,AJ$11:AJ$349,1)+COUNTIF(AJ$11:AJ312,AJ312)-1),(RANK(AJ312,AJ$11:AJ$349)+COUNTIF(AJ$11:AJ312,AJ312)-1)))</f>
        <v/>
      </c>
      <c r="AL312" s="3" t="str">
        <f t="shared" si="133"/>
        <v/>
      </c>
      <c r="AM312" t="str">
        <f t="shared" si="134"/>
        <v/>
      </c>
      <c r="AN312" t="str">
        <f t="shared" si="135"/>
        <v/>
      </c>
      <c r="AP312" s="5" t="str">
        <f>IF(L312="","",VLOOKUP($L312,classifications!$C:$E,3,FALSE))</f>
        <v/>
      </c>
      <c r="AQ312" s="43" t="str">
        <f t="shared" si="136"/>
        <v/>
      </c>
      <c r="AR312" s="40" t="str">
        <f>IF(AQ312="","",IF(I$8="A",(RANK(AQ312,AQ$11:AQ$349,1)+COUNTIF(AQ$11:AQ312,AQ312)-1),(RANK(AQ312,AQ$11:AQ$349)+COUNTIF(AQ$11:AQ312,AQ312)-1)))</f>
        <v/>
      </c>
      <c r="AS312" s="3" t="str">
        <f t="shared" si="137"/>
        <v/>
      </c>
      <c r="AT312" s="40" t="str">
        <f t="shared" si="138"/>
        <v/>
      </c>
      <c r="AU312" s="43" t="str">
        <f t="shared" si="139"/>
        <v/>
      </c>
      <c r="AX312">
        <f>HLOOKUP($AX$9&amp;$AX$10,Data!$A$1:$ZZ$1988,(MATCH($C312,Data!$A$1:$A$1988,0)),FALSE)</f>
        <v>86.486486486486484</v>
      </c>
    </row>
    <row r="313" spans="1:50">
      <c r="A313" s="59" t="str">
        <f>$D$1&amp;303</f>
        <v>UA303</v>
      </c>
      <c r="B313" s="60">
        <f>IF(ISERROR(VLOOKUP(A313,classifications!A:C,3,FALSE)),0,VLOOKUP(A313,classifications!A:C,3,FALSE))</f>
        <v>0</v>
      </c>
      <c r="C313" t="s">
        <v>295</v>
      </c>
      <c r="D313" t="str">
        <f>VLOOKUP($C313,classifications!$C:$J,4,FALSE)</f>
        <v>UA</v>
      </c>
      <c r="E313">
        <f>VLOOKUP(C313,classifications!C:K,9,FALSE)</f>
        <v>0</v>
      </c>
      <c r="F313">
        <f t="shared" si="116"/>
        <v>93.939393939393938</v>
      </c>
      <c r="G313" s="15"/>
      <c r="H313" s="42">
        <f t="shared" si="117"/>
        <v>93.939393939393938</v>
      </c>
      <c r="I313" s="79">
        <f>IF(H313="","",IF($I$8="A",(RANK(H313,H$11:H$349,1)+COUNTIF(H$11:H313,H313)-1),(RANK(H313,H$11:H$349)+COUNTIF(H$11:H313,H313)-1)))</f>
        <v>23</v>
      </c>
      <c r="J313" s="41"/>
      <c r="K313" s="36" t="str">
        <f t="shared" si="118"/>
        <v/>
      </c>
      <c r="L313" t="str">
        <f t="shared" si="119"/>
        <v/>
      </c>
      <c r="M313" s="117" t="str">
        <f t="shared" si="120"/>
        <v/>
      </c>
      <c r="N313" s="112" t="str">
        <f t="shared" si="121"/>
        <v/>
      </c>
      <c r="O313" s="96" t="str">
        <f t="shared" si="122"/>
        <v/>
      </c>
      <c r="P313" s="96" t="str">
        <f t="shared" si="123"/>
        <v/>
      </c>
      <c r="Q313" s="96" t="str">
        <f t="shared" si="124"/>
        <v/>
      </c>
      <c r="R313" s="92" t="str">
        <f t="shared" si="125"/>
        <v/>
      </c>
      <c r="S313" s="42" t="str">
        <f t="shared" si="126"/>
        <v/>
      </c>
      <c r="T313" s="176" t="str">
        <f>IF(L313="","",VLOOKUP(L313,classifications!C:K,9,FALSE))</f>
        <v/>
      </c>
      <c r="U313" s="177" t="str">
        <f t="shared" si="127"/>
        <v/>
      </c>
      <c r="V313" s="183" t="str">
        <f>IF(U313="","",IF($I$8="A",(RANK(U313,U$11:U$349)+COUNTIF(U$11:U313,U313)-1),(RANK(U313,U$11:U$349,1)+COUNTIF(U$11:U313,U313)-1)))</f>
        <v/>
      </c>
      <c r="W313" s="184"/>
      <c r="X313" s="5" t="str">
        <f>IF(L313="","",VLOOKUP($L313,classifications!$C:$J,6,FALSE))</f>
        <v/>
      </c>
      <c r="Y313" t="str">
        <f t="shared" si="128"/>
        <v/>
      </c>
      <c r="Z313" s="40" t="str">
        <f>IF(Y313="","",IF(I$8="A",(RANK(Y313,Y$11:Y$349,1)+COUNTIF(Y$11:Y313,Y313)-1),(RANK(Y313,Y$11:Y$349)+COUNTIF(Y$11:Y313,Y313)-1)))</f>
        <v/>
      </c>
      <c r="AA313" s="189" t="str">
        <f>IF(L313="","",VLOOKUP($L313,classifications!C:I,7,FALSE))</f>
        <v/>
      </c>
      <c r="AB313" s="183" t="str">
        <f t="shared" si="129"/>
        <v/>
      </c>
      <c r="AC313" s="183" t="str">
        <f>IF(AB313="","",IF($I$8="A",(RANK(AB313,AB$11:AB$349)+COUNTIF(AB$11:AB313,AB313)-1),(RANK(AB313,AB$11:AB$349,1)+COUNTIF(AB$11:AB313,AB313)-1)))</f>
        <v/>
      </c>
      <c r="AD313" s="183"/>
      <c r="AE313" s="49">
        <f>IF(I$8="A",(RANK(AG313,AG$11:AG$349,1)+COUNTIF(AG$11:AG313,AG313)-1),(RANK(AG313,AG$11:AG$349)+COUNTIF(AG$11:AG313,AG313)-1))</f>
        <v>303</v>
      </c>
      <c r="AF313" t="str">
        <f>VLOOKUP(Profile!$J$5,Families!$C:$R,6,FALSE)</f>
        <v>Herefordshire</v>
      </c>
      <c r="AG313" s="15">
        <f t="shared" si="130"/>
        <v>62.711864406779661</v>
      </c>
      <c r="AH313" s="50">
        <f t="shared" si="131"/>
        <v>303</v>
      </c>
      <c r="AI313" s="5" t="str">
        <f>IF(L313="","",VLOOKUP($L313,classifications!$C:$J,8,FALSE))</f>
        <v/>
      </c>
      <c r="AJ313" s="43" t="str">
        <f t="shared" si="132"/>
        <v/>
      </c>
      <c r="AK313" s="40" t="str">
        <f>IF(AJ313="","",IF(I$8="A",(RANK(AJ313,AJ$11:AJ$349,1)+COUNTIF(AJ$11:AJ313,AJ313)-1),(RANK(AJ313,AJ$11:AJ$349)+COUNTIF(AJ$11:AJ313,AJ313)-1)))</f>
        <v/>
      </c>
      <c r="AL313" s="3" t="str">
        <f t="shared" si="133"/>
        <v/>
      </c>
      <c r="AM313" t="str">
        <f t="shared" si="134"/>
        <v/>
      </c>
      <c r="AN313" t="str">
        <f t="shared" si="135"/>
        <v/>
      </c>
      <c r="AP313" s="5" t="str">
        <f>IF(L313="","",VLOOKUP($L313,classifications!$C:$E,3,FALSE))</f>
        <v/>
      </c>
      <c r="AQ313" s="43" t="str">
        <f t="shared" si="136"/>
        <v/>
      </c>
      <c r="AR313" s="40" t="str">
        <f>IF(AQ313="","",IF(I$8="A",(RANK(AQ313,AQ$11:AQ$349,1)+COUNTIF(AQ$11:AQ313,AQ313)-1),(RANK(AQ313,AQ$11:AQ$349)+COUNTIF(AQ$11:AQ313,AQ313)-1)))</f>
        <v/>
      </c>
      <c r="AS313" s="3" t="str">
        <f t="shared" si="137"/>
        <v/>
      </c>
      <c r="AT313" s="40" t="str">
        <f t="shared" si="138"/>
        <v/>
      </c>
      <c r="AU313" s="43" t="str">
        <f t="shared" si="139"/>
        <v/>
      </c>
      <c r="AX313">
        <f>HLOOKUP($AX$9&amp;$AX$10,Data!$A$1:$ZZ$1988,(MATCH($C313,Data!$A$1:$A$1988,0)),FALSE)</f>
        <v>93.939393939393938</v>
      </c>
    </row>
    <row r="314" spans="1:50">
      <c r="A314" s="59" t="str">
        <f>$D$1&amp;304</f>
        <v>UA304</v>
      </c>
      <c r="B314" s="60">
        <f>IF(ISERROR(VLOOKUP(A314,classifications!A:C,3,FALSE)),0,VLOOKUP(A314,classifications!A:C,3,FALSE))</f>
        <v>0</v>
      </c>
      <c r="C314" t="s">
        <v>174</v>
      </c>
      <c r="D314" t="str">
        <f>VLOOKUP($C314,classifications!$C:$J,4,FALSE)</f>
        <v>SD</v>
      </c>
      <c r="E314">
        <f>VLOOKUP(C314,classifications!C:K,9,FALSE)</f>
        <v>0</v>
      </c>
      <c r="F314">
        <f t="shared" si="116"/>
        <v>91.666666666666657</v>
      </c>
      <c r="G314" s="15"/>
      <c r="H314" s="42" t="str">
        <f t="shared" si="117"/>
        <v/>
      </c>
      <c r="I314" s="79" t="str">
        <f>IF(H314="","",IF($I$8="A",(RANK(H314,H$11:H$349,1)+COUNTIF(H$11:H314,H314)-1),(RANK(H314,H$11:H$349)+COUNTIF(H$11:H314,H314)-1)))</f>
        <v/>
      </c>
      <c r="J314" s="41"/>
      <c r="K314" s="36" t="str">
        <f t="shared" si="118"/>
        <v/>
      </c>
      <c r="L314" t="str">
        <f t="shared" si="119"/>
        <v/>
      </c>
      <c r="M314" s="117" t="str">
        <f t="shared" si="120"/>
        <v/>
      </c>
      <c r="N314" s="112" t="str">
        <f t="shared" si="121"/>
        <v/>
      </c>
      <c r="O314" s="96" t="str">
        <f t="shared" si="122"/>
        <v/>
      </c>
      <c r="P314" s="96" t="str">
        <f t="shared" si="123"/>
        <v/>
      </c>
      <c r="Q314" s="96" t="str">
        <f t="shared" si="124"/>
        <v/>
      </c>
      <c r="R314" s="92" t="str">
        <f t="shared" si="125"/>
        <v/>
      </c>
      <c r="S314" s="42" t="str">
        <f t="shared" si="126"/>
        <v/>
      </c>
      <c r="T314" s="176" t="str">
        <f>IF(L314="","",VLOOKUP(L314,classifications!C:K,9,FALSE))</f>
        <v/>
      </c>
      <c r="U314" s="177" t="str">
        <f t="shared" si="127"/>
        <v/>
      </c>
      <c r="V314" s="183" t="str">
        <f>IF(U314="","",IF($I$8="A",(RANK(U314,U$11:U$349)+COUNTIF(U$11:U314,U314)-1),(RANK(U314,U$11:U$349,1)+COUNTIF(U$11:U314,U314)-1)))</f>
        <v/>
      </c>
      <c r="W314" s="184"/>
      <c r="X314" s="5" t="str">
        <f>IF(L314="","",VLOOKUP($L314,classifications!$C:$J,6,FALSE))</f>
        <v/>
      </c>
      <c r="Y314" t="str">
        <f t="shared" si="128"/>
        <v/>
      </c>
      <c r="Z314" s="40" t="str">
        <f>IF(Y314="","",IF(I$8="A",(RANK(Y314,Y$11:Y$349,1)+COUNTIF(Y$11:Y314,Y314)-1),(RANK(Y314,Y$11:Y$349)+COUNTIF(Y$11:Y314,Y314)-1)))</f>
        <v/>
      </c>
      <c r="AA314" s="189" t="str">
        <f>IF(L314="","",VLOOKUP($L314,classifications!C:I,7,FALSE))</f>
        <v/>
      </c>
      <c r="AB314" s="183" t="str">
        <f t="shared" si="129"/>
        <v/>
      </c>
      <c r="AC314" s="183" t="str">
        <f>IF(AB314="","",IF($I$8="A",(RANK(AB314,AB$11:AB$349)+COUNTIF(AB$11:AB314,AB314)-1),(RANK(AB314,AB$11:AB$349,1)+COUNTIF(AB$11:AB314,AB314)-1)))</f>
        <v/>
      </c>
      <c r="AD314" s="183"/>
      <c r="AE314" s="49">
        <f>IF(I$8="A",(RANK(AG314,AG$11:AG$349,1)+COUNTIF(AG$11:AG314,AG314)-1),(RANK(AG314,AG$11:AG$349)+COUNTIF(AG$11:AG314,AG314)-1))</f>
        <v>304</v>
      </c>
      <c r="AF314" t="str">
        <f>VLOOKUP(Profile!$J$5,Families!$C:$R,6,FALSE)</f>
        <v>Herefordshire</v>
      </c>
      <c r="AG314" s="15">
        <f t="shared" si="130"/>
        <v>62.711864406779661</v>
      </c>
      <c r="AH314" s="50">
        <f t="shared" si="131"/>
        <v>304</v>
      </c>
      <c r="AI314" s="5" t="str">
        <f>IF(L314="","",VLOOKUP($L314,classifications!$C:$J,8,FALSE))</f>
        <v/>
      </c>
      <c r="AJ314" s="43" t="str">
        <f t="shared" si="132"/>
        <v/>
      </c>
      <c r="AK314" s="40" t="str">
        <f>IF(AJ314="","",IF(I$8="A",(RANK(AJ314,AJ$11:AJ$349,1)+COUNTIF(AJ$11:AJ314,AJ314)-1),(RANK(AJ314,AJ$11:AJ$349)+COUNTIF(AJ$11:AJ314,AJ314)-1)))</f>
        <v/>
      </c>
      <c r="AL314" s="3" t="str">
        <f t="shared" si="133"/>
        <v/>
      </c>
      <c r="AM314" t="str">
        <f t="shared" si="134"/>
        <v/>
      </c>
      <c r="AN314" t="str">
        <f t="shared" si="135"/>
        <v/>
      </c>
      <c r="AP314" s="5" t="str">
        <f>IF(L314="","",VLOOKUP($L314,classifications!$C:$E,3,FALSE))</f>
        <v/>
      </c>
      <c r="AQ314" s="43" t="str">
        <f t="shared" si="136"/>
        <v/>
      </c>
      <c r="AR314" s="40" t="str">
        <f>IF(AQ314="","",IF(I$8="A",(RANK(AQ314,AQ$11:AQ$349,1)+COUNTIF(AQ$11:AQ314,AQ314)-1),(RANK(AQ314,AQ$11:AQ$349)+COUNTIF(AQ$11:AQ314,AQ314)-1)))</f>
        <v/>
      </c>
      <c r="AS314" s="3" t="str">
        <f t="shared" si="137"/>
        <v/>
      </c>
      <c r="AT314" s="40" t="str">
        <f t="shared" si="138"/>
        <v/>
      </c>
      <c r="AU314" s="43" t="str">
        <f t="shared" si="139"/>
        <v/>
      </c>
      <c r="AX314">
        <f>HLOOKUP($AX$9&amp;$AX$10,Data!$A$1:$ZZ$1988,(MATCH($C314,Data!$A$1:$A$1988,0)),FALSE)</f>
        <v>91.666666666666657</v>
      </c>
    </row>
    <row r="315" spans="1:50">
      <c r="A315" s="59" t="str">
        <f>$D$1&amp;305</f>
        <v>UA305</v>
      </c>
      <c r="B315" s="60">
        <f>IF(ISERROR(VLOOKUP(A315,classifications!A:C,3,FALSE)),0,VLOOKUP(A315,classifications!A:C,3,FALSE))</f>
        <v>0</v>
      </c>
      <c r="C315" t="s">
        <v>330</v>
      </c>
      <c r="D315" t="str">
        <f>VLOOKUP($C315,classifications!$C:$J,4,FALSE)</f>
        <v>SC</v>
      </c>
      <c r="E315">
        <f>VLOOKUP(C315,classifications!C:K,9,FALSE)</f>
        <v>0</v>
      </c>
      <c r="F315" t="e">
        <f t="shared" si="116"/>
        <v>#N/A</v>
      </c>
      <c r="G315" s="15"/>
      <c r="H315" s="42" t="str">
        <f t="shared" si="117"/>
        <v/>
      </c>
      <c r="I315" s="79" t="str">
        <f>IF(H315="","",IF($I$8="A",(RANK(H315,H$11:H$349,1)+COUNTIF(H$11:H315,H315)-1),(RANK(H315,H$11:H$349)+COUNTIF(H$11:H315,H315)-1)))</f>
        <v/>
      </c>
      <c r="J315" s="41"/>
      <c r="K315" s="36" t="str">
        <f t="shared" si="118"/>
        <v/>
      </c>
      <c r="L315" t="str">
        <f t="shared" si="119"/>
        <v/>
      </c>
      <c r="M315" s="117" t="str">
        <f t="shared" si="120"/>
        <v/>
      </c>
      <c r="N315" s="112" t="str">
        <f t="shared" si="121"/>
        <v/>
      </c>
      <c r="O315" s="96" t="str">
        <f t="shared" si="122"/>
        <v/>
      </c>
      <c r="P315" s="96" t="str">
        <f t="shared" si="123"/>
        <v/>
      </c>
      <c r="Q315" s="96" t="str">
        <f t="shared" si="124"/>
        <v/>
      </c>
      <c r="R315" s="92" t="str">
        <f t="shared" si="125"/>
        <v/>
      </c>
      <c r="S315" s="42" t="str">
        <f t="shared" si="126"/>
        <v/>
      </c>
      <c r="T315" s="176" t="str">
        <f>IF(L315="","",VLOOKUP(L315,classifications!C:K,9,FALSE))</f>
        <v/>
      </c>
      <c r="U315" s="177" t="str">
        <f t="shared" si="127"/>
        <v/>
      </c>
      <c r="V315" s="183" t="str">
        <f>IF(U315="","",IF($I$8="A",(RANK(U315,U$11:U$349)+COUNTIF(U$11:U315,U315)-1),(RANK(U315,U$11:U$349,1)+COUNTIF(U$11:U315,U315)-1)))</f>
        <v/>
      </c>
      <c r="W315" s="184"/>
      <c r="X315" s="5" t="str">
        <f>IF(L315="","",VLOOKUP($L315,classifications!$C:$J,6,FALSE))</f>
        <v/>
      </c>
      <c r="Y315" t="str">
        <f t="shared" si="128"/>
        <v/>
      </c>
      <c r="Z315" s="40" t="str">
        <f>IF(Y315="","",IF(I$8="A",(RANK(Y315,Y$11:Y$349,1)+COUNTIF(Y$11:Y315,Y315)-1),(RANK(Y315,Y$11:Y$349)+COUNTIF(Y$11:Y315,Y315)-1)))</f>
        <v/>
      </c>
      <c r="AA315" s="189" t="str">
        <f>IF(L315="","",VLOOKUP($L315,classifications!C:I,7,FALSE))</f>
        <v/>
      </c>
      <c r="AB315" s="183" t="str">
        <f t="shared" si="129"/>
        <v/>
      </c>
      <c r="AC315" s="183" t="str">
        <f>IF(AB315="","",IF($I$8="A",(RANK(AB315,AB$11:AB$349)+COUNTIF(AB$11:AB315,AB315)-1),(RANK(AB315,AB$11:AB$349,1)+COUNTIF(AB$11:AB315,AB315)-1)))</f>
        <v/>
      </c>
      <c r="AD315" s="183"/>
      <c r="AE315" s="49">
        <f>IF(I$8="A",(RANK(AG315,AG$11:AG$349,1)+COUNTIF(AG$11:AG315,AG315)-1),(RANK(AG315,AG$11:AG$349)+COUNTIF(AG$11:AG315,AG315)-1))</f>
        <v>305</v>
      </c>
      <c r="AF315" t="str">
        <f>VLOOKUP(Profile!$J$5,Families!$C:$R,6,FALSE)</f>
        <v>Herefordshire</v>
      </c>
      <c r="AG315" s="15">
        <f t="shared" si="130"/>
        <v>62.711864406779661</v>
      </c>
      <c r="AH315" s="50">
        <f t="shared" si="131"/>
        <v>305</v>
      </c>
      <c r="AI315" s="5" t="str">
        <f>IF(L315="","",VLOOKUP($L315,classifications!$C:$J,8,FALSE))</f>
        <v/>
      </c>
      <c r="AJ315" s="43" t="str">
        <f t="shared" si="132"/>
        <v/>
      </c>
      <c r="AK315" s="40" t="str">
        <f>IF(AJ315="","",IF(I$8="A",(RANK(AJ315,AJ$11:AJ$349,1)+COUNTIF(AJ$11:AJ315,AJ315)-1),(RANK(AJ315,AJ$11:AJ$349)+COUNTIF(AJ$11:AJ315,AJ315)-1)))</f>
        <v/>
      </c>
      <c r="AL315" s="3" t="str">
        <f t="shared" si="133"/>
        <v/>
      </c>
      <c r="AM315" t="str">
        <f t="shared" si="134"/>
        <v/>
      </c>
      <c r="AN315" t="str">
        <f t="shared" si="135"/>
        <v/>
      </c>
      <c r="AP315" s="5" t="str">
        <f>IF(L315="","",VLOOKUP($L315,classifications!$C:$E,3,FALSE))</f>
        <v/>
      </c>
      <c r="AQ315" s="43" t="str">
        <f t="shared" si="136"/>
        <v/>
      </c>
      <c r="AR315" s="40" t="str">
        <f>IF(AQ315="","",IF(I$8="A",(RANK(AQ315,AQ$11:AQ$349,1)+COUNTIF(AQ$11:AQ315,AQ315)-1),(RANK(AQ315,AQ$11:AQ$349)+COUNTIF(AQ$11:AQ315,AQ315)-1)))</f>
        <v/>
      </c>
      <c r="AS315" s="3" t="str">
        <f t="shared" si="137"/>
        <v/>
      </c>
      <c r="AT315" s="40" t="str">
        <f t="shared" si="138"/>
        <v/>
      </c>
      <c r="AU315" s="43" t="str">
        <f t="shared" si="139"/>
        <v/>
      </c>
      <c r="AX315" t="e">
        <f>HLOOKUP($AX$9&amp;$AX$10,Data!$A$1:$ZZ$1988,(MATCH($C315,Data!$A$1:$A$1988,0)),FALSE)</f>
        <v>#N/A</v>
      </c>
    </row>
    <row r="316" spans="1:50">
      <c r="A316" s="59" t="str">
        <f>$D$1&amp;306</f>
        <v>UA306</v>
      </c>
      <c r="B316" s="60">
        <f>IF(ISERROR(VLOOKUP(A316,classifications!A:C,3,FALSE)),0,VLOOKUP(A316,classifications!A:C,3,FALSE))</f>
        <v>0</v>
      </c>
      <c r="C316" t="s">
        <v>175</v>
      </c>
      <c r="D316" t="str">
        <f>VLOOKUP($C316,classifications!$C:$J,4,FALSE)</f>
        <v>SD</v>
      </c>
      <c r="E316">
        <f>VLOOKUP(C316,classifications!C:K,9,FALSE)</f>
        <v>0</v>
      </c>
      <c r="F316">
        <f t="shared" si="116"/>
        <v>28.571428571428569</v>
      </c>
      <c r="G316" s="15"/>
      <c r="H316" s="42" t="str">
        <f t="shared" si="117"/>
        <v/>
      </c>
      <c r="I316" s="79" t="str">
        <f>IF(H316="","",IF($I$8="A",(RANK(H316,H$11:H$349,1)+COUNTIF(H$11:H316,H316)-1),(RANK(H316,H$11:H$349)+COUNTIF(H$11:H316,H316)-1)))</f>
        <v/>
      </c>
      <c r="J316" s="41"/>
      <c r="K316" s="36" t="str">
        <f t="shared" si="118"/>
        <v/>
      </c>
      <c r="L316" t="str">
        <f t="shared" si="119"/>
        <v/>
      </c>
      <c r="M316" s="117" t="str">
        <f t="shared" si="120"/>
        <v/>
      </c>
      <c r="N316" s="112" t="str">
        <f t="shared" si="121"/>
        <v/>
      </c>
      <c r="O316" s="96" t="str">
        <f t="shared" si="122"/>
        <v/>
      </c>
      <c r="P316" s="96" t="str">
        <f t="shared" si="123"/>
        <v/>
      </c>
      <c r="Q316" s="96" t="str">
        <f t="shared" si="124"/>
        <v/>
      </c>
      <c r="R316" s="92" t="str">
        <f t="shared" si="125"/>
        <v/>
      </c>
      <c r="S316" s="42" t="str">
        <f t="shared" si="126"/>
        <v/>
      </c>
      <c r="T316" s="176" t="str">
        <f>IF(L316="","",VLOOKUP(L316,classifications!C:K,9,FALSE))</f>
        <v/>
      </c>
      <c r="U316" s="177" t="str">
        <f t="shared" si="127"/>
        <v/>
      </c>
      <c r="V316" s="183" t="str">
        <f>IF(U316="","",IF($I$8="A",(RANK(U316,U$11:U$349)+COUNTIF(U$11:U316,U316)-1),(RANK(U316,U$11:U$349,1)+COUNTIF(U$11:U316,U316)-1)))</f>
        <v/>
      </c>
      <c r="W316" s="184"/>
      <c r="X316" s="5" t="str">
        <f>IF(L316="","",VLOOKUP($L316,classifications!$C:$J,6,FALSE))</f>
        <v/>
      </c>
      <c r="Y316" t="str">
        <f t="shared" si="128"/>
        <v/>
      </c>
      <c r="Z316" s="40" t="str">
        <f>IF(Y316="","",IF(I$8="A",(RANK(Y316,Y$11:Y$349,1)+COUNTIF(Y$11:Y316,Y316)-1),(RANK(Y316,Y$11:Y$349)+COUNTIF(Y$11:Y316,Y316)-1)))</f>
        <v/>
      </c>
      <c r="AA316" s="189" t="str">
        <f>IF(L316="","",VLOOKUP($L316,classifications!C:I,7,FALSE))</f>
        <v/>
      </c>
      <c r="AB316" s="183" t="str">
        <f t="shared" si="129"/>
        <v/>
      </c>
      <c r="AC316" s="183" t="str">
        <f>IF(AB316="","",IF($I$8="A",(RANK(AB316,AB$11:AB$349)+COUNTIF(AB$11:AB316,AB316)-1),(RANK(AB316,AB$11:AB$349,1)+COUNTIF(AB$11:AB316,AB316)-1)))</f>
        <v/>
      </c>
      <c r="AD316" s="183"/>
      <c r="AE316" s="49">
        <f>IF(I$8="A",(RANK(AG316,AG$11:AG$349,1)+COUNTIF(AG$11:AG316,AG316)-1),(RANK(AG316,AG$11:AG$349)+COUNTIF(AG$11:AG316,AG316)-1))</f>
        <v>306</v>
      </c>
      <c r="AF316" t="str">
        <f>VLOOKUP(Profile!$J$5,Families!$C:$R,6,FALSE)</f>
        <v>Herefordshire</v>
      </c>
      <c r="AG316" s="15">
        <f t="shared" si="130"/>
        <v>62.711864406779661</v>
      </c>
      <c r="AH316" s="50">
        <f t="shared" si="131"/>
        <v>306</v>
      </c>
      <c r="AI316" s="5" t="str">
        <f>IF(L316="","",VLOOKUP($L316,classifications!$C:$J,8,FALSE))</f>
        <v/>
      </c>
      <c r="AJ316" s="43" t="str">
        <f t="shared" si="132"/>
        <v/>
      </c>
      <c r="AK316" s="40" t="str">
        <f>IF(AJ316="","",IF(I$8="A",(RANK(AJ316,AJ$11:AJ$349,1)+COUNTIF(AJ$11:AJ316,AJ316)-1),(RANK(AJ316,AJ$11:AJ$349)+COUNTIF(AJ$11:AJ316,AJ316)-1)))</f>
        <v/>
      </c>
      <c r="AL316" s="3" t="str">
        <f t="shared" si="133"/>
        <v/>
      </c>
      <c r="AM316" t="str">
        <f t="shared" si="134"/>
        <v/>
      </c>
      <c r="AN316" t="str">
        <f t="shared" si="135"/>
        <v/>
      </c>
      <c r="AP316" s="5" t="str">
        <f>IF(L316="","",VLOOKUP($L316,classifications!$C:$E,3,FALSE))</f>
        <v/>
      </c>
      <c r="AQ316" s="43" t="str">
        <f t="shared" si="136"/>
        <v/>
      </c>
      <c r="AR316" s="40" t="str">
        <f>IF(AQ316="","",IF(I$8="A",(RANK(AQ316,AQ$11:AQ$349,1)+COUNTIF(AQ$11:AQ316,AQ316)-1),(RANK(AQ316,AQ$11:AQ$349)+COUNTIF(AQ$11:AQ316,AQ316)-1)))</f>
        <v/>
      </c>
      <c r="AS316" s="3" t="str">
        <f t="shared" si="137"/>
        <v/>
      </c>
      <c r="AT316" s="40" t="str">
        <f t="shared" si="138"/>
        <v/>
      </c>
      <c r="AU316" s="43" t="str">
        <f t="shared" si="139"/>
        <v/>
      </c>
      <c r="AX316">
        <f>HLOOKUP($AX$9&amp;$AX$10,Data!$A$1:$ZZ$1988,(MATCH($C316,Data!$A$1:$A$1988,0)),FALSE)</f>
        <v>28.571428571428569</v>
      </c>
    </row>
    <row r="317" spans="1:50">
      <c r="A317" s="59" t="str">
        <f>$D$1&amp;307</f>
        <v>UA307</v>
      </c>
      <c r="B317" s="60">
        <f>IF(ISERROR(VLOOKUP(A317,classifications!A:C,3,FALSE)),0,VLOOKUP(A317,classifications!A:C,3,FALSE))</f>
        <v>0</v>
      </c>
      <c r="C317" t="s">
        <v>177</v>
      </c>
      <c r="D317" t="str">
        <f>VLOOKUP($C317,classifications!$C:$J,4,FALSE)</f>
        <v>SD</v>
      </c>
      <c r="E317">
        <f>VLOOKUP(C317,classifications!C:K,9,FALSE)</f>
        <v>0</v>
      </c>
      <c r="F317">
        <f t="shared" si="116"/>
        <v>84.782608695652172</v>
      </c>
      <c r="G317" s="15"/>
      <c r="H317" s="42" t="str">
        <f t="shared" si="117"/>
        <v/>
      </c>
      <c r="I317" s="79" t="str">
        <f>IF(H317="","",IF($I$8="A",(RANK(H317,H$11:H$349,1)+COUNTIF(H$11:H317,H317)-1),(RANK(H317,H$11:H$349)+COUNTIF(H$11:H317,H317)-1)))</f>
        <v/>
      </c>
      <c r="J317" s="41"/>
      <c r="K317" s="36" t="str">
        <f t="shared" si="118"/>
        <v/>
      </c>
      <c r="L317" t="str">
        <f t="shared" si="119"/>
        <v/>
      </c>
      <c r="M317" s="117" t="str">
        <f t="shared" si="120"/>
        <v/>
      </c>
      <c r="N317" s="112" t="str">
        <f t="shared" si="121"/>
        <v/>
      </c>
      <c r="O317" s="96" t="str">
        <f t="shared" si="122"/>
        <v/>
      </c>
      <c r="P317" s="96" t="str">
        <f t="shared" si="123"/>
        <v/>
      </c>
      <c r="Q317" s="96" t="str">
        <f t="shared" si="124"/>
        <v/>
      </c>
      <c r="R317" s="92" t="str">
        <f t="shared" si="125"/>
        <v/>
      </c>
      <c r="S317" s="42" t="str">
        <f t="shared" si="126"/>
        <v/>
      </c>
      <c r="T317" s="176" t="str">
        <f>IF(L317="","",VLOOKUP(L317,classifications!C:K,9,FALSE))</f>
        <v/>
      </c>
      <c r="U317" s="177" t="str">
        <f t="shared" si="127"/>
        <v/>
      </c>
      <c r="V317" s="183" t="str">
        <f>IF(U317="","",IF($I$8="A",(RANK(U317,U$11:U$349)+COUNTIF(U$11:U317,U317)-1),(RANK(U317,U$11:U$349,1)+COUNTIF(U$11:U317,U317)-1)))</f>
        <v/>
      </c>
      <c r="W317" s="184"/>
      <c r="X317" s="5" t="str">
        <f>IF(L317="","",VLOOKUP($L317,classifications!$C:$J,6,FALSE))</f>
        <v/>
      </c>
      <c r="Y317" t="str">
        <f t="shared" si="128"/>
        <v/>
      </c>
      <c r="Z317" s="40" t="str">
        <f>IF(Y317="","",IF(I$8="A",(RANK(Y317,Y$11:Y$349,1)+COUNTIF(Y$11:Y317,Y317)-1),(RANK(Y317,Y$11:Y$349)+COUNTIF(Y$11:Y317,Y317)-1)))</f>
        <v/>
      </c>
      <c r="AA317" s="189" t="str">
        <f>IF(L317="","",VLOOKUP($L317,classifications!C:I,7,FALSE))</f>
        <v/>
      </c>
      <c r="AB317" s="183" t="str">
        <f t="shared" si="129"/>
        <v/>
      </c>
      <c r="AC317" s="183" t="str">
        <f>IF(AB317="","",IF($I$8="A",(RANK(AB317,AB$11:AB$349)+COUNTIF(AB$11:AB317,AB317)-1),(RANK(AB317,AB$11:AB$349,1)+COUNTIF(AB$11:AB317,AB317)-1)))</f>
        <v/>
      </c>
      <c r="AD317" s="183"/>
      <c r="AE317" s="49">
        <f>IF(I$8="A",(RANK(AG317,AG$11:AG$349,1)+COUNTIF(AG$11:AG317,AG317)-1),(RANK(AG317,AG$11:AG$349)+COUNTIF(AG$11:AG317,AG317)-1))</f>
        <v>307</v>
      </c>
      <c r="AF317" t="str">
        <f>VLOOKUP(Profile!$J$5,Families!$C:$R,6,FALSE)</f>
        <v>Herefordshire</v>
      </c>
      <c r="AG317" s="15">
        <f t="shared" si="130"/>
        <v>62.711864406779661</v>
      </c>
      <c r="AH317" s="50">
        <f t="shared" si="131"/>
        <v>307</v>
      </c>
      <c r="AI317" s="5" t="str">
        <f>IF(L317="","",VLOOKUP($L317,classifications!$C:$J,8,FALSE))</f>
        <v/>
      </c>
      <c r="AJ317" s="43" t="str">
        <f t="shared" si="132"/>
        <v/>
      </c>
      <c r="AK317" s="40" t="str">
        <f>IF(AJ317="","",IF(I$8="A",(RANK(AJ317,AJ$11:AJ$349,1)+COUNTIF(AJ$11:AJ317,AJ317)-1),(RANK(AJ317,AJ$11:AJ$349)+COUNTIF(AJ$11:AJ317,AJ317)-1)))</f>
        <v/>
      </c>
      <c r="AL317" s="3" t="str">
        <f t="shared" si="133"/>
        <v/>
      </c>
      <c r="AM317" t="str">
        <f t="shared" si="134"/>
        <v/>
      </c>
      <c r="AN317" t="str">
        <f t="shared" si="135"/>
        <v/>
      </c>
      <c r="AP317" s="5" t="str">
        <f>IF(L317="","",VLOOKUP($L317,classifications!$C:$E,3,FALSE))</f>
        <v/>
      </c>
      <c r="AQ317" s="43" t="str">
        <f t="shared" si="136"/>
        <v/>
      </c>
      <c r="AR317" s="40" t="str">
        <f>IF(AQ317="","",IF(I$8="A",(RANK(AQ317,AQ$11:AQ$349,1)+COUNTIF(AQ$11:AQ317,AQ317)-1),(RANK(AQ317,AQ$11:AQ$349)+COUNTIF(AQ$11:AQ317,AQ317)-1)))</f>
        <v/>
      </c>
      <c r="AS317" s="3" t="str">
        <f t="shared" si="137"/>
        <v/>
      </c>
      <c r="AT317" s="40" t="str">
        <f t="shared" si="138"/>
        <v/>
      </c>
      <c r="AU317" s="43" t="str">
        <f t="shared" si="139"/>
        <v/>
      </c>
      <c r="AX317">
        <f>HLOOKUP($AX$9&amp;$AX$10,Data!$A$1:$ZZ$1988,(MATCH($C317,Data!$A$1:$A$1988,0)),FALSE)</f>
        <v>84.782608695652172</v>
      </c>
    </row>
    <row r="318" spans="1:50">
      <c r="A318" s="59" t="str">
        <f>$D$1&amp;308</f>
        <v>UA308</v>
      </c>
      <c r="B318" s="60">
        <f>IF(ISERROR(VLOOKUP(A318,classifications!A:C,3,FALSE)),0,VLOOKUP(A318,classifications!A:C,3,FALSE))</f>
        <v>0</v>
      </c>
      <c r="C318" t="s">
        <v>178</v>
      </c>
      <c r="D318" t="str">
        <f>VLOOKUP($C318,classifications!$C:$J,4,FALSE)</f>
        <v>SD</v>
      </c>
      <c r="E318" t="str">
        <f>VLOOKUP(C318,classifications!C:K,9,FALSE)</f>
        <v>Sparse</v>
      </c>
      <c r="F318">
        <f t="shared" si="116"/>
        <v>91.044776119402982</v>
      </c>
      <c r="G318" s="15"/>
      <c r="H318" s="42" t="str">
        <f t="shared" si="117"/>
        <v/>
      </c>
      <c r="I318" s="79" t="str">
        <f>IF(H318="","",IF($I$8="A",(RANK(H318,H$11:H$349,1)+COUNTIF(H$11:H318,H318)-1),(RANK(H318,H$11:H$349)+COUNTIF(H$11:H318,H318)-1)))</f>
        <v/>
      </c>
      <c r="J318" s="41"/>
      <c r="K318" s="36" t="str">
        <f t="shared" si="118"/>
        <v/>
      </c>
      <c r="L318" t="str">
        <f t="shared" si="119"/>
        <v/>
      </c>
      <c r="M318" s="117" t="str">
        <f t="shared" si="120"/>
        <v/>
      </c>
      <c r="N318" s="112" t="str">
        <f t="shared" si="121"/>
        <v/>
      </c>
      <c r="O318" s="96" t="str">
        <f t="shared" si="122"/>
        <v/>
      </c>
      <c r="P318" s="96" t="str">
        <f t="shared" si="123"/>
        <v/>
      </c>
      <c r="Q318" s="96" t="str">
        <f t="shared" si="124"/>
        <v/>
      </c>
      <c r="R318" s="92" t="str">
        <f t="shared" si="125"/>
        <v/>
      </c>
      <c r="S318" s="42" t="str">
        <f t="shared" si="126"/>
        <v/>
      </c>
      <c r="T318" s="176" t="str">
        <f>IF(L318="","",VLOOKUP(L318,classifications!C:K,9,FALSE))</f>
        <v/>
      </c>
      <c r="U318" s="177" t="str">
        <f t="shared" si="127"/>
        <v/>
      </c>
      <c r="V318" s="183" t="str">
        <f>IF(U318="","",IF($I$8="A",(RANK(U318,U$11:U$349)+COUNTIF(U$11:U318,U318)-1),(RANK(U318,U$11:U$349,1)+COUNTIF(U$11:U318,U318)-1)))</f>
        <v/>
      </c>
      <c r="W318" s="184"/>
      <c r="X318" s="5" t="str">
        <f>IF(L318="","",VLOOKUP($L318,classifications!$C:$J,6,FALSE))</f>
        <v/>
      </c>
      <c r="Y318" t="str">
        <f t="shared" si="128"/>
        <v/>
      </c>
      <c r="Z318" s="40" t="str">
        <f>IF(Y318="","",IF(I$8="A",(RANK(Y318,Y$11:Y$349,1)+COUNTIF(Y$11:Y318,Y318)-1),(RANK(Y318,Y$11:Y$349)+COUNTIF(Y$11:Y318,Y318)-1)))</f>
        <v/>
      </c>
      <c r="AA318" s="189" t="str">
        <f>IF(L318="","",VLOOKUP($L318,classifications!C:I,7,FALSE))</f>
        <v/>
      </c>
      <c r="AB318" s="183" t="str">
        <f t="shared" si="129"/>
        <v/>
      </c>
      <c r="AC318" s="183" t="str">
        <f>IF(AB318="","",IF($I$8="A",(RANK(AB318,AB$11:AB$349)+COUNTIF(AB$11:AB318,AB318)-1),(RANK(AB318,AB$11:AB$349,1)+COUNTIF(AB$11:AB318,AB318)-1)))</f>
        <v/>
      </c>
      <c r="AD318" s="183"/>
      <c r="AE318" s="49">
        <f>IF(I$8="A",(RANK(AG318,AG$11:AG$349,1)+COUNTIF(AG$11:AG318,AG318)-1),(RANK(AG318,AG$11:AG$349)+COUNTIF(AG$11:AG318,AG318)-1))</f>
        <v>308</v>
      </c>
      <c r="AF318" t="str">
        <f>VLOOKUP(Profile!$J$5,Families!$C:$R,6,FALSE)</f>
        <v>Herefordshire</v>
      </c>
      <c r="AG318" s="15">
        <f t="shared" si="130"/>
        <v>62.711864406779661</v>
      </c>
      <c r="AH318" s="50">
        <f t="shared" si="131"/>
        <v>308</v>
      </c>
      <c r="AI318" s="5" t="str">
        <f>IF(L318="","",VLOOKUP($L318,classifications!$C:$J,8,FALSE))</f>
        <v/>
      </c>
      <c r="AJ318" s="43" t="str">
        <f t="shared" si="132"/>
        <v/>
      </c>
      <c r="AK318" s="40" t="str">
        <f>IF(AJ318="","",IF(I$8="A",(RANK(AJ318,AJ$11:AJ$349,1)+COUNTIF(AJ$11:AJ318,AJ318)-1),(RANK(AJ318,AJ$11:AJ$349)+COUNTIF(AJ$11:AJ318,AJ318)-1)))</f>
        <v/>
      </c>
      <c r="AL318" s="3" t="str">
        <f t="shared" si="133"/>
        <v/>
      </c>
      <c r="AM318" t="str">
        <f t="shared" si="134"/>
        <v/>
      </c>
      <c r="AN318" t="str">
        <f t="shared" si="135"/>
        <v/>
      </c>
      <c r="AP318" s="5" t="str">
        <f>IF(L318="","",VLOOKUP($L318,classifications!$C:$E,3,FALSE))</f>
        <v/>
      </c>
      <c r="AQ318" s="43" t="str">
        <f t="shared" si="136"/>
        <v/>
      </c>
      <c r="AR318" s="40" t="str">
        <f>IF(AQ318="","",IF(I$8="A",(RANK(AQ318,AQ$11:AQ$349,1)+COUNTIF(AQ$11:AQ318,AQ318)-1),(RANK(AQ318,AQ$11:AQ$349)+COUNTIF(AQ$11:AQ318,AQ318)-1)))</f>
        <v/>
      </c>
      <c r="AS318" s="3" t="str">
        <f t="shared" si="137"/>
        <v/>
      </c>
      <c r="AT318" s="40" t="str">
        <f t="shared" si="138"/>
        <v/>
      </c>
      <c r="AU318" s="43" t="str">
        <f t="shared" si="139"/>
        <v/>
      </c>
      <c r="AX318">
        <f>HLOOKUP($AX$9&amp;$AX$10,Data!$A$1:$ZZ$1988,(MATCH($C318,Data!$A$1:$A$1988,0)),FALSE)</f>
        <v>91.044776119402982</v>
      </c>
    </row>
    <row r="319" spans="1:50">
      <c r="A319" s="59" t="str">
        <f>$D$1&amp;309</f>
        <v>UA309</v>
      </c>
      <c r="B319" s="60">
        <f>IF(ISERROR(VLOOKUP(A319,classifications!A:C,3,FALSE)),0,VLOOKUP(A319,classifications!A:C,3,FALSE))</f>
        <v>0</v>
      </c>
      <c r="C319" t="s">
        <v>180</v>
      </c>
      <c r="D319" t="str">
        <f>VLOOKUP($C319,classifications!$C:$J,4,FALSE)</f>
        <v>SD</v>
      </c>
      <c r="E319">
        <f>VLOOKUP(C319,classifications!C:K,9,FALSE)</f>
        <v>0</v>
      </c>
      <c r="F319">
        <f t="shared" si="116"/>
        <v>82.142857142857139</v>
      </c>
      <c r="G319" s="15"/>
      <c r="H319" s="42" t="str">
        <f t="shared" si="117"/>
        <v/>
      </c>
      <c r="I319" s="79" t="str">
        <f>IF(H319="","",IF($I$8="A",(RANK(H319,H$11:H$349,1)+COUNTIF(H$11:H319,H319)-1),(RANK(H319,H$11:H$349)+COUNTIF(H$11:H319,H319)-1)))</f>
        <v/>
      </c>
      <c r="J319" s="41"/>
      <c r="K319" s="36" t="str">
        <f t="shared" si="118"/>
        <v/>
      </c>
      <c r="L319" t="str">
        <f t="shared" si="119"/>
        <v/>
      </c>
      <c r="M319" s="117" t="str">
        <f t="shared" si="120"/>
        <v/>
      </c>
      <c r="N319" s="112" t="str">
        <f t="shared" si="121"/>
        <v/>
      </c>
      <c r="O319" s="96" t="str">
        <f t="shared" si="122"/>
        <v/>
      </c>
      <c r="P319" s="96" t="str">
        <f t="shared" si="123"/>
        <v/>
      </c>
      <c r="Q319" s="96" t="str">
        <f t="shared" si="124"/>
        <v/>
      </c>
      <c r="R319" s="92" t="str">
        <f t="shared" si="125"/>
        <v/>
      </c>
      <c r="S319" s="42" t="str">
        <f t="shared" si="126"/>
        <v/>
      </c>
      <c r="T319" s="176" t="str">
        <f>IF(L319="","",VLOOKUP(L319,classifications!C:K,9,FALSE))</f>
        <v/>
      </c>
      <c r="U319" s="177" t="str">
        <f t="shared" si="127"/>
        <v/>
      </c>
      <c r="V319" s="183" t="str">
        <f>IF(U319="","",IF($I$8="A",(RANK(U319,U$11:U$349)+COUNTIF(U$11:U319,U319)-1),(RANK(U319,U$11:U$349,1)+COUNTIF(U$11:U319,U319)-1)))</f>
        <v/>
      </c>
      <c r="W319" s="184"/>
      <c r="X319" s="5" t="str">
        <f>IF(L319="","",VLOOKUP($L319,classifications!$C:$J,6,FALSE))</f>
        <v/>
      </c>
      <c r="Y319" t="str">
        <f t="shared" si="128"/>
        <v/>
      </c>
      <c r="Z319" s="40" t="str">
        <f>IF(Y319="","",IF(I$8="A",(RANK(Y319,Y$11:Y$349,1)+COUNTIF(Y$11:Y319,Y319)-1),(RANK(Y319,Y$11:Y$349)+COUNTIF(Y$11:Y319,Y319)-1)))</f>
        <v/>
      </c>
      <c r="AA319" s="189" t="str">
        <f>IF(L319="","",VLOOKUP($L319,classifications!C:I,7,FALSE))</f>
        <v/>
      </c>
      <c r="AB319" s="183" t="str">
        <f t="shared" si="129"/>
        <v/>
      </c>
      <c r="AC319" s="183" t="str">
        <f>IF(AB319="","",IF($I$8="A",(RANK(AB319,AB$11:AB$349)+COUNTIF(AB$11:AB319,AB319)-1),(RANK(AB319,AB$11:AB$349,1)+COUNTIF(AB$11:AB319,AB319)-1)))</f>
        <v/>
      </c>
      <c r="AD319" s="183"/>
      <c r="AE319" s="49">
        <f>IF(I$8="A",(RANK(AG319,AG$11:AG$349,1)+COUNTIF(AG$11:AG319,AG319)-1),(RANK(AG319,AG$11:AG$349)+COUNTIF(AG$11:AG319,AG319)-1))</f>
        <v>309</v>
      </c>
      <c r="AF319" t="str">
        <f>VLOOKUP(Profile!$J$5,Families!$C:$R,6,FALSE)</f>
        <v>Herefordshire</v>
      </c>
      <c r="AG319" s="15">
        <f t="shared" si="130"/>
        <v>62.711864406779661</v>
      </c>
      <c r="AH319" s="50">
        <f t="shared" si="131"/>
        <v>309</v>
      </c>
      <c r="AI319" s="5" t="str">
        <f>IF(L319="","",VLOOKUP($L319,classifications!$C:$J,8,FALSE))</f>
        <v/>
      </c>
      <c r="AJ319" s="43" t="str">
        <f t="shared" si="132"/>
        <v/>
      </c>
      <c r="AK319" s="40" t="str">
        <f>IF(AJ319="","",IF(I$8="A",(RANK(AJ319,AJ$11:AJ$349,1)+COUNTIF(AJ$11:AJ319,AJ319)-1),(RANK(AJ319,AJ$11:AJ$349)+COUNTIF(AJ$11:AJ319,AJ319)-1)))</f>
        <v/>
      </c>
      <c r="AL319" s="3" t="str">
        <f t="shared" si="133"/>
        <v/>
      </c>
      <c r="AM319" t="str">
        <f t="shared" si="134"/>
        <v/>
      </c>
      <c r="AN319" t="str">
        <f t="shared" si="135"/>
        <v/>
      </c>
      <c r="AP319" s="5" t="str">
        <f>IF(L319="","",VLOOKUP($L319,classifications!$C:$E,3,FALSE))</f>
        <v/>
      </c>
      <c r="AQ319" s="43" t="str">
        <f t="shared" si="136"/>
        <v/>
      </c>
      <c r="AR319" s="40" t="str">
        <f>IF(AQ319="","",IF(I$8="A",(RANK(AQ319,AQ$11:AQ$349,1)+COUNTIF(AQ$11:AQ319,AQ319)-1),(RANK(AQ319,AQ$11:AQ$349)+COUNTIF(AQ$11:AQ319,AQ319)-1)))</f>
        <v/>
      </c>
      <c r="AS319" s="3" t="str">
        <f t="shared" si="137"/>
        <v/>
      </c>
      <c r="AT319" s="40" t="str">
        <f t="shared" si="138"/>
        <v/>
      </c>
      <c r="AU319" s="43" t="str">
        <f t="shared" si="139"/>
        <v/>
      </c>
      <c r="AX319">
        <f>HLOOKUP($AX$9&amp;$AX$10,Data!$A$1:$ZZ$1988,(MATCH($C319,Data!$A$1:$A$1988,0)),FALSE)</f>
        <v>82.142857142857139</v>
      </c>
    </row>
    <row r="320" spans="1:50">
      <c r="A320" s="59" t="str">
        <f>$D$1&amp;310</f>
        <v>UA310</v>
      </c>
      <c r="B320" s="60">
        <f>IF(ISERROR(VLOOKUP(A320,classifications!A:C,3,FALSE)),0,VLOOKUP(A320,classifications!A:C,3,FALSE))</f>
        <v>0</v>
      </c>
      <c r="C320" t="s">
        <v>296</v>
      </c>
      <c r="D320" t="str">
        <f>VLOOKUP($C320,classifications!$C:$J,4,FALSE)</f>
        <v>UA</v>
      </c>
      <c r="E320">
        <f>VLOOKUP(C320,classifications!C:K,9,FALSE)</f>
        <v>0</v>
      </c>
      <c r="F320">
        <f t="shared" si="116"/>
        <v>80.412371134020617</v>
      </c>
      <c r="G320" s="15"/>
      <c r="H320" s="42">
        <f t="shared" si="117"/>
        <v>80.412371134020617</v>
      </c>
      <c r="I320" s="79">
        <f>IF(H320="","",IF($I$8="A",(RANK(H320,H$11:H$349,1)+COUNTIF(H$11:H320,H320)-1),(RANK(H320,H$11:H$349)+COUNTIF(H$11:H320,H320)-1)))</f>
        <v>45</v>
      </c>
      <c r="J320" s="41"/>
      <c r="K320" s="36" t="str">
        <f t="shared" si="118"/>
        <v/>
      </c>
      <c r="L320" t="str">
        <f t="shared" si="119"/>
        <v/>
      </c>
      <c r="M320" s="117" t="str">
        <f t="shared" si="120"/>
        <v/>
      </c>
      <c r="N320" s="112" t="str">
        <f t="shared" si="121"/>
        <v/>
      </c>
      <c r="O320" s="96" t="str">
        <f t="shared" si="122"/>
        <v/>
      </c>
      <c r="P320" s="96" t="str">
        <f t="shared" si="123"/>
        <v/>
      </c>
      <c r="Q320" s="96" t="str">
        <f t="shared" si="124"/>
        <v/>
      </c>
      <c r="R320" s="92" t="str">
        <f t="shared" si="125"/>
        <v/>
      </c>
      <c r="S320" s="42" t="str">
        <f t="shared" si="126"/>
        <v/>
      </c>
      <c r="T320" s="176" t="str">
        <f>IF(L320="","",VLOOKUP(L320,classifications!C:K,9,FALSE))</f>
        <v/>
      </c>
      <c r="U320" s="177" t="str">
        <f t="shared" si="127"/>
        <v/>
      </c>
      <c r="V320" s="183" t="str">
        <f>IF(U320="","",IF($I$8="A",(RANK(U320,U$11:U$349)+COUNTIF(U$11:U320,U320)-1),(RANK(U320,U$11:U$349,1)+COUNTIF(U$11:U320,U320)-1)))</f>
        <v/>
      </c>
      <c r="W320" s="184"/>
      <c r="X320" s="5" t="str">
        <f>IF(L320="","",VLOOKUP($L320,classifications!$C:$J,6,FALSE))</f>
        <v/>
      </c>
      <c r="Y320" t="str">
        <f t="shared" si="128"/>
        <v/>
      </c>
      <c r="Z320" s="40" t="str">
        <f>IF(Y320="","",IF(I$8="A",(RANK(Y320,Y$11:Y$349,1)+COUNTIF(Y$11:Y320,Y320)-1),(RANK(Y320,Y$11:Y$349)+COUNTIF(Y$11:Y320,Y320)-1)))</f>
        <v/>
      </c>
      <c r="AA320" s="189" t="str">
        <f>IF(L320="","",VLOOKUP($L320,classifications!C:I,7,FALSE))</f>
        <v/>
      </c>
      <c r="AB320" s="183" t="str">
        <f t="shared" si="129"/>
        <v/>
      </c>
      <c r="AC320" s="183" t="str">
        <f>IF(AB320="","",IF($I$8="A",(RANK(AB320,AB$11:AB$349)+COUNTIF(AB$11:AB320,AB320)-1),(RANK(AB320,AB$11:AB$349,1)+COUNTIF(AB$11:AB320,AB320)-1)))</f>
        <v/>
      </c>
      <c r="AD320" s="183"/>
      <c r="AE320" s="49">
        <f>IF(I$8="A",(RANK(AG320,AG$11:AG$349,1)+COUNTIF(AG$11:AG320,AG320)-1),(RANK(AG320,AG$11:AG$349)+COUNTIF(AG$11:AG320,AG320)-1))</f>
        <v>310</v>
      </c>
      <c r="AF320" t="str">
        <f>VLOOKUP(Profile!$J$5,Families!$C:$R,6,FALSE)</f>
        <v>Herefordshire</v>
      </c>
      <c r="AG320" s="15">
        <f t="shared" si="130"/>
        <v>62.711864406779661</v>
      </c>
      <c r="AH320" s="50">
        <f t="shared" si="131"/>
        <v>310</v>
      </c>
      <c r="AI320" s="5" t="str">
        <f>IF(L320="","",VLOOKUP($L320,classifications!$C:$J,8,FALSE))</f>
        <v/>
      </c>
      <c r="AJ320" s="43" t="str">
        <f t="shared" si="132"/>
        <v/>
      </c>
      <c r="AK320" s="40" t="str">
        <f>IF(AJ320="","",IF(I$8="A",(RANK(AJ320,AJ$11:AJ$349,1)+COUNTIF(AJ$11:AJ320,AJ320)-1),(RANK(AJ320,AJ$11:AJ$349)+COUNTIF(AJ$11:AJ320,AJ320)-1)))</f>
        <v/>
      </c>
      <c r="AL320" s="3" t="str">
        <f t="shared" si="133"/>
        <v/>
      </c>
      <c r="AM320" t="str">
        <f t="shared" si="134"/>
        <v/>
      </c>
      <c r="AN320" t="str">
        <f t="shared" si="135"/>
        <v/>
      </c>
      <c r="AP320" s="5" t="str">
        <f>IF(L320="","",VLOOKUP($L320,classifications!$C:$E,3,FALSE))</f>
        <v/>
      </c>
      <c r="AQ320" s="43" t="str">
        <f t="shared" si="136"/>
        <v/>
      </c>
      <c r="AR320" s="40" t="str">
        <f>IF(AQ320="","",IF(I$8="A",(RANK(AQ320,AQ$11:AQ$349,1)+COUNTIF(AQ$11:AQ320,AQ320)-1),(RANK(AQ320,AQ$11:AQ$349)+COUNTIF(AQ$11:AQ320,AQ320)-1)))</f>
        <v/>
      </c>
      <c r="AS320" s="3" t="str">
        <f t="shared" si="137"/>
        <v/>
      </c>
      <c r="AT320" s="40" t="str">
        <f t="shared" si="138"/>
        <v/>
      </c>
      <c r="AU320" s="43" t="str">
        <f t="shared" si="139"/>
        <v/>
      </c>
      <c r="AX320">
        <f>HLOOKUP($AX$9&amp;$AX$10,Data!$A$1:$ZZ$1988,(MATCH($C320,Data!$A$1:$A$1988,0)),FALSE)</f>
        <v>80.412371134020617</v>
      </c>
    </row>
    <row r="321" spans="1:50">
      <c r="A321" s="59" t="str">
        <f>$D$1&amp;311</f>
        <v>UA311</v>
      </c>
      <c r="B321" s="60">
        <f>IF(ISERROR(VLOOKUP(A321,classifications!A:C,3,FALSE)),0,VLOOKUP(A321,classifications!A:C,3,FALSE))</f>
        <v>0</v>
      </c>
      <c r="C321" t="s">
        <v>181</v>
      </c>
      <c r="D321" t="str">
        <f>VLOOKUP($C321,classifications!$C:$J,4,FALSE)</f>
        <v>SD</v>
      </c>
      <c r="E321" t="str">
        <f>VLOOKUP(C321,classifications!C:K,9,FALSE)</f>
        <v>Sparse</v>
      </c>
      <c r="F321">
        <f t="shared" si="116"/>
        <v>87.5</v>
      </c>
      <c r="G321" s="15"/>
      <c r="H321" s="42" t="str">
        <f t="shared" si="117"/>
        <v/>
      </c>
      <c r="I321" s="79" t="str">
        <f>IF(H321="","",IF($I$8="A",(RANK(H321,H$11:H$349,1)+COUNTIF(H$11:H321,H321)-1),(RANK(H321,H$11:H$349)+COUNTIF(H$11:H321,H321)-1)))</f>
        <v/>
      </c>
      <c r="J321" s="41"/>
      <c r="K321" s="36" t="str">
        <f t="shared" si="118"/>
        <v/>
      </c>
      <c r="L321" t="str">
        <f t="shared" si="119"/>
        <v/>
      </c>
      <c r="M321" s="117" t="str">
        <f t="shared" si="120"/>
        <v/>
      </c>
      <c r="N321" s="112" t="str">
        <f t="shared" si="121"/>
        <v/>
      </c>
      <c r="O321" s="96" t="str">
        <f t="shared" si="122"/>
        <v/>
      </c>
      <c r="P321" s="96" t="str">
        <f t="shared" si="123"/>
        <v/>
      </c>
      <c r="Q321" s="96" t="str">
        <f t="shared" si="124"/>
        <v/>
      </c>
      <c r="R321" s="92" t="str">
        <f t="shared" si="125"/>
        <v/>
      </c>
      <c r="S321" s="42" t="str">
        <f t="shared" si="126"/>
        <v/>
      </c>
      <c r="T321" s="176" t="str">
        <f>IF(L321="","",VLOOKUP(L321,classifications!C:K,9,FALSE))</f>
        <v/>
      </c>
      <c r="U321" s="177" t="str">
        <f t="shared" si="127"/>
        <v/>
      </c>
      <c r="V321" s="183" t="str">
        <f>IF(U321="","",IF($I$8="A",(RANK(U321,U$11:U$349)+COUNTIF(U$11:U321,U321)-1),(RANK(U321,U$11:U$349,1)+COUNTIF(U$11:U321,U321)-1)))</f>
        <v/>
      </c>
      <c r="W321" s="184"/>
      <c r="X321" s="5" t="str">
        <f>IF(L321="","",VLOOKUP($L321,classifications!$C:$J,6,FALSE))</f>
        <v/>
      </c>
      <c r="Y321" t="str">
        <f t="shared" si="128"/>
        <v/>
      </c>
      <c r="Z321" s="40" t="str">
        <f>IF(Y321="","",IF(I$8="A",(RANK(Y321,Y$11:Y$349,1)+COUNTIF(Y$11:Y321,Y321)-1),(RANK(Y321,Y$11:Y$349)+COUNTIF(Y$11:Y321,Y321)-1)))</f>
        <v/>
      </c>
      <c r="AA321" s="189" t="str">
        <f>IF(L321="","",VLOOKUP($L321,classifications!C:I,7,FALSE))</f>
        <v/>
      </c>
      <c r="AB321" s="183" t="str">
        <f t="shared" si="129"/>
        <v/>
      </c>
      <c r="AC321" s="183" t="str">
        <f>IF(AB321="","",IF($I$8="A",(RANK(AB321,AB$11:AB$349)+COUNTIF(AB$11:AB321,AB321)-1),(RANK(AB321,AB$11:AB$349,1)+COUNTIF(AB$11:AB321,AB321)-1)))</f>
        <v/>
      </c>
      <c r="AD321" s="183"/>
      <c r="AE321" s="49">
        <f>IF(I$8="A",(RANK(AG321,AG$11:AG$349,1)+COUNTIF(AG$11:AG321,AG321)-1),(RANK(AG321,AG$11:AG$349)+COUNTIF(AG$11:AG321,AG321)-1))</f>
        <v>311</v>
      </c>
      <c r="AF321" t="str">
        <f>VLOOKUP(Profile!$J$5,Families!$C:$R,6,FALSE)</f>
        <v>Herefordshire</v>
      </c>
      <c r="AG321" s="15">
        <f t="shared" si="130"/>
        <v>62.711864406779661</v>
      </c>
      <c r="AH321" s="50">
        <f t="shared" si="131"/>
        <v>311</v>
      </c>
      <c r="AI321" s="5" t="str">
        <f>IF(L321="","",VLOOKUP($L321,classifications!$C:$J,8,FALSE))</f>
        <v/>
      </c>
      <c r="AJ321" s="43" t="str">
        <f t="shared" si="132"/>
        <v/>
      </c>
      <c r="AK321" s="40" t="str">
        <f>IF(AJ321="","",IF(I$8="A",(RANK(AJ321,AJ$11:AJ$349,1)+COUNTIF(AJ$11:AJ321,AJ321)-1),(RANK(AJ321,AJ$11:AJ$349)+COUNTIF(AJ$11:AJ321,AJ321)-1)))</f>
        <v/>
      </c>
      <c r="AL321" s="3" t="str">
        <f t="shared" si="133"/>
        <v/>
      </c>
      <c r="AM321" t="str">
        <f t="shared" si="134"/>
        <v/>
      </c>
      <c r="AN321" t="str">
        <f t="shared" si="135"/>
        <v/>
      </c>
      <c r="AP321" s="5" t="str">
        <f>IF(L321="","",VLOOKUP($L321,classifications!$C:$E,3,FALSE))</f>
        <v/>
      </c>
      <c r="AQ321" s="43" t="str">
        <f t="shared" si="136"/>
        <v/>
      </c>
      <c r="AR321" s="40" t="str">
        <f>IF(AQ321="","",IF(I$8="A",(RANK(AQ321,AQ$11:AQ$349,1)+COUNTIF(AQ$11:AQ321,AQ321)-1),(RANK(AQ321,AQ$11:AQ$349)+COUNTIF(AQ$11:AQ321,AQ321)-1)))</f>
        <v/>
      </c>
      <c r="AS321" s="3" t="str">
        <f t="shared" si="137"/>
        <v/>
      </c>
      <c r="AT321" s="40" t="str">
        <f t="shared" si="138"/>
        <v/>
      </c>
      <c r="AU321" s="43" t="str">
        <f t="shared" si="139"/>
        <v/>
      </c>
      <c r="AX321">
        <f>HLOOKUP($AX$9&amp;$AX$10,Data!$A$1:$ZZ$1988,(MATCH($C321,Data!$A$1:$A$1988,0)),FALSE)</f>
        <v>87.5</v>
      </c>
    </row>
    <row r="322" spans="1:50">
      <c r="A322" s="59" t="str">
        <f>$D$1&amp;312</f>
        <v>UA312</v>
      </c>
      <c r="B322" s="60">
        <f>IF(ISERROR(VLOOKUP(A322,classifications!A:C,3,FALSE)),0,VLOOKUP(A322,classifications!A:C,3,FALSE))</f>
        <v>0</v>
      </c>
      <c r="C322" t="s">
        <v>183</v>
      </c>
      <c r="D322" t="str">
        <f>VLOOKUP($C322,classifications!$C:$J,4,FALSE)</f>
        <v>SD</v>
      </c>
      <c r="E322">
        <f>VLOOKUP(C322,classifications!C:K,9,FALSE)</f>
        <v>0</v>
      </c>
      <c r="F322">
        <f t="shared" si="116"/>
        <v>65.625</v>
      </c>
      <c r="G322" s="15"/>
      <c r="H322" s="42" t="str">
        <f t="shared" si="117"/>
        <v/>
      </c>
      <c r="I322" s="79" t="str">
        <f>IF(H322="","",IF($I$8="A",(RANK(H322,H$11:H$349,1)+COUNTIF(H$11:H322,H322)-1),(RANK(H322,H$11:H$349)+COUNTIF(H$11:H322,H322)-1)))</f>
        <v/>
      </c>
      <c r="J322" s="41"/>
      <c r="K322" s="36" t="str">
        <f t="shared" si="118"/>
        <v/>
      </c>
      <c r="L322" t="str">
        <f t="shared" si="119"/>
        <v/>
      </c>
      <c r="M322" s="117" t="str">
        <f t="shared" si="120"/>
        <v/>
      </c>
      <c r="N322" s="112" t="str">
        <f t="shared" si="121"/>
        <v/>
      </c>
      <c r="O322" s="96" t="str">
        <f t="shared" si="122"/>
        <v/>
      </c>
      <c r="P322" s="96" t="str">
        <f t="shared" si="123"/>
        <v/>
      </c>
      <c r="Q322" s="96" t="str">
        <f t="shared" si="124"/>
        <v/>
      </c>
      <c r="R322" s="92" t="str">
        <f t="shared" si="125"/>
        <v/>
      </c>
      <c r="S322" s="42" t="str">
        <f t="shared" si="126"/>
        <v/>
      </c>
      <c r="T322" s="176" t="str">
        <f>IF(L322="","",VLOOKUP(L322,classifications!C:K,9,FALSE))</f>
        <v/>
      </c>
      <c r="U322" s="177" t="str">
        <f t="shared" si="127"/>
        <v/>
      </c>
      <c r="V322" s="183" t="str">
        <f>IF(U322="","",IF($I$8="A",(RANK(U322,U$11:U$349)+COUNTIF(U$11:U322,U322)-1),(RANK(U322,U$11:U$349,1)+COUNTIF(U$11:U322,U322)-1)))</f>
        <v/>
      </c>
      <c r="W322" s="184"/>
      <c r="X322" s="5" t="str">
        <f>IF(L322="","",VLOOKUP($L322,classifications!$C:$J,6,FALSE))</f>
        <v/>
      </c>
      <c r="Y322" t="str">
        <f t="shared" si="128"/>
        <v/>
      </c>
      <c r="Z322" s="40" t="str">
        <f>IF(Y322="","",IF(I$8="A",(RANK(Y322,Y$11:Y$349,1)+COUNTIF(Y$11:Y322,Y322)-1),(RANK(Y322,Y$11:Y$349)+COUNTIF(Y$11:Y322,Y322)-1)))</f>
        <v/>
      </c>
      <c r="AA322" s="189" t="str">
        <f>IF(L322="","",VLOOKUP($L322,classifications!C:I,7,FALSE))</f>
        <v/>
      </c>
      <c r="AB322" s="183" t="str">
        <f t="shared" si="129"/>
        <v/>
      </c>
      <c r="AC322" s="183" t="str">
        <f>IF(AB322="","",IF($I$8="A",(RANK(AB322,AB$11:AB$349)+COUNTIF(AB$11:AB322,AB322)-1),(RANK(AB322,AB$11:AB$349,1)+COUNTIF(AB$11:AB322,AB322)-1)))</f>
        <v/>
      </c>
      <c r="AD322" s="183"/>
      <c r="AE322" s="49">
        <f>IF(I$8="A",(RANK(AG322,AG$11:AG$349,1)+COUNTIF(AG$11:AG322,AG322)-1),(RANK(AG322,AG$11:AG$349)+COUNTIF(AG$11:AG322,AG322)-1))</f>
        <v>312</v>
      </c>
      <c r="AF322" t="str">
        <f>VLOOKUP(Profile!$J$5,Families!$C:$R,6,FALSE)</f>
        <v>Herefordshire</v>
      </c>
      <c r="AG322" s="15">
        <f t="shared" si="130"/>
        <v>62.711864406779661</v>
      </c>
      <c r="AH322" s="50">
        <f t="shared" si="131"/>
        <v>312</v>
      </c>
      <c r="AI322" s="5" t="str">
        <f>IF(L322="","",VLOOKUP($L322,classifications!$C:$J,8,FALSE))</f>
        <v/>
      </c>
      <c r="AJ322" s="43" t="str">
        <f t="shared" si="132"/>
        <v/>
      </c>
      <c r="AK322" s="40" t="str">
        <f>IF(AJ322="","",IF(I$8="A",(RANK(AJ322,AJ$11:AJ$349,1)+COUNTIF(AJ$11:AJ322,AJ322)-1),(RANK(AJ322,AJ$11:AJ$349)+COUNTIF(AJ$11:AJ322,AJ322)-1)))</f>
        <v/>
      </c>
      <c r="AL322" s="3" t="str">
        <f t="shared" si="133"/>
        <v/>
      </c>
      <c r="AM322" t="str">
        <f t="shared" si="134"/>
        <v/>
      </c>
      <c r="AN322" t="str">
        <f t="shared" si="135"/>
        <v/>
      </c>
      <c r="AP322" s="5" t="str">
        <f>IF(L322="","",VLOOKUP($L322,classifications!$C:$E,3,FALSE))</f>
        <v/>
      </c>
      <c r="AQ322" s="43" t="str">
        <f t="shared" si="136"/>
        <v/>
      </c>
      <c r="AR322" s="40" t="str">
        <f>IF(AQ322="","",IF(I$8="A",(RANK(AQ322,AQ$11:AQ$349,1)+COUNTIF(AQ$11:AQ322,AQ322)-1),(RANK(AQ322,AQ$11:AQ$349)+COUNTIF(AQ$11:AQ322,AQ322)-1)))</f>
        <v/>
      </c>
      <c r="AS322" s="3" t="str">
        <f t="shared" si="137"/>
        <v/>
      </c>
      <c r="AT322" s="40" t="str">
        <f t="shared" si="138"/>
        <v/>
      </c>
      <c r="AU322" s="43" t="str">
        <f t="shared" si="139"/>
        <v/>
      </c>
      <c r="AX322">
        <f>HLOOKUP($AX$9&amp;$AX$10,Data!$A$1:$ZZ$1988,(MATCH($C322,Data!$A$1:$A$1988,0)),FALSE)</f>
        <v>65.625</v>
      </c>
    </row>
    <row r="323" spans="1:50">
      <c r="A323" s="59" t="str">
        <f>$D$1&amp;313</f>
        <v>UA313</v>
      </c>
      <c r="B323" s="60">
        <f>IF(ISERROR(VLOOKUP(A323,classifications!A:C,3,FALSE)),0,VLOOKUP(A323,classifications!A:C,3,FALSE))</f>
        <v>0</v>
      </c>
      <c r="C323" t="s">
        <v>184</v>
      </c>
      <c r="D323" t="str">
        <f>VLOOKUP($C323,classifications!$C:$J,4,FALSE)</f>
        <v>SD</v>
      </c>
      <c r="E323" t="str">
        <f>VLOOKUP(C323,classifications!C:K,9,FALSE)</f>
        <v>Sparse</v>
      </c>
      <c r="F323">
        <f t="shared" si="116"/>
        <v>100</v>
      </c>
      <c r="G323" s="15"/>
      <c r="H323" s="42" t="str">
        <f t="shared" si="117"/>
        <v/>
      </c>
      <c r="I323" s="79" t="str">
        <f>IF(H323="","",IF($I$8="A",(RANK(H323,H$11:H$349,1)+COUNTIF(H$11:H323,H323)-1),(RANK(H323,H$11:H$349)+COUNTIF(H$11:H323,H323)-1)))</f>
        <v/>
      </c>
      <c r="J323" s="41"/>
      <c r="K323" s="36" t="str">
        <f t="shared" si="118"/>
        <v/>
      </c>
      <c r="L323" t="str">
        <f t="shared" si="119"/>
        <v/>
      </c>
      <c r="M323" s="117" t="str">
        <f t="shared" si="120"/>
        <v/>
      </c>
      <c r="N323" s="112" t="str">
        <f t="shared" si="121"/>
        <v/>
      </c>
      <c r="O323" s="96" t="str">
        <f t="shared" si="122"/>
        <v/>
      </c>
      <c r="P323" s="96" t="str">
        <f t="shared" si="123"/>
        <v/>
      </c>
      <c r="Q323" s="96" t="str">
        <f t="shared" si="124"/>
        <v/>
      </c>
      <c r="R323" s="92" t="str">
        <f t="shared" si="125"/>
        <v/>
      </c>
      <c r="S323" s="42" t="str">
        <f t="shared" si="126"/>
        <v/>
      </c>
      <c r="T323" s="176" t="str">
        <f>IF(L323="","",VLOOKUP(L323,classifications!C:K,9,FALSE))</f>
        <v/>
      </c>
      <c r="U323" s="177" t="str">
        <f t="shared" si="127"/>
        <v/>
      </c>
      <c r="V323" s="183" t="str">
        <f>IF(U323="","",IF($I$8="A",(RANK(U323,U$11:U$349)+COUNTIF(U$11:U323,U323)-1),(RANK(U323,U$11:U$349,1)+COUNTIF(U$11:U323,U323)-1)))</f>
        <v/>
      </c>
      <c r="W323" s="184"/>
      <c r="X323" s="5" t="str">
        <f>IF(L323="","",VLOOKUP($L323,classifications!$C:$J,6,FALSE))</f>
        <v/>
      </c>
      <c r="Y323" t="str">
        <f t="shared" si="128"/>
        <v/>
      </c>
      <c r="Z323" s="40" t="str">
        <f>IF(Y323="","",IF(I$8="A",(RANK(Y323,Y$11:Y$349,1)+COUNTIF(Y$11:Y323,Y323)-1),(RANK(Y323,Y$11:Y$349)+COUNTIF(Y$11:Y323,Y323)-1)))</f>
        <v/>
      </c>
      <c r="AA323" s="189" t="str">
        <f>IF(L323="","",VLOOKUP($L323,classifications!C:I,7,FALSE))</f>
        <v/>
      </c>
      <c r="AB323" s="183" t="str">
        <f t="shared" si="129"/>
        <v/>
      </c>
      <c r="AC323" s="183" t="str">
        <f>IF(AB323="","",IF($I$8="A",(RANK(AB323,AB$11:AB$349)+COUNTIF(AB$11:AB323,AB323)-1),(RANK(AB323,AB$11:AB$349,1)+COUNTIF(AB$11:AB323,AB323)-1)))</f>
        <v/>
      </c>
      <c r="AD323" s="183"/>
      <c r="AE323" s="49">
        <f>IF(I$8="A",(RANK(AG323,AG$11:AG$349,1)+COUNTIF(AG$11:AG323,AG323)-1),(RANK(AG323,AG$11:AG$349)+COUNTIF(AG$11:AG323,AG323)-1))</f>
        <v>313</v>
      </c>
      <c r="AF323" t="str">
        <f>VLOOKUP(Profile!$J$5,Families!$C:$R,6,FALSE)</f>
        <v>Herefordshire</v>
      </c>
      <c r="AG323" s="15">
        <f t="shared" si="130"/>
        <v>62.711864406779661</v>
      </c>
      <c r="AH323" s="50">
        <f t="shared" si="131"/>
        <v>313</v>
      </c>
      <c r="AI323" s="5" t="str">
        <f>IF(L323="","",VLOOKUP($L323,classifications!$C:$J,8,FALSE))</f>
        <v/>
      </c>
      <c r="AJ323" s="43" t="str">
        <f t="shared" si="132"/>
        <v/>
      </c>
      <c r="AK323" s="40" t="str">
        <f>IF(AJ323="","",IF(I$8="A",(RANK(AJ323,AJ$11:AJ$349,1)+COUNTIF(AJ$11:AJ323,AJ323)-1),(RANK(AJ323,AJ$11:AJ$349)+COUNTIF(AJ$11:AJ323,AJ323)-1)))</f>
        <v/>
      </c>
      <c r="AL323" s="3" t="str">
        <f t="shared" si="133"/>
        <v/>
      </c>
      <c r="AM323" t="str">
        <f t="shared" si="134"/>
        <v/>
      </c>
      <c r="AN323" t="str">
        <f t="shared" si="135"/>
        <v/>
      </c>
      <c r="AP323" s="5" t="str">
        <f>IF(L323="","",VLOOKUP($L323,classifications!$C:$E,3,FALSE))</f>
        <v/>
      </c>
      <c r="AQ323" s="43" t="str">
        <f t="shared" si="136"/>
        <v/>
      </c>
      <c r="AR323" s="40" t="str">
        <f>IF(AQ323="","",IF(I$8="A",(RANK(AQ323,AQ$11:AQ$349,1)+COUNTIF(AQ$11:AQ323,AQ323)-1),(RANK(AQ323,AQ$11:AQ$349)+COUNTIF(AQ$11:AQ323,AQ323)-1)))</f>
        <v/>
      </c>
      <c r="AS323" s="3" t="str">
        <f t="shared" si="137"/>
        <v/>
      </c>
      <c r="AT323" s="40" t="str">
        <f t="shared" si="138"/>
        <v/>
      </c>
      <c r="AU323" s="43" t="str">
        <f t="shared" si="139"/>
        <v/>
      </c>
      <c r="AX323">
        <f>HLOOKUP($AX$9&amp;$AX$10,Data!$A$1:$ZZ$1988,(MATCH($C323,Data!$A$1:$A$1988,0)),FALSE)</f>
        <v>100</v>
      </c>
    </row>
    <row r="324" spans="1:50">
      <c r="A324" s="59" t="str">
        <f>$D$1&amp;314</f>
        <v>UA314</v>
      </c>
      <c r="B324" s="60">
        <f>IF(ISERROR(VLOOKUP(A324,classifications!A:C,3,FALSE)),0,VLOOKUP(A324,classifications!A:C,3,FALSE))</f>
        <v>0</v>
      </c>
      <c r="C324" t="s">
        <v>902</v>
      </c>
      <c r="D324" t="str">
        <f>VLOOKUP($C324,classifications!$C:$J,4,FALSE)</f>
        <v>UA</v>
      </c>
      <c r="E324" t="str">
        <f>VLOOKUP(C324,classifications!C:K,9,FALSE)</f>
        <v>Sparse</v>
      </c>
      <c r="F324">
        <f t="shared" si="116"/>
        <v>59.482758620689658</v>
      </c>
      <c r="G324" s="15"/>
      <c r="H324" s="42">
        <f t="shared" si="117"/>
        <v>59.482758620689658</v>
      </c>
      <c r="I324" s="79">
        <f>IF(H324="","",IF($I$8="A",(RANK(H324,H$11:H$349,1)+COUNTIF(H$11:H324,H324)-1),(RANK(H324,H$11:H$349)+COUNTIF(H$11:H324,H324)-1)))</f>
        <v>56</v>
      </c>
      <c r="J324" s="41"/>
      <c r="K324" s="36" t="str">
        <f t="shared" si="118"/>
        <v/>
      </c>
      <c r="L324" t="str">
        <f t="shared" si="119"/>
        <v/>
      </c>
      <c r="M324" s="117" t="str">
        <f t="shared" si="120"/>
        <v/>
      </c>
      <c r="N324" s="112" t="str">
        <f t="shared" si="121"/>
        <v/>
      </c>
      <c r="O324" s="96" t="str">
        <f t="shared" si="122"/>
        <v/>
      </c>
      <c r="P324" s="96" t="str">
        <f t="shared" si="123"/>
        <v/>
      </c>
      <c r="Q324" s="96" t="str">
        <f t="shared" si="124"/>
        <v/>
      </c>
      <c r="R324" s="92" t="str">
        <f t="shared" si="125"/>
        <v/>
      </c>
      <c r="S324" s="42" t="str">
        <f t="shared" si="126"/>
        <v/>
      </c>
      <c r="T324" s="176" t="str">
        <f>IF(L324="","",VLOOKUP(L324,classifications!C:K,9,FALSE))</f>
        <v/>
      </c>
      <c r="U324" s="177" t="str">
        <f t="shared" si="127"/>
        <v/>
      </c>
      <c r="V324" s="183" t="str">
        <f>IF(U324="","",IF($I$8="A",(RANK(U324,U$11:U$349)+COUNTIF(U$11:U324,U324)-1),(RANK(U324,U$11:U$349,1)+COUNTIF(U$11:U324,U324)-1)))</f>
        <v/>
      </c>
      <c r="W324" s="184"/>
      <c r="X324" s="5" t="str">
        <f>IF(L324="","",VLOOKUP($L324,classifications!$C:$J,6,FALSE))</f>
        <v/>
      </c>
      <c r="Y324" t="str">
        <f t="shared" si="128"/>
        <v/>
      </c>
      <c r="Z324" s="40" t="str">
        <f>IF(Y324="","",IF(I$8="A",(RANK(Y324,Y$11:Y$349,1)+COUNTIF(Y$11:Y324,Y324)-1),(RANK(Y324,Y$11:Y$349)+COUNTIF(Y$11:Y324,Y324)-1)))</f>
        <v/>
      </c>
      <c r="AA324" s="189" t="str">
        <f>IF(L324="","",VLOOKUP($L324,classifications!C:I,7,FALSE))</f>
        <v/>
      </c>
      <c r="AB324" s="183" t="str">
        <f t="shared" si="129"/>
        <v/>
      </c>
      <c r="AC324" s="183" t="str">
        <f>IF(AB324="","",IF($I$8="A",(RANK(AB324,AB$11:AB$349)+COUNTIF(AB$11:AB324,AB324)-1),(RANK(AB324,AB$11:AB$349,1)+COUNTIF(AB$11:AB324,AB324)-1)))</f>
        <v/>
      </c>
      <c r="AD324" s="183"/>
      <c r="AE324" s="49">
        <f>IF(I$8="A",(RANK(AG324,AG$11:AG$349,1)+COUNTIF(AG$11:AG324,AG324)-1),(RANK(AG324,AG$11:AG$349)+COUNTIF(AG$11:AG324,AG324)-1))</f>
        <v>314</v>
      </c>
      <c r="AF324" t="str">
        <f>VLOOKUP(Profile!$J$5,Families!$C:$R,6,FALSE)</f>
        <v>Herefordshire</v>
      </c>
      <c r="AG324" s="15">
        <f t="shared" si="130"/>
        <v>62.711864406779661</v>
      </c>
      <c r="AH324" s="50">
        <f t="shared" si="131"/>
        <v>314</v>
      </c>
      <c r="AI324" s="5" t="str">
        <f>IF(L324="","",VLOOKUP($L324,classifications!$C:$J,8,FALSE))</f>
        <v/>
      </c>
      <c r="AJ324" s="43" t="str">
        <f t="shared" si="132"/>
        <v/>
      </c>
      <c r="AK324" s="40" t="str">
        <f>IF(AJ324="","",IF(I$8="A",(RANK(AJ324,AJ$11:AJ$349,1)+COUNTIF(AJ$11:AJ324,AJ324)-1),(RANK(AJ324,AJ$11:AJ$349)+COUNTIF(AJ$11:AJ324,AJ324)-1)))</f>
        <v/>
      </c>
      <c r="AL324" s="3" t="str">
        <f t="shared" si="133"/>
        <v/>
      </c>
      <c r="AM324" t="str">
        <f t="shared" si="134"/>
        <v/>
      </c>
      <c r="AN324" t="str">
        <f t="shared" si="135"/>
        <v/>
      </c>
      <c r="AP324" s="5" t="str">
        <f>IF(L324="","",VLOOKUP($L324,classifications!$C:$E,3,FALSE))</f>
        <v/>
      </c>
      <c r="AQ324" s="43" t="str">
        <f t="shared" si="136"/>
        <v/>
      </c>
      <c r="AR324" s="40" t="str">
        <f>IF(AQ324="","",IF(I$8="A",(RANK(AQ324,AQ$11:AQ$349,1)+COUNTIF(AQ$11:AQ324,AQ324)-1),(RANK(AQ324,AQ$11:AQ$349)+COUNTIF(AQ$11:AQ324,AQ324)-1)))</f>
        <v/>
      </c>
      <c r="AS324" s="3" t="str">
        <f t="shared" si="137"/>
        <v/>
      </c>
      <c r="AT324" s="40" t="str">
        <f t="shared" si="138"/>
        <v/>
      </c>
      <c r="AU324" s="43" t="str">
        <f t="shared" si="139"/>
        <v/>
      </c>
      <c r="AX324">
        <f>HLOOKUP($AX$9&amp;$AX$10,Data!$A$1:$ZZ$1988,(MATCH($C324,Data!$A$1:$A$1988,0)),FALSE)</f>
        <v>59.482758620689658</v>
      </c>
    </row>
    <row r="325" spans="1:50">
      <c r="A325" s="59" t="str">
        <f>$D$1&amp;315</f>
        <v>UA315</v>
      </c>
      <c r="B325" s="60">
        <f>IF(ISERROR(VLOOKUP(A325,classifications!A:C,3,FALSE)),0,VLOOKUP(A325,classifications!A:C,3,FALSE))</f>
        <v>0</v>
      </c>
      <c r="C325" t="s">
        <v>185</v>
      </c>
      <c r="D325" t="str">
        <f>VLOOKUP($C325,classifications!$C:$J,4,FALSE)</f>
        <v>SD</v>
      </c>
      <c r="E325" t="str">
        <f>VLOOKUP(C325,classifications!C:K,9,FALSE)</f>
        <v>Sparse</v>
      </c>
      <c r="F325">
        <f t="shared" si="116"/>
        <v>63.888888888888886</v>
      </c>
      <c r="G325" s="15"/>
      <c r="H325" s="42" t="str">
        <f t="shared" si="117"/>
        <v/>
      </c>
      <c r="I325" s="79" t="str">
        <f>IF(H325="","",IF($I$8="A",(RANK(H325,H$11:H$349,1)+COUNTIF(H$11:H325,H325)-1),(RANK(H325,H$11:H$349)+COUNTIF(H$11:H325,H325)-1)))</f>
        <v/>
      </c>
      <c r="J325" s="41"/>
      <c r="K325" s="36" t="str">
        <f t="shared" si="118"/>
        <v/>
      </c>
      <c r="L325" t="str">
        <f t="shared" si="119"/>
        <v/>
      </c>
      <c r="M325" s="117" t="str">
        <f t="shared" si="120"/>
        <v/>
      </c>
      <c r="N325" s="112" t="str">
        <f t="shared" si="121"/>
        <v/>
      </c>
      <c r="O325" s="96" t="str">
        <f t="shared" si="122"/>
        <v/>
      </c>
      <c r="P325" s="96" t="str">
        <f t="shared" si="123"/>
        <v/>
      </c>
      <c r="Q325" s="96" t="str">
        <f t="shared" si="124"/>
        <v/>
      </c>
      <c r="R325" s="92" t="str">
        <f t="shared" si="125"/>
        <v/>
      </c>
      <c r="S325" s="42" t="str">
        <f t="shared" si="126"/>
        <v/>
      </c>
      <c r="T325" s="176" t="str">
        <f>IF(L325="","",VLOOKUP(L325,classifications!C:K,9,FALSE))</f>
        <v/>
      </c>
      <c r="U325" s="177" t="str">
        <f t="shared" si="127"/>
        <v/>
      </c>
      <c r="V325" s="183" t="str">
        <f>IF(U325="","",IF($I$8="A",(RANK(U325,U$11:U$349)+COUNTIF(U$11:U325,U325)-1),(RANK(U325,U$11:U$349,1)+COUNTIF(U$11:U325,U325)-1)))</f>
        <v/>
      </c>
      <c r="W325" s="184"/>
      <c r="X325" s="5" t="str">
        <f>IF(L325="","",VLOOKUP($L325,classifications!$C:$J,6,FALSE))</f>
        <v/>
      </c>
      <c r="Y325" t="str">
        <f t="shared" si="128"/>
        <v/>
      </c>
      <c r="Z325" s="40" t="str">
        <f>IF(Y325="","",IF(I$8="A",(RANK(Y325,Y$11:Y$349,1)+COUNTIF(Y$11:Y325,Y325)-1),(RANK(Y325,Y$11:Y$349)+COUNTIF(Y$11:Y325,Y325)-1)))</f>
        <v/>
      </c>
      <c r="AA325" s="189" t="str">
        <f>IF(L325="","",VLOOKUP($L325,classifications!C:I,7,FALSE))</f>
        <v/>
      </c>
      <c r="AB325" s="183" t="str">
        <f t="shared" si="129"/>
        <v/>
      </c>
      <c r="AC325" s="183" t="str">
        <f>IF(AB325="","",IF($I$8="A",(RANK(AB325,AB$11:AB$349)+COUNTIF(AB$11:AB325,AB325)-1),(RANK(AB325,AB$11:AB$349,1)+COUNTIF(AB$11:AB325,AB325)-1)))</f>
        <v/>
      </c>
      <c r="AD325" s="183"/>
      <c r="AE325" s="49">
        <f>IF(I$8="A",(RANK(AG325,AG$11:AG$349,1)+COUNTIF(AG$11:AG325,AG325)-1),(RANK(AG325,AG$11:AG$349)+COUNTIF(AG$11:AG325,AG325)-1))</f>
        <v>315</v>
      </c>
      <c r="AF325" t="str">
        <f>VLOOKUP(Profile!$J$5,Families!$C:$R,6,FALSE)</f>
        <v>Herefordshire</v>
      </c>
      <c r="AG325" s="15">
        <f t="shared" si="130"/>
        <v>62.711864406779661</v>
      </c>
      <c r="AH325" s="50">
        <f t="shared" si="131"/>
        <v>315</v>
      </c>
      <c r="AI325" s="5" t="str">
        <f>IF(L325="","",VLOOKUP($L325,classifications!$C:$J,8,FALSE))</f>
        <v/>
      </c>
      <c r="AJ325" s="43" t="str">
        <f t="shared" si="132"/>
        <v/>
      </c>
      <c r="AK325" s="40" t="str">
        <f>IF(AJ325="","",IF(I$8="A",(RANK(AJ325,AJ$11:AJ$349,1)+COUNTIF(AJ$11:AJ325,AJ325)-1),(RANK(AJ325,AJ$11:AJ$349)+COUNTIF(AJ$11:AJ325,AJ325)-1)))</f>
        <v/>
      </c>
      <c r="AL325" s="3" t="str">
        <f t="shared" si="133"/>
        <v/>
      </c>
      <c r="AM325" t="str">
        <f t="shared" si="134"/>
        <v/>
      </c>
      <c r="AN325" t="str">
        <f t="shared" si="135"/>
        <v/>
      </c>
      <c r="AP325" s="5" t="str">
        <f>IF(L325="","",VLOOKUP($L325,classifications!$C:$E,3,FALSE))</f>
        <v/>
      </c>
      <c r="AQ325" s="43" t="str">
        <f t="shared" si="136"/>
        <v/>
      </c>
      <c r="AR325" s="40" t="str">
        <f>IF(AQ325="","",IF(I$8="A",(RANK(AQ325,AQ$11:AQ$349,1)+COUNTIF(AQ$11:AQ325,AQ325)-1),(RANK(AQ325,AQ$11:AQ$349)+COUNTIF(AQ$11:AQ325,AQ325)-1)))</f>
        <v/>
      </c>
      <c r="AS325" s="3" t="str">
        <f t="shared" si="137"/>
        <v/>
      </c>
      <c r="AT325" s="40" t="str">
        <f t="shared" si="138"/>
        <v/>
      </c>
      <c r="AU325" s="43" t="str">
        <f t="shared" si="139"/>
        <v/>
      </c>
      <c r="AX325">
        <f>HLOOKUP($AX$9&amp;$AX$10,Data!$A$1:$ZZ$1988,(MATCH($C325,Data!$A$1:$A$1988,0)),FALSE)</f>
        <v>63.888888888888886</v>
      </c>
    </row>
    <row r="326" spans="1:50">
      <c r="A326" s="59" t="str">
        <f>$D$1&amp;316</f>
        <v>UA316</v>
      </c>
      <c r="B326" s="60">
        <f>IF(ISERROR(VLOOKUP(A326,classifications!A:C,3,FALSE)),0,VLOOKUP(A326,classifications!A:C,3,FALSE))</f>
        <v>0</v>
      </c>
      <c r="C326" t="s">
        <v>900</v>
      </c>
      <c r="D326" t="str">
        <f>VLOOKUP($C326,classifications!$C:$J,4,FALSE)</f>
        <v>SD</v>
      </c>
      <c r="E326" t="str">
        <f>VLOOKUP(C326,classifications!C:K,9,FALSE)</f>
        <v>Sparse</v>
      </c>
      <c r="F326">
        <f t="shared" si="116"/>
        <v>92</v>
      </c>
      <c r="G326" s="15"/>
      <c r="H326" s="42" t="str">
        <f t="shared" si="117"/>
        <v/>
      </c>
      <c r="I326" s="79" t="str">
        <f>IF(H326="","",IF($I$8="A",(RANK(H326,H$11:H$349,1)+COUNTIF(H$11:H326,H326)-1),(RANK(H326,H$11:H$349)+COUNTIF(H$11:H326,H326)-1)))</f>
        <v/>
      </c>
      <c r="J326" s="41"/>
      <c r="K326" s="36" t="str">
        <f t="shared" si="118"/>
        <v/>
      </c>
      <c r="L326" t="str">
        <f t="shared" si="119"/>
        <v/>
      </c>
      <c r="M326" s="117" t="str">
        <f t="shared" si="120"/>
        <v/>
      </c>
      <c r="N326" s="112" t="str">
        <f t="shared" si="121"/>
        <v/>
      </c>
      <c r="O326" s="96" t="str">
        <f t="shared" si="122"/>
        <v/>
      </c>
      <c r="P326" s="96" t="str">
        <f t="shared" si="123"/>
        <v/>
      </c>
      <c r="Q326" s="96" t="str">
        <f t="shared" si="124"/>
        <v/>
      </c>
      <c r="R326" s="92" t="str">
        <f t="shared" si="125"/>
        <v/>
      </c>
      <c r="S326" s="42" t="str">
        <f t="shared" si="126"/>
        <v/>
      </c>
      <c r="T326" s="176" t="str">
        <f>IF(L326="","",VLOOKUP(L326,classifications!C:K,9,FALSE))</f>
        <v/>
      </c>
      <c r="U326" s="177" t="str">
        <f t="shared" si="127"/>
        <v/>
      </c>
      <c r="V326" s="183" t="str">
        <f>IF(U326="","",IF($I$8="A",(RANK(U326,U$11:U$349)+COUNTIF(U$11:U326,U326)-1),(RANK(U326,U$11:U$349,1)+COUNTIF(U$11:U326,U326)-1)))</f>
        <v/>
      </c>
      <c r="W326" s="184"/>
      <c r="X326" s="5" t="str">
        <f>IF(L326="","",VLOOKUP($L326,classifications!$C:$J,6,FALSE))</f>
        <v/>
      </c>
      <c r="Y326" t="str">
        <f t="shared" si="128"/>
        <v/>
      </c>
      <c r="Z326" s="40" t="str">
        <f>IF(Y326="","",IF(I$8="A",(RANK(Y326,Y$11:Y$349,1)+COUNTIF(Y$11:Y326,Y326)-1),(RANK(Y326,Y$11:Y$349)+COUNTIF(Y$11:Y326,Y326)-1)))</f>
        <v/>
      </c>
      <c r="AA326" s="189" t="str">
        <f>IF(L326="","",VLOOKUP($L326,classifications!C:I,7,FALSE))</f>
        <v/>
      </c>
      <c r="AB326" s="183" t="str">
        <f t="shared" si="129"/>
        <v/>
      </c>
      <c r="AC326" s="183" t="str">
        <f>IF(AB326="","",IF($I$8="A",(RANK(AB326,AB$11:AB$349)+COUNTIF(AB$11:AB326,AB326)-1),(RANK(AB326,AB$11:AB$349,1)+COUNTIF(AB$11:AB326,AB326)-1)))</f>
        <v/>
      </c>
      <c r="AD326" s="183"/>
      <c r="AE326" s="49">
        <f>IF(I$8="A",(RANK(AG326,AG$11:AG$349,1)+COUNTIF(AG$11:AG326,AG326)-1),(RANK(AG326,AG$11:AG$349)+COUNTIF(AG$11:AG326,AG326)-1))</f>
        <v>316</v>
      </c>
      <c r="AF326" t="str">
        <f>VLOOKUP(Profile!$J$5,Families!$C:$R,6,FALSE)</f>
        <v>Herefordshire</v>
      </c>
      <c r="AG326" s="15">
        <f t="shared" si="130"/>
        <v>62.711864406779661</v>
      </c>
      <c r="AH326" s="50">
        <f t="shared" si="131"/>
        <v>316</v>
      </c>
      <c r="AI326" s="5" t="str">
        <f>IF(L326="","",VLOOKUP($L326,classifications!$C:$J,8,FALSE))</f>
        <v/>
      </c>
      <c r="AJ326" s="43" t="str">
        <f t="shared" si="132"/>
        <v/>
      </c>
      <c r="AK326" s="40" t="str">
        <f>IF(AJ326="","",IF(I$8="A",(RANK(AJ326,AJ$11:AJ$349,1)+COUNTIF(AJ$11:AJ326,AJ326)-1),(RANK(AJ326,AJ$11:AJ$349)+COUNTIF(AJ$11:AJ326,AJ326)-1)))</f>
        <v/>
      </c>
      <c r="AL326" s="3" t="str">
        <f t="shared" si="133"/>
        <v/>
      </c>
      <c r="AM326" t="str">
        <f t="shared" si="134"/>
        <v/>
      </c>
      <c r="AN326" t="str">
        <f t="shared" si="135"/>
        <v/>
      </c>
      <c r="AP326" s="5" t="str">
        <f>IF(L326="","",VLOOKUP($L326,classifications!$C:$E,3,FALSE))</f>
        <v/>
      </c>
      <c r="AQ326" s="43" t="str">
        <f t="shared" si="136"/>
        <v/>
      </c>
      <c r="AR326" s="40" t="str">
        <f>IF(AQ326="","",IF(I$8="A",(RANK(AQ326,AQ$11:AQ$349,1)+COUNTIF(AQ$11:AQ326,AQ326)-1),(RANK(AQ326,AQ$11:AQ$349)+COUNTIF(AQ$11:AQ326,AQ326)-1)))</f>
        <v/>
      </c>
      <c r="AS326" s="3" t="str">
        <f t="shared" si="137"/>
        <v/>
      </c>
      <c r="AT326" s="40" t="str">
        <f t="shared" si="138"/>
        <v/>
      </c>
      <c r="AU326" s="43" t="str">
        <f t="shared" si="139"/>
        <v/>
      </c>
      <c r="AX326">
        <f>HLOOKUP($AX$9&amp;$AX$10,Data!$A$1:$ZZ$1988,(MATCH($C326,Data!$A$1:$A$1988,0)),FALSE)</f>
        <v>92</v>
      </c>
    </row>
    <row r="327" spans="1:50">
      <c r="A327" s="59" t="str">
        <f>$D$1&amp;317</f>
        <v>UA317</v>
      </c>
      <c r="B327" s="60">
        <f>IF(ISERROR(VLOOKUP(A327,classifications!A:C,3,FALSE)),0,VLOOKUP(A327,classifications!A:C,3,FALSE))</f>
        <v>0</v>
      </c>
      <c r="C327" t="s">
        <v>331</v>
      </c>
      <c r="D327" t="str">
        <f>VLOOKUP($C327,classifications!$C:$J,4,FALSE)</f>
        <v>SC</v>
      </c>
      <c r="E327">
        <f>VLOOKUP(C327,classifications!C:K,9,FALSE)</f>
        <v>0</v>
      </c>
      <c r="F327" t="e">
        <f t="shared" si="116"/>
        <v>#N/A</v>
      </c>
      <c r="G327" s="15"/>
      <c r="H327" s="42" t="str">
        <f t="shared" si="117"/>
        <v/>
      </c>
      <c r="I327" s="79" t="str">
        <f>IF(H327="","",IF($I$8="A",(RANK(H327,H$11:H$349,1)+COUNTIF(H$11:H327,H327)-1),(RANK(H327,H$11:H$349)+COUNTIF(H$11:H327,H327)-1)))</f>
        <v/>
      </c>
      <c r="J327" s="41"/>
      <c r="K327" s="36" t="str">
        <f t="shared" si="118"/>
        <v/>
      </c>
      <c r="L327" t="str">
        <f t="shared" si="119"/>
        <v/>
      </c>
      <c r="M327" s="117" t="str">
        <f t="shared" si="120"/>
        <v/>
      </c>
      <c r="N327" s="112" t="str">
        <f t="shared" si="121"/>
        <v/>
      </c>
      <c r="O327" s="96" t="str">
        <f t="shared" si="122"/>
        <v/>
      </c>
      <c r="P327" s="96" t="str">
        <f t="shared" si="123"/>
        <v/>
      </c>
      <c r="Q327" s="96" t="str">
        <f t="shared" si="124"/>
        <v/>
      </c>
      <c r="R327" s="92" t="str">
        <f t="shared" si="125"/>
        <v/>
      </c>
      <c r="S327" s="42" t="str">
        <f t="shared" si="126"/>
        <v/>
      </c>
      <c r="T327" s="176" t="str">
        <f>IF(L327="","",VLOOKUP(L327,classifications!C:K,9,FALSE))</f>
        <v/>
      </c>
      <c r="U327" s="177" t="str">
        <f t="shared" si="127"/>
        <v/>
      </c>
      <c r="V327" s="183" t="str">
        <f>IF(U327="","",IF($I$8="A",(RANK(U327,U$11:U$349)+COUNTIF(U$11:U327,U327)-1),(RANK(U327,U$11:U$349,1)+COUNTIF(U$11:U327,U327)-1)))</f>
        <v/>
      </c>
      <c r="W327" s="184"/>
      <c r="X327" s="5" t="str">
        <f>IF(L327="","",VLOOKUP($L327,classifications!$C:$J,6,FALSE))</f>
        <v/>
      </c>
      <c r="Y327" t="str">
        <f t="shared" si="128"/>
        <v/>
      </c>
      <c r="Z327" s="40" t="str">
        <f>IF(Y327="","",IF(I$8="A",(RANK(Y327,Y$11:Y$349,1)+COUNTIF(Y$11:Y327,Y327)-1),(RANK(Y327,Y$11:Y$349)+COUNTIF(Y$11:Y327,Y327)-1)))</f>
        <v/>
      </c>
      <c r="AA327" s="189" t="str">
        <f>IF(L327="","",VLOOKUP($L327,classifications!C:I,7,FALSE))</f>
        <v/>
      </c>
      <c r="AB327" s="183" t="str">
        <f t="shared" si="129"/>
        <v/>
      </c>
      <c r="AC327" s="183" t="str">
        <f>IF(AB327="","",IF($I$8="A",(RANK(AB327,AB$11:AB$349)+COUNTIF(AB$11:AB327,AB327)-1),(RANK(AB327,AB$11:AB$349,1)+COUNTIF(AB$11:AB327,AB327)-1)))</f>
        <v/>
      </c>
      <c r="AD327" s="183"/>
      <c r="AE327" s="49">
        <f>IF(I$8="A",(RANK(AG327,AG$11:AG$349,1)+COUNTIF(AG$11:AG327,AG327)-1),(RANK(AG327,AG$11:AG$349)+COUNTIF(AG$11:AG327,AG327)-1))</f>
        <v>317</v>
      </c>
      <c r="AF327" t="str">
        <f>VLOOKUP(Profile!$J$5,Families!$C:$R,6,FALSE)</f>
        <v>Herefordshire</v>
      </c>
      <c r="AG327" s="15">
        <f t="shared" si="130"/>
        <v>62.711864406779661</v>
      </c>
      <c r="AH327" s="50">
        <f t="shared" si="131"/>
        <v>317</v>
      </c>
      <c r="AI327" s="5" t="str">
        <f>IF(L327="","",VLOOKUP($L327,classifications!$C:$J,8,FALSE))</f>
        <v/>
      </c>
      <c r="AJ327" s="43" t="str">
        <f t="shared" si="132"/>
        <v/>
      </c>
      <c r="AK327" s="40" t="str">
        <f>IF(AJ327="","",IF(I$8="A",(RANK(AJ327,AJ$11:AJ$349,1)+COUNTIF(AJ$11:AJ327,AJ327)-1),(RANK(AJ327,AJ$11:AJ$349)+COUNTIF(AJ$11:AJ327,AJ327)-1)))</f>
        <v/>
      </c>
      <c r="AL327" s="3" t="str">
        <f t="shared" si="133"/>
        <v/>
      </c>
      <c r="AM327" t="str">
        <f t="shared" si="134"/>
        <v/>
      </c>
      <c r="AN327" t="str">
        <f t="shared" si="135"/>
        <v/>
      </c>
      <c r="AP327" s="5" t="str">
        <f>IF(L327="","",VLOOKUP($L327,classifications!$C:$E,3,FALSE))</f>
        <v/>
      </c>
      <c r="AQ327" s="43" t="str">
        <f t="shared" si="136"/>
        <v/>
      </c>
      <c r="AR327" s="40" t="str">
        <f>IF(AQ327="","",IF(I$8="A",(RANK(AQ327,AQ$11:AQ$349,1)+COUNTIF(AQ$11:AQ327,AQ327)-1),(RANK(AQ327,AQ$11:AQ$349)+COUNTIF(AQ$11:AQ327,AQ327)-1)))</f>
        <v/>
      </c>
      <c r="AS327" s="3" t="str">
        <f t="shared" si="137"/>
        <v/>
      </c>
      <c r="AT327" s="40" t="str">
        <f t="shared" si="138"/>
        <v/>
      </c>
      <c r="AU327" s="43" t="str">
        <f t="shared" si="139"/>
        <v/>
      </c>
      <c r="AX327" t="e">
        <f>HLOOKUP($AX$9&amp;$AX$10,Data!$A$1:$ZZ$1988,(MATCH($C327,Data!$A$1:$A$1988,0)),FALSE)</f>
        <v>#N/A</v>
      </c>
    </row>
    <row r="328" spans="1:50">
      <c r="A328" s="59" t="str">
        <f>$D$1&amp;318</f>
        <v>UA318</v>
      </c>
      <c r="B328" s="60">
        <f>IF(ISERROR(VLOOKUP(A328,classifications!A:C,3,FALSE)),0,VLOOKUP(A328,classifications!A:C,3,FALSE))</f>
        <v>0</v>
      </c>
      <c r="C328" t="s">
        <v>187</v>
      </c>
      <c r="D328" t="str">
        <f>VLOOKUP($C328,classifications!$C:$J,4,FALSE)</f>
        <v>L</v>
      </c>
      <c r="E328">
        <f>VLOOKUP(C328,classifications!C:K,9,FALSE)</f>
        <v>0</v>
      </c>
      <c r="F328">
        <f t="shared" si="116"/>
        <v>91.666666666666657</v>
      </c>
      <c r="G328" s="15"/>
      <c r="H328" s="42" t="str">
        <f t="shared" si="117"/>
        <v/>
      </c>
      <c r="I328" s="79" t="str">
        <f>IF(H328="","",IF($I$8="A",(RANK(H328,H$11:H$349,1)+COUNTIF(H$11:H328,H328)-1),(RANK(H328,H$11:H$349)+COUNTIF(H$11:H328,H328)-1)))</f>
        <v/>
      </c>
      <c r="J328" s="41"/>
      <c r="K328" s="36" t="str">
        <f t="shared" si="118"/>
        <v/>
      </c>
      <c r="L328" t="str">
        <f t="shared" si="119"/>
        <v/>
      </c>
      <c r="M328" s="117" t="str">
        <f t="shared" si="120"/>
        <v/>
      </c>
      <c r="N328" s="112" t="str">
        <f t="shared" si="121"/>
        <v/>
      </c>
      <c r="O328" s="96" t="str">
        <f t="shared" si="122"/>
        <v/>
      </c>
      <c r="P328" s="96" t="str">
        <f t="shared" si="123"/>
        <v/>
      </c>
      <c r="Q328" s="96" t="str">
        <f t="shared" si="124"/>
        <v/>
      </c>
      <c r="R328" s="92" t="str">
        <f t="shared" si="125"/>
        <v/>
      </c>
      <c r="S328" s="42" t="str">
        <f t="shared" si="126"/>
        <v/>
      </c>
      <c r="T328" s="176" t="str">
        <f>IF(L328="","",VLOOKUP(L328,classifications!C:K,9,FALSE))</f>
        <v/>
      </c>
      <c r="U328" s="177" t="str">
        <f t="shared" si="127"/>
        <v/>
      </c>
      <c r="V328" s="183" t="str">
        <f>IF(U328="","",IF($I$8="A",(RANK(U328,U$11:U$349)+COUNTIF(U$11:U328,U328)-1),(RANK(U328,U$11:U$349,1)+COUNTIF(U$11:U328,U328)-1)))</f>
        <v/>
      </c>
      <c r="W328" s="184"/>
      <c r="X328" s="5" t="str">
        <f>IF(L328="","",VLOOKUP($L328,classifications!$C:$J,6,FALSE))</f>
        <v/>
      </c>
      <c r="Y328" t="str">
        <f t="shared" si="128"/>
        <v/>
      </c>
      <c r="Z328" s="40" t="str">
        <f>IF(Y328="","",IF(I$8="A",(RANK(Y328,Y$11:Y$349,1)+COUNTIF(Y$11:Y328,Y328)-1),(RANK(Y328,Y$11:Y$349)+COUNTIF(Y$11:Y328,Y328)-1)))</f>
        <v/>
      </c>
      <c r="AA328" s="189" t="str">
        <f>IF(L328="","",VLOOKUP($L328,classifications!C:I,7,FALSE))</f>
        <v/>
      </c>
      <c r="AB328" s="183" t="str">
        <f t="shared" si="129"/>
        <v/>
      </c>
      <c r="AC328" s="183" t="str">
        <f>IF(AB328="","",IF($I$8="A",(RANK(AB328,AB$11:AB$349)+COUNTIF(AB$11:AB328,AB328)-1),(RANK(AB328,AB$11:AB$349,1)+COUNTIF(AB$11:AB328,AB328)-1)))</f>
        <v/>
      </c>
      <c r="AD328" s="183"/>
      <c r="AE328" s="49">
        <f>IF(I$8="A",(RANK(AG328,AG$11:AG$349,1)+COUNTIF(AG$11:AG328,AG328)-1),(RANK(AG328,AG$11:AG$349)+COUNTIF(AG$11:AG328,AG328)-1))</f>
        <v>318</v>
      </c>
      <c r="AF328" t="str">
        <f>VLOOKUP(Profile!$J$5,Families!$C:$R,6,FALSE)</f>
        <v>Herefordshire</v>
      </c>
      <c r="AG328" s="15">
        <f t="shared" si="130"/>
        <v>62.711864406779661</v>
      </c>
      <c r="AH328" s="50">
        <f t="shared" si="131"/>
        <v>318</v>
      </c>
      <c r="AI328" s="5" t="str">
        <f>IF(L328="","",VLOOKUP($L328,classifications!$C:$J,8,FALSE))</f>
        <v/>
      </c>
      <c r="AJ328" s="43" t="str">
        <f t="shared" si="132"/>
        <v/>
      </c>
      <c r="AK328" s="40" t="str">
        <f>IF(AJ328="","",IF(I$8="A",(RANK(AJ328,AJ$11:AJ$349,1)+COUNTIF(AJ$11:AJ328,AJ328)-1),(RANK(AJ328,AJ$11:AJ$349)+COUNTIF(AJ$11:AJ328,AJ328)-1)))</f>
        <v/>
      </c>
      <c r="AL328" s="3" t="str">
        <f t="shared" si="133"/>
        <v/>
      </c>
      <c r="AM328" t="str">
        <f t="shared" si="134"/>
        <v/>
      </c>
      <c r="AN328" t="str">
        <f t="shared" si="135"/>
        <v/>
      </c>
      <c r="AP328" s="5" t="str">
        <f>IF(L328="","",VLOOKUP($L328,classifications!$C:$E,3,FALSE))</f>
        <v/>
      </c>
      <c r="AQ328" s="43" t="str">
        <f t="shared" si="136"/>
        <v/>
      </c>
      <c r="AR328" s="40" t="str">
        <f>IF(AQ328="","",IF(I$8="A",(RANK(AQ328,AQ$11:AQ$349,1)+COUNTIF(AQ$11:AQ328,AQ328)-1),(RANK(AQ328,AQ$11:AQ$349)+COUNTIF(AQ$11:AQ328,AQ328)-1)))</f>
        <v/>
      </c>
      <c r="AS328" s="3" t="str">
        <f t="shared" si="137"/>
        <v/>
      </c>
      <c r="AT328" s="40" t="str">
        <f t="shared" si="138"/>
        <v/>
      </c>
      <c r="AU328" s="43" t="str">
        <f t="shared" si="139"/>
        <v/>
      </c>
      <c r="AX328">
        <f>HLOOKUP($AX$9&amp;$AX$10,Data!$A$1:$ZZ$1988,(MATCH($C328,Data!$A$1:$A$1988,0)),FALSE)</f>
        <v>91.666666666666657</v>
      </c>
    </row>
    <row r="329" spans="1:50">
      <c r="A329" s="59" t="str">
        <f>$D$1&amp;319</f>
        <v>UA319</v>
      </c>
      <c r="B329" s="60">
        <f>IF(ISERROR(VLOOKUP(A329,classifications!A:C,3,FALSE)),0,VLOOKUP(A329,classifications!A:C,3,FALSE))</f>
        <v>0</v>
      </c>
      <c r="C329" t="s">
        <v>255</v>
      </c>
      <c r="D329" t="str">
        <f>VLOOKUP($C329,classifications!$C:$J,4,FALSE)</f>
        <v>MD</v>
      </c>
      <c r="E329">
        <f>VLOOKUP(C329,classifications!C:K,9,FALSE)</f>
        <v>0</v>
      </c>
      <c r="F329">
        <f t="shared" si="116"/>
        <v>90</v>
      </c>
      <c r="G329" s="15"/>
      <c r="H329" s="42" t="str">
        <f t="shared" si="117"/>
        <v/>
      </c>
      <c r="I329" s="79" t="str">
        <f>IF(H329="","",IF($I$8="A",(RANK(H329,H$11:H$349,1)+COUNTIF(H$11:H329,H329)-1),(RANK(H329,H$11:H$349)+COUNTIF(H$11:H329,H329)-1)))</f>
        <v/>
      </c>
      <c r="J329" s="41"/>
      <c r="K329" s="36" t="str">
        <f t="shared" si="118"/>
        <v/>
      </c>
      <c r="L329" t="str">
        <f t="shared" si="119"/>
        <v/>
      </c>
      <c r="M329" s="117" t="str">
        <f t="shared" si="120"/>
        <v/>
      </c>
      <c r="N329" s="112" t="str">
        <f t="shared" si="121"/>
        <v/>
      </c>
      <c r="O329" s="96" t="str">
        <f t="shared" si="122"/>
        <v/>
      </c>
      <c r="P329" s="96" t="str">
        <f t="shared" si="123"/>
        <v/>
      </c>
      <c r="Q329" s="96" t="str">
        <f t="shared" si="124"/>
        <v/>
      </c>
      <c r="R329" s="92" t="str">
        <f t="shared" si="125"/>
        <v/>
      </c>
      <c r="S329" s="42" t="str">
        <f t="shared" si="126"/>
        <v/>
      </c>
      <c r="T329" s="176" t="str">
        <f>IF(L329="","",VLOOKUP(L329,classifications!C:K,9,FALSE))</f>
        <v/>
      </c>
      <c r="U329" s="177" t="str">
        <f t="shared" si="127"/>
        <v/>
      </c>
      <c r="V329" s="183" t="str">
        <f>IF(U329="","",IF($I$8="A",(RANK(U329,U$11:U$349)+COUNTIF(U$11:U329,U329)-1),(RANK(U329,U$11:U$349,1)+COUNTIF(U$11:U329,U329)-1)))</f>
        <v/>
      </c>
      <c r="W329" s="184"/>
      <c r="X329" s="5" t="str">
        <f>IF(L329="","",VLOOKUP($L329,classifications!$C:$J,6,FALSE))</f>
        <v/>
      </c>
      <c r="Y329" t="str">
        <f t="shared" si="128"/>
        <v/>
      </c>
      <c r="Z329" s="40" t="str">
        <f>IF(Y329="","",IF(I$8="A",(RANK(Y329,Y$11:Y$349,1)+COUNTIF(Y$11:Y329,Y329)-1),(RANK(Y329,Y$11:Y$349)+COUNTIF(Y$11:Y329,Y329)-1)))</f>
        <v/>
      </c>
      <c r="AA329" s="189" t="str">
        <f>IF(L329="","",VLOOKUP($L329,classifications!C:I,7,FALSE))</f>
        <v/>
      </c>
      <c r="AB329" s="183" t="str">
        <f t="shared" si="129"/>
        <v/>
      </c>
      <c r="AC329" s="183" t="str">
        <f>IF(AB329="","",IF($I$8="A",(RANK(AB329,AB$11:AB$349)+COUNTIF(AB$11:AB329,AB329)-1),(RANK(AB329,AB$11:AB$349,1)+COUNTIF(AB$11:AB329,AB329)-1)))</f>
        <v/>
      </c>
      <c r="AD329" s="183"/>
      <c r="AE329" s="49">
        <f>IF(I$8="A",(RANK(AG329,AG$11:AG$349,1)+COUNTIF(AG$11:AG329,AG329)-1),(RANK(AG329,AG$11:AG$349)+COUNTIF(AG$11:AG329,AG329)-1))</f>
        <v>319</v>
      </c>
      <c r="AF329" t="str">
        <f>VLOOKUP(Profile!$J$5,Families!$C:$R,6,FALSE)</f>
        <v>Herefordshire</v>
      </c>
      <c r="AG329" s="15">
        <f t="shared" si="130"/>
        <v>62.711864406779661</v>
      </c>
      <c r="AH329" s="50">
        <f t="shared" si="131"/>
        <v>319</v>
      </c>
      <c r="AI329" s="5" t="str">
        <f>IF(L329="","",VLOOKUP($L329,classifications!$C:$J,8,FALSE))</f>
        <v/>
      </c>
      <c r="AJ329" s="43" t="str">
        <f t="shared" si="132"/>
        <v/>
      </c>
      <c r="AK329" s="40" t="str">
        <f>IF(AJ329="","",IF(I$8="A",(RANK(AJ329,AJ$11:AJ$349,1)+COUNTIF(AJ$11:AJ329,AJ329)-1),(RANK(AJ329,AJ$11:AJ$349)+COUNTIF(AJ$11:AJ329,AJ329)-1)))</f>
        <v/>
      </c>
      <c r="AL329" s="3" t="str">
        <f t="shared" si="133"/>
        <v/>
      </c>
      <c r="AM329" t="str">
        <f t="shared" si="134"/>
        <v/>
      </c>
      <c r="AN329" t="str">
        <f t="shared" si="135"/>
        <v/>
      </c>
      <c r="AP329" s="5" t="str">
        <f>IF(L329="","",VLOOKUP($L329,classifications!$C:$E,3,FALSE))</f>
        <v/>
      </c>
      <c r="AQ329" s="43" t="str">
        <f t="shared" si="136"/>
        <v/>
      </c>
      <c r="AR329" s="40" t="str">
        <f>IF(AQ329="","",IF(I$8="A",(RANK(AQ329,AQ$11:AQ$349,1)+COUNTIF(AQ$11:AQ329,AQ329)-1),(RANK(AQ329,AQ$11:AQ$349)+COUNTIF(AQ$11:AQ329,AQ329)-1)))</f>
        <v/>
      </c>
      <c r="AS329" s="3" t="str">
        <f t="shared" si="137"/>
        <v/>
      </c>
      <c r="AT329" s="40" t="str">
        <f t="shared" si="138"/>
        <v/>
      </c>
      <c r="AU329" s="43" t="str">
        <f t="shared" si="139"/>
        <v/>
      </c>
      <c r="AX329">
        <f>HLOOKUP($AX$9&amp;$AX$10,Data!$A$1:$ZZ$1988,(MATCH($C329,Data!$A$1:$A$1988,0)),FALSE)</f>
        <v>90</v>
      </c>
    </row>
    <row r="330" spans="1:50">
      <c r="A330" s="59" t="str">
        <f>$D$1&amp;320</f>
        <v>UA320</v>
      </c>
      <c r="B330" s="60">
        <f>IF(ISERROR(VLOOKUP(A330,classifications!A:C,3,FALSE)),0,VLOOKUP(A330,classifications!A:C,3,FALSE))</f>
        <v>0</v>
      </c>
      <c r="C330" t="s">
        <v>297</v>
      </c>
      <c r="D330" t="str">
        <f>VLOOKUP($C330,classifications!$C:$J,4,FALSE)</f>
        <v>UA</v>
      </c>
      <c r="E330">
        <f>VLOOKUP(C330,classifications!C:K,9,FALSE)</f>
        <v>0</v>
      </c>
      <c r="F330">
        <f t="shared" si="116"/>
        <v>68.376068376068375</v>
      </c>
      <c r="G330" s="15"/>
      <c r="H330" s="42">
        <f t="shared" si="117"/>
        <v>68.376068376068375</v>
      </c>
      <c r="I330" s="79">
        <f>IF(H330="","",IF($I$8="A",(RANK(H330,H$11:H$349,1)+COUNTIF(H$11:H330,H330)-1),(RANK(H330,H$11:H$349)+COUNTIF(H$11:H330,H330)-1)))</f>
        <v>54</v>
      </c>
      <c r="J330" s="41"/>
      <c r="K330" s="36" t="str">
        <f t="shared" si="118"/>
        <v/>
      </c>
      <c r="L330" t="str">
        <f t="shared" si="119"/>
        <v/>
      </c>
      <c r="M330" s="117" t="str">
        <f t="shared" si="120"/>
        <v/>
      </c>
      <c r="N330" s="112" t="str">
        <f t="shared" si="121"/>
        <v/>
      </c>
      <c r="O330" s="96" t="str">
        <f t="shared" si="122"/>
        <v/>
      </c>
      <c r="P330" s="96" t="str">
        <f t="shared" si="123"/>
        <v/>
      </c>
      <c r="Q330" s="96" t="str">
        <f t="shared" si="124"/>
        <v/>
      </c>
      <c r="R330" s="92" t="str">
        <f t="shared" si="125"/>
        <v/>
      </c>
      <c r="S330" s="42" t="str">
        <f t="shared" si="126"/>
        <v/>
      </c>
      <c r="T330" s="176" t="str">
        <f>IF(L330="","",VLOOKUP(L330,classifications!C:K,9,FALSE))</f>
        <v/>
      </c>
      <c r="U330" s="177" t="str">
        <f t="shared" si="127"/>
        <v/>
      </c>
      <c r="V330" s="183" t="str">
        <f>IF(U330="","",IF($I$8="A",(RANK(U330,U$11:U$349)+COUNTIF(U$11:U330,U330)-1),(RANK(U330,U$11:U$349,1)+COUNTIF(U$11:U330,U330)-1)))</f>
        <v/>
      </c>
      <c r="W330" s="184"/>
      <c r="X330" s="5" t="str">
        <f>IF(L330="","",VLOOKUP($L330,classifications!$C:$J,6,FALSE))</f>
        <v/>
      </c>
      <c r="Y330" t="str">
        <f t="shared" si="128"/>
        <v/>
      </c>
      <c r="Z330" s="40" t="str">
        <f>IF(Y330="","",IF(I$8="A",(RANK(Y330,Y$11:Y$349,1)+COUNTIF(Y$11:Y330,Y330)-1),(RANK(Y330,Y$11:Y$349)+COUNTIF(Y$11:Y330,Y330)-1)))</f>
        <v/>
      </c>
      <c r="AA330" s="189" t="str">
        <f>IF(L330="","",VLOOKUP($L330,classifications!C:I,7,FALSE))</f>
        <v/>
      </c>
      <c r="AB330" s="183" t="str">
        <f t="shared" si="129"/>
        <v/>
      </c>
      <c r="AC330" s="183" t="str">
        <f>IF(AB330="","",IF($I$8="A",(RANK(AB330,AB$11:AB$349)+COUNTIF(AB$11:AB330,AB330)-1),(RANK(AB330,AB$11:AB$349,1)+COUNTIF(AB$11:AB330,AB330)-1)))</f>
        <v/>
      </c>
      <c r="AD330" s="183"/>
      <c r="AE330" s="49">
        <f>IF(I$8="A",(RANK(AG330,AG$11:AG$349,1)+COUNTIF(AG$11:AG330,AG330)-1),(RANK(AG330,AG$11:AG$349)+COUNTIF(AG$11:AG330,AG330)-1))</f>
        <v>320</v>
      </c>
      <c r="AF330" t="str">
        <f>VLOOKUP(Profile!$J$5,Families!$C:$R,6,FALSE)</f>
        <v>Herefordshire</v>
      </c>
      <c r="AG330" s="15">
        <f t="shared" si="130"/>
        <v>62.711864406779661</v>
      </c>
      <c r="AH330" s="50">
        <f t="shared" si="131"/>
        <v>320</v>
      </c>
      <c r="AI330" s="5" t="str">
        <f>IF(L330="","",VLOOKUP($L330,classifications!$C:$J,8,FALSE))</f>
        <v/>
      </c>
      <c r="AJ330" s="43" t="str">
        <f t="shared" si="132"/>
        <v/>
      </c>
      <c r="AK330" s="40" t="str">
        <f>IF(AJ330="","",IF(I$8="A",(RANK(AJ330,AJ$11:AJ$349,1)+COUNTIF(AJ$11:AJ330,AJ330)-1),(RANK(AJ330,AJ$11:AJ$349)+COUNTIF(AJ$11:AJ330,AJ330)-1)))</f>
        <v/>
      </c>
      <c r="AL330" s="3" t="str">
        <f t="shared" si="133"/>
        <v/>
      </c>
      <c r="AM330" t="str">
        <f t="shared" si="134"/>
        <v/>
      </c>
      <c r="AN330" t="str">
        <f t="shared" si="135"/>
        <v/>
      </c>
      <c r="AP330" s="5" t="str">
        <f>IF(L330="","",VLOOKUP($L330,classifications!$C:$E,3,FALSE))</f>
        <v/>
      </c>
      <c r="AQ330" s="43" t="str">
        <f t="shared" si="136"/>
        <v/>
      </c>
      <c r="AR330" s="40" t="str">
        <f>IF(AQ330="","",IF(I$8="A",(RANK(AQ330,AQ$11:AQ$349,1)+COUNTIF(AQ$11:AQ330,AQ330)-1),(RANK(AQ330,AQ$11:AQ$349)+COUNTIF(AQ$11:AQ330,AQ330)-1)))</f>
        <v/>
      </c>
      <c r="AS330" s="3" t="str">
        <f t="shared" si="137"/>
        <v/>
      </c>
      <c r="AT330" s="40" t="str">
        <f t="shared" si="138"/>
        <v/>
      </c>
      <c r="AU330" s="43" t="str">
        <f t="shared" si="139"/>
        <v/>
      </c>
      <c r="AX330">
        <f>HLOOKUP($AX$9&amp;$AX$10,Data!$A$1:$ZZ$1988,(MATCH($C330,Data!$A$1:$A$1988,0)),FALSE)</f>
        <v>68.376068376068375</v>
      </c>
    </row>
    <row r="331" spans="1:50">
      <c r="A331" s="59" t="str">
        <f>$D$1&amp;321</f>
        <v>UA321</v>
      </c>
      <c r="B331" s="60">
        <f>IF(ISERROR(VLOOKUP(A331,classifications!A:C,3,FALSE)),0,VLOOKUP(A331,classifications!A:C,3,FALSE))</f>
        <v>0</v>
      </c>
      <c r="C331" t="s">
        <v>188</v>
      </c>
      <c r="D331" t="str">
        <f>VLOOKUP($C331,classifications!$C:$J,4,FALSE)</f>
        <v>SD</v>
      </c>
      <c r="E331">
        <f>VLOOKUP(C331,classifications!C:K,9,FALSE)</f>
        <v>0</v>
      </c>
      <c r="F331">
        <f t="shared" si="116"/>
        <v>96</v>
      </c>
      <c r="G331" s="15"/>
      <c r="H331" s="42" t="str">
        <f t="shared" si="117"/>
        <v/>
      </c>
      <c r="I331" s="79" t="str">
        <f>IF(H331="","",IF($I$8="A",(RANK(H331,H$11:H$349,1)+COUNTIF(H$11:H331,H331)-1),(RANK(H331,H$11:H$349)+COUNTIF(H$11:H331,H331)-1)))</f>
        <v/>
      </c>
      <c r="J331" s="41"/>
      <c r="K331" s="36" t="str">
        <f t="shared" si="118"/>
        <v/>
      </c>
      <c r="L331" t="str">
        <f t="shared" si="119"/>
        <v/>
      </c>
      <c r="M331" s="117" t="str">
        <f t="shared" si="120"/>
        <v/>
      </c>
      <c r="N331" s="112" t="str">
        <f t="shared" si="121"/>
        <v/>
      </c>
      <c r="O331" s="96" t="str">
        <f t="shared" si="122"/>
        <v/>
      </c>
      <c r="P331" s="96" t="str">
        <f t="shared" si="123"/>
        <v/>
      </c>
      <c r="Q331" s="96" t="str">
        <f t="shared" si="124"/>
        <v/>
      </c>
      <c r="R331" s="92" t="str">
        <f t="shared" si="125"/>
        <v/>
      </c>
      <c r="S331" s="42" t="str">
        <f t="shared" si="126"/>
        <v/>
      </c>
      <c r="T331" s="176" t="str">
        <f>IF(L331="","",VLOOKUP(L331,classifications!C:K,9,FALSE))</f>
        <v/>
      </c>
      <c r="U331" s="177" t="str">
        <f t="shared" si="127"/>
        <v/>
      </c>
      <c r="V331" s="183" t="str">
        <f>IF(U331="","",IF($I$8="A",(RANK(U331,U$11:U$349)+COUNTIF(U$11:U331,U331)-1),(RANK(U331,U$11:U$349,1)+COUNTIF(U$11:U331,U331)-1)))</f>
        <v/>
      </c>
      <c r="W331" s="184"/>
      <c r="X331" s="5" t="str">
        <f>IF(L331="","",VLOOKUP($L331,classifications!$C:$J,6,FALSE))</f>
        <v/>
      </c>
      <c r="Y331" t="str">
        <f t="shared" si="128"/>
        <v/>
      </c>
      <c r="Z331" s="40" t="str">
        <f>IF(Y331="","",IF(I$8="A",(RANK(Y331,Y$11:Y$349,1)+COUNTIF(Y$11:Y331,Y331)-1),(RANK(Y331,Y$11:Y$349)+COUNTIF(Y$11:Y331,Y331)-1)))</f>
        <v/>
      </c>
      <c r="AA331" s="189" t="str">
        <f>IF(L331="","",VLOOKUP($L331,classifications!C:I,7,FALSE))</f>
        <v/>
      </c>
      <c r="AB331" s="183" t="str">
        <f t="shared" si="129"/>
        <v/>
      </c>
      <c r="AC331" s="183" t="str">
        <f>IF(AB331="","",IF($I$8="A",(RANK(AB331,AB$11:AB$349)+COUNTIF(AB$11:AB331,AB331)-1),(RANK(AB331,AB$11:AB$349,1)+COUNTIF(AB$11:AB331,AB331)-1)))</f>
        <v/>
      </c>
      <c r="AD331" s="183"/>
      <c r="AE331" s="49">
        <f>IF(I$8="A",(RANK(AG331,AG$11:AG$349,1)+COUNTIF(AG$11:AG331,AG331)-1),(RANK(AG331,AG$11:AG$349)+COUNTIF(AG$11:AG331,AG331)-1))</f>
        <v>321</v>
      </c>
      <c r="AF331" t="str">
        <f>VLOOKUP(Profile!$J$5,Families!$C:$R,6,FALSE)</f>
        <v>Herefordshire</v>
      </c>
      <c r="AG331" s="15">
        <f t="shared" si="130"/>
        <v>62.711864406779661</v>
      </c>
      <c r="AH331" s="50">
        <f t="shared" si="131"/>
        <v>321</v>
      </c>
      <c r="AI331" s="5" t="str">
        <f>IF(L331="","",VLOOKUP($L331,classifications!$C:$J,8,FALSE))</f>
        <v/>
      </c>
      <c r="AJ331" s="43" t="str">
        <f t="shared" si="132"/>
        <v/>
      </c>
      <c r="AK331" s="40" t="str">
        <f>IF(AJ331="","",IF(I$8="A",(RANK(AJ331,AJ$11:AJ$349,1)+COUNTIF(AJ$11:AJ331,AJ331)-1),(RANK(AJ331,AJ$11:AJ$349)+COUNTIF(AJ$11:AJ331,AJ331)-1)))</f>
        <v/>
      </c>
      <c r="AL331" s="3" t="str">
        <f t="shared" si="133"/>
        <v/>
      </c>
      <c r="AM331" t="str">
        <f t="shared" si="134"/>
        <v/>
      </c>
      <c r="AN331" t="str">
        <f t="shared" si="135"/>
        <v/>
      </c>
      <c r="AP331" s="5" t="str">
        <f>IF(L331="","",VLOOKUP($L331,classifications!$C:$E,3,FALSE))</f>
        <v/>
      </c>
      <c r="AQ331" s="43" t="str">
        <f t="shared" si="136"/>
        <v/>
      </c>
      <c r="AR331" s="40" t="str">
        <f>IF(AQ331="","",IF(I$8="A",(RANK(AQ331,AQ$11:AQ$349,1)+COUNTIF(AQ$11:AQ331,AQ331)-1),(RANK(AQ331,AQ$11:AQ$349)+COUNTIF(AQ$11:AQ331,AQ331)-1)))</f>
        <v/>
      </c>
      <c r="AS331" s="3" t="str">
        <f t="shared" si="137"/>
        <v/>
      </c>
      <c r="AT331" s="40" t="str">
        <f t="shared" si="138"/>
        <v/>
      </c>
      <c r="AU331" s="43" t="str">
        <f t="shared" si="139"/>
        <v/>
      </c>
      <c r="AX331">
        <f>HLOOKUP($AX$9&amp;$AX$10,Data!$A$1:$ZZ$1988,(MATCH($C331,Data!$A$1:$A$1988,0)),FALSE)</f>
        <v>96</v>
      </c>
    </row>
    <row r="332" spans="1:50">
      <c r="A332" s="59" t="str">
        <f>$D$1&amp;322</f>
        <v>UA322</v>
      </c>
      <c r="B332" s="60">
        <f>IF(ISERROR(VLOOKUP(A332,classifications!A:C,3,FALSE)),0,VLOOKUP(A332,classifications!A:C,3,FALSE))</f>
        <v>0</v>
      </c>
      <c r="C332" t="s">
        <v>815</v>
      </c>
      <c r="D332" t="str">
        <f>VLOOKUP($C332,classifications!$C:$J,4,FALSE)</f>
        <v>UA</v>
      </c>
      <c r="E332">
        <f>VLOOKUP(C332,classifications!C:K,9,FALSE)</f>
        <v>0</v>
      </c>
      <c r="F332">
        <f t="shared" si="116"/>
        <v>71.428571428571431</v>
      </c>
      <c r="G332" s="15"/>
      <c r="H332" s="42">
        <f t="shared" si="117"/>
        <v>71.428571428571431</v>
      </c>
      <c r="I332" s="79">
        <f>IF(H332="","",IF($I$8="A",(RANK(H332,H$11:H$349,1)+COUNTIF(H$11:H332,H332)-1),(RANK(H332,H$11:H$349)+COUNTIF(H$11:H332,H332)-1)))</f>
        <v>52</v>
      </c>
      <c r="J332" s="41"/>
      <c r="K332" s="36" t="str">
        <f t="shared" si="118"/>
        <v/>
      </c>
      <c r="L332" t="str">
        <f t="shared" si="119"/>
        <v/>
      </c>
      <c r="M332" s="117" t="str">
        <f t="shared" si="120"/>
        <v/>
      </c>
      <c r="N332" s="112" t="str">
        <f t="shared" si="121"/>
        <v/>
      </c>
      <c r="O332" s="96" t="str">
        <f t="shared" si="122"/>
        <v/>
      </c>
      <c r="P332" s="96" t="str">
        <f t="shared" si="123"/>
        <v/>
      </c>
      <c r="Q332" s="96" t="str">
        <f t="shared" si="124"/>
        <v/>
      </c>
      <c r="R332" s="92" t="str">
        <f t="shared" si="125"/>
        <v/>
      </c>
      <c r="S332" s="42" t="str">
        <f t="shared" si="126"/>
        <v/>
      </c>
      <c r="T332" s="176" t="str">
        <f>IF(L332="","",VLOOKUP(L332,classifications!C:K,9,FALSE))</f>
        <v/>
      </c>
      <c r="U332" s="177" t="str">
        <f t="shared" si="127"/>
        <v/>
      </c>
      <c r="V332" s="183" t="str">
        <f>IF(U332="","",IF($I$8="A",(RANK(U332,U$11:U$349)+COUNTIF(U$11:U332,U332)-1),(RANK(U332,U$11:U$349,1)+COUNTIF(U$11:U332,U332)-1)))</f>
        <v/>
      </c>
      <c r="W332" s="184"/>
      <c r="X332" s="5" t="str">
        <f>IF(L332="","",VLOOKUP($L332,classifications!$C:$J,6,FALSE))</f>
        <v/>
      </c>
      <c r="Y332" t="str">
        <f t="shared" si="128"/>
        <v/>
      </c>
      <c r="Z332" s="40" t="str">
        <f>IF(Y332="","",IF(I$8="A",(RANK(Y332,Y$11:Y$349,1)+COUNTIF(Y$11:Y332,Y332)-1),(RANK(Y332,Y$11:Y$349)+COUNTIF(Y$11:Y332,Y332)-1)))</f>
        <v/>
      </c>
      <c r="AA332" s="189" t="str">
        <f>IF(L332="","",VLOOKUP($L332,classifications!C:I,7,FALSE))</f>
        <v/>
      </c>
      <c r="AB332" s="183" t="str">
        <f t="shared" si="129"/>
        <v/>
      </c>
      <c r="AC332" s="183" t="str">
        <f>IF(AB332="","",IF($I$8="A",(RANK(AB332,AB$11:AB$349)+COUNTIF(AB$11:AB332,AB332)-1),(RANK(AB332,AB$11:AB$349,1)+COUNTIF(AB$11:AB332,AB332)-1)))</f>
        <v/>
      </c>
      <c r="AD332" s="183"/>
      <c r="AE332" s="49">
        <f>IF(I$8="A",(RANK(AG332,AG$11:AG$349,1)+COUNTIF(AG$11:AG332,AG332)-1),(RANK(AG332,AG$11:AG$349)+COUNTIF(AG$11:AG332,AG332)-1))</f>
        <v>322</v>
      </c>
      <c r="AF332" t="str">
        <f>VLOOKUP(Profile!$J$5,Families!$C:$R,6,FALSE)</f>
        <v>Herefordshire</v>
      </c>
      <c r="AG332" s="15">
        <f t="shared" si="130"/>
        <v>62.711864406779661</v>
      </c>
      <c r="AH332" s="50">
        <f t="shared" si="131"/>
        <v>322</v>
      </c>
      <c r="AI332" s="5" t="str">
        <f>IF(L332="","",VLOOKUP($L332,classifications!$C:$J,8,FALSE))</f>
        <v/>
      </c>
      <c r="AJ332" s="43" t="str">
        <f t="shared" si="132"/>
        <v/>
      </c>
      <c r="AK332" s="40" t="str">
        <f>IF(AJ332="","",IF(I$8="A",(RANK(AJ332,AJ$11:AJ$349,1)+COUNTIF(AJ$11:AJ332,AJ332)-1),(RANK(AJ332,AJ$11:AJ$349)+COUNTIF(AJ$11:AJ332,AJ332)-1)))</f>
        <v/>
      </c>
      <c r="AL332" s="3" t="str">
        <f t="shared" si="133"/>
        <v/>
      </c>
      <c r="AM332" t="str">
        <f t="shared" si="134"/>
        <v/>
      </c>
      <c r="AN332" t="str">
        <f t="shared" si="135"/>
        <v/>
      </c>
      <c r="AP332" s="5" t="str">
        <f>IF(L332="","",VLOOKUP($L332,classifications!$C:$E,3,FALSE))</f>
        <v/>
      </c>
      <c r="AQ332" s="43" t="str">
        <f t="shared" si="136"/>
        <v/>
      </c>
      <c r="AR332" s="40" t="str">
        <f>IF(AQ332="","",IF(I$8="A",(RANK(AQ332,AQ$11:AQ$349,1)+COUNTIF(AQ$11:AQ332,AQ332)-1),(RANK(AQ332,AQ$11:AQ$349)+COUNTIF(AQ$11:AQ332,AQ332)-1)))</f>
        <v/>
      </c>
      <c r="AS332" s="3" t="str">
        <f t="shared" si="137"/>
        <v/>
      </c>
      <c r="AT332" s="40" t="str">
        <f t="shared" si="138"/>
        <v/>
      </c>
      <c r="AU332" s="43" t="str">
        <f t="shared" si="139"/>
        <v/>
      </c>
      <c r="AX332">
        <f>HLOOKUP($AX$9&amp;$AX$10,Data!$A$1:$ZZ$1988,(MATCH($C332,Data!$A$1:$A$1988,0)),FALSE)</f>
        <v>71.428571428571431</v>
      </c>
    </row>
    <row r="333" spans="1:50">
      <c r="A333" s="59" t="str">
        <f>$D$1&amp;323</f>
        <v>UA323</v>
      </c>
      <c r="B333" s="60">
        <f>IF(ISERROR(VLOOKUP(A333,classifications!A:C,3,FALSE)),0,VLOOKUP(A333,classifications!A:C,3,FALSE))</f>
        <v>0</v>
      </c>
      <c r="C333" t="s">
        <v>256</v>
      </c>
      <c r="D333" t="str">
        <f>VLOOKUP($C333,classifications!$C:$J,4,FALSE)</f>
        <v>MD</v>
      </c>
      <c r="E333">
        <f>VLOOKUP(C333,classifications!C:K,9,FALSE)</f>
        <v>0</v>
      </c>
      <c r="F333">
        <f t="shared" si="116"/>
        <v>89.189189189189193</v>
      </c>
      <c r="G333" s="15"/>
      <c r="H333" s="42" t="str">
        <f t="shared" si="117"/>
        <v/>
      </c>
      <c r="I333" s="79" t="str">
        <f>IF(H333="","",IF($I$8="A",(RANK(H333,H$11:H$349,1)+COUNTIF(H$11:H333,H333)-1),(RANK(H333,H$11:H$349)+COUNTIF(H$11:H333,H333)-1)))</f>
        <v/>
      </c>
      <c r="J333" s="41"/>
      <c r="K333" s="36" t="str">
        <f t="shared" si="118"/>
        <v/>
      </c>
      <c r="L333" t="str">
        <f t="shared" si="119"/>
        <v/>
      </c>
      <c r="M333" s="117" t="str">
        <f t="shared" si="120"/>
        <v/>
      </c>
      <c r="N333" s="112" t="str">
        <f t="shared" si="121"/>
        <v/>
      </c>
      <c r="O333" s="96" t="str">
        <f t="shared" si="122"/>
        <v/>
      </c>
      <c r="P333" s="96" t="str">
        <f t="shared" si="123"/>
        <v/>
      </c>
      <c r="Q333" s="96" t="str">
        <f t="shared" si="124"/>
        <v/>
      </c>
      <c r="R333" s="92" t="str">
        <f t="shared" si="125"/>
        <v/>
      </c>
      <c r="S333" s="42" t="str">
        <f t="shared" si="126"/>
        <v/>
      </c>
      <c r="T333" s="176" t="str">
        <f>IF(L333="","",VLOOKUP(L333,classifications!C:K,9,FALSE))</f>
        <v/>
      </c>
      <c r="U333" s="177" t="str">
        <f t="shared" si="127"/>
        <v/>
      </c>
      <c r="V333" s="183" t="str">
        <f>IF(U333="","",IF($I$8="A",(RANK(U333,U$11:U$349)+COUNTIF(U$11:U333,U333)-1),(RANK(U333,U$11:U$349,1)+COUNTIF(U$11:U333,U333)-1)))</f>
        <v/>
      </c>
      <c r="W333" s="184"/>
      <c r="X333" s="5" t="str">
        <f>IF(L333="","",VLOOKUP($L333,classifications!$C:$J,6,FALSE))</f>
        <v/>
      </c>
      <c r="Y333" t="str">
        <f t="shared" si="128"/>
        <v/>
      </c>
      <c r="Z333" s="40" t="str">
        <f>IF(Y333="","",IF(I$8="A",(RANK(Y333,Y$11:Y$349,1)+COUNTIF(Y$11:Y333,Y333)-1),(RANK(Y333,Y$11:Y$349)+COUNTIF(Y$11:Y333,Y333)-1)))</f>
        <v/>
      </c>
      <c r="AA333" s="189" t="str">
        <f>IF(L333="","",VLOOKUP($L333,classifications!C:I,7,FALSE))</f>
        <v/>
      </c>
      <c r="AB333" s="183" t="str">
        <f t="shared" si="129"/>
        <v/>
      </c>
      <c r="AC333" s="183" t="str">
        <f>IF(AB333="","",IF($I$8="A",(RANK(AB333,AB$11:AB$349)+COUNTIF(AB$11:AB333,AB333)-1),(RANK(AB333,AB$11:AB$349,1)+COUNTIF(AB$11:AB333,AB333)-1)))</f>
        <v/>
      </c>
      <c r="AD333" s="183"/>
      <c r="AE333" s="49">
        <f>IF(I$8="A",(RANK(AG333,AG$11:AG$349,1)+COUNTIF(AG$11:AG333,AG333)-1),(RANK(AG333,AG$11:AG$349)+COUNTIF(AG$11:AG333,AG333)-1))</f>
        <v>323</v>
      </c>
      <c r="AF333" t="str">
        <f>VLOOKUP(Profile!$J$5,Families!$C:$R,6,FALSE)</f>
        <v>Herefordshire</v>
      </c>
      <c r="AG333" s="15">
        <f t="shared" si="130"/>
        <v>62.711864406779661</v>
      </c>
      <c r="AH333" s="50">
        <f t="shared" si="131"/>
        <v>323</v>
      </c>
      <c r="AI333" s="5" t="str">
        <f>IF(L333="","",VLOOKUP($L333,classifications!$C:$J,8,FALSE))</f>
        <v/>
      </c>
      <c r="AJ333" s="43" t="str">
        <f t="shared" si="132"/>
        <v/>
      </c>
      <c r="AK333" s="40" t="str">
        <f>IF(AJ333="","",IF(I$8="A",(RANK(AJ333,AJ$11:AJ$349,1)+COUNTIF(AJ$11:AJ333,AJ333)-1),(RANK(AJ333,AJ$11:AJ$349)+COUNTIF(AJ$11:AJ333,AJ333)-1)))</f>
        <v/>
      </c>
      <c r="AL333" s="3" t="str">
        <f t="shared" si="133"/>
        <v/>
      </c>
      <c r="AM333" t="str">
        <f t="shared" si="134"/>
        <v/>
      </c>
      <c r="AN333" t="str">
        <f t="shared" si="135"/>
        <v/>
      </c>
      <c r="AP333" s="5" t="str">
        <f>IF(L333="","",VLOOKUP($L333,classifications!$C:$E,3,FALSE))</f>
        <v/>
      </c>
      <c r="AQ333" s="43" t="str">
        <f t="shared" si="136"/>
        <v/>
      </c>
      <c r="AR333" s="40" t="str">
        <f>IF(AQ333="","",IF(I$8="A",(RANK(AQ333,AQ$11:AQ$349,1)+COUNTIF(AQ$11:AQ333,AQ333)-1),(RANK(AQ333,AQ$11:AQ$349)+COUNTIF(AQ$11:AQ333,AQ333)-1)))</f>
        <v/>
      </c>
      <c r="AS333" s="3" t="str">
        <f t="shared" si="137"/>
        <v/>
      </c>
      <c r="AT333" s="40" t="str">
        <f t="shared" si="138"/>
        <v/>
      </c>
      <c r="AU333" s="43" t="str">
        <f t="shared" si="139"/>
        <v/>
      </c>
      <c r="AX333">
        <f>HLOOKUP($AX$9&amp;$AX$10,Data!$A$1:$ZZ$1988,(MATCH($C333,Data!$A$1:$A$1988,0)),FALSE)</f>
        <v>89.189189189189193</v>
      </c>
    </row>
    <row r="334" spans="1:50">
      <c r="A334" s="59" t="str">
        <f>$D$1&amp;324</f>
        <v>UA324</v>
      </c>
      <c r="B334" s="60">
        <f>IF(ISERROR(VLOOKUP(A334,classifications!A:C,3,FALSE)),0,VLOOKUP(A334,classifications!A:C,3,FALSE))</f>
        <v>0</v>
      </c>
      <c r="C334" t="s">
        <v>189</v>
      </c>
      <c r="D334" t="str">
        <f>VLOOKUP($C334,classifications!$C:$J,4,FALSE)</f>
        <v>SD</v>
      </c>
      <c r="E334">
        <f>VLOOKUP(C334,classifications!C:K,9,FALSE)</f>
        <v>0</v>
      </c>
      <c r="F334">
        <f t="shared" si="116"/>
        <v>100</v>
      </c>
      <c r="G334" s="15"/>
      <c r="H334" s="42" t="str">
        <f t="shared" si="117"/>
        <v/>
      </c>
      <c r="I334" s="79" t="str">
        <f>IF(H334="","",IF($I$8="A",(RANK(H334,H$11:H$349,1)+COUNTIF(H$11:H334,H334)-1),(RANK(H334,H$11:H$349)+COUNTIF(H$11:H334,H334)-1)))</f>
        <v/>
      </c>
      <c r="J334" s="41"/>
      <c r="K334" s="36" t="str">
        <f t="shared" si="118"/>
        <v/>
      </c>
      <c r="L334" t="str">
        <f t="shared" si="119"/>
        <v/>
      </c>
      <c r="M334" s="117" t="str">
        <f t="shared" si="120"/>
        <v/>
      </c>
      <c r="N334" s="112" t="str">
        <f t="shared" si="121"/>
        <v/>
      </c>
      <c r="O334" s="96" t="str">
        <f t="shared" si="122"/>
        <v/>
      </c>
      <c r="P334" s="96" t="str">
        <f t="shared" si="123"/>
        <v/>
      </c>
      <c r="Q334" s="96" t="str">
        <f t="shared" si="124"/>
        <v/>
      </c>
      <c r="R334" s="92" t="str">
        <f t="shared" si="125"/>
        <v/>
      </c>
      <c r="S334" s="42" t="str">
        <f t="shared" si="126"/>
        <v/>
      </c>
      <c r="T334" s="176" t="str">
        <f>IF(L334="","",VLOOKUP(L334,classifications!C:K,9,FALSE))</f>
        <v/>
      </c>
      <c r="U334" s="177" t="str">
        <f t="shared" si="127"/>
        <v/>
      </c>
      <c r="V334" s="183" t="str">
        <f>IF(U334="","",IF($I$8="A",(RANK(U334,U$11:U$349)+COUNTIF(U$11:U334,U334)-1),(RANK(U334,U$11:U$349,1)+COUNTIF(U$11:U334,U334)-1)))</f>
        <v/>
      </c>
      <c r="W334" s="184"/>
      <c r="X334" s="5" t="str">
        <f>IF(L334="","",VLOOKUP($L334,classifications!$C:$J,6,FALSE))</f>
        <v/>
      </c>
      <c r="Y334" t="str">
        <f t="shared" si="128"/>
        <v/>
      </c>
      <c r="Z334" s="40" t="str">
        <f>IF(Y334="","",IF(I$8="A",(RANK(Y334,Y$11:Y$349,1)+COUNTIF(Y$11:Y334,Y334)-1),(RANK(Y334,Y$11:Y$349)+COUNTIF(Y$11:Y334,Y334)-1)))</f>
        <v/>
      </c>
      <c r="AA334" s="189" t="str">
        <f>IF(L334="","",VLOOKUP($L334,classifications!C:I,7,FALSE))</f>
        <v/>
      </c>
      <c r="AB334" s="183" t="str">
        <f t="shared" si="129"/>
        <v/>
      </c>
      <c r="AC334" s="183" t="str">
        <f>IF(AB334="","",IF($I$8="A",(RANK(AB334,AB$11:AB$349)+COUNTIF(AB$11:AB334,AB334)-1),(RANK(AB334,AB$11:AB$349,1)+COUNTIF(AB$11:AB334,AB334)-1)))</f>
        <v/>
      </c>
      <c r="AD334" s="183"/>
      <c r="AE334" s="49">
        <f>IF(I$8="A",(RANK(AG334,AG$11:AG$349,1)+COUNTIF(AG$11:AG334,AG334)-1),(RANK(AG334,AG$11:AG$349)+COUNTIF(AG$11:AG334,AG334)-1))</f>
        <v>324</v>
      </c>
      <c r="AF334" t="str">
        <f>VLOOKUP(Profile!$J$5,Families!$C:$R,6,FALSE)</f>
        <v>Herefordshire</v>
      </c>
      <c r="AG334" s="15">
        <f t="shared" si="130"/>
        <v>62.711864406779661</v>
      </c>
      <c r="AH334" s="50">
        <f t="shared" si="131"/>
        <v>324</v>
      </c>
      <c r="AI334" s="5" t="str">
        <f>IF(L334="","",VLOOKUP($L334,classifications!$C:$J,8,FALSE))</f>
        <v/>
      </c>
      <c r="AJ334" s="43" t="str">
        <f t="shared" si="132"/>
        <v/>
      </c>
      <c r="AK334" s="40" t="str">
        <f>IF(AJ334="","",IF(I$8="A",(RANK(AJ334,AJ$11:AJ$349,1)+COUNTIF(AJ$11:AJ334,AJ334)-1),(RANK(AJ334,AJ$11:AJ$349)+COUNTIF(AJ$11:AJ334,AJ334)-1)))</f>
        <v/>
      </c>
      <c r="AL334" s="3" t="str">
        <f t="shared" si="133"/>
        <v/>
      </c>
      <c r="AM334" t="str">
        <f t="shared" si="134"/>
        <v/>
      </c>
      <c r="AN334" t="str">
        <f t="shared" si="135"/>
        <v/>
      </c>
      <c r="AP334" s="5" t="str">
        <f>IF(L334="","",VLOOKUP($L334,classifications!$C:$E,3,FALSE))</f>
        <v/>
      </c>
      <c r="AQ334" s="43" t="str">
        <f t="shared" si="136"/>
        <v/>
      </c>
      <c r="AR334" s="40" t="str">
        <f>IF(AQ334="","",IF(I$8="A",(RANK(AQ334,AQ$11:AQ$349,1)+COUNTIF(AQ$11:AQ334,AQ334)-1),(RANK(AQ334,AQ$11:AQ$349)+COUNTIF(AQ$11:AQ334,AQ334)-1)))</f>
        <v/>
      </c>
      <c r="AS334" s="3" t="str">
        <f t="shared" si="137"/>
        <v/>
      </c>
      <c r="AT334" s="40" t="str">
        <f t="shared" si="138"/>
        <v/>
      </c>
      <c r="AU334" s="43" t="str">
        <f t="shared" si="139"/>
        <v/>
      </c>
      <c r="AX334">
        <f>HLOOKUP($AX$9&amp;$AX$10,Data!$A$1:$ZZ$1988,(MATCH($C334,Data!$A$1:$A$1988,0)),FALSE)</f>
        <v>100</v>
      </c>
    </row>
    <row r="335" spans="1:50">
      <c r="A335" s="59" t="str">
        <f>$D$1&amp;325</f>
        <v>UA325</v>
      </c>
      <c r="B335" s="60">
        <f>IF(ISERROR(VLOOKUP(A335,classifications!A:C,3,FALSE)),0,VLOOKUP(A335,classifications!A:C,3,FALSE))</f>
        <v>0</v>
      </c>
      <c r="C335" t="s">
        <v>298</v>
      </c>
      <c r="D335" t="str">
        <f>VLOOKUP($C335,classifications!$C:$J,4,FALSE)</f>
        <v>UA</v>
      </c>
      <c r="E335">
        <f>VLOOKUP(C335,classifications!C:K,9,FALSE)</f>
        <v>0</v>
      </c>
      <c r="F335">
        <f t="shared" si="116"/>
        <v>97.777777777777771</v>
      </c>
      <c r="G335" s="15"/>
      <c r="H335" s="42">
        <f t="shared" si="117"/>
        <v>97.777777777777771</v>
      </c>
      <c r="I335" s="79">
        <f>IF(H335="","",IF($I$8="A",(RANK(H335,H$11:H$349,1)+COUNTIF(H$11:H335,H335)-1),(RANK(H335,H$11:H$349)+COUNTIF(H$11:H335,H335)-1)))</f>
        <v>12</v>
      </c>
      <c r="J335" s="41"/>
      <c r="K335" s="36" t="str">
        <f t="shared" si="118"/>
        <v/>
      </c>
      <c r="L335" t="str">
        <f t="shared" si="119"/>
        <v/>
      </c>
      <c r="M335" s="117" t="str">
        <f t="shared" si="120"/>
        <v/>
      </c>
      <c r="N335" s="112" t="str">
        <f t="shared" si="121"/>
        <v/>
      </c>
      <c r="O335" s="96" t="str">
        <f t="shared" si="122"/>
        <v/>
      </c>
      <c r="P335" s="96" t="str">
        <f t="shared" si="123"/>
        <v/>
      </c>
      <c r="Q335" s="96" t="str">
        <f t="shared" si="124"/>
        <v/>
      </c>
      <c r="R335" s="92" t="str">
        <f t="shared" si="125"/>
        <v/>
      </c>
      <c r="S335" s="42" t="str">
        <f t="shared" si="126"/>
        <v/>
      </c>
      <c r="T335" s="176" t="str">
        <f>IF(L335="","",VLOOKUP(L335,classifications!C:K,9,FALSE))</f>
        <v/>
      </c>
      <c r="U335" s="177" t="str">
        <f t="shared" si="127"/>
        <v/>
      </c>
      <c r="V335" s="183" t="str">
        <f>IF(U335="","",IF($I$8="A",(RANK(U335,U$11:U$349)+COUNTIF(U$11:U335,U335)-1),(RANK(U335,U$11:U$349,1)+COUNTIF(U$11:U335,U335)-1)))</f>
        <v/>
      </c>
      <c r="W335" s="184"/>
      <c r="X335" s="5" t="str">
        <f>IF(L335="","",VLOOKUP($L335,classifications!$C:$J,6,FALSE))</f>
        <v/>
      </c>
      <c r="Y335" t="str">
        <f t="shared" si="128"/>
        <v/>
      </c>
      <c r="Z335" s="40" t="str">
        <f>IF(Y335="","",IF(I$8="A",(RANK(Y335,Y$11:Y$349,1)+COUNTIF(Y$11:Y335,Y335)-1),(RANK(Y335,Y$11:Y$349)+COUNTIF(Y$11:Y335,Y335)-1)))</f>
        <v/>
      </c>
      <c r="AA335" s="189" t="str">
        <f>IF(L335="","",VLOOKUP($L335,classifications!C:I,7,FALSE))</f>
        <v/>
      </c>
      <c r="AB335" s="183" t="str">
        <f t="shared" si="129"/>
        <v/>
      </c>
      <c r="AC335" s="183" t="str">
        <f>IF(AB335="","",IF($I$8="A",(RANK(AB335,AB$11:AB$349)+COUNTIF(AB$11:AB335,AB335)-1),(RANK(AB335,AB$11:AB$349,1)+COUNTIF(AB$11:AB335,AB335)-1)))</f>
        <v/>
      </c>
      <c r="AD335" s="183"/>
      <c r="AE335" s="49">
        <f>IF(I$8="A",(RANK(AG335,AG$11:AG$349,1)+COUNTIF(AG$11:AG335,AG335)-1),(RANK(AG335,AG$11:AG$349)+COUNTIF(AG$11:AG335,AG335)-1))</f>
        <v>325</v>
      </c>
      <c r="AF335" t="str">
        <f>VLOOKUP(Profile!$J$5,Families!$C:$R,6,FALSE)</f>
        <v>Herefordshire</v>
      </c>
      <c r="AG335" s="15">
        <f t="shared" si="130"/>
        <v>62.711864406779661</v>
      </c>
      <c r="AH335" s="50">
        <f t="shared" si="131"/>
        <v>325</v>
      </c>
      <c r="AI335" s="5" t="str">
        <f>IF(L335="","",VLOOKUP($L335,classifications!$C:$J,8,FALSE))</f>
        <v/>
      </c>
      <c r="AJ335" s="43" t="str">
        <f t="shared" si="132"/>
        <v/>
      </c>
      <c r="AK335" s="40" t="str">
        <f>IF(AJ335="","",IF(I$8="A",(RANK(AJ335,AJ$11:AJ$349,1)+COUNTIF(AJ$11:AJ335,AJ335)-1),(RANK(AJ335,AJ$11:AJ$349)+COUNTIF(AJ$11:AJ335,AJ335)-1)))</f>
        <v/>
      </c>
      <c r="AL335" s="3" t="str">
        <f t="shared" si="133"/>
        <v/>
      </c>
      <c r="AM335" t="str">
        <f t="shared" si="134"/>
        <v/>
      </c>
      <c r="AN335" t="str">
        <f t="shared" si="135"/>
        <v/>
      </c>
      <c r="AP335" s="5" t="str">
        <f>IF(L335="","",VLOOKUP($L335,classifications!$C:$E,3,FALSE))</f>
        <v/>
      </c>
      <c r="AQ335" s="43" t="str">
        <f t="shared" si="136"/>
        <v/>
      </c>
      <c r="AR335" s="40" t="str">
        <f>IF(AQ335="","",IF(I$8="A",(RANK(AQ335,AQ$11:AQ$349,1)+COUNTIF(AQ$11:AQ335,AQ335)-1),(RANK(AQ335,AQ$11:AQ$349)+COUNTIF(AQ$11:AQ335,AQ335)-1)))</f>
        <v/>
      </c>
      <c r="AS335" s="3" t="str">
        <f t="shared" si="137"/>
        <v/>
      </c>
      <c r="AT335" s="40" t="str">
        <f t="shared" si="138"/>
        <v/>
      </c>
      <c r="AU335" s="43" t="str">
        <f t="shared" si="139"/>
        <v/>
      </c>
      <c r="AX335">
        <f>HLOOKUP($AX$9&amp;$AX$10,Data!$A$1:$ZZ$1988,(MATCH($C335,Data!$A$1:$A$1988,0)),FALSE)</f>
        <v>97.777777777777771</v>
      </c>
    </row>
    <row r="336" spans="1:50">
      <c r="A336" s="59" t="str">
        <f>$D$1&amp;326</f>
        <v>UA326</v>
      </c>
      <c r="B336" s="60">
        <f>IF(ISERROR(VLOOKUP(A336,classifications!A:C,3,FALSE)),0,VLOOKUP(A336,classifications!A:C,3,FALSE))</f>
        <v>0</v>
      </c>
      <c r="C336" t="s">
        <v>257</v>
      </c>
      <c r="D336" t="str">
        <f>VLOOKUP($C336,classifications!$C:$J,4,FALSE)</f>
        <v>MD</v>
      </c>
      <c r="E336">
        <f>VLOOKUP(C336,classifications!C:K,9,FALSE)</f>
        <v>0</v>
      </c>
      <c r="F336">
        <f t="shared" si="116"/>
        <v>90.476190476190482</v>
      </c>
      <c r="G336" s="15"/>
      <c r="H336" s="42" t="str">
        <f t="shared" si="117"/>
        <v/>
      </c>
      <c r="I336" s="79" t="str">
        <f>IF(H336="","",IF($I$8="A",(RANK(H336,H$11:H$349,1)+COUNTIF(H$11:H336,H336)-1),(RANK(H336,H$11:H$349)+COUNTIF(H$11:H336,H336)-1)))</f>
        <v/>
      </c>
      <c r="J336" s="41"/>
      <c r="K336" s="36" t="str">
        <f t="shared" si="118"/>
        <v/>
      </c>
      <c r="L336" t="str">
        <f t="shared" si="119"/>
        <v/>
      </c>
      <c r="M336" s="117" t="str">
        <f t="shared" si="120"/>
        <v/>
      </c>
      <c r="N336" s="112" t="str">
        <f t="shared" si="121"/>
        <v/>
      </c>
      <c r="O336" s="96" t="str">
        <f t="shared" si="122"/>
        <v/>
      </c>
      <c r="P336" s="96" t="str">
        <f t="shared" si="123"/>
        <v/>
      </c>
      <c r="Q336" s="96" t="str">
        <f t="shared" si="124"/>
        <v/>
      </c>
      <c r="R336" s="92" t="str">
        <f t="shared" si="125"/>
        <v/>
      </c>
      <c r="S336" s="42" t="str">
        <f t="shared" si="126"/>
        <v/>
      </c>
      <c r="T336" s="176" t="str">
        <f>IF(L336="","",VLOOKUP(L336,classifications!C:K,9,FALSE))</f>
        <v/>
      </c>
      <c r="U336" s="177" t="str">
        <f t="shared" si="127"/>
        <v/>
      </c>
      <c r="V336" s="183" t="str">
        <f>IF(U336="","",IF($I$8="A",(RANK(U336,U$11:U$349)+COUNTIF(U$11:U336,U336)-1),(RANK(U336,U$11:U$349,1)+COUNTIF(U$11:U336,U336)-1)))</f>
        <v/>
      </c>
      <c r="W336" s="184"/>
      <c r="X336" s="5" t="str">
        <f>IF(L336="","",VLOOKUP($L336,classifications!$C:$J,6,FALSE))</f>
        <v/>
      </c>
      <c r="Y336" t="str">
        <f t="shared" si="128"/>
        <v/>
      </c>
      <c r="Z336" s="40" t="str">
        <f>IF(Y336="","",IF(I$8="A",(RANK(Y336,Y$11:Y$349,1)+COUNTIF(Y$11:Y336,Y336)-1),(RANK(Y336,Y$11:Y$349)+COUNTIF(Y$11:Y336,Y336)-1)))</f>
        <v/>
      </c>
      <c r="AA336" s="189" t="str">
        <f>IF(L336="","",VLOOKUP($L336,classifications!C:I,7,FALSE))</f>
        <v/>
      </c>
      <c r="AB336" s="183" t="str">
        <f t="shared" si="129"/>
        <v/>
      </c>
      <c r="AC336" s="183" t="str">
        <f>IF(AB336="","",IF($I$8="A",(RANK(AB336,AB$11:AB$349)+COUNTIF(AB$11:AB336,AB336)-1),(RANK(AB336,AB$11:AB$349,1)+COUNTIF(AB$11:AB336,AB336)-1)))</f>
        <v/>
      </c>
      <c r="AD336" s="183"/>
      <c r="AE336" s="49">
        <f>IF(I$8="A",(RANK(AG336,AG$11:AG$349,1)+COUNTIF(AG$11:AG336,AG336)-1),(RANK(AG336,AG$11:AG$349)+COUNTIF(AG$11:AG336,AG336)-1))</f>
        <v>326</v>
      </c>
      <c r="AF336" t="str">
        <f>VLOOKUP(Profile!$J$5,Families!$C:$R,6,FALSE)</f>
        <v>Herefordshire</v>
      </c>
      <c r="AG336" s="15">
        <f t="shared" si="130"/>
        <v>62.711864406779661</v>
      </c>
      <c r="AH336" s="50">
        <f t="shared" si="131"/>
        <v>326</v>
      </c>
      <c r="AI336" s="5" t="str">
        <f>IF(L336="","",VLOOKUP($L336,classifications!$C:$J,8,FALSE))</f>
        <v/>
      </c>
      <c r="AJ336" s="43" t="str">
        <f t="shared" si="132"/>
        <v/>
      </c>
      <c r="AK336" s="40" t="str">
        <f>IF(AJ336="","",IF(I$8="A",(RANK(AJ336,AJ$11:AJ$349,1)+COUNTIF(AJ$11:AJ336,AJ336)-1),(RANK(AJ336,AJ$11:AJ$349)+COUNTIF(AJ$11:AJ336,AJ336)-1)))</f>
        <v/>
      </c>
      <c r="AL336" s="3" t="str">
        <f t="shared" si="133"/>
        <v/>
      </c>
      <c r="AM336" t="str">
        <f t="shared" si="134"/>
        <v/>
      </c>
      <c r="AN336" t="str">
        <f t="shared" si="135"/>
        <v/>
      </c>
      <c r="AP336" s="5" t="str">
        <f>IF(L336="","",VLOOKUP($L336,classifications!$C:$E,3,FALSE))</f>
        <v/>
      </c>
      <c r="AQ336" s="43" t="str">
        <f t="shared" si="136"/>
        <v/>
      </c>
      <c r="AR336" s="40" t="str">
        <f>IF(AQ336="","",IF(I$8="A",(RANK(AQ336,AQ$11:AQ$349,1)+COUNTIF(AQ$11:AQ336,AQ336)-1),(RANK(AQ336,AQ$11:AQ$349)+COUNTIF(AQ$11:AQ336,AQ336)-1)))</f>
        <v/>
      </c>
      <c r="AS336" s="3" t="str">
        <f t="shared" si="137"/>
        <v/>
      </c>
      <c r="AT336" s="40" t="str">
        <f t="shared" si="138"/>
        <v/>
      </c>
      <c r="AU336" s="43" t="str">
        <f t="shared" si="139"/>
        <v/>
      </c>
      <c r="AX336">
        <f>HLOOKUP($AX$9&amp;$AX$10,Data!$A$1:$ZZ$1988,(MATCH($C336,Data!$A$1:$A$1988,0)),FALSE)</f>
        <v>90.476190476190482</v>
      </c>
    </row>
    <row r="337" spans="1:50">
      <c r="A337" s="59" t="str">
        <f>$D$1&amp;327</f>
        <v>UA327</v>
      </c>
      <c r="B337" s="60">
        <f>IF(ISERROR(VLOOKUP(A337,classifications!A:C,3,FALSE)),0,VLOOKUP(A337,classifications!A:C,3,FALSE))</f>
        <v>0</v>
      </c>
      <c r="C337" t="s">
        <v>190</v>
      </c>
      <c r="D337" t="str">
        <f>VLOOKUP($C337,classifications!$C:$J,4,FALSE)</f>
        <v>SD</v>
      </c>
      <c r="E337">
        <f>VLOOKUP(C337,classifications!C:K,9,FALSE)</f>
        <v>0</v>
      </c>
      <c r="F337">
        <f t="shared" ref="F337:F343" si="140">HLOOKUP($D$6,AX$10:ZX$353,ROW()-9,FALSE)</f>
        <v>75</v>
      </c>
      <c r="G337" s="15"/>
      <c r="H337" s="42" t="str">
        <f t="shared" ref="H337:H343" si="141">IF(D337=$D$1,HLOOKUP($D$6,$AX$10:$ZZ$353,ROW()-9,FALSE),"")</f>
        <v/>
      </c>
      <c r="I337" s="79" t="str">
        <f>IF(H337="","",IF($I$8="A",(RANK(H337,H$11:H$349,1)+COUNTIF(H$11:H337,H337)-1),(RANK(H337,H$11:H$349)+COUNTIF(H$11:H337,H337)-1)))</f>
        <v/>
      </c>
      <c r="J337" s="41"/>
      <c r="K337" s="36" t="str">
        <f t="shared" ref="K337:K343" si="142">IF(K336="","",IF(K336+1&gt;(COUNT(H$11:H$349)),"",K336+1))</f>
        <v/>
      </c>
      <c r="L337" t="str">
        <f t="shared" ref="L337:L343" si="143">IF(K337="","",INDEX(C$11:C$349,MATCH(K337,I$11:I$349,0)))</f>
        <v/>
      </c>
      <c r="M337" s="117" t="str">
        <f t="shared" ref="M337:M343" si="144">IF(L337="","",IF(VLOOKUP(L337,C:D,2,FALSE)=$F$3,VLOOKUP(L337,C:H,6,FALSE),""))</f>
        <v/>
      </c>
      <c r="N337" s="112" t="str">
        <f t="shared" ref="N337:N343" si="145">IF(L337="","",IF($H$8="%%",M337*100,M337))</f>
        <v/>
      </c>
      <c r="O337" s="96" t="str">
        <f t="shared" ref="O337:O343" si="146">IF(I$8="A",IF(N337&gt;=$P$7,IF(N337&lt;=$O$10,N337,""),""),IF(N337&lt;=$P$7,IF(N337&gt;=$O$10,N337,""),""))</f>
        <v/>
      </c>
      <c r="P337" s="96" t="str">
        <f t="shared" ref="P337:P343" si="147">IF(I$8="A",IF(N337&gt;$O$10,IF(N337&lt;=$P$10,N337,""),""),IF(N337&lt;$O$10,IF(N337&gt;=$P$10,N337,""),""))</f>
        <v/>
      </c>
      <c r="Q337" s="96" t="str">
        <f t="shared" ref="Q337:Q343" si="148">IF(I$8="A",IF(N337&gt;$P$10,IF(N337&lt;=$Q$10,N337,""),""),IF(N337&lt;$P$10,IF(N337&gt;=$Q$10,N337,""),""))</f>
        <v/>
      </c>
      <c r="R337" s="92" t="str">
        <f t="shared" ref="R337:R343" si="149">IF(I$8="A",IF(N337&gt;$Q$10,N337,""),IF(N337&lt;$Q$10,N337,""))</f>
        <v/>
      </c>
      <c r="S337" s="42" t="str">
        <f t="shared" ref="S337:S343" si="150">IF(L337=D$3,"u","")</f>
        <v/>
      </c>
      <c r="T337" s="176" t="str">
        <f>IF(L337="","",VLOOKUP(L337,classifications!C:K,9,FALSE))</f>
        <v/>
      </c>
      <c r="U337" s="177" t="str">
        <f t="shared" ref="U337:U343" si="151">IF(T337="Sparse",M337,"")</f>
        <v/>
      </c>
      <c r="V337" s="183" t="str">
        <f>IF(U337="","",IF($I$8="A",(RANK(U337,U$11:U$349)+COUNTIF(U$11:U337,U337)-1),(RANK(U337,U$11:U$349,1)+COUNTIF(U$11:U337,U337)-1)))</f>
        <v/>
      </c>
      <c r="W337" s="184"/>
      <c r="X337" s="5" t="str">
        <f>IF(L337="","",VLOOKUP($L337,classifications!$C:$J,6,FALSE))</f>
        <v/>
      </c>
      <c r="Y337" t="str">
        <f t="shared" ref="Y337:Y343" si="152">IF($D$1="UA",IF(X337="Predominantly Rural ",M337,IF(X337="Predominantly Rural ",M337,IF(X337="Urban with Significant Rural",M337,""))),IF($D$1="SD",IF(X337=$H$3,M337,"")))</f>
        <v/>
      </c>
      <c r="Z337" s="40" t="str">
        <f>IF(Y337="","",IF(I$8="A",(RANK(Y337,Y$11:Y$349,1)+COUNTIF(Y$11:Y337,Y337)-1),(RANK(Y337,Y$11:Y$349)+COUNTIF(Y$11:Y337,Y337)-1)))</f>
        <v/>
      </c>
      <c r="AA337" s="189" t="str">
        <f>IF(L337="","",VLOOKUP($L337,classifications!C:I,7,FALSE))</f>
        <v/>
      </c>
      <c r="AB337" s="183" t="str">
        <f t="shared" ref="AB337:AB343" si="153">IF(AA337=$J$3,M337,"")</f>
        <v/>
      </c>
      <c r="AC337" s="183" t="str">
        <f>IF(AB337="","",IF($I$8="A",(RANK(AB337,AB$11:AB$349)+COUNTIF(AB$11:AB337,AB337)-1),(RANK(AB337,AB$11:AB$349,1)+COUNTIF(AB$11:AB337,AB337)-1)))</f>
        <v/>
      </c>
      <c r="AD337" s="183"/>
      <c r="AE337" s="49">
        <f>IF(I$8="A",(RANK(AG337,AG$11:AG$349,1)+COUNTIF(AG$11:AG337,AG337)-1),(RANK(AG337,AG$11:AG$349)+COUNTIF(AG$11:AG337,AG337)-1))</f>
        <v>327</v>
      </c>
      <c r="AF337" t="str">
        <f>VLOOKUP(Profile!$J$5,Families!$C:$R,6,FALSE)</f>
        <v>Herefordshire</v>
      </c>
      <c r="AG337" s="15">
        <f t="shared" ref="AG337:AG343" si="154">VLOOKUP(AF337,$C$11:$H$349,4,FALSE)</f>
        <v>62.711864406779661</v>
      </c>
      <c r="AH337" s="50">
        <f t="shared" ref="AH337:AH343" si="155">AE337</f>
        <v>327</v>
      </c>
      <c r="AI337" s="5" t="str">
        <f>IF(L337="","",VLOOKUP($L337,classifications!$C:$J,8,FALSE))</f>
        <v/>
      </c>
      <c r="AJ337" s="43" t="str">
        <f t="shared" ref="AJ337:AJ343" si="156">IF(AI337=$I$3,M337,"")</f>
        <v/>
      </c>
      <c r="AK337" s="40" t="str">
        <f>IF(AJ337="","",IF(I$8="A",(RANK(AJ337,AJ$11:AJ$349,1)+COUNTIF(AJ$11:AJ337,AJ337)-1),(RANK(AJ337,AJ$11:AJ$349)+COUNTIF(AJ$11:AJ337,AJ337)-1)))</f>
        <v/>
      </c>
      <c r="AL337" s="3" t="str">
        <f t="shared" ref="AL337:AL343" si="157">IF(AL336="","",IF(AL336+1&gt;(COUNT(AJ$11:AJ$349)),"",AL336+1))</f>
        <v/>
      </c>
      <c r="AM337" t="str">
        <f t="shared" ref="AM337:AM343" si="158">IF(ISNA(IF(AL337="","",INDEX(L$11:L$349,MATCH(AL337,AK$11:AK$349,0)))),"",(IF(AL337="","",INDEX(L$11:L$349,MATCH(AL337,AK$11:AK$349,0)))))</f>
        <v/>
      </c>
      <c r="AN337" t="str">
        <f t="shared" ref="AN337:AN343" si="159">(VLOOKUP(AM337,L:M,2,FALSE))</f>
        <v/>
      </c>
      <c r="AP337" s="5" t="str">
        <f>IF(L337="","",VLOOKUP($L337,classifications!$C:$E,3,FALSE))</f>
        <v/>
      </c>
      <c r="AQ337" s="43" t="str">
        <f t="shared" ref="AQ337:AQ343" si="160">IF(AP337=$G$3,$M337,"")</f>
        <v/>
      </c>
      <c r="AR337" s="40" t="str">
        <f>IF(AQ337="","",IF(I$8="A",(RANK(AQ337,AQ$11:AQ$349,1)+COUNTIF(AQ$11:AQ337,AQ337)-1),(RANK(AQ337,AQ$11:AQ$349)+COUNTIF(AQ$11:AQ337,AQ337)-1)))</f>
        <v/>
      </c>
      <c r="AS337" s="3" t="str">
        <f t="shared" ref="AS337:AS343" si="161">IF(AS336="","",IF(AS336+1&gt;(COUNT(AQ$11:AQ$349)),"",AS336+1))</f>
        <v/>
      </c>
      <c r="AT337" s="40" t="str">
        <f t="shared" ref="AT337:AT343" si="162">IF(AS337="","",INDEX(L$11:L$349,MATCH(AS337,AR$11:AR$349,0)))</f>
        <v/>
      </c>
      <c r="AU337" s="43" t="str">
        <f t="shared" ref="AU337:AU343" si="163">IF(AT337="","",VLOOKUP(AT337,L:M,2,FALSE))</f>
        <v/>
      </c>
      <c r="AX337">
        <f>HLOOKUP($AX$9&amp;$AX$10,Data!$A$1:$ZZ$1988,(MATCH($C337,Data!$A$1:$A$1988,0)),FALSE)</f>
        <v>75</v>
      </c>
    </row>
    <row r="338" spans="1:50">
      <c r="A338" s="59" t="str">
        <f>$D$1&amp;328</f>
        <v>UA328</v>
      </c>
      <c r="B338" s="60">
        <f>IF(ISERROR(VLOOKUP(A338,classifications!A:C,3,FALSE)),0,VLOOKUP(A338,classifications!A:C,3,FALSE))</f>
        <v>0</v>
      </c>
      <c r="C338" t="s">
        <v>332</v>
      </c>
      <c r="D338" t="str">
        <f>VLOOKUP($C338,classifications!$C:$J,4,FALSE)</f>
        <v>SC</v>
      </c>
      <c r="E338">
        <f>VLOOKUP(C338,classifications!C:K,9,FALSE)</f>
        <v>0</v>
      </c>
      <c r="F338" t="e">
        <f t="shared" si="140"/>
        <v>#N/A</v>
      </c>
      <c r="G338" s="15"/>
      <c r="H338" s="42" t="str">
        <f t="shared" si="141"/>
        <v/>
      </c>
      <c r="I338" s="79" t="str">
        <f>IF(H338="","",IF($I$8="A",(RANK(H338,H$11:H$349,1)+COUNTIF(H$11:H338,H338)-1),(RANK(H338,H$11:H$349)+COUNTIF(H$11:H338,H338)-1)))</f>
        <v/>
      </c>
      <c r="J338" s="41"/>
      <c r="K338" s="36" t="str">
        <f t="shared" si="142"/>
        <v/>
      </c>
      <c r="L338" t="str">
        <f t="shared" si="143"/>
        <v/>
      </c>
      <c r="M338" s="117" t="str">
        <f t="shared" si="144"/>
        <v/>
      </c>
      <c r="N338" s="112" t="str">
        <f t="shared" si="145"/>
        <v/>
      </c>
      <c r="O338" s="96" t="str">
        <f t="shared" si="146"/>
        <v/>
      </c>
      <c r="P338" s="96" t="str">
        <f t="shared" si="147"/>
        <v/>
      </c>
      <c r="Q338" s="96" t="str">
        <f t="shared" si="148"/>
        <v/>
      </c>
      <c r="R338" s="92" t="str">
        <f t="shared" si="149"/>
        <v/>
      </c>
      <c r="S338" s="42" t="str">
        <f t="shared" si="150"/>
        <v/>
      </c>
      <c r="T338" s="176" t="str">
        <f>IF(L338="","",VLOOKUP(L338,classifications!C:K,9,FALSE))</f>
        <v/>
      </c>
      <c r="U338" s="177" t="str">
        <f t="shared" si="151"/>
        <v/>
      </c>
      <c r="V338" s="183" t="str">
        <f>IF(U338="","",IF($I$8="A",(RANK(U338,U$11:U$349)+COUNTIF(U$11:U338,U338)-1),(RANK(U338,U$11:U$349,1)+COUNTIF(U$11:U338,U338)-1)))</f>
        <v/>
      </c>
      <c r="W338" s="184"/>
      <c r="X338" s="5" t="str">
        <f>IF(L338="","",VLOOKUP($L338,classifications!$C:$J,6,FALSE))</f>
        <v/>
      </c>
      <c r="Y338" t="str">
        <f t="shared" si="152"/>
        <v/>
      </c>
      <c r="Z338" s="40" t="str">
        <f>IF(Y338="","",IF(I$8="A",(RANK(Y338,Y$11:Y$349,1)+COUNTIF(Y$11:Y338,Y338)-1),(RANK(Y338,Y$11:Y$349)+COUNTIF(Y$11:Y338,Y338)-1)))</f>
        <v/>
      </c>
      <c r="AA338" s="189" t="str">
        <f>IF(L338="","",VLOOKUP($L338,classifications!C:I,7,FALSE))</f>
        <v/>
      </c>
      <c r="AB338" s="183" t="str">
        <f t="shared" si="153"/>
        <v/>
      </c>
      <c r="AC338" s="183" t="str">
        <f>IF(AB338="","",IF($I$8="A",(RANK(AB338,AB$11:AB$349)+COUNTIF(AB$11:AB338,AB338)-1),(RANK(AB338,AB$11:AB$349,1)+COUNTIF(AB$11:AB338,AB338)-1)))</f>
        <v/>
      </c>
      <c r="AD338" s="183"/>
      <c r="AE338" s="49">
        <f>IF(I$8="A",(RANK(AG338,AG$11:AG$349,1)+COUNTIF(AG$11:AG338,AG338)-1),(RANK(AG338,AG$11:AG$349)+COUNTIF(AG$11:AG338,AG338)-1))</f>
        <v>328</v>
      </c>
      <c r="AF338" t="str">
        <f>VLOOKUP(Profile!$J$5,Families!$C:$R,6,FALSE)</f>
        <v>Herefordshire</v>
      </c>
      <c r="AG338" s="15">
        <f t="shared" si="154"/>
        <v>62.711864406779661</v>
      </c>
      <c r="AH338" s="50">
        <f t="shared" si="155"/>
        <v>328</v>
      </c>
      <c r="AI338" s="5" t="str">
        <f>IF(L338="","",VLOOKUP($L338,classifications!$C:$J,8,FALSE))</f>
        <v/>
      </c>
      <c r="AJ338" s="43" t="str">
        <f t="shared" si="156"/>
        <v/>
      </c>
      <c r="AK338" s="40" t="str">
        <f>IF(AJ338="","",IF(I$8="A",(RANK(AJ338,AJ$11:AJ$349,1)+COUNTIF(AJ$11:AJ338,AJ338)-1),(RANK(AJ338,AJ$11:AJ$349)+COUNTIF(AJ$11:AJ338,AJ338)-1)))</f>
        <v/>
      </c>
      <c r="AL338" s="3" t="str">
        <f t="shared" si="157"/>
        <v/>
      </c>
      <c r="AM338" t="str">
        <f t="shared" si="158"/>
        <v/>
      </c>
      <c r="AN338" t="str">
        <f t="shared" si="159"/>
        <v/>
      </c>
      <c r="AP338" s="5" t="str">
        <f>IF(L338="","",VLOOKUP($L338,classifications!$C:$E,3,FALSE))</f>
        <v/>
      </c>
      <c r="AQ338" s="43" t="str">
        <f t="shared" si="160"/>
        <v/>
      </c>
      <c r="AR338" s="40" t="str">
        <f>IF(AQ338="","",IF(I$8="A",(RANK(AQ338,AQ$11:AQ$349,1)+COUNTIF(AQ$11:AQ338,AQ338)-1),(RANK(AQ338,AQ$11:AQ$349)+COUNTIF(AQ$11:AQ338,AQ338)-1)))</f>
        <v/>
      </c>
      <c r="AS338" s="3" t="str">
        <f t="shared" si="161"/>
        <v/>
      </c>
      <c r="AT338" s="40" t="str">
        <f t="shared" si="162"/>
        <v/>
      </c>
      <c r="AU338" s="43" t="str">
        <f t="shared" si="163"/>
        <v/>
      </c>
      <c r="AX338" t="e">
        <f>HLOOKUP($AX$9&amp;$AX$10,Data!$A$1:$ZZ$1988,(MATCH($C338,Data!$A$1:$A$1988,0)),FALSE)</f>
        <v>#N/A</v>
      </c>
    </row>
    <row r="339" spans="1:50">
      <c r="A339" s="59" t="str">
        <f>$D$1&amp;329</f>
        <v>UA329</v>
      </c>
      <c r="B339" s="60">
        <f>IF(ISERROR(VLOOKUP(A339,classifications!A:C,3,FALSE)),0,VLOOKUP(A339,classifications!A:C,3,FALSE))</f>
        <v>0</v>
      </c>
      <c r="C339" t="s">
        <v>191</v>
      </c>
      <c r="D339" t="str">
        <f>VLOOKUP($C339,classifications!$C:$J,4,FALSE)</f>
        <v>SD</v>
      </c>
      <c r="E339">
        <f>VLOOKUP(C339,classifications!C:K,9,FALSE)</f>
        <v>0</v>
      </c>
      <c r="F339">
        <f t="shared" si="140"/>
        <v>37.5</v>
      </c>
      <c r="G339" s="15"/>
      <c r="H339" s="42" t="str">
        <f t="shared" si="141"/>
        <v/>
      </c>
      <c r="I339" s="79" t="str">
        <f>IF(H339="","",IF($I$8="A",(RANK(H339,H$11:H$349,1)+COUNTIF(H$11:H339,H339)-1),(RANK(H339,H$11:H$349)+COUNTIF(H$11:H339,H339)-1)))</f>
        <v/>
      </c>
      <c r="J339" s="41"/>
      <c r="K339" s="36" t="str">
        <f t="shared" si="142"/>
        <v/>
      </c>
      <c r="L339" t="str">
        <f t="shared" si="143"/>
        <v/>
      </c>
      <c r="M339" s="117" t="str">
        <f t="shared" si="144"/>
        <v/>
      </c>
      <c r="N339" s="112" t="str">
        <f t="shared" si="145"/>
        <v/>
      </c>
      <c r="O339" s="96" t="str">
        <f t="shared" si="146"/>
        <v/>
      </c>
      <c r="P339" s="96" t="str">
        <f t="shared" si="147"/>
        <v/>
      </c>
      <c r="Q339" s="96" t="str">
        <f t="shared" si="148"/>
        <v/>
      </c>
      <c r="R339" s="92" t="str">
        <f t="shared" si="149"/>
        <v/>
      </c>
      <c r="S339" s="42" t="str">
        <f t="shared" si="150"/>
        <v/>
      </c>
      <c r="T339" s="176" t="str">
        <f>IF(L339="","",VLOOKUP(L339,classifications!C:K,9,FALSE))</f>
        <v/>
      </c>
      <c r="U339" s="177" t="str">
        <f t="shared" si="151"/>
        <v/>
      </c>
      <c r="V339" s="183" t="str">
        <f>IF(U339="","",IF($I$8="A",(RANK(U339,U$11:U$349)+COUNTIF(U$11:U339,U339)-1),(RANK(U339,U$11:U$349,1)+COUNTIF(U$11:U339,U339)-1)))</f>
        <v/>
      </c>
      <c r="W339" s="184"/>
      <c r="X339" s="5" t="str">
        <f>IF(L339="","",VLOOKUP($L339,classifications!$C:$J,6,FALSE))</f>
        <v/>
      </c>
      <c r="Y339" t="str">
        <f t="shared" si="152"/>
        <v/>
      </c>
      <c r="Z339" s="40" t="str">
        <f>IF(Y339="","",IF(I$8="A",(RANK(Y339,Y$11:Y$349,1)+COUNTIF(Y$11:Y339,Y339)-1),(RANK(Y339,Y$11:Y$349)+COUNTIF(Y$11:Y339,Y339)-1)))</f>
        <v/>
      </c>
      <c r="AA339" s="189" t="str">
        <f>IF(L339="","",VLOOKUP($L339,classifications!C:I,7,FALSE))</f>
        <v/>
      </c>
      <c r="AB339" s="183" t="str">
        <f t="shared" si="153"/>
        <v/>
      </c>
      <c r="AC339" s="183" t="str">
        <f>IF(AB339="","",IF($I$8="A",(RANK(AB339,AB$11:AB$349)+COUNTIF(AB$11:AB339,AB339)-1),(RANK(AB339,AB$11:AB$349,1)+COUNTIF(AB$11:AB339,AB339)-1)))</f>
        <v/>
      </c>
      <c r="AD339" s="183"/>
      <c r="AE339" s="49">
        <f>IF(I$8="A",(RANK(AG339,AG$11:AG$349,1)+COUNTIF(AG$11:AG339,AG339)-1),(RANK(AG339,AG$11:AG$349)+COUNTIF(AG$11:AG339,AG339)-1))</f>
        <v>329</v>
      </c>
      <c r="AF339" t="str">
        <f>VLOOKUP(Profile!$J$5,Families!$C:$R,6,FALSE)</f>
        <v>Herefordshire</v>
      </c>
      <c r="AG339" s="15">
        <f t="shared" si="154"/>
        <v>62.711864406779661</v>
      </c>
      <c r="AH339" s="50">
        <f t="shared" si="155"/>
        <v>329</v>
      </c>
      <c r="AI339" s="5" t="str">
        <f>IF(L339="","",VLOOKUP($L339,classifications!$C:$J,8,FALSE))</f>
        <v/>
      </c>
      <c r="AJ339" s="43" t="str">
        <f t="shared" si="156"/>
        <v/>
      </c>
      <c r="AK339" s="40" t="str">
        <f>IF(AJ339="","",IF(I$8="A",(RANK(AJ339,AJ$11:AJ$349,1)+COUNTIF(AJ$11:AJ339,AJ339)-1),(RANK(AJ339,AJ$11:AJ$349)+COUNTIF(AJ$11:AJ339,AJ339)-1)))</f>
        <v/>
      </c>
      <c r="AL339" s="3" t="str">
        <f t="shared" si="157"/>
        <v/>
      </c>
      <c r="AM339" t="str">
        <f t="shared" si="158"/>
        <v/>
      </c>
      <c r="AN339" t="str">
        <f t="shared" si="159"/>
        <v/>
      </c>
      <c r="AP339" s="5" t="str">
        <f>IF(L339="","",VLOOKUP($L339,classifications!$C:$E,3,FALSE))</f>
        <v/>
      </c>
      <c r="AQ339" s="43" t="str">
        <f t="shared" si="160"/>
        <v/>
      </c>
      <c r="AR339" s="40" t="str">
        <f>IF(AQ339="","",IF(I$8="A",(RANK(AQ339,AQ$11:AQ$349,1)+COUNTIF(AQ$11:AQ339,AQ339)-1),(RANK(AQ339,AQ$11:AQ$349)+COUNTIF(AQ$11:AQ339,AQ339)-1)))</f>
        <v/>
      </c>
      <c r="AS339" s="3" t="str">
        <f t="shared" si="161"/>
        <v/>
      </c>
      <c r="AT339" s="40" t="str">
        <f t="shared" si="162"/>
        <v/>
      </c>
      <c r="AU339" s="43" t="str">
        <f t="shared" si="163"/>
        <v/>
      </c>
      <c r="AX339">
        <f>HLOOKUP($AX$9&amp;$AX$10,Data!$A$1:$ZZ$1988,(MATCH($C339,Data!$A$1:$A$1988,0)),FALSE)</f>
        <v>37.5</v>
      </c>
    </row>
    <row r="340" spans="1:50">
      <c r="A340" s="59" t="str">
        <f>$D$1&amp;330</f>
        <v>UA330</v>
      </c>
      <c r="B340" s="60">
        <f>IF(ISERROR(VLOOKUP(A340,classifications!A:C,3,FALSE)),0,VLOOKUP(A340,classifications!A:C,3,FALSE))</f>
        <v>0</v>
      </c>
      <c r="C340" t="s">
        <v>192</v>
      </c>
      <c r="D340" t="str">
        <f>VLOOKUP($C340,classifications!$C:$J,4,FALSE)</f>
        <v>SD</v>
      </c>
      <c r="E340" t="str">
        <f>VLOOKUP(C340,classifications!C:K,9,FALSE)</f>
        <v>Sparse</v>
      </c>
      <c r="F340">
        <f t="shared" si="140"/>
        <v>88.095238095238088</v>
      </c>
      <c r="G340" s="15"/>
      <c r="H340" s="42" t="str">
        <f t="shared" si="141"/>
        <v/>
      </c>
      <c r="I340" s="79" t="str">
        <f>IF(H340="","",IF($I$8="A",(RANK(H340,H$11:H$349,1)+COUNTIF(H$11:H340,H340)-1),(RANK(H340,H$11:H$349)+COUNTIF(H$11:H340,H340)-1)))</f>
        <v/>
      </c>
      <c r="J340" s="41"/>
      <c r="K340" s="36" t="str">
        <f t="shared" si="142"/>
        <v/>
      </c>
      <c r="L340" t="str">
        <f t="shared" si="143"/>
        <v/>
      </c>
      <c r="M340" s="117" t="str">
        <f t="shared" si="144"/>
        <v/>
      </c>
      <c r="N340" s="112" t="str">
        <f t="shared" si="145"/>
        <v/>
      </c>
      <c r="O340" s="96" t="str">
        <f t="shared" si="146"/>
        <v/>
      </c>
      <c r="P340" s="96" t="str">
        <f t="shared" si="147"/>
        <v/>
      </c>
      <c r="Q340" s="96" t="str">
        <f t="shared" si="148"/>
        <v/>
      </c>
      <c r="R340" s="92" t="str">
        <f t="shared" si="149"/>
        <v/>
      </c>
      <c r="S340" s="42" t="str">
        <f t="shared" si="150"/>
        <v/>
      </c>
      <c r="T340" s="176" t="str">
        <f>IF(L340="","",VLOOKUP(L340,classifications!C:K,9,FALSE))</f>
        <v/>
      </c>
      <c r="U340" s="177" t="str">
        <f t="shared" si="151"/>
        <v/>
      </c>
      <c r="V340" s="183" t="str">
        <f>IF(U340="","",IF($I$8="A",(RANK(U340,U$11:U$349)+COUNTIF(U$11:U340,U340)-1),(RANK(U340,U$11:U$349,1)+COUNTIF(U$11:U340,U340)-1)))</f>
        <v/>
      </c>
      <c r="W340" s="184"/>
      <c r="X340" s="5" t="str">
        <f>IF(L340="","",VLOOKUP($L340,classifications!$C:$J,6,FALSE))</f>
        <v/>
      </c>
      <c r="Y340" t="str">
        <f t="shared" si="152"/>
        <v/>
      </c>
      <c r="Z340" s="40" t="str">
        <f>IF(Y340="","",IF(I$8="A",(RANK(Y340,Y$11:Y$349,1)+COUNTIF(Y$11:Y340,Y340)-1),(RANK(Y340,Y$11:Y$349)+COUNTIF(Y$11:Y340,Y340)-1)))</f>
        <v/>
      </c>
      <c r="AA340" s="189" t="str">
        <f>IF(L340="","",VLOOKUP($L340,classifications!C:I,7,FALSE))</f>
        <v/>
      </c>
      <c r="AB340" s="183" t="str">
        <f t="shared" si="153"/>
        <v/>
      </c>
      <c r="AC340" s="183" t="str">
        <f>IF(AB340="","",IF($I$8="A",(RANK(AB340,AB$11:AB$349)+COUNTIF(AB$11:AB340,AB340)-1),(RANK(AB340,AB$11:AB$349,1)+COUNTIF(AB$11:AB340,AB340)-1)))</f>
        <v/>
      </c>
      <c r="AD340" s="183"/>
      <c r="AE340" s="49">
        <f>IF(I$8="A",(RANK(AG340,AG$11:AG$349,1)+COUNTIF(AG$11:AG340,AG340)-1),(RANK(AG340,AG$11:AG$349)+COUNTIF(AG$11:AG340,AG340)-1))</f>
        <v>330</v>
      </c>
      <c r="AF340" t="str">
        <f>VLOOKUP(Profile!$J$5,Families!$C:$R,6,FALSE)</f>
        <v>Herefordshire</v>
      </c>
      <c r="AG340" s="15">
        <f t="shared" si="154"/>
        <v>62.711864406779661</v>
      </c>
      <c r="AH340" s="50">
        <f t="shared" si="155"/>
        <v>330</v>
      </c>
      <c r="AI340" s="5" t="str">
        <f>IF(L340="","",VLOOKUP($L340,classifications!$C:$J,8,FALSE))</f>
        <v/>
      </c>
      <c r="AJ340" s="43" t="str">
        <f t="shared" si="156"/>
        <v/>
      </c>
      <c r="AK340" s="40" t="str">
        <f>IF(AJ340="","",IF(I$8="A",(RANK(AJ340,AJ$11:AJ$349,1)+COUNTIF(AJ$11:AJ340,AJ340)-1),(RANK(AJ340,AJ$11:AJ$349)+COUNTIF(AJ$11:AJ340,AJ340)-1)))</f>
        <v/>
      </c>
      <c r="AL340" s="3" t="str">
        <f t="shared" si="157"/>
        <v/>
      </c>
      <c r="AM340" t="str">
        <f t="shared" si="158"/>
        <v/>
      </c>
      <c r="AN340" t="str">
        <f t="shared" si="159"/>
        <v/>
      </c>
      <c r="AP340" s="5" t="str">
        <f>IF(L340="","",VLOOKUP($L340,classifications!$C:$E,3,FALSE))</f>
        <v/>
      </c>
      <c r="AQ340" s="43" t="str">
        <f t="shared" si="160"/>
        <v/>
      </c>
      <c r="AR340" s="40" t="str">
        <f>IF(AQ340="","",IF(I$8="A",(RANK(AQ340,AQ$11:AQ$349,1)+COUNTIF(AQ$11:AQ340,AQ340)-1),(RANK(AQ340,AQ$11:AQ$349)+COUNTIF(AQ$11:AQ340,AQ340)-1)))</f>
        <v/>
      </c>
      <c r="AS340" s="3" t="str">
        <f t="shared" si="161"/>
        <v/>
      </c>
      <c r="AT340" s="40" t="str">
        <f t="shared" si="162"/>
        <v/>
      </c>
      <c r="AU340" s="43" t="str">
        <f t="shared" si="163"/>
        <v/>
      </c>
      <c r="AX340">
        <f>HLOOKUP($AX$9&amp;$AX$10,Data!$A$1:$ZZ$1988,(MATCH($C340,Data!$A$1:$A$1988,0)),FALSE)</f>
        <v>88.095238095238088</v>
      </c>
    </row>
    <row r="341" spans="1:50">
      <c r="A341" s="59" t="str">
        <f>$D$1&amp;331</f>
        <v>UA331</v>
      </c>
      <c r="B341" s="60">
        <f>IF(ISERROR(VLOOKUP(A341,classifications!A:C,3,FALSE)),0,VLOOKUP(A341,classifications!A:C,3,FALSE))</f>
        <v>0</v>
      </c>
      <c r="C341" t="s">
        <v>194</v>
      </c>
      <c r="D341" t="str">
        <f>VLOOKUP($C341,classifications!$C:$J,4,FALSE)</f>
        <v>SD</v>
      </c>
      <c r="E341">
        <f>VLOOKUP(C341,classifications!C:K,9,FALSE)</f>
        <v>0</v>
      </c>
      <c r="F341">
        <f t="shared" si="140"/>
        <v>91.17647058823529</v>
      </c>
      <c r="G341" s="15"/>
      <c r="H341" s="42" t="str">
        <f t="shared" si="141"/>
        <v/>
      </c>
      <c r="I341" s="79" t="str">
        <f>IF(H341="","",IF($I$8="A",(RANK(H341,H$11:H$349,1)+COUNTIF(H$11:H341,H341)-1),(RANK(H341,H$11:H$349)+COUNTIF(H$11:H341,H341)-1)))</f>
        <v/>
      </c>
      <c r="J341" s="41"/>
      <c r="K341" s="36" t="str">
        <f t="shared" si="142"/>
        <v/>
      </c>
      <c r="L341" t="str">
        <f t="shared" si="143"/>
        <v/>
      </c>
      <c r="M341" s="117" t="str">
        <f t="shared" si="144"/>
        <v/>
      </c>
      <c r="N341" s="112" t="str">
        <f t="shared" si="145"/>
        <v/>
      </c>
      <c r="O341" s="96" t="str">
        <f t="shared" si="146"/>
        <v/>
      </c>
      <c r="P341" s="96" t="str">
        <f t="shared" si="147"/>
        <v/>
      </c>
      <c r="Q341" s="96" t="str">
        <f t="shared" si="148"/>
        <v/>
      </c>
      <c r="R341" s="92" t="str">
        <f t="shared" si="149"/>
        <v/>
      </c>
      <c r="S341" s="42" t="str">
        <f t="shared" si="150"/>
        <v/>
      </c>
      <c r="T341" s="176" t="str">
        <f>IF(L341="","",VLOOKUP(L341,classifications!C:K,9,FALSE))</f>
        <v/>
      </c>
      <c r="U341" s="177" t="str">
        <f t="shared" si="151"/>
        <v/>
      </c>
      <c r="V341" s="183" t="str">
        <f>IF(U341="","",IF($I$8="A",(RANK(U341,U$11:U$349)+COUNTIF(U$11:U341,U341)-1),(RANK(U341,U$11:U$349,1)+COUNTIF(U$11:U341,U341)-1)))</f>
        <v/>
      </c>
      <c r="W341" s="184"/>
      <c r="X341" s="5" t="str">
        <f>IF(L341="","",VLOOKUP($L341,classifications!$C:$J,6,FALSE))</f>
        <v/>
      </c>
      <c r="Y341" t="str">
        <f t="shared" si="152"/>
        <v/>
      </c>
      <c r="Z341" s="40" t="str">
        <f>IF(Y341="","",IF(I$8="A",(RANK(Y341,Y$11:Y$349,1)+COUNTIF(Y$11:Y341,Y341)-1),(RANK(Y341,Y$11:Y$349)+COUNTIF(Y$11:Y341,Y341)-1)))</f>
        <v/>
      </c>
      <c r="AA341" s="189" t="str">
        <f>IF(L341="","",VLOOKUP($L341,classifications!C:I,7,FALSE))</f>
        <v/>
      </c>
      <c r="AB341" s="183" t="str">
        <f t="shared" si="153"/>
        <v/>
      </c>
      <c r="AC341" s="183" t="str">
        <f>IF(AB341="","",IF($I$8="A",(RANK(AB341,AB$11:AB$349)+COUNTIF(AB$11:AB341,AB341)-1),(RANK(AB341,AB$11:AB$349,1)+COUNTIF(AB$11:AB341,AB341)-1)))</f>
        <v/>
      </c>
      <c r="AD341" s="183"/>
      <c r="AE341" s="49">
        <f>IF(I$8="A",(RANK(AG341,AG$11:AG$349,1)+COUNTIF(AG$11:AG341,AG341)-1),(RANK(AG341,AG$11:AG$349)+COUNTIF(AG$11:AG341,AG341)-1))</f>
        <v>331</v>
      </c>
      <c r="AF341" t="str">
        <f>VLOOKUP(Profile!$J$5,Families!$C:$R,6,FALSE)</f>
        <v>Herefordshire</v>
      </c>
      <c r="AG341" s="15">
        <f t="shared" si="154"/>
        <v>62.711864406779661</v>
      </c>
      <c r="AH341" s="50">
        <f t="shared" si="155"/>
        <v>331</v>
      </c>
      <c r="AI341" s="5" t="str">
        <f>IF(L341="","",VLOOKUP($L341,classifications!$C:$J,8,FALSE))</f>
        <v/>
      </c>
      <c r="AJ341" s="43" t="str">
        <f t="shared" si="156"/>
        <v/>
      </c>
      <c r="AK341" s="40" t="str">
        <f>IF(AJ341="","",IF(I$8="A",(RANK(AJ341,AJ$11:AJ$349,1)+COUNTIF(AJ$11:AJ341,AJ341)-1),(RANK(AJ341,AJ$11:AJ$349)+COUNTIF(AJ$11:AJ341,AJ341)-1)))</f>
        <v/>
      </c>
      <c r="AL341" s="3" t="str">
        <f t="shared" si="157"/>
        <v/>
      </c>
      <c r="AM341" t="str">
        <f t="shared" si="158"/>
        <v/>
      </c>
      <c r="AN341" t="str">
        <f t="shared" si="159"/>
        <v/>
      </c>
      <c r="AP341" s="5" t="str">
        <f>IF(L341="","",VLOOKUP($L341,classifications!$C:$E,3,FALSE))</f>
        <v/>
      </c>
      <c r="AQ341" s="43" t="str">
        <f t="shared" si="160"/>
        <v/>
      </c>
      <c r="AR341" s="40" t="str">
        <f>IF(AQ341="","",IF(I$8="A",(RANK(AQ341,AQ$11:AQ$349,1)+COUNTIF(AQ$11:AQ341,AQ341)-1),(RANK(AQ341,AQ$11:AQ$349)+COUNTIF(AQ$11:AQ341,AQ341)-1)))</f>
        <v/>
      </c>
      <c r="AS341" s="3" t="str">
        <f t="shared" si="161"/>
        <v/>
      </c>
      <c r="AT341" s="40" t="str">
        <f t="shared" si="162"/>
        <v/>
      </c>
      <c r="AU341" s="43" t="str">
        <f t="shared" si="163"/>
        <v/>
      </c>
      <c r="AX341">
        <f>HLOOKUP($AX$9&amp;$AX$10,Data!$A$1:$ZZ$1988,(MATCH($C341,Data!$A$1:$A$1988,0)),FALSE)</f>
        <v>91.17647058823529</v>
      </c>
    </row>
    <row r="342" spans="1:50">
      <c r="A342" s="59" t="str">
        <f>$D$1&amp;332</f>
        <v>UA332</v>
      </c>
      <c r="B342" s="60">
        <f>IF(ISERROR(VLOOKUP(A342,classifications!A:C,3,FALSE)),0,VLOOKUP(A342,classifications!A:C,3,FALSE))</f>
        <v>0</v>
      </c>
      <c r="C342" t="s">
        <v>195</v>
      </c>
      <c r="D342" t="str">
        <f>VLOOKUP($C342,classifications!$C:$J,4,FALSE)</f>
        <v>SD</v>
      </c>
      <c r="E342">
        <f>VLOOKUP(C342,classifications!C:K,9,FALSE)</f>
        <v>0</v>
      </c>
      <c r="F342">
        <f t="shared" si="140"/>
        <v>73.68421052631578</v>
      </c>
      <c r="G342" s="15"/>
      <c r="H342" s="42" t="str">
        <f t="shared" si="141"/>
        <v/>
      </c>
      <c r="I342" s="79" t="str">
        <f>IF(H342="","",IF($I$8="A",(RANK(H342,H$11:H$349,1)+COUNTIF(H$11:H342,H342)-1),(RANK(H342,H$11:H$349)+COUNTIF(H$11:H342,H342)-1)))</f>
        <v/>
      </c>
      <c r="J342" s="41"/>
      <c r="K342" s="36" t="str">
        <f t="shared" si="142"/>
        <v/>
      </c>
      <c r="L342" t="str">
        <f t="shared" si="143"/>
        <v/>
      </c>
      <c r="M342" s="117" t="str">
        <f t="shared" si="144"/>
        <v/>
      </c>
      <c r="N342" s="112" t="str">
        <f t="shared" si="145"/>
        <v/>
      </c>
      <c r="O342" s="96" t="str">
        <f t="shared" si="146"/>
        <v/>
      </c>
      <c r="P342" s="96" t="str">
        <f t="shared" si="147"/>
        <v/>
      </c>
      <c r="Q342" s="96" t="str">
        <f t="shared" si="148"/>
        <v/>
      </c>
      <c r="R342" s="92" t="str">
        <f t="shared" si="149"/>
        <v/>
      </c>
      <c r="S342" s="42" t="str">
        <f t="shared" si="150"/>
        <v/>
      </c>
      <c r="T342" s="176" t="str">
        <f>IF(L342="","",VLOOKUP(L342,classifications!C:K,9,FALSE))</f>
        <v/>
      </c>
      <c r="U342" s="177" t="str">
        <f t="shared" si="151"/>
        <v/>
      </c>
      <c r="V342" s="183" t="str">
        <f>IF(U342="","",IF($I$8="A",(RANK(U342,U$11:U$349)+COUNTIF(U$11:U342,U342)-1),(RANK(U342,U$11:U$349,1)+COUNTIF(U$11:U342,U342)-1)))</f>
        <v/>
      </c>
      <c r="W342" s="184"/>
      <c r="X342" s="5" t="str">
        <f>IF(L342="","",VLOOKUP($L342,classifications!$C:$J,6,FALSE))</f>
        <v/>
      </c>
      <c r="Y342" t="str">
        <f t="shared" si="152"/>
        <v/>
      </c>
      <c r="Z342" s="40" t="str">
        <f>IF(Y342="","",IF(I$8="A",(RANK(Y342,Y$11:Y$349,1)+COUNTIF(Y$11:Y342,Y342)-1),(RANK(Y342,Y$11:Y$349)+COUNTIF(Y$11:Y342,Y342)-1)))</f>
        <v/>
      </c>
      <c r="AA342" s="189" t="str">
        <f>IF(L342="","",VLOOKUP($L342,classifications!C:I,7,FALSE))</f>
        <v/>
      </c>
      <c r="AB342" s="183" t="str">
        <f t="shared" si="153"/>
        <v/>
      </c>
      <c r="AC342" s="183" t="str">
        <f>IF(AB342="","",IF($I$8="A",(RANK(AB342,AB$11:AB$349)+COUNTIF(AB$11:AB342,AB342)-1),(RANK(AB342,AB$11:AB$349,1)+COUNTIF(AB$11:AB342,AB342)-1)))</f>
        <v/>
      </c>
      <c r="AD342" s="183"/>
      <c r="AE342" s="49">
        <f>IF(I$8="A",(RANK(AG342,AG$11:AG$349,1)+COUNTIF(AG$11:AG342,AG342)-1),(RANK(AG342,AG$11:AG$349)+COUNTIF(AG$11:AG342,AG342)-1))</f>
        <v>332</v>
      </c>
      <c r="AF342" t="str">
        <f>VLOOKUP(Profile!$J$5,Families!$C:$R,6,FALSE)</f>
        <v>Herefordshire</v>
      </c>
      <c r="AG342" s="15">
        <f t="shared" si="154"/>
        <v>62.711864406779661</v>
      </c>
      <c r="AH342" s="50">
        <f t="shared" si="155"/>
        <v>332</v>
      </c>
      <c r="AI342" s="5" t="str">
        <f>IF(L342="","",VLOOKUP($L342,classifications!$C:$J,8,FALSE))</f>
        <v/>
      </c>
      <c r="AJ342" s="43" t="str">
        <f t="shared" si="156"/>
        <v/>
      </c>
      <c r="AK342" s="40" t="str">
        <f>IF(AJ342="","",IF(I$8="A",(RANK(AJ342,AJ$11:AJ$349,1)+COUNTIF(AJ$11:AJ342,AJ342)-1),(RANK(AJ342,AJ$11:AJ$349)+COUNTIF(AJ$11:AJ342,AJ342)-1)))</f>
        <v/>
      </c>
      <c r="AL342" s="3" t="str">
        <f t="shared" si="157"/>
        <v/>
      </c>
      <c r="AM342" t="str">
        <f t="shared" si="158"/>
        <v/>
      </c>
      <c r="AN342" t="str">
        <f t="shared" si="159"/>
        <v/>
      </c>
      <c r="AP342" s="5" t="str">
        <f>IF(L342="","",VLOOKUP($L342,classifications!$C:$E,3,FALSE))</f>
        <v/>
      </c>
      <c r="AQ342" s="43" t="str">
        <f t="shared" si="160"/>
        <v/>
      </c>
      <c r="AR342" s="40" t="str">
        <f>IF(AQ342="","",IF(I$8="A",(RANK(AQ342,AQ$11:AQ$349,1)+COUNTIF(AQ$11:AQ342,AQ342)-1),(RANK(AQ342,AQ$11:AQ$349)+COUNTIF(AQ$11:AQ342,AQ342)-1)))</f>
        <v/>
      </c>
      <c r="AS342" s="3" t="str">
        <f t="shared" si="161"/>
        <v/>
      </c>
      <c r="AT342" s="40" t="str">
        <f t="shared" si="162"/>
        <v/>
      </c>
      <c r="AU342" s="43" t="str">
        <f t="shared" si="163"/>
        <v/>
      </c>
      <c r="AX342">
        <f>HLOOKUP($AX$9&amp;$AX$10,Data!$A$1:$ZZ$1988,(MATCH($C342,Data!$A$1:$A$1988,0)),FALSE)</f>
        <v>73.68421052631578</v>
      </c>
    </row>
    <row r="343" spans="1:50">
      <c r="A343" s="59" t="str">
        <f>$D$1&amp;333</f>
        <v>UA333</v>
      </c>
      <c r="B343" s="60">
        <f>IF(ISERROR(VLOOKUP(A343,classifications!A:C,3,FALSE)),0,VLOOKUP(A343,classifications!A:C,3,FALSE))</f>
        <v>0</v>
      </c>
      <c r="C343" t="s">
        <v>299</v>
      </c>
      <c r="D343" t="str">
        <f>VLOOKUP($C343,classifications!$C:$J,4,FALSE)</f>
        <v>UA</v>
      </c>
      <c r="E343">
        <f>VLOOKUP(C343,classifications!C:K,9,FALSE)</f>
        <v>0</v>
      </c>
      <c r="F343">
        <f t="shared" si="140"/>
        <v>95.121951219512198</v>
      </c>
      <c r="G343" s="15"/>
      <c r="H343" s="42">
        <f t="shared" si="141"/>
        <v>95.121951219512198</v>
      </c>
      <c r="I343" s="79">
        <f>IF(H343="","",IF($I$8="A",(RANK(H343,H$11:H$349,1)+COUNTIF(H$11:H343,H343)-1),(RANK(H343,H$11:H$349)+COUNTIF(H$11:H343,H343)-1)))</f>
        <v>17</v>
      </c>
      <c r="J343" s="41"/>
      <c r="K343" s="36" t="str">
        <f t="shared" si="142"/>
        <v/>
      </c>
      <c r="L343" t="str">
        <f t="shared" si="143"/>
        <v/>
      </c>
      <c r="M343" s="117" t="str">
        <f t="shared" si="144"/>
        <v/>
      </c>
      <c r="N343" s="112" t="str">
        <f t="shared" si="145"/>
        <v/>
      </c>
      <c r="O343" s="96" t="str">
        <f t="shared" si="146"/>
        <v/>
      </c>
      <c r="P343" s="96" t="str">
        <f t="shared" si="147"/>
        <v/>
      </c>
      <c r="Q343" s="96" t="str">
        <f t="shared" si="148"/>
        <v/>
      </c>
      <c r="R343" s="92" t="str">
        <f t="shared" si="149"/>
        <v/>
      </c>
      <c r="S343" s="42" t="str">
        <f t="shared" si="150"/>
        <v/>
      </c>
      <c r="T343" s="176" t="str">
        <f>IF(L343="","",VLOOKUP(L343,classifications!C:K,9,FALSE))</f>
        <v/>
      </c>
      <c r="U343" s="177" t="str">
        <f t="shared" si="151"/>
        <v/>
      </c>
      <c r="V343" s="183" t="str">
        <f>IF(U343="","",IF($I$8="A",(RANK(U343,U$11:U$349)+COUNTIF(U$11:U343,U343)-1),(RANK(U343,U$11:U$349,1)+COUNTIF(U$11:U343,U343)-1)))</f>
        <v/>
      </c>
      <c r="W343" s="184"/>
      <c r="X343" s="5" t="str">
        <f>IF(L343="","",VLOOKUP($L343,classifications!$C:$J,6,FALSE))</f>
        <v/>
      </c>
      <c r="Y343" t="str">
        <f t="shared" si="152"/>
        <v/>
      </c>
      <c r="Z343" s="40" t="str">
        <f>IF(Y343="","",IF(I$8="A",(RANK(Y343,Y$11:Y$349,1)+COUNTIF(Y$11:Y343,Y343)-1),(RANK(Y343,Y$11:Y$349)+COUNTIF(Y$11:Y343,Y343)-1)))</f>
        <v/>
      </c>
      <c r="AA343" s="189" t="str">
        <f>IF(L343="","",VLOOKUP($L343,classifications!C:I,7,FALSE))</f>
        <v/>
      </c>
      <c r="AB343" s="183" t="str">
        <f t="shared" si="153"/>
        <v/>
      </c>
      <c r="AC343" s="183" t="str">
        <f>IF(AB343="","",IF($I$8="A",(RANK(AB343,AB$11:AB$349)+COUNTIF(AB$11:AB343,AB343)-1),(RANK(AB343,AB$11:AB$349,1)+COUNTIF(AB$11:AB343,AB343)-1)))</f>
        <v/>
      </c>
      <c r="AD343" s="183"/>
      <c r="AE343" s="49">
        <f>IF(I$8="A",(RANK(AG343,AG$11:AG$349,1)+COUNTIF(AG$11:AG343,AG343)-1),(RANK(AG343,AG$11:AG$349)+COUNTIF(AG$11:AG343,AG343)-1))</f>
        <v>333</v>
      </c>
      <c r="AF343" t="str">
        <f>VLOOKUP(Profile!$J$5,Families!$C:$R,6,FALSE)</f>
        <v>Herefordshire</v>
      </c>
      <c r="AG343" s="15">
        <f t="shared" si="154"/>
        <v>62.711864406779661</v>
      </c>
      <c r="AH343" s="50">
        <f t="shared" si="155"/>
        <v>333</v>
      </c>
      <c r="AI343" s="5" t="str">
        <f>IF(L343="","",VLOOKUP($L343,classifications!$C:$J,8,FALSE))</f>
        <v/>
      </c>
      <c r="AJ343" s="43" t="str">
        <f t="shared" si="156"/>
        <v/>
      </c>
      <c r="AK343" s="40" t="str">
        <f>IF(AJ343="","",IF(I$8="A",(RANK(AJ343,AJ$11:AJ$349,1)+COUNTIF(AJ$11:AJ343,AJ343)-1),(RANK(AJ343,AJ$11:AJ$349)+COUNTIF(AJ$11:AJ343,AJ343)-1)))</f>
        <v/>
      </c>
      <c r="AL343" s="3" t="str">
        <f t="shared" si="157"/>
        <v/>
      </c>
      <c r="AM343" t="str">
        <f t="shared" si="158"/>
        <v/>
      </c>
      <c r="AN343" t="str">
        <f t="shared" si="159"/>
        <v/>
      </c>
      <c r="AP343" s="5" t="str">
        <f>IF(L343="","",VLOOKUP($L343,classifications!$C:$E,3,FALSE))</f>
        <v/>
      </c>
      <c r="AQ343" s="43" t="str">
        <f t="shared" si="160"/>
        <v/>
      </c>
      <c r="AR343" s="40" t="str">
        <f>IF(AQ343="","",IF(I$8="A",(RANK(AQ343,AQ$11:AQ$349,1)+COUNTIF(AQ$11:AQ343,AQ343)-1),(RANK(AQ343,AQ$11:AQ$349)+COUNTIF(AQ$11:AQ343,AQ343)-1)))</f>
        <v/>
      </c>
      <c r="AS343" s="3" t="str">
        <f t="shared" si="161"/>
        <v/>
      </c>
      <c r="AT343" s="40" t="str">
        <f t="shared" si="162"/>
        <v/>
      </c>
      <c r="AU343" s="43" t="str">
        <f t="shared" si="163"/>
        <v/>
      </c>
      <c r="AX343">
        <f>HLOOKUP($AX$9&amp;$AX$10,Data!$A$1:$ZZ$1988,(MATCH($C343,Data!$A$1:$A$1988,0)),FALSE)</f>
        <v>95.121951219512198</v>
      </c>
    </row>
    <row r="344" spans="1:50">
      <c r="B344" s="60"/>
      <c r="G344" s="15"/>
      <c r="I344" s="79"/>
      <c r="J344" s="41"/>
      <c r="M344" s="117"/>
      <c r="N344" s="112"/>
      <c r="O344" s="96"/>
      <c r="P344" s="96"/>
      <c r="Q344" s="96"/>
      <c r="V344" s="183"/>
      <c r="W344" s="184"/>
      <c r="Z344" s="40"/>
      <c r="AA344" s="189"/>
      <c r="AB344" s="183"/>
      <c r="AC344" s="183"/>
      <c r="AD344" s="183"/>
      <c r="AE344" s="49"/>
      <c r="AG344" s="15"/>
      <c r="AH344" s="50"/>
      <c r="AJ344" s="43"/>
      <c r="AK344" s="40"/>
      <c r="AL344" s="3"/>
      <c r="AQ344" s="43"/>
      <c r="AR344" s="40"/>
      <c r="AS344" s="3"/>
      <c r="AT344" s="40"/>
      <c r="AU344" s="43"/>
    </row>
    <row r="345" spans="1:50">
      <c r="B345" s="60"/>
      <c r="G345" s="15"/>
      <c r="I345" s="79"/>
      <c r="J345" s="41"/>
      <c r="M345" s="117"/>
      <c r="N345" s="112"/>
      <c r="O345" s="96"/>
      <c r="P345" s="96"/>
      <c r="Q345" s="96"/>
      <c r="V345" s="183"/>
      <c r="W345" s="184"/>
      <c r="Z345" s="40"/>
      <c r="AA345" s="189"/>
      <c r="AB345" s="183"/>
      <c r="AC345" s="183"/>
      <c r="AD345" s="183"/>
      <c r="AE345" s="49"/>
      <c r="AG345" s="15"/>
      <c r="AH345" s="50"/>
      <c r="AJ345" s="43"/>
      <c r="AK345" s="40"/>
      <c r="AL345" s="3"/>
      <c r="AQ345" s="43"/>
      <c r="AR345" s="40"/>
      <c r="AS345" s="3"/>
      <c r="AT345" s="40"/>
      <c r="AU345" s="43"/>
    </row>
    <row r="346" spans="1:50">
      <c r="B346" s="60"/>
      <c r="G346" s="15"/>
      <c r="I346" s="79"/>
      <c r="J346" s="41"/>
      <c r="M346" s="117"/>
      <c r="N346" s="112"/>
      <c r="O346" s="96"/>
      <c r="P346" s="96"/>
      <c r="Q346" s="96"/>
      <c r="V346" s="183"/>
      <c r="W346" s="184"/>
      <c r="Z346" s="40"/>
      <c r="AA346" s="189"/>
      <c r="AB346" s="183"/>
      <c r="AC346" s="183"/>
      <c r="AD346" s="183"/>
      <c r="AE346" s="49"/>
      <c r="AG346" s="15"/>
      <c r="AH346" s="50"/>
      <c r="AJ346" s="43"/>
      <c r="AK346" s="40"/>
      <c r="AL346" s="3"/>
      <c r="AQ346" s="43"/>
      <c r="AR346" s="40"/>
      <c r="AS346" s="3"/>
      <c r="AT346" s="40"/>
      <c r="AU346" s="43"/>
    </row>
    <row r="347" spans="1:50">
      <c r="B347" s="60"/>
      <c r="G347" s="15"/>
      <c r="I347" s="79"/>
      <c r="J347" s="41"/>
      <c r="M347" s="117"/>
      <c r="N347" s="112"/>
      <c r="O347" s="96"/>
      <c r="P347" s="96"/>
      <c r="Q347" s="96"/>
      <c r="V347" s="183"/>
      <c r="W347" s="184"/>
      <c r="Z347" s="40"/>
      <c r="AA347" s="189"/>
      <c r="AB347" s="183"/>
      <c r="AC347" s="183"/>
      <c r="AD347" s="183"/>
      <c r="AE347" s="49"/>
      <c r="AG347" s="15"/>
      <c r="AH347" s="50"/>
      <c r="AJ347" s="43"/>
      <c r="AK347" s="40"/>
      <c r="AL347" s="3"/>
      <c r="AQ347" s="43"/>
      <c r="AR347" s="40"/>
      <c r="AS347" s="3"/>
      <c r="AT347" s="40"/>
      <c r="AU347" s="43"/>
    </row>
    <row r="348" spans="1:50">
      <c r="B348" s="60"/>
      <c r="G348" s="15"/>
      <c r="I348" s="79"/>
      <c r="J348" s="41"/>
      <c r="M348" s="117"/>
      <c r="N348" s="112"/>
      <c r="O348" s="96"/>
      <c r="P348" s="96"/>
      <c r="Q348" s="96"/>
      <c r="V348" s="183"/>
      <c r="W348" s="184"/>
      <c r="Z348" s="40"/>
      <c r="AA348" s="189"/>
      <c r="AB348" s="183"/>
      <c r="AC348" s="183"/>
      <c r="AD348" s="183"/>
      <c r="AE348" s="49"/>
      <c r="AG348" s="15"/>
      <c r="AH348" s="50"/>
      <c r="AJ348" s="43"/>
      <c r="AK348" s="40"/>
      <c r="AL348" s="3"/>
      <c r="AQ348" s="43"/>
      <c r="AR348" s="40"/>
      <c r="AS348" s="3"/>
      <c r="AT348" s="40"/>
      <c r="AU348" s="43"/>
    </row>
    <row r="349" spans="1:50">
      <c r="B349" s="60"/>
      <c r="G349" s="15"/>
      <c r="I349" s="79"/>
      <c r="J349" s="41"/>
      <c r="M349" s="117"/>
      <c r="N349" s="112"/>
      <c r="O349" s="96"/>
      <c r="P349" s="96"/>
      <c r="Q349" s="96"/>
      <c r="V349" s="183"/>
      <c r="W349" s="184"/>
      <c r="Z349" s="40"/>
      <c r="AA349" s="189"/>
      <c r="AB349" s="183"/>
      <c r="AC349" s="183"/>
      <c r="AD349" s="183"/>
      <c r="AE349" s="49"/>
      <c r="AG349" s="15"/>
      <c r="AH349" s="50"/>
      <c r="AJ349" s="43"/>
      <c r="AK349" s="40"/>
      <c r="AL349" s="3"/>
      <c r="AQ349" s="43"/>
      <c r="AR349" s="40"/>
      <c r="AS349" s="3"/>
      <c r="AT349" s="40"/>
      <c r="AU349" s="43"/>
    </row>
    <row r="350" spans="1:50">
      <c r="B350" s="61"/>
      <c r="C350" s="35"/>
      <c r="D350" s="35"/>
      <c r="E350" s="35"/>
      <c r="F350" s="35"/>
      <c r="G350" s="35"/>
      <c r="H350" s="45"/>
      <c r="I350" s="45"/>
      <c r="J350" s="35"/>
      <c r="K350" s="44"/>
      <c r="L350" s="35"/>
      <c r="M350" s="97"/>
      <c r="N350" s="97"/>
      <c r="O350" s="97"/>
      <c r="P350" s="97"/>
      <c r="Q350" s="97"/>
      <c r="R350" s="97"/>
      <c r="S350" s="45"/>
      <c r="T350" s="185"/>
      <c r="U350" s="186"/>
      <c r="V350" s="186"/>
      <c r="W350" s="186"/>
      <c r="X350" s="46"/>
      <c r="Y350" s="35"/>
      <c r="Z350" s="35"/>
      <c r="AA350" s="185"/>
      <c r="AB350" s="186"/>
      <c r="AC350" s="186"/>
      <c r="AD350" s="186"/>
      <c r="AE350" s="46"/>
      <c r="AF350" s="35"/>
      <c r="AG350" s="35"/>
      <c r="AH350" s="35"/>
      <c r="AI350" s="46"/>
      <c r="AJ350" s="35"/>
      <c r="AK350" s="35"/>
      <c r="AL350" s="35"/>
      <c r="AM350" s="35"/>
      <c r="AN350" s="35"/>
      <c r="AO350" s="35"/>
      <c r="AP350" s="46"/>
      <c r="AQ350" s="75"/>
      <c r="AR350" s="35"/>
      <c r="AS350" s="35"/>
      <c r="AT350" s="35"/>
      <c r="AU350" s="35"/>
      <c r="AV350" s="35"/>
      <c r="AW350" s="82"/>
    </row>
    <row r="351" spans="1:50"/>
    <row r="352" spans="1:50"/>
    <row r="353" spans="1:735"/>
    <row r="354" spans="1:735" s="35" customFormat="1" hidden="1">
      <c r="A354" s="61"/>
      <c r="B354" s="59"/>
      <c r="C354"/>
      <c r="D354"/>
      <c r="E354"/>
      <c r="F354"/>
      <c r="G354"/>
      <c r="H354" s="42"/>
      <c r="I354" s="42"/>
      <c r="J354"/>
      <c r="K354" s="36"/>
      <c r="L354"/>
      <c r="M354" s="92"/>
      <c r="N354" s="92"/>
      <c r="O354" s="92"/>
      <c r="P354" s="92"/>
      <c r="Q354" s="92"/>
      <c r="R354" s="92"/>
      <c r="S354" s="42"/>
      <c r="T354" s="176"/>
      <c r="U354" s="177"/>
      <c r="V354" s="177"/>
      <c r="W354" s="177"/>
      <c r="X354" s="5"/>
      <c r="Y354"/>
      <c r="Z354"/>
      <c r="AA354" s="176"/>
      <c r="AB354" s="177"/>
      <c r="AC354" s="177"/>
      <c r="AD354" s="177"/>
      <c r="AE354" s="5"/>
      <c r="AF354"/>
      <c r="AG354"/>
      <c r="AH354"/>
      <c r="AI354" s="5"/>
      <c r="AJ354"/>
      <c r="AK354"/>
      <c r="AL354"/>
      <c r="AM354"/>
      <c r="AN354"/>
      <c r="AO354"/>
      <c r="AP354" s="5"/>
      <c r="AQ354" s="15"/>
      <c r="AR354"/>
      <c r="AS354"/>
      <c r="AT354"/>
      <c r="AU354"/>
      <c r="AV354"/>
      <c r="AW354" s="81"/>
      <c r="AX354"/>
      <c r="AY354" s="31"/>
      <c r="AZ354"/>
      <c r="ABG354" s="46"/>
    </row>
    <row r="357" spans="1:735"/>
    <row r="358" spans="1:735"/>
    <row r="359" spans="1:735"/>
    <row r="360" spans="1:735"/>
    <row r="361" spans="1:735"/>
    <row r="362" spans="1:735"/>
    <row r="363" spans="1:735"/>
    <row r="364" spans="1:735"/>
    <row r="365" spans="1:735"/>
    <row r="366" spans="1:735"/>
  </sheetData>
  <autoFilter ref="A10:J353" xr:uid="{00000000-0009-0000-0000-000001000000}"/>
  <sortState xmlns:xlrd2="http://schemas.microsoft.com/office/spreadsheetml/2017/richdata2" ref="C3:L351">
    <sortCondition ref="C3:C351"/>
  </sortState>
  <mergeCells count="3">
    <mergeCell ref="X2:Z2"/>
    <mergeCell ref="T1:W2"/>
    <mergeCell ref="AA1:AD2"/>
  </mergeCells>
  <conditionalFormatting sqref="S11:S349">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F500"/>
  <sheetViews>
    <sheetView workbookViewId="0">
      <selection activeCell="F3" sqref="F3"/>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6">
      <c r="A1" s="67" t="s">
        <v>805</v>
      </c>
      <c r="B1" s="67" t="s">
        <v>799</v>
      </c>
      <c r="C1" s="67" t="s">
        <v>791</v>
      </c>
      <c r="D1" s="67" t="s">
        <v>796</v>
      </c>
      <c r="F1" s="67" t="s">
        <v>806</v>
      </c>
    </row>
    <row r="2" spans="1:6" ht="28.8">
      <c r="A2" s="222" t="s">
        <v>888</v>
      </c>
      <c r="B2" t="s">
        <v>811</v>
      </c>
      <c r="C2" t="s">
        <v>822</v>
      </c>
      <c r="D2" t="s">
        <v>887</v>
      </c>
      <c r="F2" s="247" t="s">
        <v>903</v>
      </c>
    </row>
    <row r="3" spans="1:6" ht="28.8">
      <c r="A3" s="222" t="s">
        <v>889</v>
      </c>
      <c r="B3" t="s">
        <v>811</v>
      </c>
      <c r="C3" t="s">
        <v>822</v>
      </c>
      <c r="D3" t="s">
        <v>887</v>
      </c>
      <c r="F3" s="246"/>
    </row>
    <row r="4" spans="1:6" ht="28.8">
      <c r="A4" s="222" t="s">
        <v>890</v>
      </c>
      <c r="B4" t="s">
        <v>811</v>
      </c>
      <c r="C4" t="s">
        <v>822</v>
      </c>
      <c r="D4" t="s">
        <v>887</v>
      </c>
      <c r="F4" s="245"/>
    </row>
    <row r="5" spans="1:6" ht="14.4">
      <c r="A5" s="210"/>
      <c r="F5" s="244"/>
    </row>
    <row r="6" spans="1:6" ht="14.4">
      <c r="A6" s="210"/>
      <c r="F6" s="239"/>
    </row>
    <row r="7" spans="1:6" ht="14.4">
      <c r="F7" s="234"/>
    </row>
    <row r="8" spans="1:6" ht="14.4">
      <c r="F8" s="233"/>
    </row>
    <row r="9" spans="1:6" ht="14.4">
      <c r="F9" s="228"/>
    </row>
    <row r="10" spans="1:6" ht="14.4">
      <c r="F10" s="228"/>
    </row>
    <row r="11" spans="1:6" ht="14.4">
      <c r="F11" s="228"/>
    </row>
    <row r="12" spans="1:6" ht="14.4">
      <c r="F12" s="228"/>
    </row>
    <row r="13" spans="1:6" ht="14.4">
      <c r="F13" s="228"/>
    </row>
    <row r="14" spans="1:6" ht="14.4">
      <c r="F14" s="227"/>
    </row>
    <row r="15" spans="1:6" ht="14.4">
      <c r="F15" s="218"/>
    </row>
    <row r="16" spans="1:6" ht="14.4">
      <c r="F16" s="218"/>
    </row>
    <row r="17" spans="6:6" ht="14.4">
      <c r="F17" s="218"/>
    </row>
    <row r="18" spans="6:6" ht="14.4">
      <c r="F18" s="218"/>
    </row>
    <row r="19" spans="6:6" ht="14.4">
      <c r="F19" s="218"/>
    </row>
    <row r="20" spans="6:6" ht="14.4">
      <c r="F20" s="217"/>
    </row>
    <row r="21" spans="6:6" ht="14.4">
      <c r="F21" s="216"/>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21"/>
  <sheetViews>
    <sheetView showGridLines="0" workbookViewId="0">
      <selection activeCell="E6" sqref="E6"/>
    </sheetView>
  </sheetViews>
  <sheetFormatPr defaultColWidth="0" defaultRowHeight="13.2" zeroHeight="1"/>
  <cols>
    <col min="1" max="1" width="50.109375" style="4" bestFit="1" customWidth="1"/>
    <col min="2" max="2" width="20.109375" style="4" customWidth="1"/>
    <col min="3" max="6" width="17.33203125" style="4" customWidth="1"/>
    <col min="7" max="8" width="15" style="4" customWidth="1"/>
    <col min="9" max="77" width="9.109375" style="4" customWidth="1"/>
    <col min="78" max="16384" width="9.109375" style="4" hidden="1"/>
  </cols>
  <sheetData>
    <row r="1" spans="1:77" s="144" customFormat="1" ht="14.25" customHeight="1">
      <c r="A1" s="154" t="s">
        <v>802</v>
      </c>
      <c r="C1" s="170" t="str">
        <f>C4&amp;C5</f>
        <v>Major Developments - % within 13 weeks or agreed timeYear Ending December 2022</v>
      </c>
      <c r="D1" s="144" t="str">
        <f t="shared" ref="D1:BO1" si="0">D4&amp;D5</f>
        <v>Minor Developments - % within 8 weeks or agreed timeYear Ending December 2022</v>
      </c>
      <c r="E1" s="144" t="str">
        <f t="shared" si="0"/>
        <v>Other Developments - % within 8 weeks or agreed timeYear Ending December 2022</v>
      </c>
      <c r="F1" s="144" t="str">
        <f t="shared" si="0"/>
        <v/>
      </c>
      <c r="G1" s="144" t="str">
        <f t="shared" si="0"/>
        <v/>
      </c>
      <c r="H1" s="144" t="str">
        <f t="shared" si="0"/>
        <v/>
      </c>
      <c r="I1" s="144" t="str">
        <f t="shared" si="0"/>
        <v/>
      </c>
      <c r="J1" s="144" t="str">
        <f t="shared" si="0"/>
        <v/>
      </c>
      <c r="K1" s="144" t="str">
        <f t="shared" si="0"/>
        <v/>
      </c>
      <c r="L1" s="144" t="str">
        <f t="shared" si="0"/>
        <v/>
      </c>
      <c r="M1" s="144" t="str">
        <f t="shared" si="0"/>
        <v/>
      </c>
      <c r="N1" s="144" t="str">
        <f t="shared" si="0"/>
        <v/>
      </c>
      <c r="O1" s="144" t="str">
        <f t="shared" si="0"/>
        <v/>
      </c>
      <c r="P1" s="144" t="str">
        <f t="shared" si="0"/>
        <v/>
      </c>
      <c r="Q1" s="144" t="str">
        <f t="shared" si="0"/>
        <v/>
      </c>
      <c r="R1" s="144" t="str">
        <f t="shared" si="0"/>
        <v/>
      </c>
      <c r="S1" s="144" t="str">
        <f t="shared" si="0"/>
        <v/>
      </c>
      <c r="T1" s="144" t="str">
        <f t="shared" si="0"/>
        <v/>
      </c>
      <c r="U1" s="144" t="str">
        <f t="shared" si="0"/>
        <v/>
      </c>
      <c r="V1" s="144" t="str">
        <f t="shared" si="0"/>
        <v/>
      </c>
      <c r="W1" s="144" t="str">
        <f t="shared" si="0"/>
        <v/>
      </c>
      <c r="X1" s="144" t="str">
        <f t="shared" si="0"/>
        <v/>
      </c>
      <c r="Y1" s="144" t="str">
        <f t="shared" si="0"/>
        <v/>
      </c>
      <c r="Z1" s="144" t="str">
        <f t="shared" si="0"/>
        <v/>
      </c>
      <c r="AA1" s="144" t="str">
        <f t="shared" si="0"/>
        <v/>
      </c>
      <c r="AB1" s="144" t="str">
        <f t="shared" si="0"/>
        <v/>
      </c>
      <c r="AC1" s="144" t="str">
        <f t="shared" si="0"/>
        <v/>
      </c>
      <c r="AD1" s="144" t="str">
        <f t="shared" si="0"/>
        <v/>
      </c>
      <c r="AE1" s="144" t="str">
        <f t="shared" si="0"/>
        <v/>
      </c>
      <c r="AF1" s="144" t="str">
        <f t="shared" si="0"/>
        <v/>
      </c>
      <c r="AG1" s="144" t="str">
        <f t="shared" si="0"/>
        <v/>
      </c>
      <c r="AH1" s="144" t="str">
        <f t="shared" si="0"/>
        <v/>
      </c>
      <c r="AI1" s="144" t="str">
        <f t="shared" si="0"/>
        <v/>
      </c>
      <c r="AJ1" s="144" t="str">
        <f t="shared" si="0"/>
        <v/>
      </c>
      <c r="AK1" s="144" t="str">
        <f t="shared" si="0"/>
        <v/>
      </c>
      <c r="AL1" s="144" t="str">
        <f t="shared" si="0"/>
        <v/>
      </c>
      <c r="AM1" s="144" t="str">
        <f t="shared" si="0"/>
        <v/>
      </c>
      <c r="AN1" s="144" t="str">
        <f t="shared" si="0"/>
        <v/>
      </c>
      <c r="AO1" s="144" t="str">
        <f t="shared" si="0"/>
        <v/>
      </c>
      <c r="AP1" s="144" t="str">
        <f t="shared" si="0"/>
        <v/>
      </c>
      <c r="AQ1" s="144" t="str">
        <f t="shared" si="0"/>
        <v/>
      </c>
      <c r="AR1" s="144" t="str">
        <f t="shared" si="0"/>
        <v/>
      </c>
      <c r="AS1" s="144" t="str">
        <f t="shared" si="0"/>
        <v/>
      </c>
      <c r="AT1" s="144" t="str">
        <f t="shared" si="0"/>
        <v/>
      </c>
      <c r="AU1" s="144" t="str">
        <f t="shared" si="0"/>
        <v/>
      </c>
      <c r="AV1" s="144" t="str">
        <f t="shared" si="0"/>
        <v/>
      </c>
      <c r="AW1" s="144" t="str">
        <f t="shared" si="0"/>
        <v/>
      </c>
      <c r="AX1" s="144" t="str">
        <f t="shared" si="0"/>
        <v/>
      </c>
      <c r="AY1" s="144" t="str">
        <f t="shared" si="0"/>
        <v/>
      </c>
      <c r="AZ1" s="144" t="str">
        <f t="shared" si="0"/>
        <v/>
      </c>
      <c r="BA1" s="144" t="str">
        <f t="shared" si="0"/>
        <v/>
      </c>
      <c r="BB1" s="144" t="str">
        <f t="shared" si="0"/>
        <v/>
      </c>
      <c r="BC1" s="144" t="str">
        <f t="shared" si="0"/>
        <v/>
      </c>
      <c r="BD1" s="144" t="str">
        <f t="shared" si="0"/>
        <v/>
      </c>
      <c r="BE1" s="144" t="str">
        <f t="shared" si="0"/>
        <v/>
      </c>
      <c r="BF1" s="144" t="str">
        <f t="shared" si="0"/>
        <v/>
      </c>
      <c r="BG1" s="144" t="str">
        <f t="shared" si="0"/>
        <v/>
      </c>
      <c r="BH1" s="144" t="str">
        <f t="shared" si="0"/>
        <v/>
      </c>
      <c r="BI1" s="144" t="str">
        <f t="shared" si="0"/>
        <v/>
      </c>
      <c r="BJ1" s="144" t="str">
        <f t="shared" si="0"/>
        <v/>
      </c>
      <c r="BK1" s="144" t="str">
        <f t="shared" si="0"/>
        <v/>
      </c>
      <c r="BL1" s="144" t="str">
        <f t="shared" si="0"/>
        <v/>
      </c>
      <c r="BM1" s="144" t="str">
        <f t="shared" si="0"/>
        <v/>
      </c>
      <c r="BN1" s="144" t="str">
        <f t="shared" si="0"/>
        <v/>
      </c>
      <c r="BO1" s="144" t="str">
        <f t="shared" si="0"/>
        <v/>
      </c>
      <c r="BP1" s="144" t="str">
        <f t="shared" ref="BP1:BY1" si="1">BP4&amp;BP5</f>
        <v/>
      </c>
      <c r="BQ1" s="144" t="str">
        <f t="shared" si="1"/>
        <v/>
      </c>
      <c r="BR1" s="144" t="str">
        <f t="shared" si="1"/>
        <v/>
      </c>
      <c r="BS1" s="144" t="str">
        <f t="shared" si="1"/>
        <v/>
      </c>
      <c r="BT1" s="144" t="str">
        <f t="shared" si="1"/>
        <v/>
      </c>
      <c r="BU1" s="144" t="str">
        <f t="shared" si="1"/>
        <v/>
      </c>
      <c r="BV1" s="144" t="str">
        <f t="shared" si="1"/>
        <v/>
      </c>
      <c r="BW1" s="144" t="str">
        <f t="shared" si="1"/>
        <v/>
      </c>
      <c r="BX1" s="144" t="str">
        <f t="shared" si="1"/>
        <v/>
      </c>
      <c r="BY1" s="144" t="str">
        <f t="shared" si="1"/>
        <v/>
      </c>
    </row>
    <row r="2" spans="1:77" s="144" customFormat="1">
      <c r="A2" s="150" t="s">
        <v>820</v>
      </c>
      <c r="B2" s="145"/>
      <c r="C2" s="145"/>
      <c r="D2" s="145"/>
      <c r="E2" s="145"/>
      <c r="F2" s="145"/>
    </row>
    <row r="3" spans="1:77" ht="14.7" customHeight="1">
      <c r="A3" s="149" t="s">
        <v>800</v>
      </c>
      <c r="B3" s="211" t="s">
        <v>886</v>
      </c>
      <c r="D3" s="148"/>
      <c r="E3" s="148"/>
      <c r="L3" s="138"/>
      <c r="M3" s="123"/>
      <c r="N3" s="138"/>
      <c r="O3" s="151"/>
      <c r="P3" s="151"/>
      <c r="Q3" s="151"/>
      <c r="R3" s="123"/>
      <c r="S3" s="123"/>
      <c r="T3" s="123"/>
      <c r="U3" s="151"/>
      <c r="V3" s="340"/>
      <c r="W3" s="340"/>
      <c r="X3" s="138"/>
      <c r="Y3" s="138"/>
    </row>
    <row r="4" spans="1:77" ht="60" customHeight="1">
      <c r="A4" s="338" t="s">
        <v>821</v>
      </c>
      <c r="B4" s="146" t="s">
        <v>801</v>
      </c>
      <c r="C4" s="222" t="s">
        <v>888</v>
      </c>
      <c r="D4" s="222" t="s">
        <v>889</v>
      </c>
      <c r="E4" s="222" t="s">
        <v>890</v>
      </c>
      <c r="F4" s="222"/>
      <c r="G4" s="222"/>
      <c r="H4" s="222"/>
      <c r="I4" s="222"/>
      <c r="J4" s="222"/>
      <c r="K4" s="222"/>
      <c r="L4" s="222"/>
      <c r="M4" s="222"/>
      <c r="N4" s="222"/>
      <c r="O4" s="222"/>
      <c r="P4" s="222"/>
      <c r="Q4" s="222"/>
      <c r="R4" s="222"/>
      <c r="S4" s="222"/>
      <c r="T4" s="222"/>
      <c r="U4" s="222"/>
      <c r="V4" s="222"/>
      <c r="W4" s="222"/>
      <c r="X4" s="222"/>
      <c r="Y4" s="222"/>
      <c r="Z4" s="222"/>
      <c r="AA4" s="222"/>
      <c r="AB4" s="222"/>
      <c r="AC4" s="222"/>
      <c r="AD4" s="222"/>
      <c r="AE4" s="222"/>
      <c r="AF4" s="222"/>
      <c r="AG4" s="222"/>
      <c r="AH4" s="222"/>
      <c r="AI4" s="222"/>
      <c r="AJ4" s="222"/>
      <c r="AK4" s="222"/>
      <c r="AL4" s="222"/>
      <c r="AM4" s="222"/>
      <c r="AN4" s="222"/>
      <c r="AO4" s="222"/>
      <c r="AP4" s="222"/>
      <c r="AQ4" s="222"/>
      <c r="AR4" s="222"/>
      <c r="AS4" s="222"/>
      <c r="AT4" s="222"/>
      <c r="AU4" s="222"/>
      <c r="AV4" s="222"/>
      <c r="AW4" s="222"/>
      <c r="AX4" s="222"/>
      <c r="AY4" s="222"/>
      <c r="AZ4" s="222"/>
      <c r="BA4" s="222"/>
      <c r="BB4" s="222"/>
      <c r="BC4" s="222"/>
      <c r="BD4" s="222"/>
      <c r="BE4" s="222"/>
      <c r="BF4" s="222"/>
      <c r="BG4" s="222"/>
      <c r="BH4" s="222"/>
      <c r="BI4" s="222"/>
      <c r="BJ4" s="222"/>
      <c r="BK4" s="222"/>
      <c r="BL4" s="222"/>
      <c r="BM4" s="222"/>
      <c r="BN4" s="222"/>
      <c r="BO4" s="222"/>
      <c r="BP4" s="222"/>
    </row>
    <row r="5" spans="1:77" ht="30" customHeight="1">
      <c r="A5" s="339"/>
      <c r="B5" s="147" t="s">
        <v>364</v>
      </c>
      <c r="C5" s="247" t="s">
        <v>903</v>
      </c>
      <c r="D5" s="247" t="s">
        <v>903</v>
      </c>
      <c r="E5" s="247" t="s">
        <v>903</v>
      </c>
      <c r="F5" s="246"/>
      <c r="G5" s="246"/>
      <c r="H5" s="246"/>
      <c r="I5" s="245"/>
      <c r="J5" s="245"/>
      <c r="K5" s="245"/>
      <c r="L5" s="244"/>
      <c r="M5" s="244"/>
      <c r="N5" s="244"/>
      <c r="O5" s="239"/>
      <c r="P5" s="239"/>
      <c r="Q5" s="239"/>
      <c r="R5" s="234"/>
      <c r="S5" s="234"/>
      <c r="T5" s="234"/>
      <c r="U5" s="233"/>
      <c r="V5" s="233"/>
      <c r="W5" s="233"/>
      <c r="X5" s="232"/>
      <c r="Y5" s="232"/>
      <c r="Z5" s="232"/>
      <c r="AA5" s="231"/>
      <c r="AB5" s="231"/>
      <c r="AC5" s="231"/>
      <c r="AD5" s="230"/>
      <c r="AE5" s="230"/>
      <c r="AF5" s="230"/>
      <c r="AG5" s="229"/>
      <c r="AH5" s="229"/>
      <c r="AI5" s="229"/>
      <c r="AJ5" s="228"/>
      <c r="AK5" s="228"/>
      <c r="AL5" s="228"/>
      <c r="AM5" s="227"/>
      <c r="AN5" s="227"/>
      <c r="AO5" s="227"/>
      <c r="AP5" s="222"/>
      <c r="AQ5" s="222"/>
      <c r="AR5" s="222"/>
      <c r="AS5" s="221"/>
      <c r="AT5" s="221"/>
      <c r="AU5" s="221"/>
      <c r="AV5" s="220"/>
      <c r="AW5" s="220"/>
      <c r="AX5" s="220"/>
      <c r="AY5" s="219"/>
      <c r="AZ5" s="219"/>
      <c r="BA5" s="219"/>
      <c r="BB5" s="218"/>
      <c r="BC5" s="218"/>
      <c r="BD5" s="218"/>
      <c r="BE5" s="217"/>
      <c r="BF5" s="217"/>
      <c r="BG5" s="217"/>
      <c r="BH5" s="210"/>
      <c r="BI5" s="210"/>
      <c r="BJ5" s="210"/>
      <c r="BK5" s="210"/>
      <c r="BL5" s="210"/>
      <c r="BM5" s="210"/>
      <c r="BN5" s="138"/>
      <c r="BO5" s="125"/>
      <c r="BP5" s="138"/>
    </row>
    <row r="6" spans="1:77" ht="14.7" customHeight="1">
      <c r="A6" s="339"/>
      <c r="B6" s="147" t="s">
        <v>365</v>
      </c>
      <c r="C6" s="164" t="s">
        <v>885</v>
      </c>
      <c r="D6" s="164" t="s">
        <v>885</v>
      </c>
      <c r="E6" s="164" t="s">
        <v>885</v>
      </c>
      <c r="F6" s="164"/>
      <c r="G6" s="164"/>
      <c r="H6" s="164"/>
      <c r="I6" s="164"/>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64"/>
      <c r="AV6" s="164"/>
      <c r="AW6" s="164"/>
      <c r="AX6" s="164"/>
      <c r="AY6" s="164"/>
      <c r="AZ6" s="164"/>
      <c r="BA6" s="164"/>
      <c r="BB6" s="164"/>
      <c r="BC6" s="164"/>
      <c r="BD6" s="164"/>
      <c r="BE6" s="164"/>
      <c r="BF6" s="164"/>
      <c r="BG6" s="164"/>
      <c r="BH6" s="164"/>
      <c r="BI6" s="164"/>
      <c r="BJ6" s="164"/>
      <c r="BK6" s="164"/>
      <c r="BL6" s="164"/>
      <c r="BM6" s="164"/>
      <c r="BN6" s="138"/>
      <c r="BO6" s="125"/>
      <c r="BP6" s="138"/>
    </row>
    <row r="7" spans="1:77" ht="14.7" customHeight="1">
      <c r="A7" s="142" t="s">
        <v>4</v>
      </c>
      <c r="B7" s="142"/>
      <c r="C7">
        <v>83.333333333333343</v>
      </c>
      <c r="D7">
        <v>97.674418604651152</v>
      </c>
      <c r="E7">
        <v>96.657381615598879</v>
      </c>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s="138"/>
      <c r="BO7" s="125"/>
      <c r="BP7" s="138"/>
    </row>
    <row r="8" spans="1:77" ht="14.7" customHeight="1">
      <c r="A8" s="142" t="s">
        <v>6</v>
      </c>
      <c r="B8" s="142"/>
      <c r="C8">
        <v>93.548387096774192</v>
      </c>
      <c r="D8">
        <v>90.123456790123456</v>
      </c>
      <c r="E8">
        <v>89.556962025316452</v>
      </c>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s="138"/>
      <c r="BO8" s="125"/>
      <c r="BP8" s="138"/>
    </row>
    <row r="9" spans="1:77" ht="14.7" customHeight="1">
      <c r="A9" s="142" t="s">
        <v>7</v>
      </c>
      <c r="B9" s="142"/>
      <c r="C9">
        <v>100</v>
      </c>
      <c r="D9">
        <v>84.236453201970434</v>
      </c>
      <c r="E9">
        <v>98.513011152416354</v>
      </c>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s="138"/>
      <c r="BO9" s="125"/>
      <c r="BP9" s="138"/>
    </row>
    <row r="10" spans="1:77" ht="14.7" customHeight="1">
      <c r="A10" s="142" t="s">
        <v>8</v>
      </c>
      <c r="B10" s="142"/>
      <c r="C10">
        <v>70.175438596491219</v>
      </c>
      <c r="D10">
        <v>74.895397489539747</v>
      </c>
      <c r="E10">
        <v>91.326530612244895</v>
      </c>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s="138"/>
      <c r="BO10" s="125"/>
      <c r="BP10" s="138"/>
    </row>
    <row r="11" spans="1:77" ht="14.7" customHeight="1">
      <c r="A11" s="142" t="s">
        <v>9</v>
      </c>
      <c r="B11" s="142"/>
      <c r="C11">
        <v>88.235294117647058</v>
      </c>
      <c r="D11">
        <v>78.048780487804876</v>
      </c>
      <c r="E11">
        <v>77.24867724867724</v>
      </c>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s="138"/>
      <c r="BO11" s="125"/>
      <c r="BP11" s="138"/>
    </row>
    <row r="12" spans="1:77" ht="14.7" customHeight="1">
      <c r="A12" s="142" t="s">
        <v>10</v>
      </c>
      <c r="B12" s="142"/>
      <c r="C12">
        <v>61.702127659574465</v>
      </c>
      <c r="D12">
        <v>68.965517241379317</v>
      </c>
      <c r="E12">
        <v>84.590860786397442</v>
      </c>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s="138"/>
      <c r="BO12" s="125"/>
      <c r="BP12" s="138"/>
    </row>
    <row r="13" spans="1:77" ht="14.7" customHeight="1">
      <c r="A13" s="142" t="s">
        <v>12</v>
      </c>
      <c r="B13" s="142"/>
      <c r="C13">
        <v>84.615384615384613</v>
      </c>
      <c r="D13">
        <v>95.510204081632651</v>
      </c>
      <c r="E13">
        <v>97.883597883597886</v>
      </c>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s="138"/>
      <c r="BO13" s="125"/>
      <c r="BP13" s="138"/>
    </row>
    <row r="14" spans="1:77" ht="14.7" customHeight="1">
      <c r="A14" s="142" t="s">
        <v>338</v>
      </c>
      <c r="B14" s="142"/>
      <c r="C14">
        <v>100</v>
      </c>
      <c r="D14">
        <v>100</v>
      </c>
      <c r="E14">
        <v>100</v>
      </c>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s="138"/>
      <c r="BO14" s="125"/>
      <c r="BP14" s="138"/>
    </row>
    <row r="15" spans="1:77" ht="14.7" customHeight="1">
      <c r="A15" s="142" t="s">
        <v>196</v>
      </c>
      <c r="B15" s="142"/>
      <c r="C15">
        <v>76.19047619047619</v>
      </c>
      <c r="D15">
        <v>84.247374562427069</v>
      </c>
      <c r="E15">
        <v>82.471804511278194</v>
      </c>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s="138"/>
      <c r="BO15" s="125"/>
      <c r="BP15" s="138"/>
    </row>
    <row r="16" spans="1:77" ht="14.7" customHeight="1">
      <c r="A16" s="142" t="s">
        <v>222</v>
      </c>
      <c r="B16" s="142"/>
      <c r="C16">
        <v>96.666666666666671</v>
      </c>
      <c r="D16">
        <v>92.307692307692307</v>
      </c>
      <c r="E16">
        <v>93.310463121783883</v>
      </c>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s="138"/>
      <c r="BO16" s="125"/>
      <c r="BP16" s="138"/>
    </row>
    <row r="17" spans="1:68" ht="14.7" customHeight="1">
      <c r="A17" s="142" t="s">
        <v>13</v>
      </c>
      <c r="B17" s="142"/>
      <c r="C17">
        <v>100</v>
      </c>
      <c r="D17">
        <v>80.821917808219183</v>
      </c>
      <c r="E17">
        <v>88.359788359788354</v>
      </c>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s="138"/>
      <c r="BO17" s="155"/>
      <c r="BP17" s="138"/>
    </row>
    <row r="18" spans="1:68" ht="14.7" customHeight="1">
      <c r="A18" s="142" t="s">
        <v>14</v>
      </c>
      <c r="B18" s="142"/>
      <c r="C18">
        <v>78.94736842105263</v>
      </c>
      <c r="D18">
        <v>62.234042553191493</v>
      </c>
      <c r="E18">
        <v>79.276773296244784</v>
      </c>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s="138"/>
      <c r="BO18" s="125"/>
      <c r="BP18" s="138"/>
    </row>
    <row r="19" spans="1:68" ht="14.7" customHeight="1">
      <c r="A19" s="142" t="s">
        <v>342</v>
      </c>
      <c r="B19" s="142"/>
      <c r="C19">
        <v>68.75</v>
      </c>
      <c r="D19">
        <v>68.8</v>
      </c>
      <c r="E19">
        <v>83.61904761904762</v>
      </c>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s="138"/>
      <c r="BO19" s="125"/>
      <c r="BP19" s="138"/>
    </row>
    <row r="20" spans="1:68" ht="14.7" customHeight="1">
      <c r="A20" s="142" t="s">
        <v>15</v>
      </c>
      <c r="B20" s="142"/>
      <c r="C20">
        <v>100</v>
      </c>
      <c r="D20">
        <v>89.492753623188406</v>
      </c>
      <c r="E20">
        <v>95.358649789029542</v>
      </c>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s="138"/>
      <c r="BO20" s="125"/>
      <c r="BP20" s="138"/>
    </row>
    <row r="21" spans="1:68" ht="14.7" customHeight="1">
      <c r="A21" s="142" t="s">
        <v>258</v>
      </c>
      <c r="B21" s="142"/>
      <c r="C21">
        <v>100</v>
      </c>
      <c r="D21">
        <v>86.089238845144351</v>
      </c>
      <c r="E21">
        <v>86.793611793611788</v>
      </c>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s="138"/>
      <c r="BO21" s="125"/>
      <c r="BP21" s="138"/>
    </row>
    <row r="22" spans="1:68" ht="14.7" customHeight="1">
      <c r="A22" s="142" t="s">
        <v>259</v>
      </c>
      <c r="B22" s="142"/>
      <c r="C22">
        <v>83.333333333333343</v>
      </c>
      <c r="D22">
        <v>69.538461538461533</v>
      </c>
      <c r="E22">
        <v>77.821011673151759</v>
      </c>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s="138"/>
      <c r="BO22" s="125"/>
      <c r="BP22" s="138"/>
    </row>
    <row r="23" spans="1:68" ht="14.7" customHeight="1">
      <c r="A23" s="142" t="s">
        <v>197</v>
      </c>
      <c r="B23" s="142"/>
      <c r="C23">
        <v>100</v>
      </c>
      <c r="D23">
        <v>75.161290322580641</v>
      </c>
      <c r="E23">
        <v>89.570552147239269</v>
      </c>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s="138"/>
      <c r="BO23" s="125"/>
      <c r="BP23" s="138"/>
    </row>
    <row r="24" spans="1:68" ht="14.7" customHeight="1">
      <c r="A24" s="142" t="s">
        <v>223</v>
      </c>
      <c r="B24" s="142"/>
      <c r="C24">
        <v>94.73684210526315</v>
      </c>
      <c r="D24">
        <v>91.081382385730208</v>
      </c>
      <c r="E24">
        <v>90.738603577611073</v>
      </c>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s="138"/>
      <c r="BO24" s="125"/>
      <c r="BP24" s="138"/>
    </row>
    <row r="25" spans="1:68" ht="14.7" customHeight="1">
      <c r="A25" s="142" t="s">
        <v>16</v>
      </c>
      <c r="B25" s="142"/>
      <c r="C25">
        <v>86.666666666666671</v>
      </c>
      <c r="D25">
        <v>95.161290322580655</v>
      </c>
      <c r="E25">
        <v>96.122448979591837</v>
      </c>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s="138"/>
      <c r="BO25" s="125"/>
      <c r="BP25" s="138"/>
    </row>
    <row r="26" spans="1:68" ht="14.7" customHeight="1">
      <c r="A26" s="142" t="s">
        <v>260</v>
      </c>
      <c r="B26" s="142"/>
      <c r="C26">
        <v>100</v>
      </c>
      <c r="D26">
        <v>98.816568047337284</v>
      </c>
      <c r="E26">
        <v>96.170212765957444</v>
      </c>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s="138"/>
      <c r="BO26" s="125"/>
      <c r="BP26" s="138"/>
    </row>
    <row r="27" spans="1:68" ht="14.7" customHeight="1">
      <c r="A27" s="142" t="s">
        <v>261</v>
      </c>
      <c r="B27" s="142"/>
      <c r="C27">
        <v>100</v>
      </c>
      <c r="D27">
        <v>88.888888888888886</v>
      </c>
      <c r="E27">
        <v>92.996108949416339</v>
      </c>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s="138"/>
      <c r="BO27" s="125"/>
      <c r="BP27" s="138"/>
    </row>
    <row r="28" spans="1:68" ht="14.7" customHeight="1">
      <c r="A28" s="142" t="s">
        <v>17</v>
      </c>
      <c r="B28" s="142"/>
      <c r="C28">
        <v>100</v>
      </c>
      <c r="D28">
        <v>97.27272727272728</v>
      </c>
      <c r="E28">
        <v>96.83794466403161</v>
      </c>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s="138"/>
      <c r="BO28" s="125"/>
      <c r="BP28" s="138"/>
    </row>
    <row r="29" spans="1:68" ht="14.7" customHeight="1">
      <c r="A29" s="142" t="s">
        <v>224</v>
      </c>
      <c r="B29" s="142"/>
      <c r="C29">
        <v>83.928571428571431</v>
      </c>
      <c r="D29">
        <v>82.377049180327873</v>
      </c>
      <c r="E29">
        <v>84.437751004016064</v>
      </c>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s="138"/>
      <c r="BO29" s="125"/>
      <c r="BP29" s="138"/>
    </row>
    <row r="30" spans="1:68" ht="14.7" customHeight="1">
      <c r="A30" s="142" t="s">
        <v>18</v>
      </c>
      <c r="B30" s="142"/>
      <c r="C30">
        <v>85.714285714285708</v>
      </c>
      <c r="D30">
        <v>86.554621848739501</v>
      </c>
      <c r="E30">
        <v>94.581280788177338</v>
      </c>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s="138"/>
      <c r="BO30" s="125"/>
      <c r="BP30" s="138"/>
    </row>
    <row r="31" spans="1:68" ht="14.7" customHeight="1">
      <c r="A31" s="142" t="s">
        <v>897</v>
      </c>
      <c r="B31" s="142"/>
      <c r="C31">
        <v>87.037037037037038</v>
      </c>
      <c r="D31">
        <v>82.242063492063494</v>
      </c>
      <c r="E31">
        <v>90.810810810810821</v>
      </c>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s="138"/>
      <c r="BO31" s="125"/>
      <c r="BP31" s="138"/>
    </row>
    <row r="32" spans="1:68" ht="14.7" customHeight="1">
      <c r="A32" s="142" t="s">
        <v>263</v>
      </c>
      <c r="B32" s="142"/>
      <c r="C32">
        <v>89.285714285714292</v>
      </c>
      <c r="D32">
        <v>72.262773722627742</v>
      </c>
      <c r="E32">
        <v>80.622837370242223</v>
      </c>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s="138"/>
      <c r="BO32" s="125"/>
      <c r="BP32" s="138"/>
    </row>
    <row r="33" spans="1:68" ht="14.7" customHeight="1">
      <c r="A33" s="142" t="s">
        <v>225</v>
      </c>
      <c r="B33" s="142"/>
      <c r="C33">
        <v>63.793103448275865</v>
      </c>
      <c r="D33">
        <v>87.688734030197452</v>
      </c>
      <c r="E33">
        <v>94.384912130304329</v>
      </c>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s="138"/>
      <c r="BO33" s="125"/>
      <c r="BP33" s="138"/>
    </row>
    <row r="34" spans="1:68" ht="14.7" customHeight="1">
      <c r="A34" s="142" t="s">
        <v>19</v>
      </c>
      <c r="B34" s="142"/>
      <c r="C34">
        <v>95.588235294117652</v>
      </c>
      <c r="D34">
        <v>87.826086956521749</v>
      </c>
      <c r="E34">
        <v>92.759706190975862</v>
      </c>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s="138"/>
      <c r="BO34" s="125"/>
      <c r="BP34" s="138"/>
    </row>
    <row r="35" spans="1:68" ht="14.7" customHeight="1">
      <c r="A35" s="142" t="s">
        <v>20</v>
      </c>
      <c r="B35" s="142"/>
      <c r="C35">
        <v>89.552238805970148</v>
      </c>
      <c r="D35">
        <v>86.842105263157904</v>
      </c>
      <c r="E35">
        <v>95.294117647058812</v>
      </c>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s="138"/>
      <c r="BO35" s="125"/>
      <c r="BP35" s="138"/>
    </row>
    <row r="36" spans="1:68" ht="14.7" customHeight="1">
      <c r="A36" s="142" t="s">
        <v>198</v>
      </c>
      <c r="B36" s="142"/>
      <c r="C36">
        <v>97.142857142857139</v>
      </c>
      <c r="D36">
        <v>77.832512315270947</v>
      </c>
      <c r="E36">
        <v>82.538461538461533</v>
      </c>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s="138"/>
      <c r="BO36" s="125"/>
      <c r="BP36" s="138"/>
    </row>
    <row r="37" spans="1:68" ht="14.7" customHeight="1">
      <c r="A37" s="142" t="s">
        <v>21</v>
      </c>
      <c r="B37" s="142"/>
      <c r="C37">
        <v>100</v>
      </c>
      <c r="D37">
        <v>100</v>
      </c>
      <c r="E37">
        <v>99.686520376175551</v>
      </c>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s="138"/>
      <c r="BO37" s="125"/>
      <c r="BP37" s="138"/>
    </row>
    <row r="38" spans="1:68" ht="14.7" customHeight="1">
      <c r="A38" s="142" t="s">
        <v>812</v>
      </c>
      <c r="B38" s="142"/>
      <c r="C38">
        <v>87.096774193548384</v>
      </c>
      <c r="D38">
        <v>91.36904761904762</v>
      </c>
      <c r="E38">
        <v>89.753178758414364</v>
      </c>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s="138"/>
      <c r="BO38" s="125"/>
      <c r="BP38" s="138"/>
    </row>
    <row r="39" spans="1:68" ht="14.7" customHeight="1">
      <c r="A39" s="142" t="s">
        <v>816</v>
      </c>
      <c r="B39" s="142"/>
      <c r="C39">
        <v>94.285714285714278</v>
      </c>
      <c r="D39">
        <v>51.754385964912288</v>
      </c>
      <c r="E39">
        <v>73.131672597864778</v>
      </c>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s="138"/>
      <c r="BO39" s="125"/>
      <c r="BP39" s="138"/>
    </row>
    <row r="40" spans="1:68" ht="14.7" customHeight="1">
      <c r="A40" s="142" t="s">
        <v>22</v>
      </c>
      <c r="B40" s="142"/>
      <c r="C40">
        <v>89.285714285714292</v>
      </c>
      <c r="D40">
        <v>82.608695652173907</v>
      </c>
      <c r="E40">
        <v>88.507265521796569</v>
      </c>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s="138"/>
      <c r="BO40" s="125"/>
      <c r="BP40" s="138"/>
    </row>
    <row r="41" spans="1:68" ht="14.7" customHeight="1">
      <c r="A41" s="142" t="s">
        <v>199</v>
      </c>
      <c r="B41" s="142"/>
      <c r="C41">
        <v>86.956521739130437</v>
      </c>
      <c r="D41">
        <v>79.727427597955696</v>
      </c>
      <c r="E41">
        <v>85.912440398786302</v>
      </c>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s="138"/>
      <c r="BO41" s="125"/>
      <c r="BP41" s="138"/>
    </row>
    <row r="42" spans="1:68" ht="14.7" customHeight="1">
      <c r="A42" s="142" t="s">
        <v>23</v>
      </c>
      <c r="B42" s="142"/>
      <c r="C42">
        <v>85.714285714285708</v>
      </c>
      <c r="D42">
        <v>89.375</v>
      </c>
      <c r="E42">
        <v>87.13968957871397</v>
      </c>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s="138"/>
      <c r="BO42" s="125"/>
      <c r="BP42" s="138"/>
    </row>
    <row r="43" spans="1:68" ht="14.7" customHeight="1">
      <c r="A43" s="142" t="s">
        <v>24</v>
      </c>
      <c r="B43" s="142"/>
      <c r="C43">
        <v>85.714285714285708</v>
      </c>
      <c r="D43">
        <v>80.714285714285722</v>
      </c>
      <c r="E43">
        <v>86.570247933884289</v>
      </c>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s="138"/>
      <c r="BO43" s="125"/>
      <c r="BP43" s="138"/>
    </row>
    <row r="44" spans="1:68" ht="14.7" customHeight="1">
      <c r="A44" s="142" t="s">
        <v>25</v>
      </c>
      <c r="B44" s="142"/>
      <c r="C44">
        <v>82.608695652173907</v>
      </c>
      <c r="D44">
        <v>95.8041958041958</v>
      </c>
      <c r="E44">
        <v>97.431192660550465</v>
      </c>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s="138"/>
      <c r="BO44" s="125"/>
      <c r="BP44" s="138"/>
    </row>
    <row r="45" spans="1:68" ht="14.7" customHeight="1">
      <c r="A45" s="142" t="s">
        <v>300</v>
      </c>
      <c r="B45" s="142"/>
      <c r="C45">
        <v>85.276073619631902</v>
      </c>
      <c r="D45">
        <v>77.027027027027032</v>
      </c>
      <c r="E45">
        <v>88.251599147121539</v>
      </c>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s="138"/>
      <c r="BO45" s="125"/>
      <c r="BP45" s="138"/>
    </row>
    <row r="46" spans="1:68" ht="14.7" customHeight="1">
      <c r="A46" s="142" t="s">
        <v>26</v>
      </c>
      <c r="B46" s="142"/>
      <c r="C46">
        <v>91.304347826086953</v>
      </c>
      <c r="D46">
        <v>85.148514851485146</v>
      </c>
      <c r="E46">
        <v>83.771929824561411</v>
      </c>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s="138"/>
      <c r="BO46" s="125"/>
      <c r="BP46" s="138"/>
    </row>
    <row r="47" spans="1:68" ht="14.7" customHeight="1">
      <c r="A47" s="142" t="s">
        <v>226</v>
      </c>
      <c r="B47" s="142"/>
      <c r="C47">
        <v>91.666666666666657</v>
      </c>
      <c r="D47">
        <v>99.45054945054946</v>
      </c>
      <c r="E47">
        <v>100</v>
      </c>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s="138"/>
      <c r="BO47" s="125"/>
      <c r="BP47" s="138"/>
    </row>
    <row r="48" spans="1:68" ht="14.7" customHeight="1">
      <c r="A48" s="142" t="s">
        <v>227</v>
      </c>
      <c r="B48" s="142"/>
      <c r="C48">
        <v>66.666666666666657</v>
      </c>
      <c r="D48">
        <v>53.658536585365859</v>
      </c>
      <c r="E48">
        <v>54.08653846153846</v>
      </c>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s="138"/>
      <c r="BO48" s="125"/>
      <c r="BP48" s="138"/>
    </row>
    <row r="49" spans="1:68" ht="14.7" customHeight="1">
      <c r="A49" s="142" t="s">
        <v>27</v>
      </c>
      <c r="B49" s="142"/>
      <c r="C49">
        <v>66.666666666666657</v>
      </c>
      <c r="D49">
        <v>62.277580071174377</v>
      </c>
      <c r="E49">
        <v>77.941176470588232</v>
      </c>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s="138"/>
      <c r="BO49" s="125"/>
      <c r="BP49" s="138"/>
    </row>
    <row r="50" spans="1:68" ht="14.7" customHeight="1">
      <c r="A50" s="142" t="s">
        <v>200</v>
      </c>
      <c r="B50" s="142"/>
      <c r="C50">
        <v>93.75</v>
      </c>
      <c r="D50">
        <v>79.291845493562235</v>
      </c>
      <c r="E50">
        <v>59.701492537313428</v>
      </c>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s="138"/>
      <c r="BO50" s="125"/>
      <c r="BP50" s="138"/>
    </row>
    <row r="51" spans="1:68" ht="14.7" customHeight="1">
      <c r="A51" s="142" t="s">
        <v>28</v>
      </c>
      <c r="B51" s="142"/>
      <c r="C51">
        <v>90</v>
      </c>
      <c r="D51">
        <v>77.777777777777786</v>
      </c>
      <c r="E51">
        <v>87.745098039215691</v>
      </c>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s="138"/>
      <c r="BO51" s="125"/>
      <c r="BP51" s="138"/>
    </row>
    <row r="52" spans="1:68" ht="14.7" customHeight="1">
      <c r="A52" s="142" t="s">
        <v>29</v>
      </c>
      <c r="B52" s="142"/>
      <c r="C52">
        <v>82.857142857142861</v>
      </c>
      <c r="D52">
        <v>78.210116731517516</v>
      </c>
      <c r="E52">
        <v>89.017341040462426</v>
      </c>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s="138"/>
      <c r="BO52" s="125"/>
      <c r="BP52" s="138"/>
    </row>
    <row r="53" spans="1:68" ht="14.7" customHeight="1">
      <c r="A53" s="142" t="s">
        <v>30</v>
      </c>
      <c r="B53" s="142"/>
      <c r="C53">
        <v>78.94736842105263</v>
      </c>
      <c r="D53">
        <v>74.273858921161832</v>
      </c>
      <c r="E53">
        <v>83.166332665330671</v>
      </c>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s="138"/>
      <c r="BO53" s="125"/>
      <c r="BP53" s="138"/>
    </row>
    <row r="54" spans="1:68" ht="14.7" customHeight="1">
      <c r="A54" s="142" t="s">
        <v>31</v>
      </c>
      <c r="B54" s="142"/>
      <c r="C54">
        <v>60</v>
      </c>
      <c r="D54">
        <v>60</v>
      </c>
      <c r="E54">
        <v>68.764568764568764</v>
      </c>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s="138"/>
      <c r="BO54" s="125"/>
      <c r="BP54" s="138"/>
    </row>
    <row r="55" spans="1:68" ht="14.7" customHeight="1">
      <c r="A55" s="142" t="s">
        <v>303</v>
      </c>
      <c r="B55" s="142"/>
      <c r="C55">
        <v>88.118811881188122</v>
      </c>
      <c r="D55">
        <v>84.490740740740748</v>
      </c>
      <c r="E55">
        <v>93.821926105390673</v>
      </c>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s="138"/>
      <c r="BO55" s="125"/>
      <c r="BP55" s="138"/>
    </row>
    <row r="56" spans="1:68" ht="14.7" customHeight="1">
      <c r="A56" s="142" t="s">
        <v>32</v>
      </c>
      <c r="B56" s="142"/>
      <c r="C56">
        <v>86.956521739130437</v>
      </c>
      <c r="D56">
        <v>82.870370370370367</v>
      </c>
      <c r="E56">
        <v>90.502183406113531</v>
      </c>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s="138"/>
      <c r="BO56" s="125"/>
      <c r="BP56" s="138"/>
    </row>
    <row r="57" spans="1:68" ht="14.7" customHeight="1">
      <c r="A57" s="142" t="s">
        <v>33</v>
      </c>
      <c r="B57" s="142"/>
      <c r="C57">
        <v>91.666666666666657</v>
      </c>
      <c r="D57">
        <v>80.533333333333331</v>
      </c>
      <c r="E57">
        <v>92.155309033280503</v>
      </c>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s="138"/>
      <c r="BO57" s="155"/>
      <c r="BP57" s="138"/>
    </row>
    <row r="58" spans="1:68" ht="14.7" customHeight="1">
      <c r="A58" s="142" t="s">
        <v>34</v>
      </c>
      <c r="B58" s="142"/>
      <c r="C58">
        <v>68.75</v>
      </c>
      <c r="D58">
        <v>83.333333333333343</v>
      </c>
      <c r="E58">
        <v>88.545816733067724</v>
      </c>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s="138"/>
      <c r="BO58" s="125"/>
      <c r="BP58" s="138"/>
    </row>
    <row r="59" spans="1:68" ht="14.7" customHeight="1">
      <c r="A59" s="142" t="s">
        <v>35</v>
      </c>
      <c r="B59" s="142"/>
      <c r="C59">
        <v>96.428571428571431</v>
      </c>
      <c r="D59">
        <v>93.954659949622169</v>
      </c>
      <c r="E59">
        <v>92.073732718894007</v>
      </c>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s="138"/>
      <c r="BO59" s="125"/>
      <c r="BP59" s="138"/>
    </row>
    <row r="60" spans="1:68" ht="14.7" customHeight="1">
      <c r="A60" s="142" t="s">
        <v>304</v>
      </c>
      <c r="B60" s="142"/>
      <c r="C60">
        <v>94.444444444444443</v>
      </c>
      <c r="D60">
        <v>83.149171270718242</v>
      </c>
      <c r="E60">
        <v>78.921366817620424</v>
      </c>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s="138"/>
      <c r="BO60" s="125"/>
      <c r="BP60" s="138"/>
    </row>
    <row r="61" spans="1:68" ht="14.7" customHeight="1">
      <c r="A61" s="142" t="s">
        <v>813</v>
      </c>
      <c r="B61" s="142"/>
      <c r="C61">
        <v>91.379310344827587</v>
      </c>
      <c r="D61">
        <v>91.503267973856211</v>
      </c>
      <c r="E61">
        <v>90.786082474226802</v>
      </c>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s="138"/>
      <c r="BO61" s="125"/>
      <c r="BP61" s="138"/>
    </row>
    <row r="62" spans="1:68" ht="14.7" customHeight="1">
      <c r="A62" s="142" t="s">
        <v>36</v>
      </c>
      <c r="B62" s="142"/>
      <c r="C62">
        <v>95.652173913043484</v>
      </c>
      <c r="D62">
        <v>86.178861788617894</v>
      </c>
      <c r="E62">
        <v>81.269841269841265</v>
      </c>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s="138"/>
      <c r="BO62" s="125"/>
      <c r="BP62" s="138"/>
    </row>
    <row r="63" spans="1:68" ht="14.7" customHeight="1">
      <c r="A63" s="142" t="s">
        <v>37</v>
      </c>
      <c r="B63" s="142"/>
      <c r="C63">
        <v>63.636363636363633</v>
      </c>
      <c r="D63">
        <v>78.277153558052433</v>
      </c>
      <c r="E63">
        <v>86.524822695035468</v>
      </c>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s="138"/>
      <c r="BO63" s="125"/>
      <c r="BP63" s="138"/>
    </row>
    <row r="64" spans="1:68" ht="14.7" customHeight="1">
      <c r="A64" s="142" t="s">
        <v>39</v>
      </c>
      <c r="B64" s="142"/>
      <c r="C64">
        <v>94.444444444444443</v>
      </c>
      <c r="D64">
        <v>100</v>
      </c>
      <c r="E64">
        <v>99.562363238512035</v>
      </c>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s="138"/>
      <c r="BO64" s="125"/>
      <c r="BP64" s="138"/>
    </row>
    <row r="65" spans="1:68" ht="14.7" customHeight="1">
      <c r="A65" s="142" t="s">
        <v>369</v>
      </c>
      <c r="B65" s="142"/>
      <c r="C65">
        <v>92.307692307692307</v>
      </c>
      <c r="D65">
        <v>79.885057471264361</v>
      </c>
      <c r="E65">
        <v>84.399999999999991</v>
      </c>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s="138"/>
      <c r="BO65" s="125"/>
      <c r="BP65" s="138"/>
    </row>
    <row r="66" spans="1:68" ht="14.7" customHeight="1">
      <c r="A66" s="142" t="s">
        <v>41</v>
      </c>
      <c r="B66" s="142"/>
      <c r="C66">
        <v>100</v>
      </c>
      <c r="D66">
        <v>97.241379310344826</v>
      </c>
      <c r="E66">
        <v>97.339449541284409</v>
      </c>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s="138"/>
      <c r="BO66" s="125"/>
      <c r="BP66" s="138"/>
    </row>
    <row r="67" spans="1:68" ht="14.7" customHeight="1">
      <c r="A67" s="142" t="s">
        <v>42</v>
      </c>
      <c r="B67" s="142"/>
      <c r="C67">
        <v>100</v>
      </c>
      <c r="D67">
        <v>91.304347826086953</v>
      </c>
      <c r="E67">
        <v>98.598130841121502</v>
      </c>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s="138"/>
      <c r="BO67" s="125"/>
      <c r="BP67" s="138"/>
    </row>
    <row r="68" spans="1:68" ht="14.7" customHeight="1">
      <c r="A68" s="142" t="s">
        <v>305</v>
      </c>
      <c r="B68" s="142"/>
      <c r="C68">
        <v>79.234972677595621</v>
      </c>
      <c r="D68">
        <v>79.286987522281635</v>
      </c>
      <c r="E68">
        <v>87.81661600810537</v>
      </c>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s="138"/>
      <c r="BO68" s="125"/>
      <c r="BP68" s="138"/>
    </row>
    <row r="69" spans="1:68" ht="14.7" customHeight="1">
      <c r="A69" s="142" t="s">
        <v>44</v>
      </c>
      <c r="B69" s="142"/>
      <c r="C69">
        <v>87.179487179487182</v>
      </c>
      <c r="D69">
        <v>76.178010471204189</v>
      </c>
      <c r="E69">
        <v>70.893141945773536</v>
      </c>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s="138"/>
      <c r="BO69" s="125"/>
      <c r="BP69" s="138"/>
    </row>
    <row r="70" spans="1:68" ht="14.7" customHeight="1">
      <c r="A70" s="142" t="s">
        <v>228</v>
      </c>
      <c r="B70" s="142"/>
      <c r="C70">
        <v>94.520547945205479</v>
      </c>
      <c r="D70">
        <v>90.334572490706321</v>
      </c>
      <c r="E70">
        <v>95.956607495069036</v>
      </c>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s="138"/>
      <c r="BO70" s="125"/>
      <c r="BP70" s="138"/>
    </row>
    <row r="71" spans="1:68" ht="14.7" customHeight="1">
      <c r="A71" s="142" t="s">
        <v>45</v>
      </c>
      <c r="B71" s="142"/>
      <c r="C71">
        <v>93.75</v>
      </c>
      <c r="D71">
        <v>76.271186440677965</v>
      </c>
      <c r="E71">
        <v>82.10526315789474</v>
      </c>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s="138"/>
      <c r="BO71" s="125"/>
      <c r="BP71" s="138"/>
    </row>
    <row r="72" spans="1:68" ht="14.7" customHeight="1">
      <c r="A72" s="142" t="s">
        <v>46</v>
      </c>
      <c r="B72" s="142"/>
      <c r="C72">
        <v>100</v>
      </c>
      <c r="D72">
        <v>93.103448275862064</v>
      </c>
      <c r="E72">
        <v>85.593220338983059</v>
      </c>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s="138"/>
      <c r="BO72" s="125"/>
      <c r="BP72" s="138"/>
    </row>
    <row r="73" spans="1:68" ht="14.7" customHeight="1">
      <c r="A73" s="142" t="s">
        <v>201</v>
      </c>
      <c r="B73" s="142"/>
      <c r="C73">
        <v>85.714285714285708</v>
      </c>
      <c r="D73">
        <v>65.789473684210535</v>
      </c>
      <c r="E73">
        <v>84.234234234234222</v>
      </c>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s="138"/>
      <c r="BO73" s="125"/>
      <c r="BP73" s="138"/>
    </row>
    <row r="74" spans="1:68" ht="14.7" customHeight="1">
      <c r="A74" s="142" t="s">
        <v>47</v>
      </c>
      <c r="B74" s="142"/>
      <c r="C74">
        <v>52.941176470588239</v>
      </c>
      <c r="D74">
        <v>61.693548387096776</v>
      </c>
      <c r="E74">
        <v>73.901098901098905</v>
      </c>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s="138"/>
      <c r="BO74" s="125"/>
      <c r="BP74" s="138"/>
    </row>
    <row r="75" spans="1:68" ht="14.7" customHeight="1">
      <c r="A75" s="142" t="s">
        <v>264</v>
      </c>
      <c r="B75" s="142"/>
      <c r="C75">
        <v>86.36363636363636</v>
      </c>
      <c r="D75">
        <v>83.018867924528308</v>
      </c>
      <c r="E75">
        <v>94.587628865979383</v>
      </c>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s="138"/>
      <c r="BO75" s="125"/>
      <c r="BP75" s="138"/>
    </row>
    <row r="76" spans="1:68" ht="14.7" customHeight="1">
      <c r="A76" s="142" t="s">
        <v>48</v>
      </c>
      <c r="B76" s="142"/>
      <c r="C76">
        <v>84.615384615384613</v>
      </c>
      <c r="D76">
        <v>60.330578512396691</v>
      </c>
      <c r="E76">
        <v>80.612244897959187</v>
      </c>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s="138"/>
      <c r="BO76" s="125"/>
      <c r="BP76" s="138"/>
    </row>
    <row r="77" spans="1:68" ht="14.7" customHeight="1">
      <c r="A77" s="142" t="s">
        <v>265</v>
      </c>
      <c r="B77" s="142"/>
      <c r="C77">
        <v>92.682926829268297</v>
      </c>
      <c r="D77">
        <v>80.754716981132077</v>
      </c>
      <c r="E77">
        <v>86.10816542948038</v>
      </c>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s="138"/>
      <c r="BO77" s="125"/>
      <c r="BP77" s="138"/>
    </row>
    <row r="78" spans="1:68" ht="14.7" customHeight="1">
      <c r="A78" s="142" t="s">
        <v>50</v>
      </c>
      <c r="B78" s="142"/>
      <c r="C78">
        <v>95.833333333333343</v>
      </c>
      <c r="D78">
        <v>85.169491525423723</v>
      </c>
      <c r="E78">
        <v>92.800000000000011</v>
      </c>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s="138"/>
      <c r="BO78" s="155"/>
      <c r="BP78" s="138"/>
    </row>
    <row r="79" spans="1:68" ht="14.7" customHeight="1">
      <c r="A79" s="142" t="s">
        <v>229</v>
      </c>
      <c r="B79" s="142"/>
      <c r="C79">
        <v>86.206896551724128</v>
      </c>
      <c r="D79">
        <v>81.518151815181511</v>
      </c>
      <c r="E79">
        <v>89.068825910931167</v>
      </c>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s="138"/>
      <c r="BO79" s="125"/>
      <c r="BP79" s="138"/>
    </row>
    <row r="80" spans="1:68" ht="14.7" customHeight="1">
      <c r="A80" s="142" t="s">
        <v>309</v>
      </c>
      <c r="B80" s="142"/>
      <c r="C80">
        <v>77.685950413223139</v>
      </c>
      <c r="D80">
        <v>72.719374456993918</v>
      </c>
      <c r="E80">
        <v>77.918699186991873</v>
      </c>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s="138"/>
      <c r="BO80" s="125"/>
      <c r="BP80" s="138"/>
    </row>
    <row r="81" spans="1:68" ht="14.7" customHeight="1">
      <c r="A81" s="142" t="s">
        <v>51</v>
      </c>
      <c r="B81" s="142"/>
      <c r="C81">
        <v>80.357142857142861</v>
      </c>
      <c r="D81">
        <v>74.098360655737707</v>
      </c>
      <c r="E81">
        <v>84.189189189189179</v>
      </c>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s="138"/>
      <c r="BO81" s="125"/>
      <c r="BP81" s="138"/>
    </row>
    <row r="82" spans="1:68" ht="14.7" customHeight="1">
      <c r="A82" s="142" t="s">
        <v>230</v>
      </c>
      <c r="B82" s="142"/>
      <c r="C82">
        <v>100</v>
      </c>
      <c r="D82">
        <v>97.58064516129032</v>
      </c>
      <c r="E82">
        <v>98.113207547169807</v>
      </c>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s="138"/>
      <c r="BO82" s="125"/>
      <c r="BP82" s="138"/>
    </row>
    <row r="83" spans="1:68" ht="14.7" customHeight="1">
      <c r="A83" s="142" t="s">
        <v>266</v>
      </c>
      <c r="B83" s="142"/>
      <c r="C83">
        <v>87.5</v>
      </c>
      <c r="D83">
        <v>89.447236180904525</v>
      </c>
      <c r="E83">
        <v>91.581108829568791</v>
      </c>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s="138"/>
      <c r="BO83" s="125"/>
      <c r="BP83" s="138"/>
    </row>
    <row r="84" spans="1:68" ht="14.7" customHeight="1">
      <c r="A84" s="142" t="s">
        <v>202</v>
      </c>
      <c r="B84" s="142"/>
      <c r="C84">
        <v>100</v>
      </c>
      <c r="D84">
        <v>94.968553459119505</v>
      </c>
      <c r="E84">
        <v>95.639097744360896</v>
      </c>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s="138"/>
      <c r="BO84" s="125"/>
      <c r="BP84" s="138"/>
    </row>
    <row r="85" spans="1:68" ht="14.7" customHeight="1">
      <c r="A85" s="142" t="s">
        <v>52</v>
      </c>
      <c r="B85" s="142"/>
      <c r="C85">
        <v>100</v>
      </c>
      <c r="D85">
        <v>86.805555555555557</v>
      </c>
      <c r="E85">
        <v>91.68173598553345</v>
      </c>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s="138"/>
      <c r="BO85" s="125"/>
      <c r="BP85" s="138"/>
    </row>
    <row r="86" spans="1:68" ht="14.7" customHeight="1">
      <c r="A86" s="142" t="s">
        <v>53</v>
      </c>
      <c r="B86" s="142"/>
      <c r="C86">
        <v>63.333333333333329</v>
      </c>
      <c r="D86">
        <v>71.50170648464163</v>
      </c>
      <c r="E86">
        <v>74.844444444444449</v>
      </c>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s="138"/>
      <c r="BO86" s="125"/>
      <c r="BP86" s="138"/>
    </row>
    <row r="87" spans="1:68" ht="14.7" customHeight="1">
      <c r="A87" s="142" t="s">
        <v>55</v>
      </c>
      <c r="B87" s="142"/>
      <c r="C87">
        <v>57.142857142857139</v>
      </c>
      <c r="D87">
        <v>78.048780487804876</v>
      </c>
      <c r="E87">
        <v>82.892416225749557</v>
      </c>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s="138"/>
      <c r="BO87" s="125"/>
      <c r="BP87" s="138"/>
    </row>
    <row r="88" spans="1:68" ht="14.7" customHeight="1">
      <c r="A88" s="142" t="s">
        <v>56</v>
      </c>
      <c r="B88" s="142"/>
      <c r="C88">
        <v>73.68421052631578</v>
      </c>
      <c r="D88">
        <v>67.834394904458591</v>
      </c>
      <c r="E88">
        <v>76.528460997891784</v>
      </c>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s="138"/>
      <c r="BO88" s="125"/>
      <c r="BP88" s="138"/>
    </row>
    <row r="89" spans="1:68" ht="14.7" customHeight="1">
      <c r="A89" s="142" t="s">
        <v>57</v>
      </c>
      <c r="B89" s="142"/>
      <c r="C89">
        <v>61.627906976744185</v>
      </c>
      <c r="D89">
        <v>77.349397590361448</v>
      </c>
      <c r="E89">
        <v>84.947839046199704</v>
      </c>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s="138"/>
      <c r="BO89" s="125"/>
      <c r="BP89" s="138"/>
    </row>
    <row r="90" spans="1:68" ht="14.7" customHeight="1">
      <c r="A90" s="142" t="s">
        <v>267</v>
      </c>
      <c r="B90" s="142"/>
      <c r="C90">
        <v>96.05263157894737</v>
      </c>
      <c r="D90">
        <v>90.208877284595303</v>
      </c>
      <c r="E90">
        <v>94.960534304796596</v>
      </c>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s="138"/>
      <c r="BO90" s="125"/>
      <c r="BP90" s="138"/>
    </row>
    <row r="91" spans="1:68" ht="14.7" customHeight="1">
      <c r="A91" s="142" t="s">
        <v>59</v>
      </c>
      <c r="B91" s="142"/>
      <c r="C91">
        <v>100</v>
      </c>
      <c r="D91">
        <v>95.161290322580655</v>
      </c>
      <c r="E91">
        <v>96.383363471971066</v>
      </c>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s="138"/>
      <c r="BO91" s="125"/>
      <c r="BP91" s="138"/>
    </row>
    <row r="92" spans="1:68" ht="14.7" customHeight="1">
      <c r="A92" s="142" t="s">
        <v>898</v>
      </c>
      <c r="B92" s="142"/>
      <c r="C92">
        <v>88.679245283018872</v>
      </c>
      <c r="D92">
        <v>74.383301707779879</v>
      </c>
      <c r="E92">
        <v>73.789649415692821</v>
      </c>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s="138"/>
      <c r="BO92" s="125"/>
      <c r="BP92" s="138"/>
    </row>
    <row r="93" spans="1:68" ht="14.7" customHeight="1">
      <c r="A93" s="142" t="s">
        <v>60</v>
      </c>
      <c r="B93" s="142"/>
      <c r="C93">
        <v>78.94736842105263</v>
      </c>
      <c r="D93">
        <v>84.353741496598644</v>
      </c>
      <c r="E93">
        <v>86.689419795221852</v>
      </c>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s="138"/>
      <c r="BO93" s="125"/>
      <c r="BP93" s="138"/>
    </row>
    <row r="94" spans="1:68" ht="14.7" customHeight="1">
      <c r="A94" s="142" t="s">
        <v>61</v>
      </c>
      <c r="B94" s="142"/>
      <c r="C94">
        <v>100</v>
      </c>
      <c r="D94">
        <v>93.382352941176478</v>
      </c>
      <c r="E94">
        <v>98.697068403908787</v>
      </c>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s="138"/>
      <c r="BO94" s="125"/>
      <c r="BP94" s="138"/>
    </row>
    <row r="95" spans="1:68" ht="14.7" customHeight="1">
      <c r="A95" s="142" t="s">
        <v>62</v>
      </c>
      <c r="B95" s="142"/>
      <c r="C95">
        <v>76.470588235294116</v>
      </c>
      <c r="D95">
        <v>75.776397515527947</v>
      </c>
      <c r="E95">
        <v>80.626780626780629</v>
      </c>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s="138"/>
      <c r="BO95" s="125"/>
      <c r="BP95" s="138"/>
    </row>
    <row r="96" spans="1:68" ht="14.7" customHeight="1">
      <c r="A96" s="142" t="s">
        <v>63</v>
      </c>
      <c r="B96" s="142"/>
      <c r="C96">
        <v>80.701754385964904</v>
      </c>
      <c r="D96">
        <v>82.208588957055213</v>
      </c>
      <c r="E96">
        <v>84.915824915824913</v>
      </c>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s="138"/>
      <c r="BO96" s="125"/>
      <c r="BP96" s="138"/>
    </row>
    <row r="97" spans="1:68" ht="14.7" customHeight="1">
      <c r="A97" s="142" t="s">
        <v>203</v>
      </c>
      <c r="B97" s="142"/>
      <c r="C97">
        <v>85.714285714285708</v>
      </c>
      <c r="D97">
        <v>87.368421052631589</v>
      </c>
      <c r="E97">
        <v>88.20083682008368</v>
      </c>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s="138"/>
      <c r="BO97" s="125"/>
      <c r="BP97" s="138"/>
    </row>
    <row r="98" spans="1:68" ht="14.7" customHeight="1">
      <c r="A98" s="142" t="s">
        <v>64</v>
      </c>
      <c r="B98" s="142"/>
      <c r="C98">
        <v>93.103448275862064</v>
      </c>
      <c r="D98">
        <v>66.329113924050631</v>
      </c>
      <c r="E98">
        <v>75.83262169086251</v>
      </c>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s="138"/>
      <c r="BO98" s="125"/>
      <c r="BP98" s="138"/>
    </row>
    <row r="99" spans="1:68" ht="14.7" customHeight="1">
      <c r="A99" s="142" t="s">
        <v>343</v>
      </c>
      <c r="B99" s="142"/>
      <c r="C99">
        <v>94.117647058823522</v>
      </c>
      <c r="D99">
        <v>72.316384180790962</v>
      </c>
      <c r="E99">
        <v>74.022698612862541</v>
      </c>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s="138"/>
      <c r="BO99" s="125"/>
      <c r="BP99" s="138"/>
    </row>
    <row r="100" spans="1:68" ht="14.7" customHeight="1">
      <c r="A100" s="142" t="s">
        <v>65</v>
      </c>
      <c r="B100" s="142"/>
      <c r="C100">
        <v>55.555555555555557</v>
      </c>
      <c r="D100">
        <v>77.692307692307693</v>
      </c>
      <c r="E100">
        <v>80.269058295964129</v>
      </c>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s="138"/>
      <c r="BO100" s="125"/>
      <c r="BP100" s="138"/>
    </row>
    <row r="101" spans="1:68" ht="14.7" customHeight="1">
      <c r="A101" s="142" t="s">
        <v>66</v>
      </c>
      <c r="B101" s="142"/>
      <c r="C101">
        <v>57.692307692307686</v>
      </c>
      <c r="D101">
        <v>63.076923076923073</v>
      </c>
      <c r="E101">
        <v>69.274809160305338</v>
      </c>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s="138"/>
      <c r="BO101" s="125"/>
      <c r="BP101" s="138"/>
    </row>
    <row r="102" spans="1:68" ht="14.7" customHeight="1">
      <c r="A102" s="142" t="s">
        <v>67</v>
      </c>
      <c r="B102" s="142"/>
      <c r="C102">
        <v>94.444444444444443</v>
      </c>
      <c r="D102">
        <v>91.124260355029591</v>
      </c>
      <c r="E102">
        <v>97.450424929178467</v>
      </c>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s="138"/>
      <c r="BO102" s="125"/>
      <c r="BP102" s="138"/>
    </row>
    <row r="103" spans="1:68" ht="14.7" customHeight="1">
      <c r="A103" s="142" t="s">
        <v>68</v>
      </c>
      <c r="B103" s="142"/>
      <c r="C103">
        <v>75</v>
      </c>
      <c r="D103">
        <v>62.640449438202253</v>
      </c>
      <c r="E103">
        <v>80.851063829787222</v>
      </c>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s="138"/>
      <c r="BO103" s="125"/>
      <c r="BP103" s="138"/>
    </row>
    <row r="104" spans="1:68" ht="14.7" customHeight="1">
      <c r="A104" s="142" t="s">
        <v>893</v>
      </c>
      <c r="B104" s="142"/>
      <c r="C104">
        <v>87.5</v>
      </c>
      <c r="D104">
        <v>83.173076923076934</v>
      </c>
      <c r="E104">
        <v>85.14492753623189</v>
      </c>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s="138"/>
      <c r="BO104" s="125"/>
      <c r="BP104" s="138"/>
    </row>
    <row r="105" spans="1:68" ht="14.7" customHeight="1">
      <c r="A105" s="142" t="s">
        <v>70</v>
      </c>
      <c r="B105" s="142"/>
      <c r="C105">
        <v>92</v>
      </c>
      <c r="D105">
        <v>89.317507418397625</v>
      </c>
      <c r="E105">
        <v>91.295546558704459</v>
      </c>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s="138"/>
      <c r="BO105" s="125"/>
      <c r="BP105" s="138"/>
    </row>
    <row r="106" spans="1:68" ht="14.7" customHeight="1">
      <c r="A106" s="142" t="s">
        <v>71</v>
      </c>
      <c r="B106" s="142"/>
      <c r="C106">
        <v>100</v>
      </c>
      <c r="D106">
        <v>92.941176470588232</v>
      </c>
      <c r="E106">
        <v>94.077448747152616</v>
      </c>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s="138"/>
      <c r="BO106" s="125"/>
      <c r="BP106" s="138"/>
    </row>
    <row r="107" spans="1:68" ht="14.7" customHeight="1">
      <c r="A107" s="142" t="s">
        <v>231</v>
      </c>
      <c r="B107" s="142"/>
      <c r="C107">
        <v>100</v>
      </c>
      <c r="D107">
        <v>96.850393700787393</v>
      </c>
      <c r="E107">
        <v>88.461538461538453</v>
      </c>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s="138"/>
      <c r="BO107" s="125"/>
      <c r="BP107" s="138"/>
    </row>
    <row r="108" spans="1:68" ht="14.7" customHeight="1">
      <c r="A108" s="241" t="s">
        <v>72</v>
      </c>
      <c r="B108" s="242"/>
      <c r="C108">
        <v>100</v>
      </c>
      <c r="D108">
        <v>86.99186991869918</v>
      </c>
      <c r="E108">
        <v>86.631016042780757</v>
      </c>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s="138"/>
      <c r="BO108" s="125"/>
      <c r="BP108" s="138"/>
    </row>
    <row r="109" spans="1:68" ht="14.7" customHeight="1">
      <c r="A109" s="142" t="s">
        <v>73</v>
      </c>
      <c r="B109" s="142"/>
      <c r="C109">
        <v>100</v>
      </c>
      <c r="D109">
        <v>86.131386861313857</v>
      </c>
      <c r="E109">
        <v>87.671232876712324</v>
      </c>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s="138"/>
      <c r="BO109" s="125"/>
      <c r="BP109" s="138"/>
    </row>
    <row r="110" spans="1:68" ht="14.7" customHeight="1">
      <c r="A110" s="142" t="s">
        <v>74</v>
      </c>
      <c r="B110" s="142"/>
      <c r="C110">
        <v>80</v>
      </c>
      <c r="D110">
        <v>85.91549295774648</v>
      </c>
      <c r="E110">
        <v>87.804878048780495</v>
      </c>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s="138"/>
      <c r="BO110" s="125"/>
      <c r="BP110" s="138"/>
    </row>
    <row r="111" spans="1:68" ht="14.7" customHeight="1">
      <c r="A111" s="142" t="s">
        <v>75</v>
      </c>
      <c r="B111" s="142"/>
      <c r="C111">
        <v>100</v>
      </c>
      <c r="D111">
        <v>90.967741935483872</v>
      </c>
      <c r="E111">
        <v>95.924764890282134</v>
      </c>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s="138"/>
      <c r="BO111" s="125"/>
      <c r="BP111" s="138"/>
    </row>
    <row r="112" spans="1:68" ht="14.7" customHeight="1">
      <c r="A112" s="142" t="s">
        <v>76</v>
      </c>
      <c r="B112" s="142"/>
      <c r="C112">
        <v>91.666666666666657</v>
      </c>
      <c r="D112">
        <v>85.064935064935071</v>
      </c>
      <c r="E112">
        <v>84.493670886075947</v>
      </c>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s="138"/>
      <c r="BO112" s="125"/>
      <c r="BP112" s="138"/>
    </row>
    <row r="113" spans="1:68" ht="14.7" customHeight="1">
      <c r="A113" s="142" t="s">
        <v>204</v>
      </c>
      <c r="B113" s="142"/>
      <c r="C113">
        <v>100</v>
      </c>
      <c r="D113">
        <v>92.995169082125599</v>
      </c>
      <c r="E113">
        <v>91.495076096687555</v>
      </c>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s="138"/>
      <c r="BO113" s="125"/>
      <c r="BP113" s="138"/>
    </row>
    <row r="114" spans="1:68" ht="14.7" customHeight="1">
      <c r="A114" s="142" t="s">
        <v>77</v>
      </c>
      <c r="B114" s="142"/>
      <c r="C114">
        <v>81.395348837209298</v>
      </c>
      <c r="D114">
        <v>49.190938511326863</v>
      </c>
      <c r="E114">
        <v>54.502046384720323</v>
      </c>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s="138"/>
      <c r="BO114" s="125"/>
      <c r="BP114" s="138"/>
    </row>
    <row r="115" spans="1:68" ht="14.7" customHeight="1">
      <c r="A115" s="142" t="s">
        <v>205</v>
      </c>
      <c r="B115" s="142"/>
      <c r="C115">
        <v>92.307692307692307</v>
      </c>
      <c r="D115">
        <v>81.167883211678841</v>
      </c>
      <c r="E115">
        <v>81.715006305170235</v>
      </c>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s="138"/>
      <c r="BO115" s="125"/>
      <c r="BP115" s="138"/>
    </row>
    <row r="116" spans="1:68" ht="14.7" customHeight="1">
      <c r="A116" s="142" t="s">
        <v>268</v>
      </c>
      <c r="B116" s="142"/>
      <c r="C116">
        <v>69.696969696969703</v>
      </c>
      <c r="D116">
        <v>54.237288135593218</v>
      </c>
      <c r="E116">
        <v>69.34306569343066</v>
      </c>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s="138"/>
      <c r="BO116" s="125"/>
      <c r="BP116" s="138"/>
    </row>
    <row r="117" spans="1:68" ht="14.7" customHeight="1">
      <c r="A117" s="142" t="s">
        <v>78</v>
      </c>
      <c r="B117" s="142"/>
      <c r="C117">
        <v>86.111111111111114</v>
      </c>
      <c r="D117">
        <v>84.073107049608353</v>
      </c>
      <c r="E117">
        <v>87.349397590361448</v>
      </c>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s="138"/>
      <c r="BO117" s="125"/>
      <c r="BP117" s="138"/>
    </row>
    <row r="118" spans="1:68" ht="14.7" customHeight="1">
      <c r="A118" s="142" t="s">
        <v>336</v>
      </c>
      <c r="B118" s="142"/>
      <c r="C118">
        <v>100</v>
      </c>
      <c r="D118">
        <v>90.237467018469658</v>
      </c>
      <c r="E118">
        <v>91.945701357466064</v>
      </c>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s="138"/>
      <c r="BO118" s="125"/>
      <c r="BP118" s="138"/>
    </row>
    <row r="119" spans="1:68" ht="14.7" customHeight="1">
      <c r="A119" s="142" t="s">
        <v>79</v>
      </c>
      <c r="B119" s="142"/>
      <c r="C119">
        <v>63.414634146341463</v>
      </c>
      <c r="D119">
        <v>60</v>
      </c>
      <c r="E119">
        <v>71.714285714285722</v>
      </c>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s="138"/>
      <c r="BO119" s="125"/>
      <c r="BP119" s="138"/>
    </row>
    <row r="120" spans="1:68" ht="14.7" customHeight="1">
      <c r="A120" s="142" t="s">
        <v>206</v>
      </c>
      <c r="B120" s="142"/>
      <c r="C120">
        <v>100</v>
      </c>
      <c r="D120">
        <v>85.668789808917197</v>
      </c>
      <c r="E120">
        <v>88.099315068493155</v>
      </c>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s="138"/>
      <c r="BO120" s="125"/>
      <c r="BP120" s="138"/>
    </row>
    <row r="121" spans="1:68" ht="14.7" customHeight="1">
      <c r="A121" s="142" t="s">
        <v>80</v>
      </c>
      <c r="B121" s="142"/>
      <c r="C121">
        <v>92.307692307692307</v>
      </c>
      <c r="D121">
        <v>93.939393939393938</v>
      </c>
      <c r="E121">
        <v>97.333333333333343</v>
      </c>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s="138"/>
      <c r="BO121" s="155"/>
      <c r="BP121" s="138"/>
    </row>
    <row r="122" spans="1:68" ht="14.7" customHeight="1">
      <c r="A122" s="142" t="s">
        <v>81</v>
      </c>
      <c r="B122" s="142"/>
      <c r="C122">
        <v>79.411764705882348</v>
      </c>
      <c r="D122">
        <v>84.425036390101894</v>
      </c>
      <c r="E122">
        <v>90.465116279069775</v>
      </c>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s="138"/>
      <c r="BO122" s="125"/>
      <c r="BP122" s="138"/>
    </row>
    <row r="123" spans="1:68" ht="14.7" customHeight="1">
      <c r="A123" s="142" t="s">
        <v>207</v>
      </c>
      <c r="B123" s="142"/>
      <c r="C123">
        <v>76.470588235294116</v>
      </c>
      <c r="D123">
        <v>73.43358395989975</v>
      </c>
      <c r="E123">
        <v>80.744849445324888</v>
      </c>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s="138"/>
      <c r="BO123" s="125"/>
      <c r="BP123" s="138"/>
    </row>
    <row r="124" spans="1:68" ht="14.7" customHeight="1">
      <c r="A124" s="142" t="s">
        <v>82</v>
      </c>
      <c r="B124" s="142"/>
      <c r="C124">
        <v>77.272727272727266</v>
      </c>
      <c r="D124">
        <v>78.294573643410843</v>
      </c>
      <c r="E124">
        <v>83.014354066985646</v>
      </c>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s="138"/>
      <c r="BO124" s="125"/>
      <c r="BP124" s="138"/>
    </row>
    <row r="125" spans="1:68" ht="14.7" customHeight="1">
      <c r="A125" s="142" t="s">
        <v>269</v>
      </c>
      <c r="B125" s="142"/>
      <c r="C125">
        <v>100</v>
      </c>
      <c r="D125">
        <v>98.507462686567166</v>
      </c>
      <c r="E125">
        <v>99.069767441860463</v>
      </c>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s="138"/>
      <c r="BO125" s="125"/>
      <c r="BP125" s="138"/>
    </row>
    <row r="126" spans="1:68" ht="14.7" customHeight="1">
      <c r="A126" s="142" t="s">
        <v>83</v>
      </c>
      <c r="B126" s="142"/>
      <c r="C126">
        <v>100</v>
      </c>
      <c r="D126">
        <v>78.421052631578945</v>
      </c>
      <c r="E126">
        <v>90.087463556851304</v>
      </c>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s="138"/>
      <c r="BO126" s="125"/>
      <c r="BP126" s="138"/>
    </row>
    <row r="127" spans="1:68" ht="14.7" customHeight="1">
      <c r="A127" s="142" t="s">
        <v>84</v>
      </c>
      <c r="B127" s="142"/>
      <c r="C127">
        <v>88.888888888888886</v>
      </c>
      <c r="D127">
        <v>83.695652173913047</v>
      </c>
      <c r="E127">
        <v>93.978102189781026</v>
      </c>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s="138"/>
      <c r="BO127" s="125"/>
      <c r="BP127" s="138"/>
    </row>
    <row r="128" spans="1:68" ht="14.7" customHeight="1">
      <c r="A128" s="142" t="s">
        <v>208</v>
      </c>
      <c r="B128" s="142"/>
      <c r="C128">
        <v>100</v>
      </c>
      <c r="D128">
        <v>88.461538461538453</v>
      </c>
      <c r="E128">
        <v>95.552731893265559</v>
      </c>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s="138"/>
      <c r="BO128" s="125"/>
      <c r="BP128" s="138"/>
    </row>
    <row r="129" spans="1:68" ht="14.7" customHeight="1">
      <c r="A129" s="142" t="s">
        <v>817</v>
      </c>
      <c r="B129" s="142"/>
      <c r="C129">
        <v>62.711864406779661</v>
      </c>
      <c r="D129">
        <v>64.608433734939766</v>
      </c>
      <c r="E129">
        <v>67.290480065093575</v>
      </c>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s="138"/>
      <c r="BO129" s="125"/>
      <c r="BP129" s="138"/>
    </row>
    <row r="130" spans="1:68" ht="14.7" customHeight="1">
      <c r="A130" s="142" t="s">
        <v>85</v>
      </c>
      <c r="B130" s="142"/>
      <c r="C130">
        <v>100</v>
      </c>
      <c r="D130">
        <v>92.72727272727272</v>
      </c>
      <c r="E130">
        <v>94.389901823281903</v>
      </c>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s="138"/>
      <c r="BO130" s="125"/>
      <c r="BP130" s="138"/>
    </row>
    <row r="131" spans="1:68" ht="14.7" customHeight="1">
      <c r="A131" s="142" t="s">
        <v>86</v>
      </c>
      <c r="B131" s="142"/>
      <c r="C131">
        <v>100</v>
      </c>
      <c r="D131">
        <v>85.576923076923066</v>
      </c>
      <c r="E131">
        <v>84.927536231884062</v>
      </c>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s="138"/>
      <c r="BO131" s="125"/>
      <c r="BP131" s="138"/>
    </row>
    <row r="132" spans="1:68" ht="14.7" customHeight="1">
      <c r="A132" s="142" t="s">
        <v>209</v>
      </c>
      <c r="B132" s="142"/>
      <c r="C132">
        <v>100</v>
      </c>
      <c r="D132">
        <v>87.116564417177912</v>
      </c>
      <c r="E132">
        <v>91.77927927927928</v>
      </c>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s="138"/>
      <c r="BO132" s="125"/>
      <c r="BP132" s="138"/>
    </row>
    <row r="133" spans="1:68" ht="14.7" customHeight="1">
      <c r="A133" s="142" t="s">
        <v>344</v>
      </c>
      <c r="B133" s="142"/>
      <c r="C133">
        <v>63.829787234042556</v>
      </c>
      <c r="D133">
        <v>42.448979591836732</v>
      </c>
      <c r="E133">
        <v>52.952029520295206</v>
      </c>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s="138"/>
      <c r="BO133" s="125"/>
      <c r="BP133" s="138"/>
    </row>
    <row r="134" spans="1:68" ht="14.7" customHeight="1">
      <c r="A134" s="142" t="s">
        <v>87</v>
      </c>
      <c r="B134" s="142"/>
      <c r="C134">
        <v>85</v>
      </c>
      <c r="D134">
        <v>90.207715133531153</v>
      </c>
      <c r="E134">
        <v>95.723014256619138</v>
      </c>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s="138"/>
      <c r="BO134" s="125"/>
      <c r="BP134" s="138"/>
    </row>
    <row r="135" spans="1:68" ht="14.7" customHeight="1">
      <c r="A135" s="142" t="s">
        <v>210</v>
      </c>
      <c r="B135" s="142"/>
      <c r="C135">
        <v>70.967741935483872</v>
      </c>
      <c r="D135">
        <v>86.721991701244818</v>
      </c>
      <c r="E135">
        <v>90.966576332429995</v>
      </c>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s="138"/>
      <c r="BO135" s="125"/>
      <c r="BP135" s="138"/>
    </row>
    <row r="136" spans="1:68" ht="14.7" customHeight="1">
      <c r="A136" s="142" t="s">
        <v>88</v>
      </c>
      <c r="B136" s="142"/>
      <c r="C136">
        <v>84.482758620689651</v>
      </c>
      <c r="D136">
        <v>76.433121019108285</v>
      </c>
      <c r="E136">
        <v>84.388646288209614</v>
      </c>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s="138"/>
      <c r="BO136" s="125"/>
      <c r="BP136" s="138"/>
    </row>
    <row r="137" spans="1:68" ht="14.7" customHeight="1">
      <c r="A137" s="142" t="s">
        <v>89</v>
      </c>
      <c r="B137" s="142"/>
      <c r="C137">
        <v>44.444444444444443</v>
      </c>
      <c r="D137">
        <v>61.428571428571431</v>
      </c>
      <c r="E137">
        <v>45.664739884393065</v>
      </c>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s="138"/>
      <c r="BO137" s="125"/>
      <c r="BP137" s="138"/>
    </row>
    <row r="138" spans="1:68" ht="14.7" customHeight="1">
      <c r="A138" s="142" t="s">
        <v>90</v>
      </c>
      <c r="B138" s="142"/>
      <c r="C138">
        <v>95.454545454545453</v>
      </c>
      <c r="D138">
        <v>96.240601503759393</v>
      </c>
      <c r="E138">
        <v>96.7654986522911</v>
      </c>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s="138"/>
      <c r="BO138" s="125"/>
      <c r="BP138" s="138"/>
    </row>
    <row r="139" spans="1:68" ht="14.7" customHeight="1">
      <c r="A139" s="142" t="s">
        <v>810</v>
      </c>
      <c r="B139" s="142"/>
      <c r="C139">
        <v>83.333333333333343</v>
      </c>
      <c r="D139">
        <v>90.229885057471265</v>
      </c>
      <c r="E139">
        <v>96.526772793053553</v>
      </c>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s="138"/>
      <c r="BO139" s="125"/>
      <c r="BP139" s="138"/>
    </row>
    <row r="140" spans="1:68" ht="14.7" customHeight="1">
      <c r="A140" s="142" t="s">
        <v>2</v>
      </c>
      <c r="B140" s="142"/>
      <c r="C140"/>
      <c r="D140">
        <v>71.428571428571431</v>
      </c>
      <c r="E140">
        <v>66.666666666666657</v>
      </c>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s="138"/>
      <c r="BO140" s="125"/>
      <c r="BP140" s="138"/>
    </row>
    <row r="141" spans="1:68" ht="14.7" customHeight="1">
      <c r="A141" s="142" t="s">
        <v>211</v>
      </c>
      <c r="B141" s="142"/>
      <c r="C141">
        <v>95.833333333333343</v>
      </c>
      <c r="D141">
        <v>97.597977243994933</v>
      </c>
      <c r="E141">
        <v>94.078947368421055</v>
      </c>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s="138"/>
      <c r="BO141" s="125"/>
      <c r="BP141" s="138"/>
    </row>
    <row r="142" spans="1:68" ht="14.7" customHeight="1">
      <c r="A142" s="142" t="s">
        <v>337</v>
      </c>
      <c r="B142" s="142"/>
      <c r="C142">
        <v>100</v>
      </c>
      <c r="D142">
        <v>87.845968712394708</v>
      </c>
      <c r="E142">
        <v>86.589762076423938</v>
      </c>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s="138"/>
      <c r="BO142" s="125"/>
      <c r="BP142" s="138"/>
    </row>
    <row r="143" spans="1:68" ht="14.7" customHeight="1">
      <c r="A143" s="142" t="s">
        <v>375</v>
      </c>
      <c r="B143" s="142"/>
      <c r="C143">
        <v>89.743589743589752</v>
      </c>
      <c r="D143">
        <v>84.54106280193237</v>
      </c>
      <c r="E143">
        <v>89.406286379511059</v>
      </c>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s="138"/>
      <c r="BO143" s="125"/>
      <c r="BP143" s="138"/>
    </row>
    <row r="144" spans="1:68" ht="14.7" customHeight="1">
      <c r="A144" s="142" t="s">
        <v>818</v>
      </c>
      <c r="B144" s="142"/>
      <c r="C144">
        <v>86.666666666666671</v>
      </c>
      <c r="D144">
        <v>87.027027027027032</v>
      </c>
      <c r="E144">
        <v>83.86363636363636</v>
      </c>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s="138"/>
      <c r="BO144" s="125"/>
      <c r="BP144" s="138"/>
    </row>
    <row r="145" spans="1:68" ht="14.7" customHeight="1">
      <c r="A145" s="142" t="s">
        <v>391</v>
      </c>
      <c r="B145" s="142"/>
      <c r="C145">
        <v>90.909090909090907</v>
      </c>
      <c r="D145">
        <v>91.420911528150143</v>
      </c>
      <c r="E145">
        <v>93.934911242603548</v>
      </c>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s="138"/>
      <c r="BO145" s="125"/>
      <c r="BP145" s="138"/>
    </row>
    <row r="146" spans="1:68" ht="14.7" customHeight="1">
      <c r="A146" s="142" t="s">
        <v>232</v>
      </c>
      <c r="B146" s="142"/>
      <c r="C146">
        <v>92.452830188679243</v>
      </c>
      <c r="D146">
        <v>80.483592400690853</v>
      </c>
      <c r="E146">
        <v>88.063492063492063</v>
      </c>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s="138"/>
      <c r="BO146" s="125"/>
      <c r="BP146" s="138"/>
    </row>
    <row r="147" spans="1:68" ht="14.7" customHeight="1">
      <c r="A147" s="142" t="s">
        <v>233</v>
      </c>
      <c r="B147" s="142"/>
      <c r="C147">
        <v>91.666666666666657</v>
      </c>
      <c r="D147">
        <v>96.875</v>
      </c>
      <c r="E147">
        <v>98.148148148148152</v>
      </c>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s="138"/>
      <c r="BO147" s="125"/>
      <c r="BP147" s="138"/>
    </row>
    <row r="148" spans="1:68" ht="14.7" customHeight="1">
      <c r="A148" s="142" t="s">
        <v>212</v>
      </c>
      <c r="B148" s="142"/>
      <c r="C148">
        <v>100</v>
      </c>
      <c r="D148">
        <v>89.445910290237464</v>
      </c>
      <c r="E148">
        <v>91.097666378565251</v>
      </c>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s="138"/>
      <c r="BO148" s="125"/>
      <c r="BP148" s="138"/>
    </row>
    <row r="149" spans="1:68" ht="14.7" customHeight="1">
      <c r="A149" s="142" t="s">
        <v>92</v>
      </c>
      <c r="B149" s="142"/>
      <c r="C149">
        <v>79.545454545454547</v>
      </c>
      <c r="D149">
        <v>85.657370517928285</v>
      </c>
      <c r="E149">
        <v>90.055248618784532</v>
      </c>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s="138"/>
      <c r="BO149" s="125"/>
      <c r="BP149" s="138"/>
    </row>
    <row r="150" spans="1:68" ht="14.7" customHeight="1">
      <c r="A150" s="142" t="s">
        <v>234</v>
      </c>
      <c r="B150" s="142"/>
      <c r="C150">
        <v>91.538461538461533</v>
      </c>
      <c r="D150">
        <v>83.830845771144283</v>
      </c>
      <c r="E150">
        <v>88.51774530271399</v>
      </c>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s="138"/>
      <c r="BO150" s="125"/>
      <c r="BP150" s="138"/>
    </row>
    <row r="151" spans="1:68" ht="14.7" customHeight="1">
      <c r="A151" s="142" t="s">
        <v>271</v>
      </c>
      <c r="B151" s="142"/>
      <c r="C151">
        <v>90.476190476190482</v>
      </c>
      <c r="D151">
        <v>60.139860139860133</v>
      </c>
      <c r="E151">
        <v>72.989690721649481</v>
      </c>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s="138"/>
      <c r="BO151" s="125"/>
      <c r="BP151" s="138"/>
    </row>
    <row r="152" spans="1:68" ht="14.7" customHeight="1">
      <c r="A152" s="142" t="s">
        <v>93</v>
      </c>
      <c r="B152" s="142"/>
      <c r="C152">
        <v>86.36363636363636</v>
      </c>
      <c r="D152">
        <v>72.839506172839506</v>
      </c>
      <c r="E152">
        <v>84.149184149184151</v>
      </c>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s="138"/>
      <c r="BO152" s="155"/>
      <c r="BP152" s="138"/>
    </row>
    <row r="153" spans="1:68" ht="14.7" customHeight="1">
      <c r="A153" s="142" t="s">
        <v>213</v>
      </c>
      <c r="B153" s="142"/>
      <c r="C153">
        <v>95</v>
      </c>
      <c r="D153">
        <v>91.165172855313699</v>
      </c>
      <c r="E153">
        <v>91.566265060240966</v>
      </c>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s="138"/>
      <c r="BO153" s="125"/>
      <c r="BP153" s="138"/>
    </row>
    <row r="154" spans="1:68" ht="14.7" customHeight="1">
      <c r="A154" s="142" t="s">
        <v>94</v>
      </c>
      <c r="B154" s="142"/>
      <c r="C154">
        <v>96.428571428571431</v>
      </c>
      <c r="D154">
        <v>87.845303867403317</v>
      </c>
      <c r="E154">
        <v>94.863013698630141</v>
      </c>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s="138"/>
      <c r="BO154" s="125"/>
      <c r="BP154" s="138"/>
    </row>
    <row r="155" spans="1:68" ht="14.7" customHeight="1">
      <c r="A155" s="142" t="s">
        <v>95</v>
      </c>
      <c r="B155" s="142"/>
      <c r="C155">
        <v>86.666666666666671</v>
      </c>
      <c r="D155">
        <v>72.56637168141593</v>
      </c>
      <c r="E155">
        <v>85.3125</v>
      </c>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s="138"/>
      <c r="BO155" s="125"/>
      <c r="BP155" s="138"/>
    </row>
    <row r="156" spans="1:68" ht="14.7" customHeight="1">
      <c r="A156" s="142" t="s">
        <v>235</v>
      </c>
      <c r="B156" s="142"/>
      <c r="C156">
        <v>85.245901639344254</v>
      </c>
      <c r="D156">
        <v>82.417582417582409</v>
      </c>
      <c r="E156">
        <v>82.025316455696213</v>
      </c>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s="138"/>
      <c r="BO156" s="125"/>
      <c r="BP156" s="138"/>
    </row>
    <row r="157" spans="1:68" ht="14.7" customHeight="1">
      <c r="A157" s="142" t="s">
        <v>809</v>
      </c>
      <c r="B157" s="142"/>
      <c r="C157">
        <v>100</v>
      </c>
      <c r="D157">
        <v>85</v>
      </c>
      <c r="E157">
        <v>76</v>
      </c>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s="138"/>
      <c r="BO157" s="125"/>
      <c r="BP157" s="138"/>
    </row>
    <row r="158" spans="1:68" ht="14.7" customHeight="1">
      <c r="A158" s="142" t="s">
        <v>272</v>
      </c>
      <c r="B158" s="142"/>
      <c r="C158">
        <v>86.666666666666671</v>
      </c>
      <c r="D158">
        <v>92.265193370165747</v>
      </c>
      <c r="E158">
        <v>95.192307692307693</v>
      </c>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s="138"/>
      <c r="BO158" s="125"/>
      <c r="BP158" s="138"/>
    </row>
    <row r="159" spans="1:68" ht="14.7" customHeight="1">
      <c r="A159" s="142" t="s">
        <v>96</v>
      </c>
      <c r="B159" s="142"/>
      <c r="C159">
        <v>88.709677419354833</v>
      </c>
      <c r="D159">
        <v>96.109839816933643</v>
      </c>
      <c r="E159">
        <v>98.479087452471475</v>
      </c>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s="138"/>
      <c r="BO159" s="125"/>
      <c r="BP159" s="138"/>
    </row>
    <row r="160" spans="1:68" ht="14.7" customHeight="1">
      <c r="A160" s="142" t="s">
        <v>97</v>
      </c>
      <c r="B160" s="142"/>
      <c r="C160">
        <v>77.142857142857153</v>
      </c>
      <c r="D160">
        <v>75.939849624060145</v>
      </c>
      <c r="E160">
        <v>93.657505285412256</v>
      </c>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s="138"/>
      <c r="BO160" s="125"/>
      <c r="BP160" s="138"/>
    </row>
    <row r="161" spans="1:68" ht="14.7" customHeight="1">
      <c r="A161" s="142" t="s">
        <v>98</v>
      </c>
      <c r="B161" s="142"/>
      <c r="C161">
        <v>80.851063829787222</v>
      </c>
      <c r="D161">
        <v>74.672489082969435</v>
      </c>
      <c r="E161">
        <v>73.473282442748086</v>
      </c>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s="138"/>
      <c r="BO161" s="125"/>
      <c r="BP161" s="138"/>
    </row>
    <row r="162" spans="1:68" ht="14.7" customHeight="1">
      <c r="A162" s="142" t="s">
        <v>236</v>
      </c>
      <c r="B162" s="142"/>
      <c r="C162">
        <v>87.254901960784309</v>
      </c>
      <c r="D162">
        <v>82.456140350877192</v>
      </c>
      <c r="E162">
        <v>86.40776699029125</v>
      </c>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s="138"/>
      <c r="BO162" s="125"/>
      <c r="BP162" s="138"/>
    </row>
    <row r="163" spans="1:68" ht="14.7" customHeight="1">
      <c r="A163" s="142" t="s">
        <v>99</v>
      </c>
      <c r="B163" s="142"/>
      <c r="C163">
        <v>100</v>
      </c>
      <c r="D163">
        <v>96.938775510204081</v>
      </c>
      <c r="E163">
        <v>96.721311475409834</v>
      </c>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s="138"/>
      <c r="BO163" s="125"/>
      <c r="BP163" s="138"/>
    </row>
    <row r="164" spans="1:68" ht="14.7" customHeight="1">
      <c r="A164" s="142" t="s">
        <v>273</v>
      </c>
      <c r="B164" s="142"/>
      <c r="C164">
        <v>94.117647058823522</v>
      </c>
      <c r="D164">
        <v>89.455782312925166</v>
      </c>
      <c r="E164">
        <v>94.73684210526315</v>
      </c>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s="138"/>
      <c r="BO164" s="125"/>
      <c r="BP164" s="138"/>
    </row>
    <row r="165" spans="1:68" ht="14.7" customHeight="1">
      <c r="A165" s="142" t="s">
        <v>100</v>
      </c>
      <c r="B165" s="142"/>
      <c r="C165">
        <v>90.322580645161281</v>
      </c>
      <c r="D165">
        <v>83.108108108108098</v>
      </c>
      <c r="E165">
        <v>90.595611285266457</v>
      </c>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s="138"/>
      <c r="BO165" s="125"/>
      <c r="BP165" s="138"/>
    </row>
    <row r="166" spans="1:68" ht="14.7" customHeight="1">
      <c r="A166" s="143" t="s">
        <v>101</v>
      </c>
      <c r="B166" s="142"/>
      <c r="C166">
        <v>89.65517241379311</v>
      </c>
      <c r="D166">
        <v>86.178861788617894</v>
      </c>
      <c r="E166">
        <v>89.440203562340969</v>
      </c>
      <c r="F166"/>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s="138"/>
      <c r="BO166" s="125"/>
      <c r="BP166" s="138"/>
    </row>
    <row r="167" spans="1:68" ht="14.7" customHeight="1">
      <c r="A167" s="142" t="s">
        <v>214</v>
      </c>
      <c r="B167" s="142"/>
      <c r="C167">
        <v>88.235294117647058</v>
      </c>
      <c r="D167">
        <v>78.205128205128204</v>
      </c>
      <c r="E167">
        <v>82.830188679245282</v>
      </c>
      <c r="F167"/>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s="138"/>
      <c r="BO167" s="125"/>
      <c r="BP167" s="138"/>
    </row>
    <row r="168" spans="1:68" ht="14.7" customHeight="1">
      <c r="A168" s="142" t="s">
        <v>102</v>
      </c>
      <c r="B168" s="142"/>
      <c r="C168">
        <v>87.5</v>
      </c>
      <c r="D168">
        <v>94.460641399416915</v>
      </c>
      <c r="E168">
        <v>91.650485436893206</v>
      </c>
      <c r="F168"/>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s="138"/>
      <c r="BO168" s="125"/>
      <c r="BP168" s="138"/>
    </row>
    <row r="169" spans="1:68" ht="14.7" customHeight="1">
      <c r="A169" s="142" t="s">
        <v>103</v>
      </c>
      <c r="B169" s="142"/>
      <c r="C169">
        <v>90.163934426229503</v>
      </c>
      <c r="D169">
        <v>95</v>
      </c>
      <c r="E169">
        <v>96.25603864734299</v>
      </c>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s="138"/>
      <c r="BO169" s="125"/>
      <c r="BP169" s="138"/>
    </row>
    <row r="170" spans="1:68" ht="14.7" customHeight="1">
      <c r="A170" s="142" t="s">
        <v>104</v>
      </c>
      <c r="B170" s="142"/>
      <c r="C170">
        <v>97.777777777777771</v>
      </c>
      <c r="D170">
        <v>97.463768115942031</v>
      </c>
      <c r="E170">
        <v>99.333333333333329</v>
      </c>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s="138"/>
      <c r="BO170" s="125"/>
      <c r="BP170" s="138"/>
    </row>
    <row r="171" spans="1:68" ht="14.7" customHeight="1">
      <c r="A171" s="142" t="s">
        <v>274</v>
      </c>
      <c r="B171" s="142"/>
      <c r="C171">
        <v>45.454545454545453</v>
      </c>
      <c r="D171">
        <v>45.762711864406782</v>
      </c>
      <c r="E171">
        <v>68.787878787878782</v>
      </c>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s="138"/>
      <c r="BO171" s="125"/>
      <c r="BP171" s="138"/>
    </row>
    <row r="172" spans="1:68" ht="14.7" customHeight="1">
      <c r="A172" s="142" t="s">
        <v>275</v>
      </c>
      <c r="B172" s="142"/>
      <c r="C172">
        <v>95.890410958904098</v>
      </c>
      <c r="D172">
        <v>92.549019607843135</v>
      </c>
      <c r="E172">
        <v>88.344594594594597</v>
      </c>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s="138"/>
      <c r="BO172" s="125"/>
      <c r="BP172" s="138"/>
    </row>
    <row r="173" spans="1:68" ht="14.7" customHeight="1">
      <c r="A173" s="142" t="s">
        <v>105</v>
      </c>
      <c r="B173" s="142"/>
      <c r="C173">
        <v>83.333333333333343</v>
      </c>
      <c r="D173">
        <v>86.118980169971664</v>
      </c>
      <c r="E173">
        <v>93.296089385474858</v>
      </c>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s="138"/>
      <c r="BO173" s="125"/>
      <c r="BP173" s="138"/>
    </row>
    <row r="174" spans="1:68" ht="14.7" customHeight="1">
      <c r="A174" s="142" t="s">
        <v>106</v>
      </c>
      <c r="B174" s="142"/>
      <c r="C174">
        <v>100</v>
      </c>
      <c r="D174">
        <v>84.285714285714292</v>
      </c>
      <c r="E174">
        <v>89.433551198257078</v>
      </c>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s="138"/>
      <c r="BO174" s="125"/>
      <c r="BP174" s="138"/>
    </row>
    <row r="175" spans="1:68" ht="14.7" customHeight="1">
      <c r="A175" s="142" t="s">
        <v>345</v>
      </c>
      <c r="B175" s="142"/>
      <c r="C175">
        <v>90.163934426229503</v>
      </c>
      <c r="D175">
        <v>93.235294117647058</v>
      </c>
      <c r="E175">
        <v>94.991652754590987</v>
      </c>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s="138"/>
      <c r="BO175" s="125"/>
      <c r="BP175" s="138"/>
    </row>
    <row r="176" spans="1:68" ht="14.7" customHeight="1">
      <c r="A176" s="142" t="s">
        <v>237</v>
      </c>
      <c r="B176" s="142"/>
      <c r="C176">
        <v>82.926829268292678</v>
      </c>
      <c r="D176">
        <v>71.074380165289256</v>
      </c>
      <c r="E176">
        <v>82.331730769230774</v>
      </c>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s="138"/>
      <c r="BO176" s="125"/>
      <c r="BP176" s="138"/>
    </row>
    <row r="177" spans="1:68" ht="14.7" customHeight="1">
      <c r="A177" s="142" t="s">
        <v>107</v>
      </c>
      <c r="B177" s="142"/>
      <c r="C177">
        <v>96</v>
      </c>
      <c r="D177">
        <v>94.478527607361968</v>
      </c>
      <c r="E177">
        <v>95.956873315363879</v>
      </c>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s="138"/>
      <c r="BO177" s="125"/>
      <c r="BP177" s="138"/>
    </row>
    <row r="178" spans="1:68" ht="14.7" customHeight="1">
      <c r="A178" s="142" t="s">
        <v>215</v>
      </c>
      <c r="B178" s="142"/>
      <c r="C178">
        <v>100</v>
      </c>
      <c r="D178">
        <v>86.440677966101703</v>
      </c>
      <c r="E178">
        <v>92.272024729520865</v>
      </c>
      <c r="F178"/>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s="138"/>
      <c r="BO178" s="125"/>
      <c r="BP178" s="138"/>
    </row>
    <row r="179" spans="1:68" ht="14.7" customHeight="1">
      <c r="A179" s="142" t="s">
        <v>108</v>
      </c>
      <c r="B179" s="142"/>
      <c r="C179">
        <v>85.714285714285708</v>
      </c>
      <c r="D179">
        <v>90.537634408602159</v>
      </c>
      <c r="E179">
        <v>95.153473344103389</v>
      </c>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s="138"/>
      <c r="BO179" s="125"/>
      <c r="BP179" s="138"/>
    </row>
    <row r="180" spans="1:68" ht="14.7" customHeight="1">
      <c r="A180" s="142" t="s">
        <v>110</v>
      </c>
      <c r="B180" s="142"/>
      <c r="C180">
        <v>82.926829268292678</v>
      </c>
      <c r="D180">
        <v>72.5</v>
      </c>
      <c r="E180">
        <v>88.716814159292028</v>
      </c>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s="138"/>
      <c r="BO180" s="125"/>
      <c r="BP180" s="138"/>
    </row>
    <row r="181" spans="1:68" ht="14.7" customHeight="1">
      <c r="A181" s="142" t="s">
        <v>276</v>
      </c>
      <c r="B181" s="142"/>
      <c r="C181">
        <v>100</v>
      </c>
      <c r="D181">
        <v>99.487179487179489</v>
      </c>
      <c r="E181">
        <v>99.436619718309856</v>
      </c>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s="138"/>
      <c r="BO181" s="125"/>
      <c r="BP181" s="138"/>
    </row>
    <row r="182" spans="1:68" ht="14.7" customHeight="1">
      <c r="A182" s="142" t="s">
        <v>111</v>
      </c>
      <c r="B182" s="142"/>
      <c r="C182">
        <v>80.645161290322577</v>
      </c>
      <c r="D182">
        <v>85.271317829457359</v>
      </c>
      <c r="E182">
        <v>92.197125256673502</v>
      </c>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s="138"/>
      <c r="BO182" s="125"/>
      <c r="BP182" s="138"/>
    </row>
    <row r="183" spans="1:68" ht="14.7" customHeight="1">
      <c r="A183" s="142" t="s">
        <v>112</v>
      </c>
      <c r="B183" s="142"/>
      <c r="C183">
        <v>98.214285714285708</v>
      </c>
      <c r="D183">
        <v>94.656488549618317</v>
      </c>
      <c r="E183">
        <v>95.299837925445701</v>
      </c>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s="138"/>
      <c r="BO183" s="125"/>
      <c r="BP183" s="138"/>
    </row>
    <row r="184" spans="1:68" ht="14.7" customHeight="1">
      <c r="A184" s="142" t="s">
        <v>277</v>
      </c>
      <c r="B184" s="142"/>
      <c r="C184">
        <v>78.94736842105263</v>
      </c>
      <c r="D184">
        <v>82.749326145552558</v>
      </c>
      <c r="E184">
        <v>93.1640625</v>
      </c>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s="138"/>
      <c r="BO184" s="125"/>
      <c r="BP184" s="138"/>
    </row>
    <row r="185" spans="1:68" ht="14.7" customHeight="1">
      <c r="A185" s="142" t="s">
        <v>113</v>
      </c>
      <c r="B185" s="142"/>
      <c r="C185">
        <v>100</v>
      </c>
      <c r="D185">
        <v>88.993710691823907</v>
      </c>
      <c r="E185">
        <v>93.495934959349597</v>
      </c>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s="138"/>
      <c r="BO185" s="125"/>
      <c r="BP185" s="138"/>
    </row>
    <row r="186" spans="1:68" ht="14.7" customHeight="1">
      <c r="A186" s="142" t="s">
        <v>901</v>
      </c>
      <c r="B186" s="142"/>
      <c r="C186">
        <v>93.684210526315795</v>
      </c>
      <c r="D186">
        <v>84.352078239608801</v>
      </c>
      <c r="E186">
        <v>86.107091172214183</v>
      </c>
      <c r="F186"/>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s="138"/>
      <c r="BO186" s="125"/>
      <c r="BP186" s="138"/>
    </row>
    <row r="187" spans="1:68" ht="14.7" customHeight="1">
      <c r="A187" s="142" t="s">
        <v>278</v>
      </c>
      <c r="B187" s="142"/>
      <c r="C187">
        <v>72.972972972972968</v>
      </c>
      <c r="D187">
        <v>83.75</v>
      </c>
      <c r="E187">
        <v>89.498580889309366</v>
      </c>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s="138"/>
      <c r="BO187" s="125"/>
      <c r="BP187" s="138"/>
    </row>
    <row r="188" spans="1:68" ht="14.7" customHeight="1">
      <c r="A188" s="142" t="s">
        <v>238</v>
      </c>
      <c r="B188" s="142"/>
      <c r="C188">
        <v>100</v>
      </c>
      <c r="D188">
        <v>98.850574712643677</v>
      </c>
      <c r="E188">
        <v>99.862448418156816</v>
      </c>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s="138"/>
      <c r="BO188" s="125"/>
      <c r="BP188" s="138"/>
    </row>
    <row r="189" spans="1:68" ht="14.7" customHeight="1">
      <c r="A189" s="142" t="s">
        <v>114</v>
      </c>
      <c r="B189" s="142"/>
      <c r="C189">
        <v>87.5</v>
      </c>
      <c r="D189">
        <v>79.012345679012341</v>
      </c>
      <c r="E189">
        <v>78.548895899053633</v>
      </c>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s="138"/>
      <c r="BO189" s="125"/>
      <c r="BP189" s="138"/>
    </row>
    <row r="190" spans="1:68" ht="14.7" customHeight="1">
      <c r="A190" s="142" t="s">
        <v>115</v>
      </c>
      <c r="B190" s="142"/>
      <c r="C190">
        <v>93.181818181818173</v>
      </c>
      <c r="D190">
        <v>73.888888888888886</v>
      </c>
      <c r="E190">
        <v>84.981684981684978</v>
      </c>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s="138"/>
      <c r="BO190" s="125"/>
      <c r="BP190" s="138"/>
    </row>
    <row r="191" spans="1:68" ht="14.7" customHeight="1">
      <c r="A191" s="142" t="s">
        <v>322</v>
      </c>
      <c r="B191" s="142"/>
      <c r="C191">
        <v>80</v>
      </c>
      <c r="D191">
        <v>63.661581137309298</v>
      </c>
      <c r="E191">
        <v>69.755792110206642</v>
      </c>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s="138"/>
      <c r="BO191" s="125"/>
      <c r="BP191" s="138"/>
    </row>
    <row r="192" spans="1:68" ht="14.7" customHeight="1">
      <c r="A192" s="142" t="s">
        <v>117</v>
      </c>
      <c r="B192" s="142"/>
      <c r="C192">
        <v>72.727272727272734</v>
      </c>
      <c r="D192">
        <v>87.755102040816325</v>
      </c>
      <c r="E192">
        <v>85.593220338983059</v>
      </c>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s="138"/>
      <c r="BO192" s="125"/>
      <c r="BP192" s="138"/>
    </row>
    <row r="193" spans="1:196" ht="14.7" customHeight="1">
      <c r="A193" s="142" t="s">
        <v>279</v>
      </c>
      <c r="B193" s="142"/>
      <c r="C193">
        <v>94.444444444444443</v>
      </c>
      <c r="D193">
        <v>85.765124555160142</v>
      </c>
      <c r="E193">
        <v>81.057810578105787</v>
      </c>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s="138"/>
      <c r="BO193" s="125"/>
      <c r="BP193" s="138"/>
    </row>
    <row r="194" spans="1:196" ht="14.7" customHeight="1">
      <c r="A194" s="142" t="s">
        <v>346</v>
      </c>
      <c r="B194" s="142"/>
      <c r="C194">
        <v>87.5</v>
      </c>
      <c r="D194">
        <v>92.405063291139243</v>
      </c>
      <c r="E194">
        <v>96.501457725947532</v>
      </c>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s="138"/>
      <c r="BO194" s="125"/>
      <c r="BP194" s="138"/>
    </row>
    <row r="195" spans="1:196" ht="14.7" customHeight="1">
      <c r="A195" s="142" t="s">
        <v>347</v>
      </c>
      <c r="B195" s="142"/>
      <c r="C195">
        <v>100</v>
      </c>
      <c r="D195">
        <v>94.73684210526315</v>
      </c>
      <c r="E195">
        <v>93.589743589743591</v>
      </c>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s="138"/>
      <c r="BO195" s="125"/>
      <c r="BP195" s="138"/>
    </row>
    <row r="196" spans="1:196" ht="14.7" customHeight="1">
      <c r="A196" s="142" t="s">
        <v>239</v>
      </c>
      <c r="B196" s="142"/>
      <c r="C196">
        <v>97.368421052631575</v>
      </c>
      <c r="D196">
        <v>90.573770491803273</v>
      </c>
      <c r="E196">
        <v>94.038929440389296</v>
      </c>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s="138"/>
      <c r="BO196" s="125"/>
      <c r="BP196" s="138"/>
    </row>
    <row r="197" spans="1:196" ht="14.7" customHeight="1">
      <c r="A197" s="142" t="s">
        <v>118</v>
      </c>
      <c r="B197" s="142"/>
      <c r="C197">
        <v>89.65517241379311</v>
      </c>
      <c r="D197">
        <v>90.243902439024396</v>
      </c>
      <c r="E197">
        <v>87.408312958435204</v>
      </c>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s="138"/>
      <c r="BO197" s="125"/>
      <c r="BP197" s="138"/>
    </row>
    <row r="198" spans="1:196" ht="14.7" customHeight="1">
      <c r="A198" s="142" t="s">
        <v>119</v>
      </c>
      <c r="B198" s="142"/>
      <c r="C198">
        <v>69.230769230769226</v>
      </c>
      <c r="D198">
        <v>69.948186528497416</v>
      </c>
      <c r="E198">
        <v>76.59574468085107</v>
      </c>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s="138"/>
      <c r="BO198" s="125"/>
      <c r="BP198" s="138"/>
    </row>
    <row r="199" spans="1:196" ht="14.7" customHeight="1">
      <c r="A199" s="142" t="s">
        <v>280</v>
      </c>
      <c r="B199" s="142"/>
      <c r="C199">
        <v>90</v>
      </c>
      <c r="D199">
        <v>83.928571428571431</v>
      </c>
      <c r="E199">
        <v>89.244186046511629</v>
      </c>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s="138"/>
      <c r="BO199" s="125"/>
      <c r="BP199" s="138"/>
    </row>
    <row r="200" spans="1:196" ht="14.7" customHeight="1">
      <c r="A200" s="142" t="s">
        <v>281</v>
      </c>
      <c r="B200" s="142"/>
      <c r="C200">
        <v>100</v>
      </c>
      <c r="D200">
        <v>91.512915129151295</v>
      </c>
      <c r="E200">
        <v>90.418353576248307</v>
      </c>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s="138"/>
      <c r="BO200" s="155"/>
      <c r="BP200" s="138"/>
    </row>
    <row r="201" spans="1:196" ht="14.7" customHeight="1">
      <c r="A201" s="142" t="s">
        <v>283</v>
      </c>
      <c r="B201" s="142"/>
      <c r="C201">
        <v>40.909090909090914</v>
      </c>
      <c r="D201">
        <v>46.341463414634148</v>
      </c>
      <c r="E201">
        <v>47.632711621233859</v>
      </c>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s="138"/>
      <c r="BO201" s="125"/>
      <c r="BP201" s="138"/>
    </row>
    <row r="202" spans="1:196" ht="14.7" customHeight="1">
      <c r="A202" s="142" t="s">
        <v>120</v>
      </c>
      <c r="B202" s="142"/>
      <c r="C202">
        <v>100</v>
      </c>
      <c r="D202">
        <v>94.385964912280713</v>
      </c>
      <c r="E202">
        <v>97.935779816513758</v>
      </c>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s="138"/>
      <c r="BO202" s="125"/>
      <c r="BP202" s="138"/>
    </row>
    <row r="203" spans="1:196" ht="14.7" customHeight="1">
      <c r="A203" s="142" t="s">
        <v>284</v>
      </c>
      <c r="B203" s="142"/>
      <c r="C203">
        <v>82.35294117647058</v>
      </c>
      <c r="D203">
        <v>71.505376344086031</v>
      </c>
      <c r="E203">
        <v>70.15503875968993</v>
      </c>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s="138"/>
      <c r="BO203" s="125"/>
      <c r="BP203" s="138"/>
    </row>
    <row r="204" spans="1:196" ht="14.7" customHeight="1">
      <c r="A204" s="142" t="s">
        <v>216</v>
      </c>
      <c r="B204" s="142"/>
      <c r="C204">
        <v>96.15384615384616</v>
      </c>
      <c r="D204">
        <v>86.567164179104466</v>
      </c>
      <c r="E204">
        <v>95.396600566572246</v>
      </c>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s="138"/>
      <c r="BO204" s="125"/>
      <c r="BP204" s="138"/>
    </row>
    <row r="205" spans="1:196" ht="14.7" customHeight="1">
      <c r="A205" s="142" t="s">
        <v>808</v>
      </c>
      <c r="B205" s="142"/>
      <c r="C205">
        <v>93.939393939393938</v>
      </c>
      <c r="D205">
        <v>89.78102189781022</v>
      </c>
      <c r="E205">
        <v>92.465753424657535</v>
      </c>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s="138"/>
      <c r="BO205" s="125"/>
      <c r="BP205" s="138"/>
    </row>
    <row r="206" spans="1:196" ht="14.7" customHeight="1">
      <c r="A206" s="142" t="s">
        <v>122</v>
      </c>
      <c r="B206" s="142"/>
      <c r="C206">
        <v>100</v>
      </c>
      <c r="D206">
        <v>89.552238805970148</v>
      </c>
      <c r="E206">
        <v>88.39779005524862</v>
      </c>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s="138"/>
      <c r="BO206" s="125"/>
      <c r="BP206" s="138"/>
    </row>
    <row r="207" spans="1:196" ht="14.7" customHeight="1">
      <c r="A207" s="172" t="s">
        <v>348</v>
      </c>
      <c r="B207" s="172"/>
      <c r="C207">
        <v>82.758620689655174</v>
      </c>
      <c r="D207">
        <v>81.784386617100367</v>
      </c>
      <c r="E207">
        <v>91.612903225806448</v>
      </c>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s="138"/>
      <c r="BO207" s="125"/>
      <c r="BP207" s="138"/>
    </row>
    <row r="208" spans="1:196" s="175" customFormat="1" ht="11.25" customHeight="1">
      <c r="A208" s="240" t="s">
        <v>123</v>
      </c>
      <c r="B208" s="240"/>
      <c r="C208">
        <v>79.310344827586206</v>
      </c>
      <c r="D208">
        <v>77.777777777777786</v>
      </c>
      <c r="E208">
        <v>77.434679334916865</v>
      </c>
      <c r="F208"/>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s="138"/>
      <c r="BO208" s="125"/>
      <c r="BP208" s="138"/>
      <c r="BQ208" s="173"/>
      <c r="BR208" s="173"/>
      <c r="BS208" s="173"/>
      <c r="BT208" s="173"/>
      <c r="BU208" s="173"/>
      <c r="BV208" s="173"/>
      <c r="BW208" s="173"/>
      <c r="BX208" s="173"/>
      <c r="BY208" s="173"/>
      <c r="BZ208" s="173"/>
      <c r="CA208" s="173"/>
      <c r="CB208" s="173"/>
      <c r="CC208" s="173"/>
      <c r="CD208" s="173"/>
      <c r="CE208" s="173"/>
      <c r="CF208" s="173"/>
      <c r="CG208" s="173"/>
      <c r="CH208" s="173"/>
      <c r="CI208" s="173"/>
      <c r="CJ208" s="173"/>
      <c r="CK208" s="173"/>
      <c r="CL208" s="173"/>
      <c r="CM208" s="173"/>
      <c r="CN208" s="173"/>
      <c r="CO208" s="173"/>
      <c r="CP208" s="173"/>
      <c r="CQ208" s="173"/>
      <c r="CR208" s="173"/>
      <c r="CS208" s="173"/>
      <c r="CT208" s="173"/>
      <c r="CU208" s="173"/>
      <c r="CV208" s="173"/>
      <c r="CW208" s="173"/>
      <c r="CX208" s="173"/>
      <c r="CY208" s="173"/>
      <c r="CZ208" s="173"/>
      <c r="DA208" s="173"/>
      <c r="DB208" s="173"/>
      <c r="DC208" s="173"/>
      <c r="DD208" s="173"/>
      <c r="DE208" s="173"/>
      <c r="DF208" s="173"/>
      <c r="DG208" s="173"/>
      <c r="DH208" s="173"/>
      <c r="DI208" s="173"/>
      <c r="DJ208" s="173"/>
      <c r="DK208" s="173"/>
      <c r="DL208" s="173"/>
      <c r="DM208" s="173"/>
      <c r="DN208" s="173"/>
      <c r="DO208" s="173"/>
      <c r="DP208" s="173"/>
      <c r="DQ208" s="173"/>
      <c r="DR208" s="173"/>
      <c r="DS208" s="173"/>
      <c r="DT208" s="173"/>
      <c r="DU208" s="173"/>
      <c r="DV208" s="173"/>
      <c r="DW208" s="173"/>
      <c r="DX208" s="173"/>
      <c r="DY208" s="173"/>
      <c r="DZ208" s="173"/>
      <c r="EA208" s="173"/>
      <c r="EB208" s="173"/>
      <c r="EC208" s="173"/>
      <c r="ED208" s="173"/>
      <c r="EE208" s="173"/>
      <c r="EF208" s="173"/>
      <c r="EG208" s="173"/>
      <c r="EH208" s="173"/>
      <c r="EI208" s="173"/>
      <c r="EJ208" s="173"/>
      <c r="EK208" s="173"/>
      <c r="EL208" s="173"/>
      <c r="EM208" s="173"/>
      <c r="EN208" s="173"/>
      <c r="EO208" s="173"/>
      <c r="EP208" s="173"/>
      <c r="EQ208" s="173"/>
      <c r="ER208" s="173"/>
      <c r="ES208" s="173"/>
      <c r="ET208" s="173"/>
      <c r="EU208" s="173"/>
      <c r="EV208" s="173"/>
      <c r="EW208" s="173"/>
      <c r="EX208" s="173"/>
      <c r="EY208" s="173"/>
      <c r="EZ208" s="173"/>
      <c r="FA208" s="173"/>
      <c r="FB208" s="173"/>
      <c r="FC208" s="173"/>
      <c r="FD208" s="173"/>
      <c r="FE208" s="173"/>
      <c r="FF208" s="173"/>
      <c r="FG208" s="173"/>
      <c r="FH208" s="173"/>
      <c r="FI208" s="173"/>
      <c r="FJ208" s="173"/>
      <c r="FK208" s="173"/>
      <c r="FL208" s="173"/>
      <c r="FM208" s="173"/>
      <c r="FN208" s="173"/>
      <c r="FO208" s="173"/>
      <c r="FP208" s="173"/>
      <c r="FQ208" s="173"/>
      <c r="FR208" s="173"/>
      <c r="FS208" s="173"/>
      <c r="FT208" s="174"/>
      <c r="FU208" s="173"/>
      <c r="FV208" s="173"/>
      <c r="FW208" s="173"/>
      <c r="FX208" s="173"/>
      <c r="FY208" s="173"/>
      <c r="FZ208" s="173"/>
      <c r="GA208" s="173"/>
      <c r="GB208" s="173"/>
      <c r="GC208" s="173"/>
      <c r="GD208" s="173"/>
      <c r="GE208" s="173"/>
      <c r="GF208" s="173"/>
      <c r="GG208" s="173"/>
      <c r="GH208" s="173"/>
      <c r="GI208" s="173"/>
      <c r="GJ208" s="173"/>
      <c r="GK208" s="173"/>
      <c r="GL208" s="173"/>
      <c r="GM208" s="173"/>
      <c r="GN208" s="173"/>
    </row>
    <row r="209" spans="1:68" ht="14.7" customHeight="1">
      <c r="A209" s="1" t="s">
        <v>392</v>
      </c>
      <c r="B209" s="1"/>
      <c r="C209">
        <v>90.909090909090907</v>
      </c>
      <c r="D209">
        <v>83.524355300859597</v>
      </c>
      <c r="E209">
        <v>92.820247933884289</v>
      </c>
      <c r="F20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s="173"/>
      <c r="BO209" s="173"/>
      <c r="BP209" s="173"/>
    </row>
    <row r="210" spans="1:68" ht="14.7" customHeight="1">
      <c r="A210" s="124" t="s">
        <v>124</v>
      </c>
      <c r="B210" s="158"/>
      <c r="C210">
        <v>56.25</v>
      </c>
      <c r="D210">
        <v>45.251396648044697</v>
      </c>
      <c r="E210">
        <v>51.156069364161851</v>
      </c>
      <c r="F210"/>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s="138"/>
      <c r="BO210" s="125"/>
      <c r="BP210" s="138"/>
    </row>
    <row r="211" spans="1:68" ht="14.7" customHeight="1">
      <c r="A211" s="153" t="s">
        <v>240</v>
      </c>
      <c r="B211" s="158"/>
      <c r="C211">
        <v>78.94736842105263</v>
      </c>
      <c r="D211">
        <v>88.47926267281106</v>
      </c>
      <c r="E211">
        <v>88.498402555910545</v>
      </c>
      <c r="F211"/>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s="138"/>
      <c r="BO211" s="125"/>
      <c r="BP211" s="138"/>
    </row>
    <row r="212" spans="1:68" ht="14.7" customHeight="1">
      <c r="A212" s="124" t="s">
        <v>125</v>
      </c>
      <c r="B212" s="158"/>
      <c r="C212">
        <v>100</v>
      </c>
      <c r="D212">
        <v>74.863387978142086</v>
      </c>
      <c r="E212">
        <v>87.543252595155707</v>
      </c>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s="138"/>
      <c r="BO212" s="125"/>
      <c r="BP212" s="138"/>
    </row>
    <row r="213" spans="1:68" ht="14.7" customHeight="1">
      <c r="A213" s="124" t="s">
        <v>126</v>
      </c>
      <c r="B213" s="158"/>
      <c r="C213">
        <v>66.666666666666657</v>
      </c>
      <c r="D213">
        <v>70.270270270270274</v>
      </c>
      <c r="E213">
        <v>77.511961722488039</v>
      </c>
      <c r="F213"/>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s="138"/>
      <c r="BO213" s="125"/>
      <c r="BP213" s="138"/>
    </row>
    <row r="214" spans="1:68" ht="14.7" customHeight="1">
      <c r="A214" s="124" t="s">
        <v>127</v>
      </c>
      <c r="B214" s="158"/>
      <c r="C214">
        <v>96.666666666666671</v>
      </c>
      <c r="D214">
        <v>71.651785714285708</v>
      </c>
      <c r="E214">
        <v>81.970443349753694</v>
      </c>
      <c r="F214"/>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s="138"/>
      <c r="BO214" s="125"/>
      <c r="BP214" s="138"/>
    </row>
    <row r="215" spans="1:68" ht="14.7" customHeight="1">
      <c r="A215" s="124" t="s">
        <v>241</v>
      </c>
      <c r="B215" s="158"/>
      <c r="C215">
        <v>100</v>
      </c>
      <c r="D215">
        <v>100</v>
      </c>
      <c r="E215">
        <v>100</v>
      </c>
      <c r="F215"/>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s="138"/>
      <c r="BO215" s="125"/>
      <c r="BP215" s="138"/>
    </row>
    <row r="216" spans="1:68" ht="14.7" customHeight="1">
      <c r="A216" s="124" t="s">
        <v>128</v>
      </c>
      <c r="B216" s="158"/>
      <c r="C216">
        <v>81.818181818181827</v>
      </c>
      <c r="D216">
        <v>83.246073298429323</v>
      </c>
      <c r="E216">
        <v>86.9980879541109</v>
      </c>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s="138"/>
      <c r="BO216" s="125"/>
      <c r="BP216" s="138"/>
    </row>
    <row r="217" spans="1:68" ht="14.7" customHeight="1">
      <c r="A217" s="124" t="s">
        <v>129</v>
      </c>
      <c r="B217" s="158"/>
      <c r="C217">
        <v>93.75</v>
      </c>
      <c r="D217">
        <v>92.432432432432435</v>
      </c>
      <c r="E217">
        <v>90.9967845659164</v>
      </c>
      <c r="F217"/>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s="138"/>
      <c r="BO217" s="125"/>
      <c r="BP217" s="138"/>
    </row>
    <row r="218" spans="1:68" ht="14.7" customHeight="1">
      <c r="A218" s="124" t="s">
        <v>130</v>
      </c>
      <c r="B218" s="158"/>
      <c r="C218">
        <v>74.418604651162795</v>
      </c>
      <c r="D218">
        <v>75.570032573289907</v>
      </c>
      <c r="E218">
        <v>80.518018018018026</v>
      </c>
      <c r="F218"/>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s="138"/>
      <c r="BO218" s="125"/>
      <c r="BP218" s="138"/>
    </row>
    <row r="219" spans="1:68" ht="14.7" customHeight="1">
      <c r="A219" s="124" t="s">
        <v>131</v>
      </c>
      <c r="B219" s="158"/>
      <c r="C219">
        <v>77.777777777777786</v>
      </c>
      <c r="D219">
        <v>86.04651162790698</v>
      </c>
      <c r="E219">
        <v>98.076923076923066</v>
      </c>
      <c r="F219"/>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s="138"/>
      <c r="BO219" s="125"/>
      <c r="BP219" s="138"/>
    </row>
    <row r="220" spans="1:68" ht="14.7" customHeight="1">
      <c r="A220" s="124" t="s">
        <v>285</v>
      </c>
      <c r="B220" s="158"/>
      <c r="C220">
        <v>89.285714285714292</v>
      </c>
      <c r="D220">
        <v>94.262295081967224</v>
      </c>
      <c r="E220">
        <v>94.978165938864635</v>
      </c>
      <c r="F220"/>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s="138"/>
      <c r="BO220" s="125"/>
      <c r="BP220" s="138"/>
    </row>
    <row r="221" spans="1:68" ht="14.7" customHeight="1">
      <c r="A221" s="124" t="s">
        <v>132</v>
      </c>
      <c r="B221" s="158"/>
      <c r="C221">
        <v>100</v>
      </c>
      <c r="D221">
        <v>84.615384615384613</v>
      </c>
      <c r="E221">
        <v>88.549618320610691</v>
      </c>
      <c r="F221"/>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s="138"/>
      <c r="BO221" s="125"/>
      <c r="BP221" s="138"/>
    </row>
    <row r="222" spans="1:68" ht="14.7" customHeight="1">
      <c r="A222" s="124" t="s">
        <v>242</v>
      </c>
      <c r="B222" s="158"/>
      <c r="C222">
        <v>84.313725490196077</v>
      </c>
      <c r="D222">
        <v>86.267605633802816</v>
      </c>
      <c r="E222">
        <v>83.333333333333343</v>
      </c>
      <c r="F222"/>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s="138"/>
      <c r="BO222" s="125"/>
      <c r="BP222" s="138"/>
    </row>
    <row r="223" spans="1:68" ht="14.7" customHeight="1">
      <c r="A223" s="124" t="s">
        <v>243</v>
      </c>
      <c r="B223" s="158"/>
      <c r="C223">
        <v>87.179487179487182</v>
      </c>
      <c r="D223">
        <v>91.77215189873418</v>
      </c>
      <c r="E223">
        <v>90.765492102065622</v>
      </c>
      <c r="F223"/>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s="138"/>
      <c r="BO223" s="125"/>
      <c r="BP223" s="138"/>
    </row>
    <row r="224" spans="1:68" ht="14.7" customHeight="1">
      <c r="A224" s="124" t="s">
        <v>133</v>
      </c>
      <c r="B224" s="158"/>
      <c r="C224">
        <v>65.384615384615387</v>
      </c>
      <c r="D224">
        <v>55.072463768115945</v>
      </c>
      <c r="E224">
        <v>67.391304347826093</v>
      </c>
      <c r="F224"/>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s="138"/>
      <c r="BO224" s="125"/>
      <c r="BP224" s="138"/>
    </row>
    <row r="225" spans="1:68" ht="14.7" customHeight="1">
      <c r="A225" s="124" t="s">
        <v>134</v>
      </c>
      <c r="B225" s="158"/>
      <c r="C225">
        <v>97.826086956521735</v>
      </c>
      <c r="D225">
        <v>92.876712328767113</v>
      </c>
      <c r="E225">
        <v>97.503900156006239</v>
      </c>
      <c r="F225"/>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s="138"/>
      <c r="BO225" s="125"/>
      <c r="BP225" s="138"/>
    </row>
    <row r="226" spans="1:68" ht="14.7" customHeight="1">
      <c r="A226" s="124" t="s">
        <v>244</v>
      </c>
      <c r="B226" s="158"/>
      <c r="C226">
        <v>88.571428571428569</v>
      </c>
      <c r="D226">
        <v>84.337349397590373</v>
      </c>
      <c r="E226">
        <v>93.582375478927204</v>
      </c>
      <c r="F226"/>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s="138"/>
      <c r="BO226" s="125"/>
      <c r="BP226" s="138"/>
    </row>
    <row r="227" spans="1:68" ht="14.7" customHeight="1">
      <c r="A227" s="124" t="s">
        <v>135</v>
      </c>
      <c r="B227" s="158"/>
      <c r="C227">
        <v>84</v>
      </c>
      <c r="D227">
        <v>78.688524590163937</v>
      </c>
      <c r="E227">
        <v>84.848484848484844</v>
      </c>
      <c r="F227"/>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s="138"/>
      <c r="BO227" s="125"/>
      <c r="BP227" s="138"/>
    </row>
    <row r="228" spans="1:68" ht="14.7" customHeight="1">
      <c r="A228" s="124" t="s">
        <v>136</v>
      </c>
      <c r="B228" s="158"/>
      <c r="C228">
        <v>90</v>
      </c>
      <c r="D228">
        <v>84.691358024691354</v>
      </c>
      <c r="E228">
        <v>92.382495948136139</v>
      </c>
      <c r="F228"/>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s="138"/>
      <c r="BO228" s="125"/>
      <c r="BP228" s="138"/>
    </row>
    <row r="229" spans="1:68" ht="14.7" customHeight="1">
      <c r="A229" s="124" t="s">
        <v>245</v>
      </c>
      <c r="B229" s="158"/>
      <c r="C229">
        <v>88.095238095238088</v>
      </c>
      <c r="D229">
        <v>74.120082815734989</v>
      </c>
      <c r="E229">
        <v>78.694158075601379</v>
      </c>
      <c r="F229"/>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s="138"/>
      <c r="BO229" s="125"/>
      <c r="BP229" s="138"/>
    </row>
    <row r="230" spans="1:68" ht="14.7" customHeight="1">
      <c r="A230" s="124" t="s">
        <v>325</v>
      </c>
      <c r="B230" s="158"/>
      <c r="C230">
        <v>72.448979591836732</v>
      </c>
      <c r="D230">
        <v>72.718808193668522</v>
      </c>
      <c r="E230">
        <v>83.462532299741596</v>
      </c>
      <c r="F230"/>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s="138"/>
      <c r="BO230" s="125"/>
      <c r="BP230" s="138"/>
    </row>
    <row r="231" spans="1:68" ht="14.7" customHeight="1">
      <c r="A231" s="124" t="s">
        <v>286</v>
      </c>
      <c r="B231" s="158"/>
      <c r="C231">
        <v>92</v>
      </c>
      <c r="D231">
        <v>58.441558441558442</v>
      </c>
      <c r="E231">
        <v>70.134228187919462</v>
      </c>
      <c r="F231"/>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s="138"/>
      <c r="BO231" s="125"/>
      <c r="BP231" s="138"/>
    </row>
    <row r="232" spans="1:68" ht="14.7" customHeight="1">
      <c r="A232" s="124" t="s">
        <v>246</v>
      </c>
      <c r="B232" s="158"/>
      <c r="C232">
        <v>95.833333333333343</v>
      </c>
      <c r="D232">
        <v>89.719626168224295</v>
      </c>
      <c r="E232">
        <v>81.674958540630186</v>
      </c>
      <c r="F232"/>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s="138"/>
      <c r="BO232" s="125"/>
      <c r="BP232" s="138"/>
    </row>
    <row r="233" spans="1:68" ht="14.7" customHeight="1">
      <c r="A233" s="124" t="s">
        <v>899</v>
      </c>
      <c r="B233" s="158"/>
      <c r="C233">
        <v>76.923076923076934</v>
      </c>
      <c r="D233">
        <v>72.727272727272734</v>
      </c>
      <c r="E233">
        <v>80.470914127423825</v>
      </c>
      <c r="F233"/>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s="138"/>
      <c r="BO233" s="125"/>
      <c r="BP233" s="138"/>
    </row>
    <row r="234" spans="1:68" ht="14.7" customHeight="1">
      <c r="A234" s="124" t="s">
        <v>138</v>
      </c>
      <c r="B234" s="157"/>
      <c r="C234">
        <v>69.117647058823522</v>
      </c>
      <c r="D234">
        <v>65.158371040723978</v>
      </c>
      <c r="E234">
        <v>77.095937770095063</v>
      </c>
      <c r="F234"/>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s="138"/>
      <c r="BO234" s="155"/>
      <c r="BP234" s="138"/>
    </row>
    <row r="235" spans="1:68" ht="14.7" customHeight="1">
      <c r="A235" s="124" t="s">
        <v>139</v>
      </c>
      <c r="B235" s="158"/>
      <c r="C235">
        <v>91.891891891891902</v>
      </c>
      <c r="D235">
        <v>79.069767441860463</v>
      </c>
      <c r="E235">
        <v>92.307692307692307</v>
      </c>
      <c r="F235"/>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s="138"/>
      <c r="BO235" s="125"/>
      <c r="BP235" s="138"/>
    </row>
    <row r="236" spans="1:68" ht="14.7" customHeight="1">
      <c r="A236" s="124" t="s">
        <v>287</v>
      </c>
      <c r="B236" s="158"/>
      <c r="C236">
        <v>89.393939393939391</v>
      </c>
      <c r="D236">
        <v>84.231536926147712</v>
      </c>
      <c r="E236">
        <v>90.375586854460096</v>
      </c>
      <c r="F236"/>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s="138"/>
      <c r="BO236" s="125"/>
      <c r="BP236" s="138"/>
    </row>
    <row r="237" spans="1:68" ht="14.7" customHeight="1">
      <c r="A237" s="124" t="s">
        <v>140</v>
      </c>
      <c r="B237" s="158"/>
      <c r="C237">
        <v>75.757575757575751</v>
      </c>
      <c r="D237">
        <v>85.513078470824951</v>
      </c>
      <c r="E237">
        <v>88.324873096446694</v>
      </c>
      <c r="F237"/>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s="138"/>
      <c r="BO237" s="125"/>
      <c r="BP237" s="138"/>
    </row>
    <row r="238" spans="1:68" ht="14.7" customHeight="1">
      <c r="A238" s="124" t="s">
        <v>141</v>
      </c>
      <c r="B238" s="158"/>
      <c r="C238">
        <v>95</v>
      </c>
      <c r="D238">
        <v>93.059125964010278</v>
      </c>
      <c r="E238">
        <v>95.767195767195773</v>
      </c>
      <c r="F238"/>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s="138"/>
      <c r="BO238" s="125"/>
      <c r="BP238" s="138"/>
    </row>
    <row r="239" spans="1:68" ht="14.7" customHeight="1">
      <c r="A239" t="s">
        <v>142</v>
      </c>
      <c r="B239" s="158"/>
      <c r="C239">
        <v>92.307692307692307</v>
      </c>
      <c r="D239">
        <v>84.838709677419359</v>
      </c>
      <c r="E239">
        <v>86.799501867995019</v>
      </c>
      <c r="F239"/>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s="138"/>
      <c r="BO239" s="125"/>
      <c r="BP239" s="138"/>
    </row>
    <row r="240" spans="1:68" ht="14.7" customHeight="1">
      <c r="A240" t="s">
        <v>143</v>
      </c>
      <c r="B240" s="158"/>
      <c r="C240">
        <v>94.117647058823522</v>
      </c>
      <c r="D240">
        <v>68.150684931506845</v>
      </c>
      <c r="E240">
        <v>71.334431630971991</v>
      </c>
      <c r="F240"/>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s="138"/>
      <c r="BO240" s="125"/>
      <c r="BP240" s="138"/>
    </row>
    <row r="241" spans="1:68" ht="14.7" customHeight="1">
      <c r="A241" s="124" t="s">
        <v>144</v>
      </c>
      <c r="B241" s="158"/>
      <c r="C241">
        <v>94.73684210526315</v>
      </c>
      <c r="D241">
        <v>84.109589041095887</v>
      </c>
      <c r="E241">
        <v>91.676040494938135</v>
      </c>
      <c r="F241"/>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s="138"/>
      <c r="BO241" s="125"/>
      <c r="BP241" s="138"/>
    </row>
    <row r="242" spans="1:68" ht="14.7" customHeight="1">
      <c r="A242" s="124" t="s">
        <v>146</v>
      </c>
      <c r="B242" s="158"/>
      <c r="C242">
        <v>78</v>
      </c>
      <c r="D242">
        <v>80.22727272727272</v>
      </c>
      <c r="E242">
        <v>84.741322855271775</v>
      </c>
      <c r="F242"/>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s="138"/>
      <c r="BO242" s="125"/>
      <c r="BP242" s="138"/>
    </row>
    <row r="243" spans="1:68" ht="14.7" customHeight="1">
      <c r="A243" s="124" t="s">
        <v>147</v>
      </c>
      <c r="B243" s="158"/>
      <c r="C243">
        <v>85</v>
      </c>
      <c r="D243">
        <v>82.485875706214685</v>
      </c>
      <c r="E243">
        <v>89.800995024875618</v>
      </c>
      <c r="F243"/>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s="138"/>
      <c r="BO243" s="125"/>
      <c r="BP243" s="138"/>
    </row>
    <row r="244" spans="1:68" ht="14.7" customHeight="1">
      <c r="A244" s="124" t="s">
        <v>148</v>
      </c>
      <c r="B244" s="158"/>
      <c r="C244">
        <v>80.487804878048792</v>
      </c>
      <c r="D244">
        <v>82.412060301507537</v>
      </c>
      <c r="E244">
        <v>92.133620689655174</v>
      </c>
      <c r="F244"/>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s="138"/>
      <c r="BO244" s="125"/>
      <c r="BP244" s="138"/>
    </row>
    <row r="245" spans="1:68" ht="14.7" customHeight="1">
      <c r="A245" s="124" t="s">
        <v>149</v>
      </c>
      <c r="B245" s="158"/>
      <c r="C245">
        <v>91.304347826086953</v>
      </c>
      <c r="D245">
        <v>91.005291005290999</v>
      </c>
      <c r="E245">
        <v>95.12635379061372</v>
      </c>
      <c r="F245"/>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s="138"/>
      <c r="BO245" s="125"/>
      <c r="BP245" s="138"/>
    </row>
    <row r="246" spans="1:68" ht="14.7" customHeight="1">
      <c r="A246" s="124" t="s">
        <v>247</v>
      </c>
      <c r="B246" s="158"/>
      <c r="C246">
        <v>100</v>
      </c>
      <c r="D246">
        <v>89.772727272727266</v>
      </c>
      <c r="E246">
        <v>90.090090090090087</v>
      </c>
      <c r="F246"/>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s="138"/>
      <c r="BO246" s="125"/>
      <c r="BP246" s="138"/>
    </row>
    <row r="247" spans="1:68" ht="14.7" customHeight="1">
      <c r="A247" s="124" t="s">
        <v>288</v>
      </c>
      <c r="B247" s="158"/>
      <c r="C247">
        <v>100</v>
      </c>
      <c r="D247">
        <v>93.220338983050837</v>
      </c>
      <c r="E247">
        <v>95.918367346938766</v>
      </c>
      <c r="F247"/>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s="138"/>
      <c r="BO247" s="125"/>
      <c r="BP247" s="138"/>
    </row>
    <row r="248" spans="1:68" ht="14.7" customHeight="1">
      <c r="A248" s="124" t="s">
        <v>289</v>
      </c>
      <c r="B248" s="158"/>
      <c r="C248">
        <v>100</v>
      </c>
      <c r="D248">
        <v>98.433420365535255</v>
      </c>
      <c r="E248">
        <v>98.979591836734699</v>
      </c>
      <c r="F248"/>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s="138"/>
      <c r="BO248" s="125"/>
      <c r="BP248" s="138"/>
    </row>
    <row r="249" spans="1:68" ht="14.7" customHeight="1">
      <c r="A249" s="124" t="s">
        <v>217</v>
      </c>
      <c r="B249" s="158"/>
      <c r="C249">
        <v>77.083333333333343</v>
      </c>
      <c r="D249">
        <v>74.151857835218095</v>
      </c>
      <c r="E249">
        <v>79.175475687103585</v>
      </c>
      <c r="F249"/>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s="138"/>
      <c r="BO249" s="125"/>
      <c r="BP249" s="138"/>
    </row>
    <row r="250" spans="1:68" ht="14.7" customHeight="1">
      <c r="A250" s="124" t="s">
        <v>150</v>
      </c>
      <c r="B250" s="158"/>
      <c r="C250">
        <v>100</v>
      </c>
      <c r="D250">
        <v>93.430656934306569</v>
      </c>
      <c r="E250">
        <v>97.800338409475458</v>
      </c>
      <c r="F250"/>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s="138"/>
      <c r="BO250" s="125"/>
      <c r="BP250" s="138"/>
    </row>
    <row r="251" spans="1:68" ht="14.7" customHeight="1">
      <c r="A251" s="124" t="s">
        <v>151</v>
      </c>
      <c r="B251" s="158"/>
      <c r="C251">
        <v>75.862068965517238</v>
      </c>
      <c r="D251">
        <v>71.940298507462686</v>
      </c>
      <c r="E251">
        <v>72.208121827411162</v>
      </c>
      <c r="F251"/>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s="138"/>
      <c r="BO251" s="125"/>
      <c r="BP251" s="138"/>
    </row>
    <row r="252" spans="1:68" ht="14.7" customHeight="1">
      <c r="A252" s="124" t="s">
        <v>248</v>
      </c>
      <c r="B252" s="158"/>
      <c r="C252">
        <v>97.297297297297305</v>
      </c>
      <c r="D252">
        <v>97.122302158273371</v>
      </c>
      <c r="E252">
        <v>97.85407725321889</v>
      </c>
      <c r="F252"/>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s="138"/>
      <c r="BO252" s="125"/>
      <c r="BP252" s="138"/>
    </row>
    <row r="253" spans="1:68" ht="14.7" customHeight="1">
      <c r="A253" s="124" t="s">
        <v>153</v>
      </c>
      <c r="B253" s="158"/>
      <c r="C253">
        <v>78.571428571428569</v>
      </c>
      <c r="D253">
        <v>72.440944881889763</v>
      </c>
      <c r="E253">
        <v>76.368159203980099</v>
      </c>
      <c r="F253"/>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s="138"/>
      <c r="BO253" s="125"/>
      <c r="BP253" s="138"/>
    </row>
    <row r="254" spans="1:68" ht="14.7" customHeight="1">
      <c r="A254" s="124" t="s">
        <v>154</v>
      </c>
      <c r="B254" s="158"/>
      <c r="C254">
        <v>100</v>
      </c>
      <c r="D254">
        <v>89.947089947089935</v>
      </c>
      <c r="E254">
        <v>90.995260663507111</v>
      </c>
      <c r="F254"/>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s="138"/>
      <c r="BO254" s="125"/>
      <c r="BP254" s="138"/>
    </row>
    <row r="255" spans="1:68" ht="14.7" customHeight="1">
      <c r="A255" s="124" t="s">
        <v>155</v>
      </c>
      <c r="B255" s="158"/>
      <c r="C255">
        <v>85.714285714285708</v>
      </c>
      <c r="D255">
        <v>78.205128205128204</v>
      </c>
      <c r="E255">
        <v>93.525179856115102</v>
      </c>
      <c r="F255"/>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s="138"/>
      <c r="BO255" s="125"/>
      <c r="BP255" s="138"/>
    </row>
    <row r="256" spans="1:68" ht="14.7" customHeight="1">
      <c r="A256" s="124" t="s">
        <v>249</v>
      </c>
      <c r="B256" s="158"/>
      <c r="C256">
        <v>100</v>
      </c>
      <c r="D256">
        <v>91.760299625468164</v>
      </c>
      <c r="E256">
        <v>86.486486486486484</v>
      </c>
      <c r="F256"/>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s="138"/>
      <c r="BO256" s="125"/>
      <c r="BP256" s="138"/>
    </row>
    <row r="257" spans="1:68" ht="14.7" customHeight="1">
      <c r="A257" s="124" t="s">
        <v>290</v>
      </c>
      <c r="B257" s="158"/>
      <c r="C257">
        <v>86.666666666666671</v>
      </c>
      <c r="D257">
        <v>76.811594202898547</v>
      </c>
      <c r="E257">
        <v>85.524126455906824</v>
      </c>
      <c r="F257"/>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s="138"/>
      <c r="BO257" s="125"/>
      <c r="BP257" s="138"/>
    </row>
    <row r="258" spans="1:68" ht="14.7" customHeight="1">
      <c r="A258" s="124" t="s">
        <v>291</v>
      </c>
      <c r="B258" s="158"/>
      <c r="C258">
        <v>100</v>
      </c>
      <c r="D258">
        <v>92.045454545454547</v>
      </c>
      <c r="E258">
        <v>92.1875</v>
      </c>
      <c r="F258"/>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s="138"/>
      <c r="BO258" s="125"/>
      <c r="BP258" s="138"/>
    </row>
    <row r="259" spans="1:68" ht="14.7" customHeight="1">
      <c r="A259" s="124" t="s">
        <v>156</v>
      </c>
      <c r="B259" s="158"/>
      <c r="C259">
        <v>92.063492063492063</v>
      </c>
      <c r="D259">
        <v>83.70044052863436</v>
      </c>
      <c r="E259">
        <v>79.52</v>
      </c>
      <c r="F259"/>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s="138"/>
      <c r="BO259" s="125"/>
      <c r="BP259" s="138"/>
    </row>
    <row r="260" spans="1:68" ht="14.7" customHeight="1">
      <c r="A260" s="124" t="s">
        <v>157</v>
      </c>
      <c r="B260" s="158"/>
      <c r="C260">
        <v>87.5</v>
      </c>
      <c r="D260">
        <v>86.956521739130437</v>
      </c>
      <c r="E260">
        <v>87.51115075825156</v>
      </c>
      <c r="F260"/>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s="138"/>
      <c r="BO260" s="125"/>
      <c r="BP260" s="138"/>
    </row>
    <row r="261" spans="1:68" ht="14.7" customHeight="1">
      <c r="A261" t="s">
        <v>250</v>
      </c>
      <c r="B261" s="158"/>
      <c r="C261">
        <v>100</v>
      </c>
      <c r="D261">
        <v>87.037037037037038</v>
      </c>
      <c r="E261">
        <v>93.001555209953352</v>
      </c>
      <c r="F261"/>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s="138"/>
      <c r="BO261" s="125"/>
      <c r="BP261" s="138"/>
    </row>
    <row r="262" spans="1:68" ht="14.7" customHeight="1">
      <c r="A262" s="124" t="s">
        <v>159</v>
      </c>
      <c r="B262" s="158"/>
      <c r="C262">
        <v>93.103448275862064</v>
      </c>
      <c r="D262">
        <v>88.571428571428569</v>
      </c>
      <c r="E262">
        <v>84.757118927973195</v>
      </c>
      <c r="F262"/>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s="138"/>
      <c r="BO262" s="125"/>
      <c r="BP262" s="138"/>
    </row>
    <row r="263" spans="1:68" ht="14.7" customHeight="1">
      <c r="A263" s="124" t="s">
        <v>218</v>
      </c>
      <c r="B263" s="158"/>
      <c r="C263">
        <v>100</v>
      </c>
      <c r="D263">
        <v>83.333333333333343</v>
      </c>
      <c r="E263">
        <v>91.296625222024858</v>
      </c>
      <c r="F263"/>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s="138"/>
      <c r="BO263" s="125"/>
      <c r="BP263" s="138"/>
    </row>
    <row r="264" spans="1:68" ht="14.7" customHeight="1">
      <c r="A264" t="s">
        <v>160</v>
      </c>
      <c r="B264" s="158"/>
      <c r="C264">
        <v>87.272727272727266</v>
      </c>
      <c r="D264">
        <v>92.664092664092664</v>
      </c>
      <c r="E264">
        <v>96.81978798586573</v>
      </c>
      <c r="F264"/>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s="138"/>
      <c r="BO264" s="125"/>
      <c r="BP264" s="138"/>
    </row>
    <row r="265" spans="1:68" ht="14.7" customHeight="1">
      <c r="A265" s="124" t="s">
        <v>292</v>
      </c>
      <c r="B265" s="158"/>
      <c r="C265">
        <v>100</v>
      </c>
      <c r="D265">
        <v>93.150684931506845</v>
      </c>
      <c r="E265">
        <v>95.258019525801956</v>
      </c>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s="138"/>
      <c r="BO265" s="125"/>
      <c r="BP265" s="138"/>
    </row>
    <row r="266" spans="1:68" ht="14.7" customHeight="1">
      <c r="A266" t="s">
        <v>251</v>
      </c>
      <c r="B266" s="158"/>
      <c r="C266">
        <v>100</v>
      </c>
      <c r="D266">
        <v>86.666666666666671</v>
      </c>
      <c r="E266">
        <v>95.035460992907801</v>
      </c>
      <c r="F266"/>
      <c r="G266"/>
      <c r="H266"/>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s="138"/>
      <c r="BO266" s="125"/>
      <c r="BP266" s="138"/>
    </row>
    <row r="267" spans="1:68" ht="14.7" customHeight="1">
      <c r="A267" s="124" t="s">
        <v>161</v>
      </c>
      <c r="B267" s="158"/>
      <c r="C267">
        <v>100</v>
      </c>
      <c r="D267">
        <v>100</v>
      </c>
      <c r="E267">
        <v>100</v>
      </c>
      <c r="F267"/>
      <c r="G267"/>
      <c r="H267"/>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s="138"/>
      <c r="BO267" s="125"/>
      <c r="BP267" s="138"/>
    </row>
    <row r="268" spans="1:68" ht="14.7" customHeight="1">
      <c r="A268" s="124" t="s">
        <v>162</v>
      </c>
      <c r="B268" s="158"/>
      <c r="C268">
        <v>55.000000000000007</v>
      </c>
      <c r="D268">
        <v>56.221198156682028</v>
      </c>
      <c r="E268">
        <v>69.676320272572397</v>
      </c>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s="138"/>
      <c r="BO268" s="125"/>
      <c r="BP268" s="138"/>
    </row>
    <row r="269" spans="1:68" ht="14.7" customHeight="1">
      <c r="A269" s="124" t="s">
        <v>164</v>
      </c>
      <c r="B269" s="158"/>
      <c r="C269">
        <v>83.333333333333343</v>
      </c>
      <c r="D269">
        <v>56.338028169014088</v>
      </c>
      <c r="E269">
        <v>62.88</v>
      </c>
      <c r="F269"/>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s="138"/>
      <c r="BO269" s="125"/>
      <c r="BP269" s="138"/>
    </row>
    <row r="270" spans="1:68" ht="14.7" customHeight="1">
      <c r="A270" t="s">
        <v>814</v>
      </c>
      <c r="B270" s="158"/>
      <c r="C270">
        <v>100</v>
      </c>
      <c r="D270">
        <v>95.631067961165044</v>
      </c>
      <c r="E270">
        <v>99.292035398230084</v>
      </c>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s="138"/>
      <c r="BO270" s="125"/>
      <c r="BP270" s="138"/>
    </row>
    <row r="271" spans="1:68" ht="14.7" customHeight="1">
      <c r="A271" t="s">
        <v>165</v>
      </c>
      <c r="B271" s="158"/>
      <c r="C271">
        <v>89.130434782608688</v>
      </c>
      <c r="D271">
        <v>71.15384615384616</v>
      </c>
      <c r="E271">
        <v>86.175115207373281</v>
      </c>
      <c r="F271"/>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s="138"/>
      <c r="BO271" s="125"/>
      <c r="BP271" s="138"/>
    </row>
    <row r="272" spans="1:68" ht="14.7" customHeight="1">
      <c r="A272" s="124" t="s">
        <v>166</v>
      </c>
      <c r="B272" s="158"/>
      <c r="C272">
        <v>93.548387096774192</v>
      </c>
      <c r="D272">
        <v>84.758364312267659</v>
      </c>
      <c r="E272">
        <v>93.127490039840637</v>
      </c>
      <c r="F272"/>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s="138"/>
      <c r="BO272" s="125"/>
      <c r="BP272" s="138"/>
    </row>
    <row r="273" spans="1:68" ht="14.7" customHeight="1">
      <c r="A273" s="124" t="s">
        <v>167</v>
      </c>
      <c r="B273" s="158"/>
      <c r="C273">
        <v>63.888888888888886</v>
      </c>
      <c r="D273">
        <v>58.031088082901547</v>
      </c>
      <c r="E273">
        <v>82.61562998405104</v>
      </c>
      <c r="F273"/>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s="138"/>
      <c r="BO273" s="125"/>
      <c r="BP273" s="138"/>
    </row>
    <row r="274" spans="1:68" ht="14.7" customHeight="1">
      <c r="A274" s="124" t="s">
        <v>168</v>
      </c>
      <c r="B274" s="158"/>
      <c r="C274">
        <v>66.666666666666657</v>
      </c>
      <c r="D274">
        <v>63.241106719367593</v>
      </c>
      <c r="E274">
        <v>74.425287356321832</v>
      </c>
      <c r="F274"/>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s="138"/>
      <c r="BO274" s="125"/>
      <c r="BP274" s="138"/>
    </row>
    <row r="275" spans="1:68" ht="14.7" customHeight="1">
      <c r="A275" s="124" t="s">
        <v>169</v>
      </c>
      <c r="B275" s="158"/>
      <c r="C275">
        <v>100</v>
      </c>
      <c r="D275">
        <v>95.275590551181097</v>
      </c>
      <c r="E275">
        <v>96.437346437346434</v>
      </c>
      <c r="F275"/>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s="138"/>
      <c r="BO275" s="125"/>
      <c r="BP275" s="138"/>
    </row>
    <row r="276" spans="1:68" ht="14.7" customHeight="1">
      <c r="A276" s="124" t="s">
        <v>293</v>
      </c>
      <c r="B276" s="158"/>
      <c r="C276">
        <v>96.666666666666671</v>
      </c>
      <c r="D276">
        <v>98.76543209876543</v>
      </c>
      <c r="E276">
        <v>99.700598802395206</v>
      </c>
      <c r="F276"/>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s="138"/>
      <c r="BO276" s="125"/>
      <c r="BP276" s="138"/>
    </row>
    <row r="277" spans="1:68" ht="14.7" customHeight="1">
      <c r="A277" s="124" t="s">
        <v>349</v>
      </c>
      <c r="B277" s="158"/>
      <c r="C277">
        <v>82.35294117647058</v>
      </c>
      <c r="D277">
        <v>74.693877551020407</v>
      </c>
      <c r="E277">
        <v>81.393034825870643</v>
      </c>
      <c r="F277"/>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s="138"/>
      <c r="BO277" s="125"/>
      <c r="BP277" s="138"/>
    </row>
    <row r="278" spans="1:68" ht="14.7" customHeight="1">
      <c r="A278" t="s">
        <v>294</v>
      </c>
      <c r="B278" s="158"/>
      <c r="C278">
        <v>95.652173913043484</v>
      </c>
      <c r="D278">
        <v>71.689497716894977</v>
      </c>
      <c r="E278">
        <v>80.665610142630754</v>
      </c>
      <c r="F278"/>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s="138"/>
      <c r="BO278" s="125"/>
      <c r="BP278" s="138"/>
    </row>
    <row r="279" spans="1:68" ht="14.7" customHeight="1">
      <c r="A279" s="124" t="s">
        <v>170</v>
      </c>
      <c r="B279" s="158"/>
      <c r="C279">
        <v>94.285714285714278</v>
      </c>
      <c r="D279">
        <v>93.577981651376149</v>
      </c>
      <c r="E279">
        <v>95.614035087719301</v>
      </c>
      <c r="F279"/>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s="138"/>
      <c r="BO279" s="125"/>
      <c r="BP279" s="138"/>
    </row>
    <row r="280" spans="1:68" ht="14.7" customHeight="1">
      <c r="A280" s="124" t="s">
        <v>219</v>
      </c>
      <c r="B280" s="158"/>
      <c r="C280">
        <v>95.238095238095227</v>
      </c>
      <c r="D280">
        <v>90.807174887892373</v>
      </c>
      <c r="E280">
        <v>93.010752688172033</v>
      </c>
      <c r="F280"/>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s="138"/>
      <c r="BO280" s="125"/>
      <c r="BP280" s="138"/>
    </row>
    <row r="281" spans="1:68" ht="14.7" customHeight="1">
      <c r="A281" t="s">
        <v>252</v>
      </c>
      <c r="B281" s="158"/>
      <c r="C281">
        <v>96</v>
      </c>
      <c r="D281">
        <v>80.204778156996596</v>
      </c>
      <c r="E281">
        <v>74.679487179487182</v>
      </c>
      <c r="F281"/>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s="138"/>
      <c r="BO281" s="125"/>
      <c r="BP281" s="138"/>
    </row>
    <row r="282" spans="1:68" ht="14.7" customHeight="1">
      <c r="A282" s="124" t="s">
        <v>171</v>
      </c>
      <c r="B282" s="158"/>
      <c r="C282">
        <v>98.75</v>
      </c>
      <c r="D282">
        <v>96.142433234421361</v>
      </c>
      <c r="E282">
        <v>98.123980424143554</v>
      </c>
      <c r="F282"/>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s="138"/>
      <c r="BO282" s="125"/>
      <c r="BP282" s="138"/>
    </row>
    <row r="283" spans="1:68" ht="14.7" customHeight="1">
      <c r="A283" s="124" t="s">
        <v>172</v>
      </c>
      <c r="B283" s="158"/>
      <c r="C283">
        <v>76.19047619047619</v>
      </c>
      <c r="D283">
        <v>80.504587155963307</v>
      </c>
      <c r="E283">
        <v>87.884806355511429</v>
      </c>
      <c r="F283"/>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s="138"/>
      <c r="BO283" s="125"/>
      <c r="BP283" s="138"/>
    </row>
    <row r="284" spans="1:68" ht="14.7" customHeight="1">
      <c r="A284" s="124" t="s">
        <v>173</v>
      </c>
      <c r="B284" s="158"/>
      <c r="C284">
        <v>54.761904761904766</v>
      </c>
      <c r="D284">
        <v>69.361702127659569</v>
      </c>
      <c r="E284">
        <v>80.806979280261729</v>
      </c>
      <c r="F284"/>
      <c r="G284"/>
      <c r="H284"/>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s="138"/>
      <c r="BO284" s="125"/>
      <c r="BP284" s="138"/>
    </row>
    <row r="285" spans="1:68" ht="14.7" customHeight="1">
      <c r="A285" s="124" t="s">
        <v>253</v>
      </c>
      <c r="B285" s="158"/>
      <c r="C285">
        <v>87.931034482758619</v>
      </c>
      <c r="D285">
        <v>89.583333333333343</v>
      </c>
      <c r="E285">
        <v>88.807339449541288</v>
      </c>
      <c r="F285"/>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s="138"/>
      <c r="BO285" s="125"/>
      <c r="BP285" s="138"/>
    </row>
    <row r="286" spans="1:68" ht="14.7" customHeight="1">
      <c r="A286" s="124" t="s">
        <v>254</v>
      </c>
      <c r="B286" s="158"/>
      <c r="C286">
        <v>68.75</v>
      </c>
      <c r="D286">
        <v>72.067039106145245</v>
      </c>
      <c r="E286">
        <v>89.851485148514854</v>
      </c>
      <c r="F286"/>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s="138"/>
      <c r="BO286" s="125"/>
      <c r="BP286" s="138"/>
    </row>
    <row r="287" spans="1:68" ht="14.7" customHeight="1">
      <c r="A287" s="124" t="s">
        <v>220</v>
      </c>
      <c r="B287" s="158"/>
      <c r="C287">
        <v>92.307692307692307</v>
      </c>
      <c r="D287">
        <v>84.28246013667426</v>
      </c>
      <c r="E287">
        <v>92.84210526315789</v>
      </c>
      <c r="F287"/>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s="138"/>
      <c r="BO287" s="125"/>
      <c r="BP287" s="138"/>
    </row>
    <row r="288" spans="1:68" ht="14.7" customHeight="1">
      <c r="A288" s="124" t="s">
        <v>221</v>
      </c>
      <c r="B288" s="158"/>
      <c r="C288">
        <v>86.486486486486484</v>
      </c>
      <c r="D288">
        <v>83.054393305439334</v>
      </c>
      <c r="E288">
        <v>84.336475707034083</v>
      </c>
      <c r="F288"/>
      <c r="G288"/>
      <c r="H288"/>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s="138"/>
      <c r="BO288" s="125"/>
      <c r="BP288" s="138"/>
    </row>
    <row r="289" spans="1:68" ht="14.7" customHeight="1">
      <c r="A289" s="124" t="s">
        <v>295</v>
      </c>
      <c r="B289" s="158"/>
      <c r="C289">
        <v>93.939393939393938</v>
      </c>
      <c r="D289">
        <v>86.986301369863014</v>
      </c>
      <c r="E289">
        <v>81.818181818181827</v>
      </c>
      <c r="F289"/>
      <c r="G289"/>
      <c r="H289"/>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s="138"/>
      <c r="BO289" s="125"/>
      <c r="BP289" s="138"/>
    </row>
    <row r="290" spans="1:68" ht="14.7" customHeight="1">
      <c r="A290" s="124" t="s">
        <v>174</v>
      </c>
      <c r="B290" s="158"/>
      <c r="C290">
        <v>91.666666666666657</v>
      </c>
      <c r="D290">
        <v>80.888888888888886</v>
      </c>
      <c r="E290">
        <v>88.604898828540996</v>
      </c>
      <c r="F290"/>
      <c r="G290"/>
      <c r="H290"/>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s="138"/>
      <c r="BO290" s="125"/>
      <c r="BP290" s="138"/>
    </row>
    <row r="291" spans="1:68" ht="14.7" customHeight="1">
      <c r="A291" s="124" t="s">
        <v>175</v>
      </c>
      <c r="B291" s="158"/>
      <c r="C291">
        <v>28.571428571428569</v>
      </c>
      <c r="D291">
        <v>91.05263157894737</v>
      </c>
      <c r="E291">
        <v>96.551724137931032</v>
      </c>
      <c r="F291"/>
      <c r="G291"/>
      <c r="H291"/>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s="138"/>
      <c r="BO291" s="125"/>
      <c r="BP291" s="138"/>
    </row>
    <row r="292" spans="1:68" ht="14.7" customHeight="1">
      <c r="A292" s="124" t="s">
        <v>177</v>
      </c>
      <c r="B292" s="158"/>
      <c r="C292">
        <v>84.782608695652172</v>
      </c>
      <c r="D292">
        <v>76.883116883116884</v>
      </c>
      <c r="E292">
        <v>84.172661870503589</v>
      </c>
      <c r="F292"/>
      <c r="G292"/>
      <c r="H292"/>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s="138"/>
      <c r="BO292" s="125"/>
      <c r="BP292" s="138"/>
    </row>
    <row r="293" spans="1:68" ht="14.7" customHeight="1">
      <c r="A293" t="s">
        <v>178</v>
      </c>
      <c r="B293" s="158"/>
      <c r="C293">
        <v>91.044776119402982</v>
      </c>
      <c r="D293">
        <v>79.175257731958766</v>
      </c>
      <c r="E293">
        <v>91.277735271614375</v>
      </c>
      <c r="F293"/>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s="138"/>
      <c r="BO293" s="125"/>
      <c r="BP293" s="138"/>
    </row>
    <row r="294" spans="1:68" ht="14.7" customHeight="1">
      <c r="A294" s="124" t="s">
        <v>180</v>
      </c>
      <c r="B294" s="158"/>
      <c r="C294">
        <v>82.142857142857139</v>
      </c>
      <c r="D294">
        <v>84.662576687116569</v>
      </c>
      <c r="E294">
        <v>94.832041343669246</v>
      </c>
      <c r="F294"/>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s="138"/>
      <c r="BO294" s="125"/>
      <c r="BP294" s="138"/>
    </row>
    <row r="295" spans="1:68" ht="14.7" customHeight="1">
      <c r="A295" s="124" t="s">
        <v>296</v>
      </c>
      <c r="B295" s="158"/>
      <c r="C295">
        <v>80.412371134020617</v>
      </c>
      <c r="D295">
        <v>82.987551867219921</v>
      </c>
      <c r="E295">
        <v>84.972170686456408</v>
      </c>
      <c r="F295"/>
      <c r="G295"/>
      <c r="H295"/>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s="138"/>
      <c r="BO295" s="125"/>
      <c r="BP295" s="138"/>
    </row>
    <row r="296" spans="1:68" ht="14.7" customHeight="1">
      <c r="A296" t="s">
        <v>181</v>
      </c>
      <c r="B296" s="158"/>
      <c r="C296">
        <v>87.5</v>
      </c>
      <c r="D296">
        <v>90.376569037656907</v>
      </c>
      <c r="E296">
        <v>94.711538461538453</v>
      </c>
      <c r="F296"/>
      <c r="G296"/>
      <c r="H296"/>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s="138"/>
      <c r="BO296" s="125"/>
      <c r="BP296" s="138"/>
    </row>
    <row r="297" spans="1:68" ht="14.7" customHeight="1">
      <c r="A297" s="124" t="s">
        <v>183</v>
      </c>
      <c r="B297" s="158"/>
      <c r="C297">
        <v>65.625</v>
      </c>
      <c r="D297">
        <v>68.041237113402062</v>
      </c>
      <c r="E297">
        <v>76.884422110552762</v>
      </c>
      <c r="F297"/>
      <c r="G297"/>
      <c r="H297"/>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s="138"/>
      <c r="BO297" s="125"/>
      <c r="BP297" s="138"/>
    </row>
    <row r="298" spans="1:68" ht="14.7" customHeight="1">
      <c r="A298" t="s">
        <v>184</v>
      </c>
      <c r="B298" s="158"/>
      <c r="C298">
        <v>100</v>
      </c>
      <c r="D298">
        <v>92.567567567567565</v>
      </c>
      <c r="E298">
        <v>95.696721311475414</v>
      </c>
      <c r="F298"/>
      <c r="G298"/>
      <c r="H298"/>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s="138"/>
      <c r="BO298" s="125"/>
      <c r="BP298" s="138"/>
    </row>
    <row r="299" spans="1:68" ht="14.7" customHeight="1">
      <c r="A299" s="124" t="s">
        <v>902</v>
      </c>
      <c r="B299" s="158"/>
      <c r="C299">
        <v>59.482758620689658</v>
      </c>
      <c r="D299">
        <v>56.494522691705797</v>
      </c>
      <c r="E299">
        <v>63.348416289592755</v>
      </c>
      <c r="F299"/>
      <c r="G299"/>
      <c r="H299"/>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s="138"/>
      <c r="BO299" s="125"/>
      <c r="BP299" s="138"/>
    </row>
    <row r="300" spans="1:68" ht="14.7" customHeight="1">
      <c r="A300" s="124" t="s">
        <v>185</v>
      </c>
      <c r="B300" s="158"/>
      <c r="C300">
        <v>63.888888888888886</v>
      </c>
      <c r="D300">
        <v>73.432835820895519</v>
      </c>
      <c r="E300">
        <v>78.517823639774861</v>
      </c>
      <c r="F300"/>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s="138"/>
      <c r="BO300" s="125"/>
      <c r="BP300" s="138"/>
    </row>
    <row r="301" spans="1:68" ht="14.7" customHeight="1">
      <c r="A301" s="124" t="s">
        <v>900</v>
      </c>
      <c r="B301" s="157"/>
      <c r="C301">
        <v>92</v>
      </c>
      <c r="D301">
        <v>93.35664335664336</v>
      </c>
      <c r="E301">
        <v>96.959064327485379</v>
      </c>
      <c r="F301"/>
      <c r="G301"/>
      <c r="H301"/>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s="138"/>
      <c r="BO301" s="155"/>
      <c r="BP301" s="138"/>
    </row>
    <row r="302" spans="1:68" ht="14.7" customHeight="1">
      <c r="A302" t="s">
        <v>187</v>
      </c>
      <c r="B302" s="158"/>
      <c r="C302">
        <v>91.666666666666657</v>
      </c>
      <c r="D302">
        <v>76.317218902770236</v>
      </c>
      <c r="E302">
        <v>73.879551820728295</v>
      </c>
      <c r="F302"/>
      <c r="G302"/>
      <c r="H302"/>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s="138"/>
      <c r="BO302" s="125"/>
      <c r="BP302" s="138"/>
    </row>
    <row r="303" spans="1:68" ht="14.7" customHeight="1">
      <c r="A303" t="s">
        <v>255</v>
      </c>
      <c r="B303" s="158"/>
      <c r="C303">
        <v>90</v>
      </c>
      <c r="D303">
        <v>85.873605947955383</v>
      </c>
      <c r="E303">
        <v>93.252361673414313</v>
      </c>
      <c r="F303"/>
      <c r="G303"/>
      <c r="H303"/>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s="138"/>
      <c r="BO303" s="125"/>
      <c r="BP303" s="138"/>
    </row>
    <row r="304" spans="1:68" ht="14.7" customHeight="1">
      <c r="A304" t="s">
        <v>297</v>
      </c>
      <c r="B304" s="158"/>
      <c r="C304">
        <v>68.376068376068375</v>
      </c>
      <c r="D304">
        <v>76.566757493188007</v>
      </c>
      <c r="E304">
        <v>75.141402714932127</v>
      </c>
      <c r="F304"/>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s="138"/>
      <c r="BO304" s="125"/>
      <c r="BP304" s="138"/>
    </row>
    <row r="305" spans="1:68" ht="14.7" customHeight="1">
      <c r="A305" s="124" t="s">
        <v>188</v>
      </c>
      <c r="B305" s="158"/>
      <c r="C305">
        <v>96</v>
      </c>
      <c r="D305">
        <v>85.477178423236509</v>
      </c>
      <c r="E305">
        <v>90.206185567010309</v>
      </c>
      <c r="F305"/>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s="138"/>
      <c r="BO305" s="125"/>
      <c r="BP305" s="138"/>
    </row>
    <row r="306" spans="1:68" ht="14.7" customHeight="1">
      <c r="A306" s="124" t="s">
        <v>815</v>
      </c>
      <c r="B306" s="158"/>
      <c r="C306">
        <v>71.428571428571431</v>
      </c>
      <c r="D306">
        <v>59.874608150470223</v>
      </c>
      <c r="E306">
        <v>80.861581920903959</v>
      </c>
      <c r="F306"/>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s="138"/>
      <c r="BO306" s="125"/>
      <c r="BP306" s="138"/>
    </row>
    <row r="307" spans="1:68" ht="14.7" customHeight="1">
      <c r="A307" t="s">
        <v>256</v>
      </c>
      <c r="B307" s="158"/>
      <c r="C307">
        <v>89.189189189189193</v>
      </c>
      <c r="D307">
        <v>80.454545454545453</v>
      </c>
      <c r="E307">
        <v>82.948294829482947</v>
      </c>
      <c r="F307"/>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s="138"/>
      <c r="BO307" s="125"/>
      <c r="BP307" s="138"/>
    </row>
    <row r="308" spans="1:68" ht="14.7" customHeight="1">
      <c r="A308" s="124" t="s">
        <v>189</v>
      </c>
      <c r="B308" s="158"/>
      <c r="C308">
        <v>100</v>
      </c>
      <c r="D308">
        <v>88.034188034188034</v>
      </c>
      <c r="E308">
        <v>88.046272493573269</v>
      </c>
      <c r="F308"/>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s="138"/>
      <c r="BO308" s="125"/>
      <c r="BP308" s="138"/>
    </row>
    <row r="309" spans="1:68" ht="14.7" customHeight="1">
      <c r="A309" s="124" t="s">
        <v>298</v>
      </c>
      <c r="B309" s="158"/>
      <c r="C309">
        <v>97.777777777777771</v>
      </c>
      <c r="D309">
        <v>98.431372549019599</v>
      </c>
      <c r="E309">
        <v>98.894620486366989</v>
      </c>
      <c r="F309"/>
      <c r="G309"/>
      <c r="H309"/>
      <c r="I309"/>
      <c r="J309"/>
      <c r="K309"/>
      <c r="L309"/>
      <c r="M309"/>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s="138"/>
      <c r="BO309" s="125"/>
      <c r="BP309" s="138"/>
    </row>
    <row r="310" spans="1:68" ht="14.7" customHeight="1">
      <c r="A310" s="124" t="s">
        <v>257</v>
      </c>
      <c r="B310" s="158"/>
      <c r="C310">
        <v>90.476190476190482</v>
      </c>
      <c r="D310">
        <v>73.417721518987349</v>
      </c>
      <c r="E310">
        <v>73.510971786833863</v>
      </c>
      <c r="F310"/>
      <c r="G310"/>
      <c r="H310"/>
      <c r="I310"/>
      <c r="J310"/>
      <c r="K310"/>
      <c r="L310"/>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s="138"/>
      <c r="BO310" s="125"/>
      <c r="BP310" s="138"/>
    </row>
    <row r="311" spans="1:68" ht="14.7" customHeight="1">
      <c r="A311" s="124" t="s">
        <v>190</v>
      </c>
      <c r="B311" s="158"/>
      <c r="C311">
        <v>75</v>
      </c>
      <c r="D311">
        <v>66.086956521739125</v>
      </c>
      <c r="E311">
        <v>78.587196467991177</v>
      </c>
      <c r="F311"/>
      <c r="G311"/>
      <c r="H311"/>
      <c r="I311"/>
      <c r="J311"/>
      <c r="K311"/>
      <c r="L311"/>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s="138"/>
      <c r="BO311" s="125"/>
      <c r="BP311" s="138"/>
    </row>
    <row r="312" spans="1:68" ht="14.7" customHeight="1">
      <c r="A312" s="124" t="s">
        <v>191</v>
      </c>
      <c r="B312" s="158"/>
      <c r="C312">
        <v>37.5</v>
      </c>
      <c r="D312">
        <v>80.952380952380949</v>
      </c>
      <c r="E312">
        <v>82.617586912065448</v>
      </c>
      <c r="F312"/>
      <c r="G312"/>
      <c r="H312"/>
      <c r="I312"/>
      <c r="J312"/>
      <c r="K312"/>
      <c r="L312"/>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s="138"/>
      <c r="BO312" s="125"/>
      <c r="BP312" s="138"/>
    </row>
    <row r="313" spans="1:68" ht="14.7" customHeight="1">
      <c r="A313" s="124" t="s">
        <v>192</v>
      </c>
      <c r="B313" s="158"/>
      <c r="C313">
        <v>88.095238095238088</v>
      </c>
      <c r="D313">
        <v>82.1875</v>
      </c>
      <c r="E313">
        <v>82.75</v>
      </c>
      <c r="F313"/>
      <c r="G313"/>
      <c r="H313"/>
      <c r="I313"/>
      <c r="J313"/>
      <c r="K313"/>
      <c r="L313"/>
      <c r="M313"/>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s="138"/>
      <c r="BO313" s="125"/>
      <c r="BP313" s="138"/>
    </row>
    <row r="314" spans="1:68" ht="14.7" customHeight="1">
      <c r="A314" s="124" t="s">
        <v>194</v>
      </c>
      <c r="B314" s="157"/>
      <c r="C314">
        <v>91.17647058823529</v>
      </c>
      <c r="D314">
        <v>85.093167701863365</v>
      </c>
      <c r="E314">
        <v>82.970297029702962</v>
      </c>
      <c r="F314"/>
      <c r="G314"/>
      <c r="H314"/>
      <c r="I314"/>
      <c r="J314"/>
      <c r="K314"/>
      <c r="L314"/>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s="138"/>
      <c r="BO314" s="125"/>
      <c r="BP314" s="138"/>
    </row>
    <row r="315" spans="1:68" ht="14.7" customHeight="1">
      <c r="A315" s="124" t="s">
        <v>195</v>
      </c>
      <c r="B315" s="158"/>
      <c r="C315">
        <v>73.68421052631578</v>
      </c>
      <c r="D315">
        <v>77.083333333333343</v>
      </c>
      <c r="E315">
        <v>90.973871733966746</v>
      </c>
      <c r="F315"/>
      <c r="G315"/>
      <c r="H315"/>
      <c r="I315"/>
      <c r="J315"/>
      <c r="K315"/>
      <c r="L315"/>
      <c r="M315"/>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s="138"/>
      <c r="BO315" s="125"/>
      <c r="BP315" s="138"/>
    </row>
    <row r="316" spans="1:68" ht="14.7" customHeight="1">
      <c r="A316" s="124" t="s">
        <v>299</v>
      </c>
      <c r="B316" s="158"/>
      <c r="C316">
        <v>95.121951219512198</v>
      </c>
      <c r="D316">
        <v>82.593856655290097</v>
      </c>
      <c r="E316">
        <v>89.392643284858849</v>
      </c>
      <c r="F316"/>
      <c r="G316"/>
      <c r="H316"/>
      <c r="I316"/>
      <c r="J316"/>
      <c r="K316"/>
      <c r="L316"/>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s="138"/>
      <c r="BO316" s="125"/>
      <c r="BP316" s="138"/>
    </row>
    <row r="317" spans="1:68" ht="14.7" customHeight="1">
      <c r="A317" s="124"/>
      <c r="B317" s="158"/>
      <c r="C317"/>
      <c r="D317"/>
      <c r="E317"/>
      <c r="F317"/>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s="138"/>
      <c r="BO317" s="125"/>
      <c r="BP317" s="138"/>
    </row>
    <row r="318" spans="1:68" ht="14.7" customHeight="1">
      <c r="A318" s="124"/>
      <c r="B318" s="158"/>
      <c r="C318"/>
      <c r="D318"/>
      <c r="E318"/>
      <c r="F318"/>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s="138"/>
      <c r="BO318" s="125"/>
      <c r="BP318" s="138"/>
    </row>
    <row r="319" spans="1:68" ht="14.7" customHeight="1">
      <c r="A319"/>
      <c r="B319" s="158"/>
      <c r="C319"/>
      <c r="D319"/>
      <c r="E319"/>
      <c r="F319"/>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s="138"/>
      <c r="BO319" s="125"/>
      <c r="BP319" s="138"/>
    </row>
    <row r="320" spans="1:68" ht="14.7" customHeight="1">
      <c r="A320"/>
      <c r="B320" s="158"/>
      <c r="C320"/>
      <c r="D320"/>
      <c r="E320"/>
      <c r="F320"/>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s="138"/>
      <c r="BO320" s="125"/>
      <c r="BP320" s="138"/>
    </row>
    <row r="321" spans="1:68" ht="14.7" customHeight="1">
      <c r="A321"/>
      <c r="B321" s="158"/>
      <c r="C321"/>
      <c r="D321"/>
      <c r="E321"/>
      <c r="F321"/>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s="138"/>
      <c r="BO321" s="125"/>
      <c r="BP321" s="138"/>
    </row>
    <row r="322" spans="1:68" ht="14.7" customHeight="1">
      <c r="A322" s="124"/>
      <c r="B322" s="158"/>
      <c r="C322" s="125"/>
      <c r="D322" s="125"/>
      <c r="E322" s="125"/>
      <c r="F322" s="125"/>
      <c r="G322" s="158"/>
      <c r="H322" s="158"/>
      <c r="I322" s="158"/>
      <c r="J322" s="125"/>
      <c r="K322" s="125"/>
      <c r="L322" s="138"/>
      <c r="M322" s="125"/>
      <c r="N322" s="138"/>
      <c r="O322" s="158"/>
      <c r="P322" s="158"/>
      <c r="Q322" s="158"/>
      <c r="R322" s="125"/>
      <c r="S322" s="125"/>
      <c r="T322" s="125"/>
      <c r="U322" s="158"/>
      <c r="V322" s="159"/>
      <c r="W322" s="159"/>
      <c r="X322" s="138"/>
      <c r="Y322" s="138"/>
    </row>
    <row r="323" spans="1:68" ht="14.7" customHeight="1">
      <c r="A323" s="124"/>
      <c r="B323" s="158"/>
      <c r="C323" s="125"/>
      <c r="D323" s="125"/>
      <c r="E323" s="125"/>
      <c r="F323" s="125"/>
      <c r="G323" s="158"/>
      <c r="H323" s="158"/>
      <c r="I323" s="158"/>
      <c r="J323" s="125"/>
      <c r="K323" s="125"/>
      <c r="L323" s="138"/>
      <c r="M323" s="125"/>
      <c r="N323" s="138"/>
      <c r="O323" s="158"/>
      <c r="P323" s="158"/>
      <c r="Q323" s="158"/>
      <c r="R323" s="125"/>
      <c r="S323" s="125"/>
      <c r="T323" s="125"/>
      <c r="U323" s="158"/>
      <c r="V323" s="159"/>
      <c r="W323" s="159"/>
      <c r="X323" s="138"/>
      <c r="Y323" s="138"/>
    </row>
    <row r="324" spans="1:68" ht="14.7" customHeight="1">
      <c r="A324" s="124"/>
      <c r="B324" s="158"/>
      <c r="C324" s="125"/>
      <c r="D324" s="125"/>
      <c r="E324" s="125"/>
      <c r="F324" s="125"/>
      <c r="G324" s="158"/>
      <c r="H324" s="158"/>
      <c r="I324" s="158"/>
      <c r="J324" s="125"/>
      <c r="K324" s="125"/>
      <c r="L324" s="138"/>
      <c r="M324" s="125"/>
      <c r="N324" s="138"/>
      <c r="O324" s="158"/>
      <c r="P324" s="158"/>
      <c r="Q324" s="158"/>
      <c r="R324" s="125"/>
      <c r="S324" s="125"/>
      <c r="T324" s="155"/>
      <c r="U324" s="157"/>
      <c r="V324" s="126"/>
      <c r="W324" s="126"/>
      <c r="X324" s="138"/>
      <c r="Y324" s="138"/>
    </row>
    <row r="325" spans="1:68" ht="14.7" customHeight="1">
      <c r="A325"/>
      <c r="B325" s="158"/>
      <c r="C325" s="125"/>
      <c r="D325" s="125"/>
      <c r="E325" s="125"/>
      <c r="F325" s="125"/>
      <c r="G325" s="157"/>
      <c r="H325" s="158"/>
      <c r="I325" s="158"/>
      <c r="J325" s="125"/>
      <c r="K325" s="125"/>
      <c r="L325" s="138"/>
      <c r="M325" s="125"/>
      <c r="N325" s="138"/>
      <c r="O325" s="158"/>
      <c r="P325" s="158"/>
      <c r="Q325" s="158"/>
      <c r="R325" s="125"/>
      <c r="S325" s="125"/>
      <c r="T325" s="125"/>
      <c r="U325" s="157"/>
      <c r="V325" s="126"/>
      <c r="W325" s="126"/>
      <c r="X325" s="138"/>
      <c r="Y325" s="138"/>
    </row>
    <row r="326" spans="1:68" ht="14.7" customHeight="1">
      <c r="A326"/>
      <c r="B326" s="158"/>
      <c r="C326" s="125"/>
      <c r="D326" s="125"/>
      <c r="E326" s="125"/>
      <c r="F326" s="125"/>
      <c r="G326" s="158"/>
      <c r="H326" s="158"/>
      <c r="I326" s="158"/>
      <c r="J326" s="125"/>
      <c r="K326" s="125"/>
      <c r="L326" s="138"/>
      <c r="M326" s="125"/>
      <c r="N326" s="138"/>
      <c r="O326" s="158"/>
      <c r="P326" s="158"/>
      <c r="Q326" s="158"/>
      <c r="R326" s="125"/>
      <c r="S326" s="125"/>
      <c r="T326" s="125"/>
      <c r="U326" s="158"/>
      <c r="V326" s="159"/>
      <c r="W326" s="159"/>
      <c r="X326" s="138"/>
      <c r="Y326" s="138"/>
    </row>
    <row r="327" spans="1:68" ht="14.7" customHeight="1">
      <c r="A327" s="124"/>
      <c r="B327" s="157"/>
      <c r="C327" s="125"/>
      <c r="D327" s="125"/>
      <c r="E327" s="125"/>
      <c r="F327" s="125"/>
      <c r="G327" s="157"/>
      <c r="H327" s="157"/>
      <c r="I327" s="157"/>
      <c r="J327" s="155"/>
      <c r="K327" s="155"/>
      <c r="L327" s="138"/>
      <c r="M327" s="155"/>
      <c r="N327" s="138"/>
      <c r="O327" s="157"/>
      <c r="P327" s="157"/>
      <c r="Q327" s="157"/>
      <c r="R327" s="155"/>
      <c r="S327" s="155"/>
      <c r="T327" s="155"/>
      <c r="U327" s="157"/>
      <c r="V327" s="126"/>
      <c r="W327" s="126"/>
      <c r="X327" s="138"/>
      <c r="Y327" s="138"/>
    </row>
    <row r="328" spans="1:68" ht="14.7" customHeight="1">
      <c r="A328" s="122"/>
      <c r="B328" s="151"/>
      <c r="C328" s="125"/>
      <c r="D328" s="125"/>
      <c r="E328" s="125"/>
      <c r="F328" s="125"/>
      <c r="G328" s="151"/>
      <c r="H328" s="151"/>
      <c r="I328" s="151"/>
      <c r="J328" s="123"/>
      <c r="K328" s="123"/>
      <c r="L328" s="138"/>
      <c r="M328" s="123"/>
      <c r="N328" s="138"/>
      <c r="O328" s="151"/>
      <c r="P328" s="151"/>
      <c r="Q328" s="151"/>
      <c r="R328" s="123"/>
      <c r="S328" s="123"/>
      <c r="T328" s="123"/>
      <c r="U328" s="151"/>
      <c r="V328" s="160"/>
      <c r="W328" s="160"/>
      <c r="X328" s="138"/>
      <c r="Y328" s="138"/>
    </row>
    <row r="329" spans="1:68" ht="14.7" customHeight="1">
      <c r="A329" s="124"/>
      <c r="B329" s="157"/>
      <c r="C329" s="125"/>
      <c r="D329" s="125"/>
      <c r="E329" s="125"/>
      <c r="F329" s="125"/>
      <c r="G329" s="157"/>
      <c r="H329" s="157"/>
      <c r="I329" s="157"/>
      <c r="J329" s="155"/>
      <c r="K329" s="155"/>
      <c r="L329" s="138"/>
      <c r="M329" s="155"/>
      <c r="N329" s="138"/>
      <c r="O329" s="157"/>
      <c r="P329" s="157"/>
      <c r="Q329" s="157"/>
      <c r="R329" s="155"/>
      <c r="S329" s="155"/>
      <c r="T329" s="155"/>
      <c r="U329" s="157"/>
      <c r="V329" s="126"/>
      <c r="W329" s="126"/>
      <c r="X329" s="138"/>
      <c r="Y329" s="138"/>
    </row>
    <row r="330" spans="1:68" ht="14.7" customHeight="1">
      <c r="A330" s="124"/>
      <c r="B330" s="158"/>
      <c r="C330" s="125"/>
      <c r="D330" s="125"/>
      <c r="E330" s="125"/>
      <c r="F330" s="125"/>
      <c r="G330" s="157"/>
      <c r="H330" s="158"/>
      <c r="I330" s="158"/>
      <c r="J330" s="125"/>
      <c r="K330" s="125"/>
      <c r="L330" s="138"/>
      <c r="M330" s="125"/>
      <c r="N330" s="138"/>
      <c r="O330" s="158"/>
      <c r="P330" s="158"/>
      <c r="Q330" s="158"/>
      <c r="R330" s="125"/>
      <c r="S330" s="125"/>
      <c r="T330" s="125"/>
      <c r="U330" s="157"/>
      <c r="V330" s="126"/>
      <c r="W330" s="126"/>
      <c r="X330" s="138"/>
      <c r="Y330" s="138"/>
    </row>
    <row r="331" spans="1:68" ht="14.7" customHeight="1">
      <c r="A331" s="124"/>
      <c r="B331" s="157"/>
      <c r="C331" s="125"/>
      <c r="D331" s="125"/>
      <c r="E331" s="125"/>
      <c r="F331" s="125"/>
      <c r="G331" s="157"/>
      <c r="H331" s="158"/>
      <c r="I331" s="158"/>
      <c r="J331" s="125"/>
      <c r="K331" s="125"/>
      <c r="L331" s="138"/>
      <c r="M331" s="125"/>
      <c r="N331" s="138"/>
      <c r="O331" s="158"/>
      <c r="P331" s="158"/>
      <c r="Q331" s="158"/>
      <c r="R331" s="125"/>
      <c r="S331" s="125"/>
      <c r="T331" s="125"/>
      <c r="U331" s="157"/>
      <c r="V331" s="126"/>
      <c r="W331" s="126"/>
      <c r="X331" s="138"/>
      <c r="Y331" s="138"/>
    </row>
    <row r="332" spans="1:68" ht="14.7" customHeight="1">
      <c r="A332" s="124"/>
      <c r="B332" s="158"/>
      <c r="C332" s="155"/>
      <c r="D332" s="155"/>
      <c r="E332" s="155"/>
      <c r="F332" s="155"/>
      <c r="G332" s="157"/>
      <c r="H332" s="158"/>
      <c r="I332" s="158"/>
      <c r="J332" s="125"/>
      <c r="K332" s="125"/>
      <c r="L332" s="138"/>
      <c r="M332" s="125"/>
      <c r="N332" s="138"/>
      <c r="O332" s="158"/>
      <c r="P332" s="158"/>
      <c r="Q332" s="158"/>
      <c r="R332" s="125"/>
      <c r="S332" s="125"/>
      <c r="T332" s="125"/>
      <c r="U332" s="157"/>
      <c r="V332" s="126"/>
      <c r="W332" s="126"/>
      <c r="X332" s="138"/>
      <c r="Y332" s="138"/>
    </row>
    <row r="333" spans="1:68" ht="14.7" customHeight="1">
      <c r="A333" s="124"/>
      <c r="B333" s="158"/>
      <c r="C333" s="123"/>
      <c r="D333" s="123"/>
      <c r="E333" s="123"/>
      <c r="F333" s="123"/>
      <c r="G333" s="158"/>
      <c r="H333" s="158"/>
      <c r="I333" s="158"/>
      <c r="J333" s="125"/>
      <c r="K333" s="125"/>
      <c r="L333" s="138"/>
      <c r="M333" s="125"/>
      <c r="N333" s="138"/>
      <c r="O333" s="158"/>
      <c r="P333" s="158"/>
      <c r="Q333" s="158"/>
      <c r="R333" s="125"/>
      <c r="S333" s="125"/>
      <c r="T333" s="125"/>
      <c r="U333" s="158"/>
      <c r="V333" s="159"/>
      <c r="W333" s="159"/>
      <c r="X333" s="138"/>
      <c r="Y333" s="138"/>
    </row>
    <row r="334" spans="1:68" ht="14.7" customHeight="1">
      <c r="A334" s="124"/>
      <c r="B334" s="158"/>
      <c r="C334" s="155"/>
      <c r="D334" s="155"/>
      <c r="E334" s="155"/>
      <c r="F334" s="155"/>
      <c r="G334" s="157"/>
      <c r="H334" s="158"/>
      <c r="I334" s="158"/>
      <c r="J334" s="125"/>
      <c r="K334" s="125"/>
      <c r="L334" s="138"/>
      <c r="M334" s="125"/>
      <c r="N334" s="138"/>
      <c r="O334" s="158"/>
      <c r="P334" s="158"/>
      <c r="Q334" s="158"/>
      <c r="R334" s="125"/>
      <c r="S334" s="125"/>
      <c r="T334" s="125"/>
      <c r="U334" s="157"/>
      <c r="V334" s="126"/>
      <c r="W334" s="126"/>
      <c r="X334" s="138"/>
      <c r="Y334" s="138"/>
    </row>
    <row r="335" spans="1:68" ht="14.7" customHeight="1">
      <c r="A335" s="124"/>
      <c r="B335" s="158"/>
      <c r="C335" s="125"/>
      <c r="D335" s="125"/>
      <c r="E335" s="125"/>
      <c r="F335" s="125"/>
      <c r="G335" s="157"/>
      <c r="H335" s="158"/>
      <c r="I335" s="158"/>
      <c r="J335" s="125"/>
      <c r="K335" s="125"/>
      <c r="L335" s="138"/>
      <c r="M335" s="125"/>
      <c r="N335" s="138"/>
      <c r="O335" s="158"/>
      <c r="P335" s="158"/>
      <c r="Q335" s="158"/>
      <c r="R335" s="125"/>
      <c r="S335" s="125"/>
      <c r="T335" s="125"/>
      <c r="U335" s="157"/>
      <c r="V335" s="126"/>
      <c r="W335" s="126"/>
      <c r="X335" s="138"/>
      <c r="Y335" s="138"/>
    </row>
    <row r="336" spans="1:68" ht="14.7" customHeight="1">
      <c r="A336" s="124"/>
      <c r="B336" s="157"/>
      <c r="C336" s="155"/>
      <c r="D336" s="125"/>
      <c r="E336" s="125"/>
      <c r="F336" s="155"/>
      <c r="G336" s="157"/>
      <c r="H336" s="158"/>
      <c r="I336" s="158"/>
      <c r="J336" s="125"/>
      <c r="K336" s="125"/>
      <c r="L336" s="138"/>
      <c r="M336" s="125"/>
      <c r="N336" s="138"/>
      <c r="O336" s="158"/>
      <c r="P336" s="158"/>
      <c r="Q336" s="158"/>
      <c r="R336" s="125"/>
      <c r="S336" s="125"/>
      <c r="T336" s="125"/>
      <c r="U336" s="157"/>
      <c r="V336" s="126"/>
      <c r="W336" s="126"/>
      <c r="X336" s="138"/>
      <c r="Y336" s="138"/>
    </row>
    <row r="337" spans="1:25" ht="14.7" customHeight="1">
      <c r="A337" s="124"/>
      <c r="B337" s="158"/>
      <c r="C337" s="155"/>
      <c r="D337" s="125"/>
      <c r="E337" s="125"/>
      <c r="F337" s="155"/>
      <c r="G337" s="157"/>
      <c r="H337" s="158"/>
      <c r="I337" s="158"/>
      <c r="J337" s="125"/>
      <c r="K337" s="125"/>
      <c r="L337" s="138"/>
      <c r="M337" s="125"/>
      <c r="N337" s="138"/>
      <c r="O337" s="158"/>
      <c r="P337" s="158"/>
      <c r="Q337" s="158"/>
      <c r="R337" s="125"/>
      <c r="S337" s="125"/>
      <c r="T337" s="125"/>
      <c r="U337" s="157"/>
      <c r="V337" s="126"/>
      <c r="W337" s="126"/>
      <c r="X337" s="138"/>
      <c r="Y337" s="138"/>
    </row>
    <row r="338" spans="1:25" ht="14.7" customHeight="1">
      <c r="A338" s="124"/>
      <c r="B338" s="158"/>
      <c r="C338" s="125"/>
      <c r="D338" s="125"/>
      <c r="E338" s="125"/>
      <c r="F338" s="125"/>
      <c r="G338" s="157"/>
      <c r="H338" s="158"/>
      <c r="I338" s="158"/>
      <c r="J338" s="125"/>
      <c r="K338" s="125"/>
      <c r="L338" s="138"/>
      <c r="M338" s="125"/>
      <c r="N338" s="138"/>
      <c r="O338" s="158"/>
      <c r="P338" s="158"/>
      <c r="Q338" s="158"/>
      <c r="R338" s="125"/>
      <c r="S338" s="125"/>
      <c r="T338" s="125"/>
      <c r="U338" s="157"/>
      <c r="V338" s="126"/>
      <c r="W338" s="126"/>
      <c r="X338" s="138"/>
      <c r="Y338" s="138"/>
    </row>
    <row r="339" spans="1:25">
      <c r="A339" s="126"/>
      <c r="B339" s="157"/>
      <c r="C339" s="125"/>
      <c r="D339" s="125"/>
      <c r="E339" s="125"/>
      <c r="F339" s="125"/>
      <c r="G339" s="157"/>
      <c r="H339" s="157"/>
      <c r="I339" s="157"/>
      <c r="J339" s="157"/>
      <c r="K339" s="157"/>
      <c r="L339" s="155"/>
      <c r="M339" s="155"/>
      <c r="N339" s="155"/>
      <c r="O339" s="155"/>
      <c r="P339" s="155"/>
      <c r="Q339" s="155"/>
      <c r="R339" s="157"/>
      <c r="S339" s="157"/>
      <c r="T339" s="155"/>
      <c r="U339" s="155"/>
      <c r="V339" s="155"/>
      <c r="W339" s="157"/>
      <c r="X339" s="157"/>
      <c r="Y339" s="138"/>
    </row>
    <row r="340" spans="1:25">
      <c r="A340" s="126"/>
      <c r="B340" s="157"/>
      <c r="C340" s="125"/>
      <c r="D340" s="125"/>
      <c r="E340" s="125"/>
      <c r="F340" s="125"/>
      <c r="G340" s="157"/>
      <c r="H340" s="157"/>
      <c r="I340" s="157"/>
      <c r="J340" s="157"/>
      <c r="K340" s="157"/>
      <c r="L340" s="155"/>
      <c r="M340" s="155"/>
      <c r="N340" s="155"/>
      <c r="O340" s="155"/>
      <c r="P340" s="155"/>
      <c r="Q340" s="155"/>
      <c r="R340" s="157"/>
      <c r="S340" s="157"/>
      <c r="T340" s="155"/>
      <c r="U340" s="155"/>
      <c r="V340" s="155"/>
      <c r="W340" s="157"/>
      <c r="X340" s="157"/>
      <c r="Y340" s="138"/>
    </row>
    <row r="341" spans="1:25" ht="12.75" customHeight="1">
      <c r="A341" s="161"/>
      <c r="B341" s="161"/>
      <c r="C341" s="155"/>
      <c r="D341" s="125"/>
      <c r="E341" s="125"/>
      <c r="F341" s="155"/>
      <c r="G341" s="161"/>
      <c r="H341" s="161"/>
      <c r="I341" s="161"/>
      <c r="J341" s="161"/>
      <c r="K341" s="161"/>
      <c r="L341" s="161"/>
      <c r="M341" s="161"/>
      <c r="N341" s="161"/>
      <c r="O341" s="161"/>
      <c r="P341" s="161"/>
      <c r="Q341" s="161"/>
      <c r="R341" s="161"/>
      <c r="S341" s="161"/>
      <c r="T341" s="161"/>
      <c r="U341" s="161"/>
      <c r="V341" s="161"/>
      <c r="W341" s="138"/>
      <c r="X341" s="138"/>
      <c r="Y341" s="138"/>
    </row>
    <row r="342" spans="1:25" ht="12.75" customHeight="1">
      <c r="A342" s="162"/>
      <c r="B342" s="162"/>
      <c r="C342" s="125"/>
      <c r="D342" s="125"/>
      <c r="E342" s="125"/>
      <c r="F342" s="125"/>
      <c r="G342" s="162"/>
      <c r="H342" s="162"/>
      <c r="I342" s="162"/>
      <c r="J342" s="162"/>
      <c r="K342" s="162"/>
      <c r="L342" s="162"/>
      <c r="M342" s="162"/>
      <c r="N342" s="162"/>
      <c r="O342" s="162"/>
      <c r="P342" s="162"/>
      <c r="Q342" s="162"/>
      <c r="R342" s="162"/>
      <c r="S342" s="162"/>
      <c r="T342" s="162"/>
      <c r="U342" s="162"/>
      <c r="V342" s="162"/>
      <c r="W342" s="162"/>
      <c r="X342" s="162"/>
      <c r="Y342" s="138"/>
    </row>
    <row r="343" spans="1:25">
      <c r="A343" s="120"/>
      <c r="B343" s="121"/>
      <c r="C343" s="125"/>
      <c r="D343" s="125"/>
      <c r="E343" s="125"/>
      <c r="F343" s="125"/>
      <c r="G343" s="121"/>
      <c r="H343" s="121"/>
      <c r="I343" s="121"/>
      <c r="J343" s="121"/>
      <c r="K343" s="121"/>
      <c r="L343" s="121"/>
      <c r="M343" s="121"/>
      <c r="N343" s="121"/>
      <c r="O343" s="121"/>
      <c r="P343" s="121"/>
      <c r="Q343" s="121"/>
      <c r="R343" s="121"/>
      <c r="S343" s="121"/>
      <c r="T343" s="121"/>
      <c r="U343" s="121"/>
      <c r="V343" s="121"/>
      <c r="W343" s="121"/>
      <c r="X343" s="121"/>
      <c r="Y343" s="138"/>
    </row>
    <row r="344" spans="1:25">
      <c r="A344" s="121"/>
      <c r="B344" s="121"/>
      <c r="C344" s="163"/>
      <c r="D344" s="165"/>
      <c r="E344" s="165"/>
      <c r="F344" s="163"/>
      <c r="G344" s="121"/>
      <c r="H344" s="121"/>
      <c r="I344" s="121"/>
      <c r="J344" s="121"/>
      <c r="K344" s="121"/>
      <c r="L344" s="121"/>
      <c r="M344" s="121"/>
      <c r="N344" s="121"/>
      <c r="O344" s="121"/>
      <c r="P344" s="121"/>
      <c r="Q344" s="121"/>
      <c r="R344" s="121"/>
      <c r="S344" s="121"/>
      <c r="T344" s="121"/>
      <c r="U344" s="121"/>
      <c r="V344" s="121"/>
      <c r="W344" s="138"/>
      <c r="X344" s="138"/>
      <c r="Y344" s="138"/>
    </row>
    <row r="345" spans="1:25">
      <c r="A345" s="138"/>
      <c r="B345" s="138"/>
      <c r="C345" s="155"/>
      <c r="D345" s="138"/>
      <c r="E345" s="157"/>
      <c r="F345" s="155"/>
      <c r="G345" s="138"/>
      <c r="H345" s="138"/>
      <c r="I345" s="138"/>
      <c r="J345" s="138"/>
      <c r="K345" s="138"/>
      <c r="L345" s="138"/>
      <c r="M345" s="138"/>
      <c r="N345" s="138"/>
      <c r="O345" s="138"/>
      <c r="P345" s="138"/>
      <c r="Q345" s="138"/>
      <c r="R345" s="138"/>
      <c r="S345" s="138"/>
      <c r="T345" s="138"/>
      <c r="U345" s="138"/>
      <c r="V345" s="138"/>
      <c r="W345" s="138"/>
      <c r="X345" s="138"/>
      <c r="Y345" s="138"/>
    </row>
    <row r="346" spans="1:25">
      <c r="A346" s="156"/>
      <c r="B346" s="138"/>
      <c r="C346" s="161"/>
      <c r="D346" s="138"/>
      <c r="E346" s="161"/>
      <c r="F346" s="161"/>
      <c r="G346" s="138"/>
      <c r="H346" s="138"/>
      <c r="I346" s="138"/>
      <c r="J346" s="138"/>
      <c r="K346" s="138"/>
      <c r="L346" s="138"/>
      <c r="M346" s="138"/>
      <c r="N346" s="138"/>
      <c r="O346" s="138"/>
      <c r="P346" s="138"/>
      <c r="Q346" s="138"/>
      <c r="R346" s="138"/>
      <c r="S346" s="138"/>
      <c r="T346" s="138"/>
      <c r="U346" s="138"/>
      <c r="V346" s="138"/>
      <c r="W346" s="138"/>
      <c r="X346" s="138"/>
      <c r="Y346" s="138"/>
    </row>
    <row r="347" spans="1:25" ht="12.75" customHeight="1">
      <c r="A347" s="156"/>
      <c r="B347" s="156"/>
      <c r="C347" s="162"/>
      <c r="D347" s="127"/>
      <c r="E347" s="162"/>
      <c r="F347" s="162"/>
      <c r="G347" s="127"/>
      <c r="H347" s="127"/>
      <c r="I347" s="127"/>
      <c r="J347" s="127"/>
      <c r="K347" s="127"/>
      <c r="L347" s="127"/>
      <c r="M347" s="127"/>
      <c r="N347" s="127"/>
      <c r="O347" s="127"/>
      <c r="P347" s="127"/>
      <c r="Q347" s="127"/>
      <c r="R347" s="127"/>
      <c r="S347" s="127"/>
      <c r="T347" s="127"/>
      <c r="U347" s="127"/>
      <c r="V347" s="127"/>
      <c r="W347" s="127"/>
      <c r="X347" s="127"/>
      <c r="Y347" s="138"/>
    </row>
    <row r="348" spans="1:25">
      <c r="A348" s="156"/>
      <c r="B348" s="127"/>
      <c r="C348" s="121"/>
      <c r="D348" s="127"/>
      <c r="E348" s="121"/>
      <c r="F348" s="121"/>
      <c r="G348" s="127"/>
      <c r="H348" s="127"/>
      <c r="I348" s="127"/>
      <c r="J348" s="127"/>
      <c r="K348" s="127"/>
      <c r="L348" s="127"/>
      <c r="M348" s="127"/>
      <c r="N348" s="127"/>
      <c r="O348" s="127"/>
      <c r="P348" s="127"/>
      <c r="Q348" s="127"/>
      <c r="R348" s="127"/>
      <c r="S348" s="127"/>
      <c r="T348" s="127"/>
      <c r="U348" s="127"/>
      <c r="V348" s="127"/>
      <c r="W348" s="127"/>
      <c r="X348" s="127"/>
      <c r="Y348" s="138"/>
    </row>
    <row r="349" spans="1:25" ht="12.75" customHeight="1">
      <c r="A349" s="156"/>
      <c r="B349" s="156"/>
      <c r="C349" s="121"/>
      <c r="D349" s="127"/>
      <c r="E349" s="121"/>
      <c r="F349" s="121"/>
      <c r="G349" s="127"/>
      <c r="H349" s="127"/>
      <c r="I349" s="127"/>
      <c r="J349" s="127"/>
      <c r="K349" s="127"/>
      <c r="L349" s="127"/>
      <c r="M349" s="127"/>
      <c r="N349" s="127"/>
      <c r="O349" s="127"/>
      <c r="P349" s="127"/>
      <c r="Q349" s="127"/>
      <c r="R349" s="127"/>
      <c r="S349" s="127"/>
      <c r="T349" s="127"/>
      <c r="U349" s="127"/>
      <c r="V349" s="127"/>
      <c r="W349" s="127"/>
      <c r="X349" s="127"/>
      <c r="Y349" s="138"/>
    </row>
    <row r="350" spans="1:25">
      <c r="A350" s="138"/>
      <c r="B350" s="138"/>
      <c r="C350" s="138"/>
      <c r="D350" s="138"/>
      <c r="E350" s="138"/>
      <c r="F350" s="138"/>
      <c r="G350" s="138"/>
      <c r="H350" s="138"/>
      <c r="I350" s="138"/>
      <c r="J350" s="138"/>
      <c r="K350" s="138"/>
      <c r="L350" s="138"/>
      <c r="M350" s="138"/>
      <c r="N350" s="138"/>
      <c r="O350" s="138"/>
      <c r="P350" s="138"/>
      <c r="Q350" s="138"/>
      <c r="R350" s="138"/>
      <c r="S350" s="138"/>
      <c r="T350" s="138"/>
      <c r="U350" s="138"/>
      <c r="V350" s="138"/>
      <c r="W350" s="138"/>
      <c r="X350" s="138"/>
      <c r="Y350" s="138"/>
    </row>
    <row r="351" spans="1:25">
      <c r="A351" s="31"/>
      <c r="B351" s="127"/>
      <c r="C351" s="138"/>
      <c r="D351" s="127"/>
      <c r="E351" s="138"/>
      <c r="F351" s="138"/>
      <c r="G351" s="127"/>
      <c r="H351" s="127"/>
      <c r="I351" s="127"/>
      <c r="J351" s="127"/>
      <c r="K351" s="127"/>
      <c r="L351" s="127"/>
      <c r="M351" s="127"/>
      <c r="N351" s="127"/>
      <c r="O351" s="127"/>
      <c r="P351" s="127"/>
      <c r="Q351" s="127"/>
      <c r="R351" s="127"/>
      <c r="S351" s="127"/>
      <c r="T351" s="128"/>
      <c r="U351" s="129"/>
      <c r="V351" s="138"/>
      <c r="W351" s="138"/>
      <c r="X351" s="138"/>
      <c r="Y351" s="138"/>
    </row>
    <row r="352" spans="1:25">
      <c r="A352" s="31"/>
      <c r="B352" s="127"/>
      <c r="C352" s="127"/>
      <c r="D352" s="127"/>
      <c r="E352" s="127"/>
      <c r="F352" s="127"/>
      <c r="G352" s="127"/>
      <c r="H352" s="127"/>
      <c r="I352" s="127"/>
      <c r="J352" s="127"/>
      <c r="K352" s="127"/>
      <c r="L352" s="127"/>
      <c r="M352" s="127"/>
      <c r="N352" s="127"/>
      <c r="O352" s="127"/>
      <c r="P352" s="127"/>
      <c r="Q352" s="127"/>
      <c r="R352" s="127"/>
      <c r="S352" s="127"/>
      <c r="T352" s="128"/>
      <c r="U352" s="129"/>
      <c r="V352" s="138"/>
      <c r="W352" s="138"/>
      <c r="X352" s="138"/>
      <c r="Y352" s="138"/>
    </row>
    <row r="353" spans="1:25">
      <c r="A353" s="31"/>
      <c r="B353" s="138"/>
      <c r="C353" s="127"/>
      <c r="D353" s="138"/>
      <c r="E353" s="127"/>
      <c r="F353" s="127"/>
      <c r="G353" s="138"/>
      <c r="H353" s="138"/>
      <c r="I353" s="138"/>
      <c r="J353" s="138"/>
      <c r="K353" s="138"/>
      <c r="L353" s="138"/>
      <c r="M353" s="138"/>
      <c r="N353" s="138"/>
      <c r="O353" s="138"/>
      <c r="P353" s="138"/>
      <c r="Q353" s="138"/>
      <c r="R353" s="138"/>
      <c r="S353" s="138"/>
      <c r="T353" s="138"/>
      <c r="U353" s="138"/>
      <c r="V353" s="138"/>
      <c r="W353" s="138"/>
      <c r="X353" s="138"/>
      <c r="Y353" s="138"/>
    </row>
    <row r="354" spans="1:25">
      <c r="A354" s="31"/>
      <c r="B354" s="138"/>
      <c r="C354" s="127"/>
      <c r="D354" s="138"/>
      <c r="E354" s="127"/>
      <c r="F354" s="127"/>
      <c r="G354" s="138"/>
      <c r="H354" s="138"/>
      <c r="I354" s="138"/>
      <c r="J354" s="138"/>
      <c r="K354" s="138"/>
      <c r="L354" s="138"/>
      <c r="M354" s="138"/>
      <c r="N354" s="138"/>
      <c r="O354" s="138"/>
      <c r="P354" s="138"/>
      <c r="Q354" s="138"/>
      <c r="R354" s="138"/>
      <c r="S354" s="138"/>
      <c r="T354" s="138"/>
      <c r="U354" s="138"/>
      <c r="V354" s="138"/>
      <c r="W354" s="138"/>
      <c r="X354" s="138"/>
      <c r="Y354" s="138"/>
    </row>
    <row r="355" spans="1:25">
      <c r="A355" s="31"/>
      <c r="B355" s="138"/>
      <c r="C355" s="138"/>
      <c r="D355" s="138"/>
      <c r="E355" s="138"/>
      <c r="F355" s="138"/>
      <c r="G355" s="138"/>
      <c r="H355" s="138"/>
      <c r="I355" s="138"/>
      <c r="J355" s="138"/>
      <c r="K355" s="138"/>
      <c r="L355" s="138"/>
      <c r="M355" s="138"/>
      <c r="N355" s="138"/>
      <c r="O355" s="138"/>
      <c r="P355" s="138"/>
      <c r="Q355" s="138"/>
      <c r="R355" s="138"/>
      <c r="S355" s="138"/>
      <c r="T355" s="138"/>
      <c r="U355" s="138"/>
      <c r="V355" s="138"/>
      <c r="W355" s="138"/>
      <c r="X355" s="138"/>
      <c r="Y355" s="138"/>
    </row>
    <row r="356" spans="1:25">
      <c r="A356" s="31"/>
      <c r="B356" s="138"/>
      <c r="C356" s="127"/>
      <c r="D356" s="138"/>
      <c r="E356" s="127"/>
      <c r="F356" s="127"/>
      <c r="G356" s="138"/>
      <c r="H356" s="138"/>
      <c r="I356" s="138"/>
      <c r="J356" s="138"/>
      <c r="K356" s="138"/>
      <c r="L356" s="138"/>
      <c r="M356" s="138"/>
      <c r="N356" s="138"/>
      <c r="O356" s="138"/>
      <c r="P356" s="138"/>
      <c r="Q356" s="138"/>
      <c r="R356" s="138"/>
      <c r="S356" s="138"/>
      <c r="T356" s="138"/>
      <c r="U356" s="138"/>
      <c r="V356" s="138"/>
      <c r="W356" s="138"/>
      <c r="X356" s="138"/>
      <c r="Y356" s="138"/>
    </row>
    <row r="357" spans="1:25">
      <c r="A357" s="31"/>
      <c r="B357" s="138"/>
      <c r="C357" s="127"/>
      <c r="D357" s="138"/>
      <c r="E357" s="127"/>
      <c r="F357" s="127"/>
      <c r="G357" s="138"/>
      <c r="H357" s="138"/>
      <c r="I357" s="138"/>
      <c r="J357" s="138"/>
      <c r="K357" s="138"/>
      <c r="L357" s="138"/>
      <c r="M357" s="138"/>
      <c r="N357" s="138"/>
      <c r="O357" s="138"/>
      <c r="P357" s="138"/>
      <c r="Q357" s="138"/>
      <c r="R357" s="138"/>
      <c r="S357" s="138"/>
      <c r="T357" s="138"/>
      <c r="U357" s="138"/>
      <c r="V357" s="138"/>
      <c r="W357" s="138"/>
      <c r="X357" s="138"/>
      <c r="Y357" s="138"/>
    </row>
    <row r="358" spans="1:25" ht="14.4">
      <c r="A358" s="32"/>
      <c r="B358" s="138"/>
      <c r="C358" s="138"/>
      <c r="D358" s="138"/>
      <c r="E358" s="138"/>
      <c r="F358" s="138"/>
      <c r="G358" s="138"/>
      <c r="H358" s="138"/>
      <c r="I358" s="138"/>
      <c r="J358" s="138"/>
      <c r="K358" s="138"/>
      <c r="L358" s="138"/>
      <c r="M358" s="138"/>
      <c r="N358" s="138"/>
      <c r="O358" s="138"/>
      <c r="P358" s="138"/>
      <c r="Q358" s="138"/>
      <c r="R358" s="138"/>
      <c r="S358" s="138"/>
      <c r="T358" s="138"/>
      <c r="U358" s="138"/>
      <c r="V358" s="138"/>
      <c r="W358" s="138"/>
      <c r="X358" s="138"/>
      <c r="Y358" s="138"/>
    </row>
    <row r="359" spans="1:25" ht="14.4">
      <c r="A359" s="32"/>
      <c r="B359" s="138"/>
      <c r="C359" s="138"/>
      <c r="D359" s="138"/>
      <c r="E359" s="138"/>
      <c r="F359" s="138"/>
      <c r="G359" s="138"/>
      <c r="H359" s="138"/>
      <c r="I359" s="138"/>
      <c r="J359" s="138"/>
      <c r="K359" s="138"/>
      <c r="L359" s="138"/>
      <c r="M359" s="138"/>
      <c r="N359" s="138"/>
      <c r="O359" s="138"/>
      <c r="P359" s="138"/>
      <c r="Q359" s="138"/>
      <c r="R359" s="138"/>
      <c r="S359" s="138"/>
      <c r="T359" s="138"/>
      <c r="U359" s="138"/>
      <c r="V359" s="138"/>
      <c r="W359" s="138"/>
      <c r="X359" s="138"/>
      <c r="Y359" s="138"/>
    </row>
    <row r="360" spans="1:25" ht="14.4">
      <c r="A360" s="32"/>
      <c r="B360" s="138"/>
      <c r="C360" s="138"/>
      <c r="D360" s="138"/>
      <c r="E360" s="138"/>
      <c r="F360" s="138"/>
      <c r="G360" s="138"/>
      <c r="H360" s="138"/>
      <c r="I360" s="138"/>
      <c r="J360" s="138"/>
      <c r="K360" s="138"/>
      <c r="L360" s="138"/>
      <c r="M360" s="138"/>
      <c r="N360" s="138"/>
      <c r="O360" s="138"/>
      <c r="P360" s="138"/>
      <c r="Q360" s="138"/>
      <c r="R360" s="138"/>
      <c r="S360" s="138"/>
      <c r="T360" s="138"/>
      <c r="U360" s="138"/>
      <c r="V360" s="138"/>
      <c r="W360" s="138"/>
      <c r="X360" s="138"/>
      <c r="Y360" s="138"/>
    </row>
    <row r="361" spans="1:25" ht="14.4">
      <c r="A361" s="32"/>
      <c r="B361" s="138"/>
      <c r="C361" s="138"/>
      <c r="D361" s="138"/>
      <c r="E361" s="138"/>
      <c r="F361" s="138"/>
      <c r="G361" s="138"/>
      <c r="H361" s="138"/>
      <c r="I361" s="138"/>
      <c r="J361" s="138"/>
      <c r="K361" s="138"/>
      <c r="L361" s="138"/>
      <c r="M361" s="138"/>
      <c r="N361" s="138"/>
      <c r="O361" s="138"/>
      <c r="P361" s="138"/>
      <c r="Q361" s="138"/>
      <c r="R361" s="138"/>
      <c r="S361" s="138"/>
      <c r="T361" s="138"/>
      <c r="U361" s="138"/>
      <c r="V361" s="138"/>
      <c r="W361" s="138"/>
      <c r="X361" s="138"/>
      <c r="Y361" s="138"/>
    </row>
    <row r="362" spans="1:25" ht="14.4">
      <c r="A362" s="32"/>
      <c r="B362" s="138"/>
      <c r="C362" s="138"/>
      <c r="D362" s="138"/>
      <c r="E362" s="138"/>
      <c r="F362" s="138"/>
      <c r="G362" s="138"/>
      <c r="H362" s="138"/>
      <c r="I362" s="138"/>
      <c r="J362" s="138"/>
      <c r="K362" s="138"/>
      <c r="L362" s="138"/>
      <c r="M362" s="138"/>
      <c r="N362" s="138"/>
      <c r="O362" s="138"/>
      <c r="P362" s="138"/>
      <c r="Q362" s="138"/>
      <c r="R362" s="138"/>
      <c r="S362" s="138"/>
      <c r="T362" s="138"/>
      <c r="U362" s="138"/>
      <c r="V362" s="138"/>
      <c r="W362" s="138"/>
      <c r="X362" s="138"/>
      <c r="Y362" s="138"/>
    </row>
    <row r="363" spans="1:25" ht="14.4">
      <c r="A363" s="32"/>
      <c r="B363" s="138"/>
      <c r="C363" s="138"/>
      <c r="D363" s="138"/>
      <c r="E363" s="138"/>
      <c r="F363" s="138"/>
      <c r="G363" s="138"/>
      <c r="H363" s="138"/>
      <c r="I363" s="138"/>
      <c r="J363" s="138"/>
      <c r="K363" s="138"/>
      <c r="L363" s="138"/>
      <c r="M363" s="138"/>
      <c r="N363" s="138"/>
      <c r="O363" s="138"/>
      <c r="P363" s="138"/>
      <c r="Q363" s="138"/>
      <c r="R363" s="138"/>
      <c r="S363" s="138"/>
      <c r="T363" s="138"/>
      <c r="U363" s="138"/>
      <c r="V363" s="138"/>
      <c r="W363" s="138"/>
      <c r="X363" s="138"/>
      <c r="Y363" s="138"/>
    </row>
    <row r="364" spans="1:25" ht="14.4">
      <c r="A364" s="32"/>
      <c r="B364" s="138"/>
      <c r="C364" s="138"/>
      <c r="D364" s="138"/>
      <c r="E364" s="138"/>
      <c r="F364" s="138"/>
      <c r="G364" s="138"/>
      <c r="H364" s="138"/>
      <c r="I364" s="138"/>
      <c r="J364" s="138"/>
      <c r="K364" s="138"/>
      <c r="L364" s="138"/>
      <c r="M364" s="138"/>
      <c r="N364" s="138"/>
      <c r="O364" s="138"/>
      <c r="P364" s="138"/>
      <c r="Q364" s="138"/>
      <c r="R364" s="138"/>
      <c r="S364" s="138"/>
      <c r="T364" s="138"/>
      <c r="U364" s="138"/>
      <c r="V364" s="138"/>
      <c r="W364" s="138"/>
      <c r="X364" s="138"/>
      <c r="Y364" s="138"/>
    </row>
    <row r="365" spans="1:25" ht="14.4">
      <c r="A365" s="32"/>
      <c r="B365" s="138"/>
      <c r="C365" s="138"/>
      <c r="D365" s="138"/>
      <c r="E365" s="138"/>
      <c r="F365" s="138"/>
      <c r="G365" s="138"/>
      <c r="H365" s="138"/>
      <c r="I365" s="138"/>
      <c r="J365" s="138"/>
      <c r="K365" s="138"/>
      <c r="L365" s="138"/>
      <c r="M365" s="138"/>
      <c r="N365" s="138"/>
      <c r="O365" s="138"/>
      <c r="P365" s="138"/>
      <c r="Q365" s="138"/>
      <c r="R365" s="138"/>
      <c r="S365" s="138"/>
      <c r="T365" s="138"/>
      <c r="U365" s="138"/>
      <c r="V365" s="138"/>
      <c r="W365" s="138"/>
      <c r="X365" s="138"/>
      <c r="Y365" s="138"/>
    </row>
    <row r="366" spans="1:25" ht="14.4">
      <c r="A366" s="130"/>
      <c r="B366" s="138"/>
      <c r="C366" s="138"/>
      <c r="D366" s="138"/>
      <c r="E366" s="138"/>
      <c r="F366" s="138"/>
      <c r="G366" s="138"/>
      <c r="H366" s="138"/>
      <c r="I366" s="138"/>
      <c r="J366" s="138"/>
      <c r="K366" s="138"/>
      <c r="L366" s="138"/>
      <c r="M366" s="138"/>
      <c r="N366" s="138"/>
      <c r="O366" s="138"/>
      <c r="P366" s="138"/>
      <c r="Q366" s="138"/>
      <c r="R366" s="138"/>
      <c r="S366" s="138"/>
      <c r="T366" s="138"/>
      <c r="U366" s="138"/>
      <c r="V366" s="138"/>
      <c r="W366" s="138"/>
      <c r="X366" s="138"/>
      <c r="Y366" s="138"/>
    </row>
    <row r="367" spans="1:25" ht="14.4">
      <c r="A367" s="32"/>
      <c r="B367" s="138"/>
      <c r="C367" s="138"/>
      <c r="D367" s="138"/>
      <c r="E367" s="138"/>
      <c r="F367" s="138"/>
      <c r="G367" s="138"/>
      <c r="H367" s="138"/>
      <c r="I367" s="138"/>
      <c r="J367" s="138"/>
      <c r="K367" s="138"/>
      <c r="L367" s="138"/>
      <c r="M367" s="138"/>
      <c r="N367" s="138"/>
      <c r="O367" s="138"/>
      <c r="P367" s="138"/>
      <c r="Q367" s="138"/>
      <c r="R367" s="138"/>
      <c r="S367" s="138"/>
      <c r="T367" s="138"/>
      <c r="U367" s="138"/>
      <c r="V367" s="138"/>
      <c r="W367" s="138"/>
      <c r="X367" s="138"/>
      <c r="Y367" s="138"/>
    </row>
    <row r="368" spans="1:25" ht="14.4">
      <c r="A368" s="32"/>
      <c r="B368" s="138"/>
      <c r="C368" s="138"/>
      <c r="D368" s="138"/>
      <c r="E368" s="138"/>
      <c r="F368" s="138"/>
      <c r="G368" s="138"/>
      <c r="H368" s="138"/>
      <c r="I368" s="138"/>
      <c r="J368" s="138"/>
      <c r="K368" s="138"/>
      <c r="L368" s="138"/>
      <c r="M368" s="138"/>
      <c r="N368" s="138"/>
      <c r="O368" s="138"/>
      <c r="P368" s="138"/>
      <c r="Q368" s="138"/>
      <c r="R368" s="138"/>
      <c r="S368" s="138"/>
      <c r="T368" s="138"/>
      <c r="U368" s="138"/>
      <c r="V368" s="138"/>
      <c r="W368" s="138"/>
      <c r="X368" s="138"/>
      <c r="Y368" s="138"/>
    </row>
    <row r="369" spans="1:25" ht="14.4">
      <c r="A369" s="32"/>
      <c r="B369" s="138"/>
      <c r="C369" s="138"/>
      <c r="D369" s="138"/>
      <c r="E369" s="138"/>
      <c r="F369" s="138"/>
      <c r="G369" s="138"/>
      <c r="H369" s="138"/>
      <c r="I369" s="138"/>
      <c r="J369" s="138"/>
      <c r="K369" s="138"/>
      <c r="L369" s="138"/>
      <c r="M369" s="138"/>
      <c r="N369" s="138"/>
      <c r="O369" s="138"/>
      <c r="P369" s="138"/>
      <c r="Q369" s="138"/>
      <c r="R369" s="138"/>
      <c r="S369" s="138"/>
      <c r="T369" s="138"/>
      <c r="U369" s="138"/>
      <c r="V369" s="138"/>
      <c r="W369" s="138"/>
      <c r="X369" s="138"/>
      <c r="Y369" s="138"/>
    </row>
    <row r="370" spans="1:25" ht="14.4">
      <c r="A370" s="32"/>
      <c r="B370" s="138"/>
      <c r="C370" s="138"/>
      <c r="D370" s="138"/>
      <c r="E370" s="138"/>
      <c r="F370" s="138"/>
      <c r="G370" s="138"/>
      <c r="H370" s="138"/>
      <c r="I370" s="138"/>
      <c r="J370" s="138"/>
      <c r="K370" s="138"/>
      <c r="L370" s="138"/>
      <c r="M370" s="138"/>
      <c r="N370" s="138"/>
      <c r="O370" s="138"/>
      <c r="P370" s="138"/>
      <c r="Q370" s="138"/>
      <c r="R370" s="138"/>
      <c r="S370" s="138"/>
      <c r="T370" s="138"/>
      <c r="U370" s="138"/>
      <c r="V370" s="138"/>
      <c r="W370" s="138"/>
      <c r="X370" s="138"/>
      <c r="Y370" s="138"/>
    </row>
    <row r="371" spans="1:25" ht="14.4">
      <c r="A371" s="32"/>
      <c r="B371" s="138"/>
      <c r="C371" s="138"/>
      <c r="D371" s="138"/>
      <c r="E371" s="138"/>
      <c r="F371" s="138"/>
      <c r="G371" s="138"/>
      <c r="H371" s="138"/>
      <c r="I371" s="138"/>
      <c r="J371" s="138"/>
      <c r="K371" s="138"/>
      <c r="L371" s="138"/>
      <c r="M371" s="138"/>
      <c r="N371" s="138"/>
      <c r="O371" s="138"/>
      <c r="P371" s="138"/>
      <c r="Q371" s="138"/>
      <c r="R371" s="138"/>
      <c r="S371" s="138"/>
      <c r="T371" s="138"/>
      <c r="U371" s="138"/>
      <c r="V371" s="138"/>
      <c r="W371" s="138"/>
      <c r="X371" s="138"/>
      <c r="Y371" s="138"/>
    </row>
    <row r="372" spans="1:25" ht="14.4">
      <c r="A372" s="32"/>
      <c r="B372" s="138"/>
      <c r="C372" s="138"/>
      <c r="D372" s="138"/>
      <c r="E372" s="138"/>
      <c r="F372" s="138"/>
      <c r="G372" s="138"/>
      <c r="H372" s="138"/>
      <c r="I372" s="138"/>
      <c r="J372" s="138"/>
      <c r="K372" s="138"/>
      <c r="L372" s="138"/>
      <c r="M372" s="138"/>
      <c r="N372" s="138"/>
      <c r="O372" s="138"/>
      <c r="P372" s="138"/>
      <c r="Q372" s="138"/>
      <c r="R372" s="138"/>
      <c r="S372" s="138"/>
      <c r="T372" s="138"/>
      <c r="U372" s="138"/>
      <c r="V372" s="138"/>
      <c r="W372" s="138"/>
      <c r="X372" s="138"/>
      <c r="Y372" s="138"/>
    </row>
    <row r="373" spans="1:25" ht="14.4">
      <c r="A373" s="32"/>
      <c r="B373" s="138"/>
      <c r="C373" s="138"/>
      <c r="D373" s="138"/>
      <c r="E373" s="138"/>
      <c r="F373" s="138"/>
      <c r="G373" s="138"/>
      <c r="H373" s="138"/>
      <c r="I373" s="138"/>
      <c r="J373" s="138"/>
      <c r="K373" s="138"/>
      <c r="L373" s="138"/>
      <c r="M373" s="138"/>
      <c r="N373" s="138"/>
      <c r="O373" s="138"/>
      <c r="P373" s="138"/>
      <c r="Q373" s="138"/>
      <c r="R373" s="138"/>
      <c r="S373" s="138"/>
      <c r="T373" s="138"/>
      <c r="U373" s="138"/>
      <c r="V373" s="138"/>
      <c r="W373" s="138"/>
      <c r="X373" s="138"/>
      <c r="Y373" s="138"/>
    </row>
    <row r="374" spans="1:25" ht="14.4">
      <c r="A374" s="32"/>
      <c r="B374" s="138"/>
      <c r="C374" s="138"/>
      <c r="D374" s="138"/>
      <c r="E374" s="138"/>
      <c r="F374" s="138"/>
      <c r="G374" s="138"/>
      <c r="H374" s="138"/>
      <c r="I374" s="138"/>
      <c r="J374" s="138"/>
      <c r="K374" s="138"/>
      <c r="L374" s="138"/>
      <c r="M374" s="138"/>
      <c r="N374" s="138"/>
      <c r="O374" s="138"/>
      <c r="P374" s="138"/>
      <c r="Q374" s="138"/>
      <c r="R374" s="138"/>
      <c r="S374" s="138"/>
      <c r="T374" s="138"/>
      <c r="U374" s="138"/>
      <c r="V374" s="138"/>
      <c r="W374" s="138"/>
      <c r="X374" s="138"/>
      <c r="Y374" s="138"/>
    </row>
    <row r="375" spans="1:25" ht="14.4">
      <c r="A375" s="32"/>
      <c r="B375" s="138"/>
      <c r="C375" s="138"/>
      <c r="D375" s="138"/>
      <c r="E375" s="138"/>
      <c r="F375" s="138"/>
      <c r="G375" s="138"/>
      <c r="H375" s="138"/>
      <c r="I375" s="138"/>
      <c r="J375" s="138"/>
      <c r="K375" s="138"/>
      <c r="L375" s="138"/>
      <c r="M375" s="138"/>
      <c r="N375" s="138"/>
      <c r="O375" s="138"/>
      <c r="P375" s="138"/>
      <c r="Q375" s="138"/>
      <c r="R375" s="138"/>
      <c r="S375" s="138"/>
      <c r="T375" s="138"/>
      <c r="U375" s="138"/>
      <c r="V375" s="138"/>
      <c r="W375" s="138"/>
      <c r="X375" s="138"/>
      <c r="Y375" s="138"/>
    </row>
    <row r="376" spans="1:25" ht="14.4">
      <c r="A376" s="32"/>
      <c r="B376" s="138"/>
      <c r="C376" s="138"/>
      <c r="D376" s="138"/>
      <c r="E376" s="138"/>
      <c r="F376" s="138"/>
      <c r="G376" s="138"/>
      <c r="H376" s="138"/>
      <c r="I376" s="138"/>
      <c r="J376" s="138"/>
      <c r="K376" s="138"/>
      <c r="L376" s="138"/>
      <c r="M376" s="138"/>
      <c r="N376" s="138"/>
      <c r="O376" s="138"/>
      <c r="P376" s="138"/>
      <c r="Q376" s="138"/>
      <c r="R376" s="138"/>
      <c r="S376" s="138"/>
      <c r="T376" s="138"/>
      <c r="U376" s="138"/>
      <c r="V376" s="138"/>
      <c r="W376" s="138"/>
      <c r="X376" s="138"/>
      <c r="Y376" s="138"/>
    </row>
    <row r="377" spans="1:25" ht="14.4">
      <c r="A377" s="32"/>
      <c r="B377" s="138"/>
      <c r="C377" s="138"/>
      <c r="D377" s="138"/>
      <c r="E377" s="138"/>
      <c r="F377" s="138"/>
      <c r="G377" s="138"/>
      <c r="H377" s="138"/>
      <c r="I377" s="138"/>
      <c r="J377" s="138"/>
      <c r="K377" s="138"/>
      <c r="L377" s="138"/>
      <c r="M377" s="138"/>
      <c r="N377" s="138"/>
      <c r="O377" s="138"/>
      <c r="P377" s="138"/>
      <c r="Q377" s="138"/>
      <c r="R377" s="138"/>
      <c r="S377" s="138"/>
      <c r="T377" s="138"/>
      <c r="U377" s="138"/>
      <c r="V377" s="138"/>
      <c r="W377" s="138"/>
      <c r="X377" s="138"/>
      <c r="Y377" s="138"/>
    </row>
    <row r="378" spans="1:25">
      <c r="A378" s="138"/>
      <c r="B378" s="138"/>
      <c r="C378" s="138"/>
      <c r="D378" s="138"/>
      <c r="E378" s="138"/>
      <c r="F378" s="138"/>
      <c r="G378" s="138"/>
      <c r="H378" s="138"/>
      <c r="I378" s="138"/>
      <c r="J378" s="138"/>
      <c r="K378" s="138"/>
      <c r="L378" s="138"/>
      <c r="M378" s="138"/>
      <c r="N378" s="138"/>
      <c r="O378" s="138"/>
      <c r="P378" s="138"/>
      <c r="Q378" s="138"/>
      <c r="R378" s="138"/>
      <c r="S378" s="138"/>
      <c r="T378" s="138"/>
      <c r="U378" s="138"/>
      <c r="V378" s="138"/>
      <c r="W378" s="138"/>
      <c r="X378" s="138"/>
      <c r="Y378" s="138"/>
    </row>
    <row r="379" spans="1:25">
      <c r="A379" s="138"/>
      <c r="B379" s="138"/>
      <c r="C379" s="138"/>
      <c r="D379" s="138"/>
      <c r="E379" s="138"/>
      <c r="F379" s="138"/>
      <c r="G379" s="138"/>
      <c r="H379" s="138"/>
      <c r="I379" s="138"/>
      <c r="J379" s="138"/>
      <c r="K379" s="138"/>
      <c r="L379" s="138"/>
      <c r="M379" s="138"/>
      <c r="N379" s="138"/>
      <c r="O379" s="138"/>
      <c r="P379" s="138"/>
      <c r="Q379" s="138"/>
      <c r="R379" s="138"/>
      <c r="S379" s="138"/>
      <c r="T379" s="138"/>
      <c r="U379" s="138"/>
      <c r="V379" s="138"/>
      <c r="W379" s="138"/>
      <c r="X379" s="138"/>
      <c r="Y379" s="138"/>
    </row>
    <row r="380" spans="1:25">
      <c r="A380" s="138"/>
      <c r="B380" s="138"/>
      <c r="C380" s="138"/>
      <c r="D380" s="138"/>
      <c r="E380" s="138"/>
      <c r="F380" s="138"/>
      <c r="G380" s="138"/>
      <c r="H380" s="138"/>
      <c r="I380" s="138"/>
      <c r="J380" s="138"/>
      <c r="K380" s="138"/>
      <c r="L380" s="138"/>
      <c r="M380" s="138"/>
      <c r="N380" s="138"/>
      <c r="O380" s="138"/>
      <c r="P380" s="138"/>
      <c r="Q380" s="138"/>
      <c r="R380" s="138"/>
      <c r="S380" s="138"/>
      <c r="T380" s="138"/>
      <c r="U380" s="138"/>
      <c r="V380" s="138"/>
      <c r="W380" s="138"/>
      <c r="X380" s="138"/>
      <c r="Y380" s="138"/>
    </row>
    <row r="381" spans="1:25">
      <c r="A381" s="138"/>
      <c r="B381" s="138"/>
      <c r="C381" s="138"/>
      <c r="D381" s="138"/>
      <c r="E381" s="138"/>
      <c r="F381" s="138"/>
      <c r="G381" s="138"/>
      <c r="H381" s="138"/>
      <c r="I381" s="138"/>
      <c r="J381" s="138"/>
      <c r="K381" s="138"/>
      <c r="L381" s="138"/>
      <c r="M381" s="138"/>
      <c r="N381" s="138"/>
      <c r="O381" s="138"/>
      <c r="P381" s="138"/>
      <c r="Q381" s="138"/>
      <c r="R381" s="138"/>
      <c r="S381" s="138"/>
      <c r="T381" s="138"/>
      <c r="U381" s="138"/>
      <c r="V381" s="138"/>
      <c r="W381" s="138"/>
      <c r="X381" s="138"/>
      <c r="Y381" s="138"/>
    </row>
    <row r="382" spans="1:25">
      <c r="A382" s="138"/>
      <c r="B382" s="138"/>
      <c r="C382" s="138"/>
      <c r="D382" s="138"/>
      <c r="E382" s="138"/>
      <c r="F382" s="138"/>
      <c r="G382" s="138"/>
      <c r="H382" s="138"/>
      <c r="I382" s="138"/>
      <c r="J382" s="138"/>
      <c r="K382" s="138"/>
      <c r="L382" s="138"/>
      <c r="M382" s="138"/>
      <c r="N382" s="138"/>
      <c r="O382" s="138"/>
      <c r="P382" s="138"/>
      <c r="Q382" s="138"/>
      <c r="R382" s="138"/>
      <c r="S382" s="138"/>
      <c r="T382" s="138"/>
      <c r="U382" s="138"/>
      <c r="V382" s="138"/>
      <c r="W382" s="138"/>
      <c r="X382" s="138"/>
      <c r="Y382" s="138"/>
    </row>
    <row r="383" spans="1:25">
      <c r="A383" s="138"/>
      <c r="B383" s="138"/>
      <c r="C383" s="138"/>
      <c r="D383" s="138"/>
      <c r="E383" s="138"/>
      <c r="F383" s="138"/>
      <c r="G383" s="138"/>
      <c r="H383" s="138"/>
      <c r="I383" s="138"/>
      <c r="J383" s="138"/>
      <c r="K383" s="138"/>
      <c r="L383" s="138"/>
      <c r="M383" s="138"/>
      <c r="N383" s="138"/>
      <c r="O383" s="138"/>
      <c r="P383" s="138"/>
      <c r="Q383" s="138"/>
      <c r="R383" s="138"/>
      <c r="S383" s="138"/>
      <c r="T383" s="138"/>
      <c r="U383" s="138"/>
      <c r="V383" s="138"/>
      <c r="W383" s="138"/>
      <c r="X383" s="138"/>
      <c r="Y383" s="138"/>
    </row>
    <row r="384" spans="1:25">
      <c r="A384" s="138"/>
      <c r="B384" s="138"/>
      <c r="C384" s="138"/>
      <c r="D384" s="138"/>
      <c r="E384" s="138"/>
      <c r="F384" s="138"/>
      <c r="G384" s="138"/>
      <c r="H384" s="138"/>
      <c r="I384" s="138"/>
      <c r="J384" s="138"/>
      <c r="K384" s="138"/>
      <c r="L384" s="138"/>
      <c r="M384" s="138"/>
      <c r="N384" s="138"/>
      <c r="O384" s="138"/>
      <c r="P384" s="138"/>
      <c r="Q384" s="138"/>
      <c r="R384" s="138"/>
      <c r="S384" s="138"/>
      <c r="T384" s="138"/>
      <c r="U384" s="138"/>
      <c r="V384" s="138"/>
      <c r="W384" s="138"/>
      <c r="X384" s="138"/>
      <c r="Y384" s="138"/>
    </row>
    <row r="385" spans="1:25">
      <c r="A385" s="138"/>
      <c r="B385" s="138"/>
      <c r="C385" s="138"/>
      <c r="D385" s="138"/>
      <c r="E385" s="138"/>
      <c r="F385" s="138"/>
      <c r="G385" s="138"/>
      <c r="H385" s="138"/>
      <c r="I385" s="138"/>
      <c r="J385" s="138"/>
      <c r="K385" s="138"/>
      <c r="L385" s="138"/>
      <c r="M385" s="138"/>
      <c r="N385" s="138"/>
      <c r="O385" s="138"/>
      <c r="P385" s="138"/>
      <c r="Q385" s="138"/>
      <c r="R385" s="138"/>
      <c r="S385" s="138"/>
      <c r="T385" s="138"/>
      <c r="U385" s="138"/>
      <c r="V385" s="138"/>
      <c r="W385" s="138"/>
      <c r="X385" s="138"/>
      <c r="Y385" s="138"/>
    </row>
    <row r="386" spans="1:25">
      <c r="A386" s="138"/>
      <c r="B386" s="138"/>
      <c r="C386" s="138"/>
      <c r="D386" s="138"/>
      <c r="E386" s="138"/>
      <c r="F386" s="138"/>
      <c r="G386" s="138"/>
      <c r="H386" s="138"/>
      <c r="I386" s="138"/>
      <c r="J386" s="138"/>
      <c r="K386" s="138"/>
      <c r="L386" s="138"/>
      <c r="M386" s="138"/>
      <c r="N386" s="138"/>
      <c r="O386" s="138"/>
      <c r="P386" s="138"/>
      <c r="Q386" s="138"/>
      <c r="R386" s="138"/>
      <c r="S386" s="138"/>
      <c r="T386" s="138"/>
      <c r="U386" s="138"/>
      <c r="V386" s="138"/>
      <c r="W386" s="138"/>
      <c r="X386" s="138"/>
      <c r="Y386" s="138"/>
    </row>
    <row r="387" spans="1:25">
      <c r="A387" s="138"/>
      <c r="B387" s="138"/>
      <c r="C387" s="138"/>
      <c r="D387" s="138"/>
      <c r="E387" s="138"/>
      <c r="F387" s="138"/>
      <c r="G387" s="138"/>
      <c r="H387" s="138"/>
      <c r="I387" s="138"/>
      <c r="J387" s="138"/>
      <c r="K387" s="138"/>
      <c r="L387" s="138"/>
      <c r="M387" s="138"/>
      <c r="N387" s="138"/>
      <c r="O387" s="138"/>
      <c r="P387" s="138"/>
      <c r="Q387" s="138"/>
      <c r="R387" s="138"/>
      <c r="S387" s="138"/>
      <c r="T387" s="138"/>
      <c r="U387" s="138"/>
      <c r="V387" s="138"/>
      <c r="W387" s="138"/>
      <c r="X387" s="138"/>
      <c r="Y387" s="138"/>
    </row>
    <row r="388" spans="1:25">
      <c r="A388" s="138"/>
      <c r="B388" s="138"/>
      <c r="C388" s="138"/>
      <c r="D388" s="138"/>
      <c r="E388" s="138"/>
      <c r="F388" s="138"/>
      <c r="G388" s="138"/>
      <c r="H388" s="138"/>
      <c r="I388" s="138"/>
      <c r="J388" s="138"/>
      <c r="K388" s="138"/>
      <c r="L388" s="138"/>
      <c r="M388" s="138"/>
      <c r="N388" s="138"/>
      <c r="O388" s="138"/>
      <c r="P388" s="138"/>
      <c r="Q388" s="138"/>
      <c r="R388" s="138"/>
      <c r="S388" s="138"/>
      <c r="T388" s="138"/>
      <c r="U388" s="138"/>
      <c r="V388" s="138"/>
      <c r="W388" s="138"/>
      <c r="X388" s="138"/>
      <c r="Y388" s="138"/>
    </row>
    <row r="389" spans="1:25">
      <c r="A389" s="138"/>
      <c r="B389" s="138"/>
      <c r="C389" s="138"/>
      <c r="D389" s="138"/>
      <c r="E389" s="138"/>
      <c r="F389" s="138"/>
      <c r="G389" s="138"/>
      <c r="H389" s="138"/>
      <c r="I389" s="138"/>
      <c r="J389" s="138"/>
      <c r="K389" s="138"/>
      <c r="L389" s="138"/>
      <c r="M389" s="138"/>
      <c r="N389" s="138"/>
      <c r="O389" s="138"/>
      <c r="P389" s="138"/>
      <c r="Q389" s="138"/>
      <c r="R389" s="138"/>
      <c r="S389" s="138"/>
      <c r="T389" s="138"/>
      <c r="U389" s="138"/>
      <c r="V389" s="138"/>
      <c r="W389" s="138"/>
      <c r="X389" s="138"/>
      <c r="Y389" s="138"/>
    </row>
    <row r="390" spans="1:25">
      <c r="A390" s="138"/>
      <c r="B390" s="138"/>
      <c r="C390" s="138"/>
      <c r="D390" s="138"/>
      <c r="E390" s="138"/>
      <c r="F390" s="138"/>
      <c r="G390" s="138"/>
      <c r="H390" s="138"/>
      <c r="I390" s="138"/>
      <c r="J390" s="138"/>
      <c r="K390" s="138"/>
      <c r="L390" s="138"/>
      <c r="M390" s="138"/>
      <c r="N390" s="138"/>
      <c r="O390" s="138"/>
      <c r="P390" s="138"/>
      <c r="Q390" s="138"/>
      <c r="R390" s="138"/>
      <c r="S390" s="138"/>
      <c r="T390" s="138"/>
      <c r="U390" s="138"/>
      <c r="V390" s="138"/>
      <c r="W390" s="138"/>
      <c r="X390" s="138"/>
      <c r="Y390" s="138"/>
    </row>
    <row r="391" spans="1:25">
      <c r="A391" s="138"/>
      <c r="B391" s="138"/>
      <c r="C391" s="138"/>
      <c r="D391" s="138"/>
      <c r="E391" s="138"/>
      <c r="F391" s="138"/>
      <c r="G391" s="138"/>
      <c r="H391" s="138"/>
      <c r="I391" s="138"/>
      <c r="J391" s="138"/>
      <c r="K391" s="138"/>
      <c r="L391" s="138"/>
      <c r="M391" s="138"/>
      <c r="N391" s="138"/>
      <c r="O391" s="138"/>
      <c r="P391" s="138"/>
      <c r="Q391" s="138"/>
      <c r="R391" s="138"/>
      <c r="S391" s="138"/>
      <c r="T391" s="138"/>
      <c r="U391" s="138"/>
      <c r="V391" s="138"/>
      <c r="W391" s="138"/>
      <c r="X391" s="138"/>
      <c r="Y391" s="138"/>
    </row>
    <row r="392" spans="1:25">
      <c r="A392" s="138"/>
      <c r="B392" s="138"/>
      <c r="C392" s="138"/>
      <c r="D392" s="138"/>
      <c r="E392" s="138"/>
      <c r="F392" s="138"/>
      <c r="G392" s="138"/>
      <c r="H392" s="138"/>
      <c r="I392" s="138"/>
      <c r="J392" s="138"/>
      <c r="K392" s="138"/>
      <c r="L392" s="138"/>
      <c r="M392" s="138"/>
      <c r="N392" s="138"/>
      <c r="O392" s="138"/>
      <c r="P392" s="138"/>
      <c r="Q392" s="138"/>
      <c r="R392" s="138"/>
      <c r="S392" s="138"/>
      <c r="T392" s="138"/>
      <c r="U392" s="138"/>
      <c r="V392" s="138"/>
      <c r="W392" s="138"/>
      <c r="X392" s="138"/>
      <c r="Y392" s="138"/>
    </row>
    <row r="393" spans="1:25">
      <c r="A393" s="138"/>
      <c r="B393" s="138"/>
      <c r="C393" s="138"/>
      <c r="D393" s="138"/>
      <c r="E393" s="138"/>
      <c r="F393" s="138"/>
      <c r="G393" s="138"/>
      <c r="H393" s="138"/>
      <c r="I393" s="138"/>
      <c r="J393" s="138"/>
      <c r="K393" s="138"/>
      <c r="L393" s="138"/>
      <c r="M393" s="138"/>
      <c r="N393" s="138"/>
      <c r="O393" s="138"/>
      <c r="P393" s="138"/>
      <c r="Q393" s="138"/>
      <c r="R393" s="138"/>
      <c r="S393" s="138"/>
      <c r="T393" s="138"/>
      <c r="U393" s="138"/>
      <c r="V393" s="138"/>
      <c r="W393" s="138"/>
      <c r="X393" s="138"/>
      <c r="Y393" s="138"/>
    </row>
    <row r="394" spans="1:25">
      <c r="A394" s="138"/>
      <c r="B394" s="138"/>
      <c r="C394" s="138"/>
      <c r="D394" s="138"/>
      <c r="E394" s="138"/>
      <c r="F394" s="138"/>
      <c r="G394" s="138"/>
      <c r="H394" s="138"/>
      <c r="I394" s="138"/>
      <c r="J394" s="138"/>
      <c r="K394" s="138"/>
      <c r="L394" s="138"/>
      <c r="M394" s="138"/>
      <c r="N394" s="138"/>
      <c r="O394" s="138"/>
      <c r="P394" s="138"/>
      <c r="Q394" s="138"/>
      <c r="R394" s="138"/>
      <c r="S394" s="138"/>
      <c r="T394" s="138"/>
      <c r="U394" s="138"/>
      <c r="V394" s="138"/>
      <c r="W394" s="138"/>
      <c r="X394" s="138"/>
      <c r="Y394" s="138"/>
    </row>
    <row r="395" spans="1:25">
      <c r="A395" s="138"/>
      <c r="B395" s="138"/>
      <c r="C395" s="138"/>
      <c r="D395" s="138"/>
      <c r="E395" s="138"/>
      <c r="F395" s="138"/>
      <c r="G395" s="138"/>
      <c r="H395" s="138"/>
      <c r="I395" s="138"/>
      <c r="J395" s="138"/>
      <c r="K395" s="138"/>
      <c r="L395" s="138"/>
      <c r="M395" s="138"/>
      <c r="N395" s="138"/>
      <c r="O395" s="138"/>
      <c r="P395" s="138"/>
      <c r="Q395" s="138"/>
      <c r="R395" s="138"/>
      <c r="S395" s="138"/>
      <c r="T395" s="138"/>
      <c r="U395" s="138"/>
      <c r="V395" s="138"/>
      <c r="W395" s="138"/>
      <c r="X395" s="138"/>
      <c r="Y395" s="138"/>
    </row>
    <row r="396" spans="1:25">
      <c r="A396" s="138"/>
      <c r="B396" s="138"/>
      <c r="C396" s="138"/>
      <c r="D396" s="138"/>
      <c r="E396" s="138"/>
      <c r="F396" s="138"/>
      <c r="G396" s="138"/>
      <c r="H396" s="138"/>
      <c r="I396" s="138"/>
      <c r="J396" s="138"/>
      <c r="K396" s="138"/>
      <c r="L396" s="138"/>
      <c r="M396" s="138"/>
      <c r="N396" s="138"/>
      <c r="O396" s="138"/>
      <c r="P396" s="138"/>
      <c r="Q396" s="138"/>
      <c r="R396" s="138"/>
      <c r="S396" s="138"/>
      <c r="T396" s="138"/>
      <c r="U396" s="138"/>
      <c r="V396" s="138"/>
      <c r="W396" s="138"/>
      <c r="X396" s="138"/>
      <c r="Y396" s="138"/>
    </row>
    <row r="397" spans="1:25">
      <c r="A397" s="138"/>
      <c r="B397" s="138"/>
      <c r="C397" s="138"/>
      <c r="D397" s="138"/>
      <c r="E397" s="138"/>
      <c r="F397" s="138"/>
      <c r="G397" s="138"/>
      <c r="H397" s="138"/>
      <c r="I397" s="138"/>
      <c r="J397" s="138"/>
      <c r="K397" s="138"/>
      <c r="L397" s="138"/>
      <c r="M397" s="138"/>
      <c r="N397" s="138"/>
      <c r="O397" s="138"/>
      <c r="P397" s="138"/>
      <c r="Q397" s="138"/>
      <c r="R397" s="138"/>
      <c r="S397" s="138"/>
      <c r="T397" s="138"/>
      <c r="U397" s="138"/>
      <c r="V397" s="138"/>
      <c r="W397" s="138"/>
      <c r="X397" s="138"/>
      <c r="Y397" s="138"/>
    </row>
    <row r="398" spans="1:25">
      <c r="A398" s="138"/>
      <c r="B398" s="138"/>
      <c r="C398" s="138"/>
      <c r="D398" s="138"/>
      <c r="E398" s="138"/>
      <c r="F398" s="138"/>
      <c r="G398" s="138"/>
      <c r="H398" s="138"/>
      <c r="I398" s="138"/>
      <c r="J398" s="138"/>
      <c r="K398" s="138"/>
      <c r="L398" s="138"/>
      <c r="M398" s="138"/>
      <c r="N398" s="138"/>
      <c r="O398" s="138"/>
      <c r="P398" s="138"/>
      <c r="Q398" s="138"/>
      <c r="R398" s="138"/>
      <c r="S398" s="138"/>
      <c r="T398" s="138"/>
      <c r="U398" s="138"/>
      <c r="V398" s="138"/>
      <c r="W398" s="138"/>
      <c r="X398" s="138"/>
      <c r="Y398" s="138"/>
    </row>
    <row r="399" spans="1:25">
      <c r="A399" s="138"/>
      <c r="B399" s="138"/>
      <c r="C399" s="138"/>
      <c r="D399" s="138"/>
      <c r="E399" s="138"/>
      <c r="F399" s="138"/>
      <c r="G399" s="138"/>
      <c r="H399" s="138"/>
      <c r="I399" s="138"/>
      <c r="J399" s="138"/>
      <c r="K399" s="138"/>
      <c r="L399" s="138"/>
      <c r="M399" s="138"/>
      <c r="N399" s="138"/>
      <c r="O399" s="138"/>
      <c r="P399" s="138"/>
      <c r="Q399" s="138"/>
      <c r="R399" s="138"/>
      <c r="S399" s="138"/>
      <c r="T399" s="138"/>
      <c r="U399" s="138"/>
      <c r="V399" s="138"/>
      <c r="W399" s="138"/>
      <c r="X399" s="138"/>
      <c r="Y399" s="138"/>
    </row>
    <row r="400" spans="1:25">
      <c r="A400" s="138"/>
      <c r="B400" s="138"/>
      <c r="C400" s="138"/>
      <c r="D400" s="138"/>
      <c r="E400" s="138"/>
      <c r="F400" s="138"/>
      <c r="G400" s="138"/>
      <c r="H400" s="138"/>
      <c r="I400" s="138"/>
      <c r="J400" s="138"/>
      <c r="K400" s="138"/>
      <c r="L400" s="138"/>
      <c r="M400" s="138"/>
      <c r="N400" s="138"/>
      <c r="O400" s="138"/>
      <c r="P400" s="138"/>
      <c r="Q400" s="138"/>
      <c r="R400" s="138"/>
      <c r="S400" s="138"/>
      <c r="T400" s="138"/>
      <c r="U400" s="138"/>
      <c r="V400" s="138"/>
      <c r="W400" s="138"/>
      <c r="X400" s="138"/>
      <c r="Y400" s="138"/>
    </row>
    <row r="401" spans="1:25">
      <c r="A401" s="138"/>
      <c r="B401" s="138"/>
      <c r="C401" s="138"/>
      <c r="D401" s="138"/>
      <c r="E401" s="138"/>
      <c r="F401" s="138"/>
      <c r="G401" s="138"/>
      <c r="H401" s="138"/>
      <c r="I401" s="138"/>
      <c r="J401" s="138"/>
      <c r="K401" s="138"/>
      <c r="L401" s="138"/>
      <c r="M401" s="138"/>
      <c r="N401" s="138"/>
      <c r="O401" s="138"/>
      <c r="P401" s="138"/>
      <c r="Q401" s="138"/>
      <c r="R401" s="138"/>
      <c r="S401" s="138"/>
      <c r="T401" s="138"/>
      <c r="U401" s="138"/>
      <c r="V401" s="138"/>
      <c r="W401" s="138"/>
      <c r="X401" s="138"/>
      <c r="Y401" s="138"/>
    </row>
    <row r="402" spans="1:25">
      <c r="A402" s="138"/>
      <c r="B402" s="138"/>
      <c r="C402" s="138"/>
      <c r="D402" s="138"/>
      <c r="E402" s="138"/>
      <c r="F402" s="138"/>
      <c r="G402" s="138"/>
      <c r="H402" s="138"/>
      <c r="I402" s="138"/>
      <c r="J402" s="138"/>
      <c r="K402" s="138"/>
      <c r="L402" s="138"/>
      <c r="M402" s="138"/>
      <c r="N402" s="138"/>
      <c r="O402" s="138"/>
      <c r="P402" s="138"/>
      <c r="Q402" s="138"/>
      <c r="R402" s="138"/>
      <c r="S402" s="138"/>
      <c r="T402" s="138"/>
      <c r="U402" s="138"/>
      <c r="V402" s="138"/>
      <c r="W402" s="138"/>
      <c r="X402" s="138"/>
      <c r="Y402" s="138"/>
    </row>
    <row r="403" spans="1:25">
      <c r="A403" s="138"/>
      <c r="B403" s="138"/>
      <c r="C403" s="138"/>
      <c r="D403" s="138"/>
      <c r="E403" s="138"/>
      <c r="F403" s="138"/>
      <c r="G403" s="138"/>
      <c r="H403" s="138"/>
      <c r="I403" s="138"/>
      <c r="J403" s="138"/>
      <c r="K403" s="138"/>
      <c r="L403" s="138"/>
      <c r="M403" s="138"/>
      <c r="N403" s="138"/>
      <c r="O403" s="138"/>
      <c r="P403" s="138"/>
      <c r="Q403" s="138"/>
      <c r="R403" s="138"/>
      <c r="S403" s="138"/>
      <c r="T403" s="138"/>
      <c r="U403" s="138"/>
      <c r="V403" s="138"/>
      <c r="W403" s="138"/>
      <c r="X403" s="138"/>
      <c r="Y403" s="138"/>
    </row>
    <row r="404" spans="1:25">
      <c r="A404" s="138"/>
      <c r="B404" s="138"/>
      <c r="C404" s="138"/>
      <c r="D404" s="138"/>
      <c r="E404" s="138"/>
      <c r="F404" s="138"/>
      <c r="G404" s="138"/>
      <c r="H404" s="138"/>
      <c r="I404" s="138"/>
      <c r="J404" s="138"/>
      <c r="K404" s="138"/>
      <c r="L404" s="138"/>
      <c r="M404" s="138"/>
      <c r="N404" s="138"/>
      <c r="O404" s="138"/>
      <c r="P404" s="138"/>
      <c r="Q404" s="138"/>
      <c r="R404" s="138"/>
      <c r="S404" s="138"/>
      <c r="T404" s="138"/>
      <c r="U404" s="138"/>
      <c r="V404" s="138"/>
      <c r="W404" s="138"/>
      <c r="X404" s="138"/>
      <c r="Y404" s="138"/>
    </row>
    <row r="405" spans="1:25">
      <c r="A405" s="138"/>
      <c r="B405" s="138"/>
      <c r="C405" s="138"/>
      <c r="D405" s="138"/>
      <c r="E405" s="138"/>
      <c r="F405" s="138"/>
      <c r="G405" s="138"/>
      <c r="H405" s="138"/>
      <c r="I405" s="138"/>
      <c r="J405" s="138"/>
      <c r="K405" s="138"/>
      <c r="L405" s="138"/>
      <c r="M405" s="138"/>
      <c r="N405" s="138"/>
      <c r="O405" s="138"/>
      <c r="P405" s="138"/>
      <c r="Q405" s="138"/>
      <c r="R405" s="138"/>
      <c r="S405" s="138"/>
      <c r="T405" s="138"/>
      <c r="U405" s="138"/>
      <c r="V405" s="138"/>
      <c r="W405" s="138"/>
      <c r="X405" s="138"/>
      <c r="Y405" s="138"/>
    </row>
    <row r="406" spans="1:25">
      <c r="A406" s="138"/>
      <c r="B406" s="138"/>
      <c r="C406" s="138"/>
      <c r="D406" s="138"/>
      <c r="E406" s="138"/>
      <c r="F406" s="138"/>
      <c r="G406" s="138"/>
      <c r="H406" s="138"/>
      <c r="I406" s="138"/>
      <c r="J406" s="138"/>
      <c r="K406" s="138"/>
      <c r="L406" s="138"/>
      <c r="M406" s="138"/>
      <c r="N406" s="138"/>
      <c r="O406" s="138"/>
      <c r="P406" s="138"/>
      <c r="Q406" s="138"/>
      <c r="R406" s="138"/>
      <c r="S406" s="138"/>
      <c r="T406" s="138"/>
      <c r="U406" s="138"/>
      <c r="V406" s="138"/>
      <c r="W406" s="138"/>
      <c r="X406" s="138"/>
      <c r="Y406" s="138"/>
    </row>
    <row r="407" spans="1:25">
      <c r="A407" s="138"/>
      <c r="B407" s="138"/>
      <c r="C407" s="138"/>
      <c r="D407" s="138"/>
      <c r="E407" s="138"/>
      <c r="F407" s="138"/>
      <c r="G407" s="138"/>
      <c r="H407" s="138"/>
      <c r="I407" s="138"/>
      <c r="J407" s="138"/>
      <c r="K407" s="138"/>
      <c r="L407" s="138"/>
      <c r="M407" s="138"/>
      <c r="N407" s="138"/>
      <c r="O407" s="138"/>
      <c r="P407" s="138"/>
      <c r="Q407" s="138"/>
      <c r="R407" s="138"/>
      <c r="S407" s="138"/>
      <c r="T407" s="138"/>
      <c r="U407" s="138"/>
      <c r="V407" s="138"/>
      <c r="W407" s="138"/>
      <c r="X407" s="138"/>
      <c r="Y407" s="138"/>
    </row>
    <row r="408" spans="1:25">
      <c r="A408" s="138"/>
      <c r="B408" s="138"/>
      <c r="C408" s="138"/>
      <c r="D408" s="138"/>
      <c r="E408" s="138"/>
      <c r="F408" s="138"/>
      <c r="G408" s="138"/>
      <c r="H408" s="138"/>
      <c r="I408" s="138"/>
      <c r="J408" s="138"/>
      <c r="K408" s="138"/>
      <c r="L408" s="138"/>
      <c r="M408" s="138"/>
      <c r="N408" s="138"/>
      <c r="O408" s="138"/>
      <c r="P408" s="138"/>
      <c r="Q408" s="138"/>
      <c r="R408" s="138"/>
      <c r="S408" s="138"/>
      <c r="T408" s="138"/>
      <c r="U408" s="138"/>
      <c r="V408" s="138"/>
      <c r="W408" s="138"/>
      <c r="X408" s="138"/>
      <c r="Y408" s="138"/>
    </row>
    <row r="409" spans="1:25">
      <c r="A409" s="138"/>
      <c r="B409" s="138"/>
      <c r="C409" s="138"/>
      <c r="D409" s="138"/>
      <c r="E409" s="138"/>
      <c r="F409" s="138"/>
      <c r="G409" s="138"/>
      <c r="H409" s="138"/>
      <c r="I409" s="138"/>
      <c r="J409" s="138"/>
      <c r="K409" s="138"/>
      <c r="L409" s="138"/>
      <c r="M409" s="138"/>
      <c r="N409" s="138"/>
      <c r="O409" s="138"/>
      <c r="P409" s="138"/>
      <c r="Q409" s="138"/>
      <c r="R409" s="138"/>
      <c r="S409" s="138"/>
      <c r="T409" s="138"/>
      <c r="U409" s="138"/>
      <c r="V409" s="138"/>
      <c r="W409" s="138"/>
      <c r="X409" s="138"/>
      <c r="Y409" s="138"/>
    </row>
    <row r="410" spans="1:25">
      <c r="A410" s="138"/>
      <c r="B410" s="138"/>
      <c r="C410" s="138"/>
      <c r="D410" s="138"/>
      <c r="E410" s="138"/>
      <c r="F410" s="138"/>
      <c r="G410" s="138"/>
      <c r="H410" s="138"/>
      <c r="I410" s="138"/>
      <c r="J410" s="138"/>
      <c r="K410" s="138"/>
      <c r="L410" s="138"/>
      <c r="M410" s="138"/>
      <c r="N410" s="138"/>
      <c r="O410" s="138"/>
      <c r="P410" s="138"/>
      <c r="Q410" s="138"/>
      <c r="R410" s="138"/>
      <c r="S410" s="138"/>
      <c r="T410" s="138"/>
      <c r="U410" s="138"/>
      <c r="V410" s="138"/>
      <c r="W410" s="138"/>
      <c r="X410" s="138"/>
      <c r="Y410" s="138"/>
    </row>
    <row r="411" spans="1:25">
      <c r="A411" s="138"/>
      <c r="B411" s="138"/>
      <c r="C411" s="138"/>
      <c r="D411" s="138"/>
      <c r="E411" s="138"/>
      <c r="F411" s="138"/>
      <c r="G411" s="138"/>
      <c r="H411" s="138"/>
      <c r="I411" s="138"/>
      <c r="J411" s="138"/>
      <c r="K411" s="138"/>
      <c r="L411" s="138"/>
      <c r="M411" s="138"/>
      <c r="N411" s="138"/>
      <c r="O411" s="138"/>
      <c r="P411" s="138"/>
      <c r="Q411" s="138"/>
      <c r="R411" s="138"/>
      <c r="S411" s="138"/>
      <c r="T411" s="138"/>
      <c r="U411" s="138"/>
      <c r="V411" s="138"/>
      <c r="W411" s="138"/>
      <c r="X411" s="138"/>
      <c r="Y411" s="138"/>
    </row>
    <row r="412" spans="1:25">
      <c r="A412" s="138"/>
      <c r="B412" s="138"/>
      <c r="C412" s="138"/>
      <c r="D412" s="138"/>
      <c r="E412" s="138"/>
      <c r="F412" s="138"/>
      <c r="G412" s="138"/>
      <c r="H412" s="138"/>
      <c r="I412" s="138"/>
      <c r="J412" s="138"/>
      <c r="K412" s="138"/>
      <c r="L412" s="138"/>
      <c r="M412" s="138"/>
      <c r="N412" s="138"/>
      <c r="O412" s="138"/>
      <c r="P412" s="138"/>
      <c r="Q412" s="138"/>
      <c r="R412" s="138"/>
      <c r="S412" s="138"/>
      <c r="T412" s="138"/>
      <c r="U412" s="138"/>
      <c r="V412" s="138"/>
      <c r="W412" s="138"/>
      <c r="X412" s="138"/>
      <c r="Y412" s="138"/>
    </row>
    <row r="413" spans="1:25">
      <c r="A413" s="138"/>
      <c r="B413" s="138"/>
      <c r="C413" s="138"/>
      <c r="D413" s="138"/>
      <c r="E413" s="138"/>
      <c r="F413" s="138"/>
      <c r="G413" s="138"/>
      <c r="H413" s="138"/>
      <c r="I413" s="138"/>
      <c r="J413" s="138"/>
      <c r="K413" s="138"/>
      <c r="L413" s="138"/>
      <c r="M413" s="138"/>
      <c r="N413" s="138"/>
      <c r="O413" s="138"/>
      <c r="P413" s="138"/>
      <c r="Q413" s="138"/>
      <c r="R413" s="138"/>
      <c r="S413" s="138"/>
      <c r="T413" s="138"/>
      <c r="U413" s="138"/>
      <c r="V413" s="138"/>
      <c r="W413" s="138"/>
      <c r="X413" s="138"/>
      <c r="Y413" s="138"/>
    </row>
    <row r="414" spans="1:25">
      <c r="A414" s="138"/>
      <c r="B414" s="138"/>
      <c r="C414" s="138"/>
      <c r="D414" s="138"/>
      <c r="E414" s="138"/>
      <c r="F414" s="138"/>
      <c r="G414" s="138"/>
      <c r="H414" s="138"/>
      <c r="I414" s="138"/>
      <c r="J414" s="138"/>
      <c r="K414" s="138"/>
      <c r="L414" s="138"/>
      <c r="M414" s="138"/>
      <c r="N414" s="138"/>
      <c r="O414" s="138"/>
      <c r="P414" s="138"/>
      <c r="Q414" s="138"/>
      <c r="R414" s="138"/>
      <c r="S414" s="138"/>
      <c r="T414" s="138"/>
      <c r="U414" s="138"/>
      <c r="V414" s="138"/>
      <c r="W414" s="138"/>
      <c r="X414" s="138"/>
      <c r="Y414" s="138"/>
    </row>
    <row r="415" spans="1:25">
      <c r="A415" s="138"/>
      <c r="B415" s="138"/>
      <c r="C415" s="138"/>
      <c r="D415" s="138"/>
      <c r="E415" s="138"/>
      <c r="F415" s="138"/>
      <c r="G415" s="138"/>
      <c r="H415" s="138"/>
      <c r="I415" s="138"/>
      <c r="J415" s="138"/>
      <c r="K415" s="138"/>
      <c r="L415" s="138"/>
      <c r="M415" s="138"/>
      <c r="N415" s="138"/>
      <c r="O415" s="138"/>
      <c r="P415" s="138"/>
      <c r="Q415" s="138"/>
      <c r="R415" s="138"/>
      <c r="S415" s="138"/>
      <c r="T415" s="138"/>
      <c r="U415" s="138"/>
      <c r="V415" s="138"/>
      <c r="W415" s="138"/>
      <c r="X415" s="138"/>
      <c r="Y415" s="138"/>
    </row>
    <row r="416" spans="1:25">
      <c r="A416" s="138"/>
      <c r="B416" s="138"/>
      <c r="C416" s="138"/>
      <c r="D416" s="138"/>
      <c r="E416" s="138"/>
      <c r="F416" s="138"/>
      <c r="G416" s="138"/>
      <c r="H416" s="138"/>
      <c r="I416" s="138"/>
      <c r="J416" s="138"/>
      <c r="K416" s="138"/>
      <c r="L416" s="138"/>
      <c r="M416" s="138"/>
      <c r="N416" s="138"/>
      <c r="O416" s="138"/>
      <c r="P416" s="138"/>
      <c r="Q416" s="138"/>
      <c r="R416" s="138"/>
      <c r="S416" s="138"/>
      <c r="T416" s="138"/>
      <c r="U416" s="138"/>
      <c r="V416" s="138"/>
      <c r="W416" s="138"/>
      <c r="X416" s="138"/>
      <c r="Y416" s="138"/>
    </row>
    <row r="417" spans="1:25">
      <c r="A417" s="138"/>
      <c r="B417" s="138"/>
      <c r="C417" s="138"/>
      <c r="D417" s="138"/>
      <c r="E417" s="138"/>
      <c r="F417" s="138"/>
      <c r="G417" s="138"/>
      <c r="H417" s="138"/>
      <c r="I417" s="138"/>
      <c r="J417" s="138"/>
      <c r="K417" s="138"/>
      <c r="L417" s="138"/>
      <c r="M417" s="138"/>
      <c r="N417" s="138"/>
      <c r="O417" s="138"/>
      <c r="P417" s="138"/>
      <c r="Q417" s="138"/>
      <c r="R417" s="138"/>
      <c r="S417" s="138"/>
      <c r="T417" s="138"/>
      <c r="U417" s="138"/>
      <c r="V417" s="138"/>
      <c r="W417" s="138"/>
      <c r="X417" s="138"/>
      <c r="Y417" s="138"/>
    </row>
    <row r="418" spans="1:25">
      <c r="A418" s="138"/>
      <c r="B418" s="138"/>
      <c r="C418" s="138"/>
      <c r="D418" s="138"/>
      <c r="E418" s="138"/>
      <c r="F418" s="138"/>
      <c r="G418" s="138"/>
      <c r="H418" s="138"/>
      <c r="I418" s="138"/>
      <c r="J418" s="138"/>
      <c r="K418" s="138"/>
      <c r="L418" s="138"/>
      <c r="M418" s="138"/>
      <c r="N418" s="138"/>
      <c r="O418" s="138"/>
      <c r="P418" s="138"/>
      <c r="Q418" s="138"/>
      <c r="R418" s="138"/>
      <c r="S418" s="138"/>
      <c r="T418" s="138"/>
      <c r="U418" s="138"/>
      <c r="V418" s="138"/>
      <c r="W418" s="138"/>
      <c r="X418" s="138"/>
      <c r="Y418" s="138"/>
    </row>
    <row r="419" spans="1:25">
      <c r="A419" s="138"/>
      <c r="B419" s="138"/>
      <c r="C419" s="138"/>
      <c r="D419" s="138"/>
      <c r="E419" s="138"/>
      <c r="F419" s="138"/>
      <c r="G419" s="138"/>
      <c r="H419" s="138"/>
      <c r="I419" s="138"/>
      <c r="J419" s="138"/>
      <c r="K419" s="138"/>
      <c r="L419" s="138"/>
      <c r="M419" s="138"/>
      <c r="N419" s="138"/>
      <c r="O419" s="138"/>
      <c r="P419" s="138"/>
      <c r="Q419" s="138"/>
      <c r="R419" s="138"/>
      <c r="S419" s="138"/>
      <c r="T419" s="138"/>
      <c r="U419" s="138"/>
      <c r="V419" s="138"/>
      <c r="W419" s="138"/>
      <c r="X419" s="138"/>
      <c r="Y419" s="138"/>
    </row>
    <row r="420" spans="1:25">
      <c r="A420" s="138"/>
      <c r="B420" s="138"/>
      <c r="C420" s="138"/>
      <c r="D420" s="138"/>
      <c r="E420" s="138"/>
      <c r="F420" s="138"/>
      <c r="G420" s="138"/>
      <c r="H420" s="138"/>
      <c r="I420" s="138"/>
      <c r="J420" s="138"/>
      <c r="K420" s="138"/>
      <c r="L420" s="138"/>
      <c r="M420" s="138"/>
      <c r="N420" s="138"/>
      <c r="O420" s="138"/>
      <c r="P420" s="138"/>
      <c r="Q420" s="138"/>
      <c r="R420" s="138"/>
      <c r="S420" s="138"/>
      <c r="T420" s="138"/>
      <c r="U420" s="138"/>
      <c r="V420" s="138"/>
      <c r="W420" s="138"/>
      <c r="X420" s="138"/>
      <c r="Y420" s="138"/>
    </row>
    <row r="421" spans="1:25">
      <c r="A421" s="138"/>
      <c r="B421" s="138"/>
      <c r="C421" s="138"/>
      <c r="D421" s="138"/>
      <c r="E421" s="138"/>
      <c r="F421" s="138"/>
      <c r="G421" s="138"/>
      <c r="H421" s="138"/>
      <c r="I421" s="138"/>
      <c r="J421" s="138"/>
      <c r="K421" s="138"/>
      <c r="L421" s="138"/>
      <c r="M421" s="138"/>
      <c r="N421" s="138"/>
      <c r="O421" s="138"/>
      <c r="P421" s="138"/>
      <c r="Q421" s="138"/>
      <c r="R421" s="138"/>
      <c r="S421" s="138"/>
      <c r="T421" s="138"/>
      <c r="U421" s="138"/>
      <c r="V421" s="138"/>
      <c r="W421" s="138"/>
      <c r="X421" s="138"/>
      <c r="Y421" s="138"/>
    </row>
    <row r="422" spans="1:25">
      <c r="A422" s="138"/>
      <c r="B422" s="138"/>
      <c r="C422" s="138"/>
      <c r="D422" s="138"/>
      <c r="E422" s="138"/>
      <c r="F422" s="138"/>
      <c r="G422" s="138"/>
      <c r="H422" s="138"/>
      <c r="I422" s="138"/>
      <c r="J422" s="138"/>
      <c r="K422" s="138"/>
      <c r="L422" s="138"/>
      <c r="M422" s="138"/>
      <c r="N422" s="138"/>
      <c r="O422" s="138"/>
      <c r="P422" s="138"/>
      <c r="Q422" s="138"/>
      <c r="R422" s="138"/>
      <c r="S422" s="138"/>
      <c r="T422" s="138"/>
      <c r="U422" s="138"/>
      <c r="V422" s="138"/>
      <c r="W422" s="138"/>
      <c r="X422" s="138"/>
      <c r="Y422" s="138"/>
    </row>
    <row r="423" spans="1:25">
      <c r="A423" s="138"/>
      <c r="B423" s="138"/>
      <c r="C423" s="138"/>
      <c r="D423" s="138"/>
      <c r="E423" s="138"/>
      <c r="F423" s="138"/>
      <c r="G423" s="138"/>
      <c r="H423" s="138"/>
      <c r="I423" s="138"/>
      <c r="J423" s="138"/>
      <c r="K423" s="138"/>
      <c r="L423" s="138"/>
      <c r="M423" s="138"/>
      <c r="N423" s="138"/>
      <c r="O423" s="138"/>
      <c r="P423" s="138"/>
      <c r="Q423" s="138"/>
      <c r="R423" s="138"/>
      <c r="S423" s="138"/>
      <c r="T423" s="138"/>
      <c r="U423" s="138"/>
      <c r="V423" s="138"/>
      <c r="W423" s="138"/>
      <c r="X423" s="138"/>
      <c r="Y423" s="138"/>
    </row>
    <row r="424" spans="1:25">
      <c r="A424" s="138"/>
      <c r="B424" s="138"/>
      <c r="C424" s="138"/>
      <c r="D424" s="138"/>
      <c r="E424" s="138"/>
      <c r="F424" s="138"/>
      <c r="G424" s="138"/>
      <c r="H424" s="138"/>
      <c r="I424" s="138"/>
      <c r="J424" s="138"/>
      <c r="K424" s="138"/>
      <c r="L424" s="138"/>
      <c r="M424" s="138"/>
      <c r="N424" s="138"/>
      <c r="O424" s="138"/>
      <c r="P424" s="138"/>
      <c r="Q424" s="138"/>
      <c r="R424" s="138"/>
      <c r="S424" s="138"/>
      <c r="T424" s="138"/>
      <c r="U424" s="138"/>
      <c r="V424" s="138"/>
      <c r="W424" s="138"/>
      <c r="X424" s="138"/>
      <c r="Y424" s="138"/>
    </row>
    <row r="425" spans="1:25">
      <c r="A425" s="138"/>
      <c r="B425" s="138"/>
      <c r="C425" s="138"/>
      <c r="D425" s="138"/>
      <c r="E425" s="138"/>
      <c r="F425" s="138"/>
      <c r="G425" s="138"/>
      <c r="H425" s="138"/>
      <c r="I425" s="138"/>
      <c r="J425" s="138"/>
      <c r="K425" s="138"/>
      <c r="L425" s="138"/>
      <c r="M425" s="138"/>
      <c r="N425" s="138"/>
      <c r="O425" s="138"/>
      <c r="P425" s="138"/>
      <c r="Q425" s="138"/>
      <c r="R425" s="138"/>
      <c r="S425" s="138"/>
      <c r="T425" s="138"/>
      <c r="U425" s="138"/>
      <c r="V425" s="138"/>
      <c r="W425" s="138"/>
      <c r="X425" s="138"/>
      <c r="Y425" s="138"/>
    </row>
    <row r="426" spans="1:25">
      <c r="A426" s="138"/>
      <c r="B426" s="138"/>
      <c r="C426" s="138"/>
      <c r="D426" s="138"/>
      <c r="E426" s="138"/>
      <c r="F426" s="138"/>
      <c r="G426" s="138"/>
      <c r="H426" s="138"/>
      <c r="I426" s="138"/>
      <c r="J426" s="138"/>
      <c r="K426" s="138"/>
      <c r="L426" s="138"/>
      <c r="M426" s="138"/>
      <c r="N426" s="138"/>
      <c r="O426" s="138"/>
      <c r="P426" s="138"/>
      <c r="Q426" s="138"/>
      <c r="R426" s="138"/>
      <c r="S426" s="138"/>
      <c r="T426" s="138"/>
      <c r="U426" s="138"/>
      <c r="V426" s="138"/>
      <c r="W426" s="138"/>
      <c r="X426" s="138"/>
      <c r="Y426" s="138"/>
    </row>
    <row r="427" spans="1:25">
      <c r="A427" s="138"/>
      <c r="B427" s="138"/>
      <c r="C427" s="138"/>
      <c r="D427" s="138"/>
      <c r="E427" s="138"/>
      <c r="F427" s="138"/>
      <c r="G427" s="138"/>
      <c r="H427" s="138"/>
      <c r="I427" s="138"/>
      <c r="J427" s="138"/>
      <c r="K427" s="138"/>
      <c r="L427" s="138"/>
      <c r="M427" s="138"/>
      <c r="N427" s="138"/>
      <c r="O427" s="138"/>
      <c r="P427" s="138"/>
      <c r="Q427" s="138"/>
      <c r="R427" s="138"/>
      <c r="S427" s="138"/>
      <c r="T427" s="138"/>
      <c r="U427" s="138"/>
      <c r="V427" s="138"/>
      <c r="W427" s="138"/>
      <c r="X427" s="138"/>
      <c r="Y427" s="138"/>
    </row>
    <row r="428" spans="1:25">
      <c r="A428" s="138"/>
      <c r="B428" s="138"/>
      <c r="C428" s="138"/>
      <c r="D428" s="138"/>
      <c r="E428" s="138"/>
      <c r="F428" s="138"/>
      <c r="G428" s="138"/>
      <c r="H428" s="138"/>
      <c r="I428" s="138"/>
      <c r="J428" s="138"/>
      <c r="K428" s="138"/>
      <c r="L428" s="138"/>
      <c r="M428" s="138"/>
      <c r="N428" s="138"/>
      <c r="O428" s="138"/>
      <c r="P428" s="138"/>
      <c r="Q428" s="138"/>
      <c r="R428" s="138"/>
      <c r="S428" s="138"/>
      <c r="T428" s="138"/>
      <c r="U428" s="138"/>
      <c r="V428" s="138"/>
      <c r="W428" s="138"/>
      <c r="X428" s="138"/>
      <c r="Y428" s="138"/>
    </row>
    <row r="429" spans="1:25">
      <c r="A429" s="138"/>
      <c r="B429" s="138"/>
      <c r="C429" s="138"/>
      <c r="D429" s="138"/>
      <c r="E429" s="138"/>
      <c r="F429" s="138"/>
      <c r="G429" s="138"/>
      <c r="H429" s="138"/>
      <c r="I429" s="138"/>
      <c r="J429" s="138"/>
      <c r="K429" s="138"/>
      <c r="L429" s="138"/>
      <c r="M429" s="138"/>
      <c r="N429" s="138"/>
      <c r="O429" s="138"/>
      <c r="P429" s="138"/>
      <c r="Q429" s="138"/>
      <c r="R429" s="138"/>
      <c r="S429" s="138"/>
      <c r="T429" s="138"/>
      <c r="U429" s="138"/>
      <c r="V429" s="138"/>
      <c r="W429" s="138"/>
      <c r="X429" s="138"/>
      <c r="Y429" s="138"/>
    </row>
    <row r="430" spans="1:25">
      <c r="A430" s="138"/>
      <c r="B430" s="138"/>
      <c r="C430" s="138"/>
      <c r="D430" s="138"/>
      <c r="E430" s="138"/>
      <c r="F430" s="138"/>
      <c r="G430" s="138"/>
      <c r="H430" s="138"/>
      <c r="I430" s="138"/>
      <c r="J430" s="138"/>
      <c r="K430" s="138"/>
      <c r="L430" s="138"/>
      <c r="M430" s="138"/>
      <c r="N430" s="138"/>
      <c r="O430" s="138"/>
      <c r="P430" s="138"/>
      <c r="Q430" s="138"/>
      <c r="R430" s="138"/>
      <c r="S430" s="138"/>
      <c r="T430" s="138"/>
      <c r="U430" s="138"/>
      <c r="V430" s="138"/>
      <c r="W430" s="138"/>
      <c r="X430" s="138"/>
      <c r="Y430" s="138"/>
    </row>
    <row r="431" spans="1:25">
      <c r="A431" s="138"/>
      <c r="B431" s="138"/>
      <c r="C431" s="138"/>
      <c r="D431" s="138"/>
      <c r="E431" s="138"/>
      <c r="F431" s="138"/>
      <c r="G431" s="138"/>
      <c r="H431" s="138"/>
      <c r="I431" s="138"/>
      <c r="J431" s="138"/>
      <c r="K431" s="138"/>
      <c r="L431" s="138"/>
      <c r="M431" s="138"/>
      <c r="N431" s="138"/>
      <c r="O431" s="138"/>
      <c r="P431" s="138"/>
      <c r="Q431" s="138"/>
      <c r="R431" s="138"/>
      <c r="S431" s="138"/>
      <c r="T431" s="138"/>
      <c r="U431" s="138"/>
      <c r="V431" s="138"/>
      <c r="W431" s="138"/>
      <c r="X431" s="138"/>
      <c r="Y431" s="138"/>
    </row>
    <row r="432" spans="1:25">
      <c r="A432" s="138"/>
      <c r="B432" s="138"/>
      <c r="C432" s="138"/>
      <c r="D432" s="138"/>
      <c r="E432" s="138"/>
      <c r="F432" s="138"/>
      <c r="G432" s="138"/>
      <c r="H432" s="138"/>
      <c r="I432" s="138"/>
      <c r="J432" s="138"/>
      <c r="K432" s="138"/>
      <c r="L432" s="138"/>
      <c r="M432" s="138"/>
      <c r="N432" s="138"/>
      <c r="O432" s="138"/>
      <c r="P432" s="138"/>
      <c r="Q432" s="138"/>
      <c r="R432" s="138"/>
      <c r="S432" s="138"/>
      <c r="T432" s="138"/>
      <c r="U432" s="138"/>
      <c r="V432" s="138"/>
      <c r="W432" s="138"/>
      <c r="X432" s="138"/>
      <c r="Y432" s="138"/>
    </row>
    <row r="433" spans="1:25">
      <c r="A433" s="138"/>
      <c r="B433" s="138"/>
      <c r="C433" s="138"/>
      <c r="D433" s="138"/>
      <c r="E433" s="138"/>
      <c r="F433" s="138"/>
      <c r="G433" s="138"/>
      <c r="H433" s="138"/>
      <c r="I433" s="138"/>
      <c r="J433" s="138"/>
      <c r="K433" s="138"/>
      <c r="L433" s="138"/>
      <c r="M433" s="138"/>
      <c r="N433" s="138"/>
      <c r="O433" s="138"/>
      <c r="P433" s="138"/>
      <c r="Q433" s="138"/>
      <c r="R433" s="138"/>
      <c r="S433" s="138"/>
      <c r="T433" s="138"/>
      <c r="U433" s="138"/>
      <c r="V433" s="138"/>
      <c r="W433" s="138"/>
      <c r="X433" s="138"/>
      <c r="Y433" s="138"/>
    </row>
    <row r="434" spans="1:25">
      <c r="A434" s="138"/>
      <c r="B434" s="138"/>
      <c r="C434" s="138"/>
      <c r="D434" s="138"/>
      <c r="E434" s="138"/>
      <c r="F434" s="138"/>
      <c r="G434" s="138"/>
      <c r="H434" s="138"/>
      <c r="I434" s="138"/>
      <c r="J434" s="138"/>
      <c r="K434" s="138"/>
      <c r="L434" s="138"/>
      <c r="M434" s="138"/>
      <c r="N434" s="138"/>
      <c r="O434" s="138"/>
      <c r="P434" s="138"/>
      <c r="Q434" s="138"/>
      <c r="R434" s="138"/>
      <c r="S434" s="138"/>
      <c r="T434" s="138"/>
      <c r="U434" s="138"/>
      <c r="V434" s="138"/>
      <c r="W434" s="138"/>
      <c r="X434" s="138"/>
      <c r="Y434" s="138"/>
    </row>
    <row r="435" spans="1:25">
      <c r="A435" s="138"/>
      <c r="B435" s="138"/>
      <c r="C435" s="138"/>
      <c r="D435" s="138"/>
      <c r="E435" s="138"/>
      <c r="F435" s="138"/>
      <c r="G435" s="138"/>
      <c r="H435" s="138"/>
      <c r="I435" s="138"/>
      <c r="J435" s="138"/>
      <c r="K435" s="138"/>
      <c r="L435" s="138"/>
      <c r="M435" s="138"/>
      <c r="N435" s="138"/>
      <c r="O435" s="138"/>
      <c r="P435" s="138"/>
      <c r="Q435" s="138"/>
      <c r="R435" s="138"/>
      <c r="S435" s="138"/>
      <c r="T435" s="138"/>
      <c r="U435" s="138"/>
      <c r="V435" s="138"/>
      <c r="W435" s="138"/>
      <c r="X435" s="138"/>
      <c r="Y435" s="138"/>
    </row>
    <row r="436" spans="1:25">
      <c r="A436" s="138"/>
      <c r="B436" s="138"/>
      <c r="C436" s="138"/>
      <c r="D436" s="138"/>
      <c r="E436" s="138"/>
      <c r="F436" s="138"/>
      <c r="G436" s="138"/>
      <c r="H436" s="138"/>
      <c r="I436" s="138"/>
      <c r="J436" s="138"/>
      <c r="K436" s="138"/>
      <c r="L436" s="138"/>
      <c r="M436" s="138"/>
      <c r="N436" s="138"/>
      <c r="O436" s="138"/>
      <c r="P436" s="138"/>
      <c r="Q436" s="138"/>
      <c r="R436" s="138"/>
      <c r="S436" s="138"/>
      <c r="T436" s="138"/>
      <c r="U436" s="138"/>
      <c r="V436" s="138"/>
      <c r="W436" s="138"/>
      <c r="X436" s="138"/>
      <c r="Y436" s="138"/>
    </row>
    <row r="437" spans="1:25">
      <c r="A437" s="138"/>
      <c r="B437" s="138"/>
      <c r="C437" s="138"/>
      <c r="D437" s="138"/>
      <c r="E437" s="138"/>
      <c r="F437" s="138"/>
      <c r="G437" s="138"/>
      <c r="H437" s="138"/>
      <c r="I437" s="138"/>
      <c r="J437" s="138"/>
      <c r="K437" s="138"/>
      <c r="L437" s="138"/>
      <c r="M437" s="138"/>
      <c r="N437" s="138"/>
      <c r="O437" s="138"/>
      <c r="P437" s="138"/>
      <c r="Q437" s="138"/>
      <c r="R437" s="138"/>
      <c r="S437" s="138"/>
      <c r="T437" s="138"/>
      <c r="U437" s="138"/>
      <c r="V437" s="138"/>
      <c r="W437" s="138"/>
      <c r="X437" s="138"/>
      <c r="Y437" s="138"/>
    </row>
    <row r="438" spans="1:25">
      <c r="A438" s="138"/>
      <c r="B438" s="138"/>
      <c r="C438" s="138"/>
      <c r="D438" s="138"/>
      <c r="E438" s="138"/>
      <c r="F438" s="138"/>
      <c r="G438" s="138"/>
      <c r="H438" s="138"/>
      <c r="I438" s="138"/>
      <c r="J438" s="138"/>
      <c r="K438" s="138"/>
      <c r="L438" s="138"/>
      <c r="M438" s="138"/>
      <c r="N438" s="138"/>
      <c r="O438" s="138"/>
      <c r="P438" s="138"/>
      <c r="Q438" s="138"/>
      <c r="R438" s="138"/>
      <c r="S438" s="138"/>
      <c r="T438" s="138"/>
      <c r="U438" s="138"/>
      <c r="V438" s="138"/>
      <c r="W438" s="138"/>
      <c r="X438" s="138"/>
      <c r="Y438" s="138"/>
    </row>
    <row r="439" spans="1:25">
      <c r="A439" s="138"/>
      <c r="B439" s="138"/>
      <c r="C439" s="138"/>
      <c r="D439" s="138"/>
      <c r="E439" s="138"/>
      <c r="F439" s="138"/>
      <c r="G439" s="138"/>
      <c r="H439" s="138"/>
      <c r="I439" s="138"/>
      <c r="J439" s="138"/>
      <c r="K439" s="138"/>
      <c r="L439" s="138"/>
      <c r="M439" s="138"/>
      <c r="N439" s="138"/>
      <c r="O439" s="138"/>
      <c r="P439" s="138"/>
      <c r="Q439" s="138"/>
      <c r="R439" s="138"/>
      <c r="S439" s="138"/>
      <c r="T439" s="138"/>
      <c r="U439" s="138"/>
      <c r="V439" s="138"/>
      <c r="W439" s="138"/>
      <c r="X439" s="138"/>
      <c r="Y439" s="138"/>
    </row>
    <row r="440" spans="1:25">
      <c r="A440" s="138"/>
      <c r="B440" s="138"/>
      <c r="C440" s="138"/>
      <c r="D440" s="138"/>
      <c r="E440" s="138"/>
      <c r="F440" s="138"/>
      <c r="G440" s="138"/>
      <c r="H440" s="138"/>
      <c r="I440" s="138"/>
      <c r="J440" s="138"/>
      <c r="K440" s="138"/>
      <c r="L440" s="138"/>
      <c r="M440" s="138"/>
      <c r="N440" s="138"/>
      <c r="O440" s="138"/>
      <c r="P440" s="138"/>
      <c r="Q440" s="138"/>
      <c r="R440" s="138"/>
      <c r="S440" s="138"/>
      <c r="T440" s="138"/>
      <c r="U440" s="138"/>
      <c r="V440" s="138"/>
      <c r="W440" s="138"/>
      <c r="X440" s="138"/>
      <c r="Y440" s="138"/>
    </row>
    <row r="441" spans="1:25">
      <c r="A441" s="138"/>
      <c r="B441" s="138"/>
      <c r="C441" s="138"/>
      <c r="D441" s="138"/>
      <c r="E441" s="138"/>
      <c r="F441" s="138"/>
      <c r="G441" s="138"/>
      <c r="H441" s="138"/>
      <c r="I441" s="138"/>
      <c r="J441" s="138"/>
      <c r="K441" s="138"/>
      <c r="L441" s="138"/>
      <c r="M441" s="138"/>
      <c r="N441" s="138"/>
      <c r="O441" s="138"/>
      <c r="P441" s="138"/>
      <c r="Q441" s="138"/>
      <c r="R441" s="138"/>
      <c r="S441" s="138"/>
      <c r="T441" s="138"/>
      <c r="U441" s="138"/>
      <c r="V441" s="138"/>
      <c r="W441" s="138"/>
      <c r="X441" s="138"/>
      <c r="Y441" s="138"/>
    </row>
    <row r="442" spans="1:25">
      <c r="A442" s="138"/>
      <c r="B442" s="138"/>
      <c r="C442" s="138"/>
      <c r="D442" s="138"/>
      <c r="E442" s="138"/>
      <c r="F442" s="138"/>
      <c r="G442" s="138"/>
      <c r="H442" s="138"/>
      <c r="I442" s="138"/>
      <c r="J442" s="138"/>
      <c r="K442" s="138"/>
      <c r="L442" s="138"/>
      <c r="M442" s="138"/>
      <c r="N442" s="138"/>
      <c r="O442" s="138"/>
      <c r="P442" s="138"/>
      <c r="Q442" s="138"/>
      <c r="R442" s="138"/>
      <c r="S442" s="138"/>
      <c r="T442" s="138"/>
      <c r="U442" s="138"/>
      <c r="V442" s="138"/>
      <c r="W442" s="138"/>
      <c r="X442" s="138"/>
      <c r="Y442" s="138"/>
    </row>
    <row r="443" spans="1:25">
      <c r="A443" s="138"/>
      <c r="B443" s="138"/>
      <c r="C443" s="138"/>
      <c r="D443" s="138"/>
      <c r="E443" s="138"/>
      <c r="F443" s="138"/>
      <c r="G443" s="138"/>
      <c r="H443" s="138"/>
      <c r="I443" s="138"/>
      <c r="J443" s="138"/>
      <c r="K443" s="138"/>
      <c r="L443" s="138"/>
      <c r="M443" s="138"/>
      <c r="N443" s="138"/>
      <c r="O443" s="138"/>
      <c r="P443" s="138"/>
      <c r="Q443" s="138"/>
      <c r="R443" s="138"/>
      <c r="S443" s="138"/>
      <c r="T443" s="138"/>
      <c r="U443" s="138"/>
      <c r="V443" s="138"/>
      <c r="W443" s="138"/>
      <c r="X443" s="138"/>
      <c r="Y443" s="138"/>
    </row>
    <row r="444" spans="1:25">
      <c r="A444" s="138"/>
      <c r="B444" s="138"/>
      <c r="C444" s="138"/>
      <c r="D444" s="138"/>
      <c r="E444" s="138"/>
      <c r="F444" s="138"/>
      <c r="G444" s="138"/>
      <c r="H444" s="138"/>
      <c r="I444" s="138"/>
      <c r="J444" s="138"/>
      <c r="K444" s="138"/>
      <c r="L444" s="138"/>
      <c r="M444" s="138"/>
      <c r="N444" s="138"/>
      <c r="O444" s="138"/>
      <c r="P444" s="138"/>
      <c r="Q444" s="138"/>
      <c r="R444" s="138"/>
      <c r="S444" s="138"/>
      <c r="T444" s="138"/>
      <c r="U444" s="138"/>
      <c r="V444" s="138"/>
      <c r="W444" s="138"/>
      <c r="X444" s="138"/>
      <c r="Y444" s="138"/>
    </row>
    <row r="445" spans="1:25">
      <c r="C445" s="138"/>
      <c r="E445" s="138"/>
      <c r="F445" s="138"/>
    </row>
    <row r="446" spans="1:25">
      <c r="C446" s="138"/>
      <c r="E446" s="138"/>
      <c r="F446" s="138"/>
    </row>
    <row r="447" spans="1:25"/>
    <row r="448" spans="1:25"/>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8"/>
    <row r="1999"/>
    <row r="2000"/>
    <row r="2010"/>
    <row r="2011"/>
    <row r="2012"/>
    <row r="2013"/>
    <row r="2014"/>
    <row r="2015"/>
    <row r="2016"/>
    <row r="2017"/>
    <row r="2018"/>
    <row r="2019"/>
    <row r="2020"/>
    <row r="2021"/>
  </sheetData>
  <sortState xmlns:xlrd2="http://schemas.microsoft.com/office/spreadsheetml/2017/richdata2" ref="A9:BD330">
    <sortCondition ref="A7:A330"/>
  </sortState>
  <mergeCells count="2">
    <mergeCell ref="A4:A6"/>
    <mergeCell ref="V3:W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49"/>
  <sheetViews>
    <sheetView workbookViewId="0">
      <pane xSplit="4" ySplit="1" topLeftCell="G2" activePane="bottomRight" state="frozen"/>
      <selection activeCell="N70" sqref="N70"/>
      <selection pane="topRight" activeCell="N70" sqref="N70"/>
      <selection pane="bottomLeft" activeCell="N70" sqref="N70"/>
      <selection pane="bottomRight" activeCell="K2" sqref="K2:K334"/>
    </sheetView>
  </sheetViews>
  <sheetFormatPr defaultColWidth="11.44140625" defaultRowHeight="13.2"/>
  <cols>
    <col min="1" max="1" width="7.6640625" style="22" customWidth="1"/>
    <col min="2" max="2" width="14.33203125" style="22" customWidth="1"/>
    <col min="3" max="4" width="24" bestFit="1" customWidth="1"/>
    <col min="5" max="5" width="19.33203125" bestFit="1" customWidth="1"/>
    <col min="6" max="6" width="9.5546875" customWidth="1"/>
    <col min="7" max="7" width="20.109375" customWidth="1"/>
    <col min="8" max="8" width="49" customWidth="1"/>
    <col min="9" max="9" width="26.6640625" customWidth="1"/>
    <col min="10" max="10" width="16.44140625" customWidth="1"/>
    <col min="11" max="11" width="10.6640625" customWidth="1"/>
  </cols>
  <sheetData>
    <row r="1" spans="1:13" ht="31.2">
      <c r="A1" s="22" t="s">
        <v>402</v>
      </c>
      <c r="C1" s="23" t="s">
        <v>411</v>
      </c>
      <c r="D1" s="23" t="s">
        <v>410</v>
      </c>
      <c r="E1" s="24" t="s">
        <v>339</v>
      </c>
      <c r="F1" s="24" t="s">
        <v>396</v>
      </c>
      <c r="G1" s="24" t="s">
        <v>376</v>
      </c>
      <c r="H1" s="23" t="s">
        <v>377</v>
      </c>
      <c r="I1" s="23" t="s">
        <v>378</v>
      </c>
      <c r="J1" s="23" t="s">
        <v>301</v>
      </c>
      <c r="K1" s="23" t="s">
        <v>371</v>
      </c>
      <c r="M1">
        <f>SUBTOTAL(3,K:K)</f>
        <v>84</v>
      </c>
    </row>
    <row r="2" spans="1:13" ht="14.4">
      <c r="A2" s="22" t="str">
        <f>F2&amp;(COUNTIFS(F$2:F2,F2,K$2:K2,"Sparse"))</f>
        <v>SD0</v>
      </c>
      <c r="B2" s="22" t="str">
        <f>J2&amp;(COUNTIF(J$2:J2,J2))</f>
        <v>West Sussex1</v>
      </c>
      <c r="C2" t="s">
        <v>4</v>
      </c>
      <c r="D2" t="s">
        <v>4</v>
      </c>
      <c r="E2" s="25" t="s">
        <v>0</v>
      </c>
      <c r="F2" s="25" t="s">
        <v>379</v>
      </c>
      <c r="G2" s="25" t="s">
        <v>5</v>
      </c>
      <c r="H2" s="26" t="s">
        <v>382</v>
      </c>
      <c r="I2" s="27" t="s">
        <v>382</v>
      </c>
      <c r="J2" t="s">
        <v>331</v>
      </c>
    </row>
    <row r="3" spans="1:13" ht="14.4">
      <c r="A3" s="22" t="str">
        <f>F3&amp;(COUNTIFS(F$2:F3,F3,K$2:K3,"Sparse"))</f>
        <v>SD1</v>
      </c>
      <c r="B3" s="22" t="str">
        <f>J3&amp;(COUNTIF(J$2:J3,J3))</f>
        <v>Cumbria1</v>
      </c>
      <c r="C3" t="s">
        <v>6</v>
      </c>
      <c r="D3" t="s">
        <v>6</v>
      </c>
      <c r="E3" s="25" t="s">
        <v>374</v>
      </c>
      <c r="F3" s="25" t="s">
        <v>379</v>
      </c>
      <c r="G3" s="25" t="s">
        <v>5</v>
      </c>
      <c r="H3" s="26" t="s">
        <v>894</v>
      </c>
      <c r="I3" s="27" t="s">
        <v>380</v>
      </c>
      <c r="J3" t="s">
        <v>306</v>
      </c>
      <c r="K3" t="s">
        <v>335</v>
      </c>
    </row>
    <row r="4" spans="1:13" ht="14.4">
      <c r="A4" s="22" t="str">
        <f>F4&amp;(COUNTIFS(F$2:F4,F4,K$2:K4,"Sparse"))</f>
        <v>SD1</v>
      </c>
      <c r="B4" s="22" t="str">
        <f>J4&amp;(COUNTIF(J$2:J4,J4))</f>
        <v>Derbyshire1</v>
      </c>
      <c r="C4" t="s">
        <v>7</v>
      </c>
      <c r="D4" t="s">
        <v>7</v>
      </c>
      <c r="E4" s="25" t="s">
        <v>366</v>
      </c>
      <c r="F4" s="25" t="s">
        <v>379</v>
      </c>
      <c r="G4" s="25" t="s">
        <v>5</v>
      </c>
      <c r="H4" s="26" t="s">
        <v>382</v>
      </c>
      <c r="I4" s="27" t="s">
        <v>382</v>
      </c>
      <c r="J4" t="s">
        <v>307</v>
      </c>
    </row>
    <row r="5" spans="1:13" ht="14.4">
      <c r="A5" s="22" t="str">
        <f>F5&amp;(COUNTIFS(F$2:F5,F5,K$2:K5,"Sparse"))</f>
        <v>SD1</v>
      </c>
      <c r="B5" s="22" t="str">
        <f>J5&amp;(COUNTIF(J$2:J5,J5))</f>
        <v>West Sussex2</v>
      </c>
      <c r="C5" t="s">
        <v>8</v>
      </c>
      <c r="D5" t="s">
        <v>8</v>
      </c>
      <c r="E5" s="25" t="s">
        <v>0</v>
      </c>
      <c r="F5" s="25" t="s">
        <v>379</v>
      </c>
      <c r="G5" s="25" t="s">
        <v>5</v>
      </c>
      <c r="H5" s="26" t="s">
        <v>382</v>
      </c>
      <c r="I5" s="27" t="s">
        <v>382</v>
      </c>
      <c r="J5" t="s">
        <v>331</v>
      </c>
    </row>
    <row r="6" spans="1:13" ht="14.4">
      <c r="A6" s="22" t="str">
        <f>F6&amp;(COUNTIFS(F$2:F6,F6,K$2:K6,"Sparse"))</f>
        <v>SD1</v>
      </c>
      <c r="B6" s="22" t="str">
        <f>J6&amp;(COUNTIF(J$2:J6,J6))</f>
        <v>Nottinghamshire1</v>
      </c>
      <c r="C6" t="s">
        <v>9</v>
      </c>
      <c r="D6" t="s">
        <v>9</v>
      </c>
      <c r="E6" s="25" t="s">
        <v>366</v>
      </c>
      <c r="F6" s="25" t="s">
        <v>379</v>
      </c>
      <c r="G6" s="25" t="s">
        <v>5</v>
      </c>
      <c r="H6" s="26" t="s">
        <v>382</v>
      </c>
      <c r="I6" s="27" t="s">
        <v>382</v>
      </c>
      <c r="J6" t="s">
        <v>323</v>
      </c>
    </row>
    <row r="7" spans="1:13" ht="14.4">
      <c r="A7" s="22" t="str">
        <f>F7&amp;(COUNTIFS(F$2:F7,F7,K$2:K7,"Sparse"))</f>
        <v>SD1</v>
      </c>
      <c r="B7" s="22" t="str">
        <f>J7&amp;(COUNTIF(J$2:J7,J7))</f>
        <v>Kent1</v>
      </c>
      <c r="C7" t="s">
        <v>10</v>
      </c>
      <c r="D7" t="s">
        <v>10</v>
      </c>
      <c r="E7" s="25" t="s">
        <v>0</v>
      </c>
      <c r="F7" s="25" t="s">
        <v>379</v>
      </c>
      <c r="G7" s="25" t="s">
        <v>5</v>
      </c>
      <c r="H7" s="26" t="s">
        <v>895</v>
      </c>
      <c r="I7" s="27" t="s">
        <v>895</v>
      </c>
      <c r="J7" t="s">
        <v>315</v>
      </c>
    </row>
    <row r="8" spans="1:13" ht="14.4">
      <c r="A8" s="22" t="str">
        <f>F8&amp;(COUNTIFS(F$2:F8,F8,K$2:K8,"Sparse"))</f>
        <v>SD2</v>
      </c>
      <c r="B8" s="22" t="str">
        <f>J8&amp;(COUNTIF(J$2:J8,J8))</f>
        <v>Suffolk1</v>
      </c>
      <c r="C8" t="s">
        <v>12</v>
      </c>
      <c r="D8" t="s">
        <v>12</v>
      </c>
      <c r="E8" s="25" t="s">
        <v>368</v>
      </c>
      <c r="F8" s="25" t="s">
        <v>379</v>
      </c>
      <c r="G8" s="25" t="s">
        <v>5</v>
      </c>
      <c r="H8" s="26" t="s">
        <v>894</v>
      </c>
      <c r="I8" s="27" t="s">
        <v>380</v>
      </c>
      <c r="J8" t="s">
        <v>328</v>
      </c>
      <c r="K8" t="s">
        <v>335</v>
      </c>
    </row>
    <row r="9" spans="1:13" ht="14.4">
      <c r="A9" s="22" t="str">
        <f>F9&amp;(COUNTIFS(F$2:F9,F9,K$2:K9,"Sparse"))</f>
        <v>L0</v>
      </c>
      <c r="B9" s="22" t="str">
        <f>J9&amp;(COUNTIF(J$2:J9,J9))</f>
        <v>London1</v>
      </c>
      <c r="C9" t="s">
        <v>338</v>
      </c>
      <c r="D9" t="s">
        <v>338</v>
      </c>
      <c r="E9" s="25" t="s">
        <v>381</v>
      </c>
      <c r="F9" s="25" t="s">
        <v>358</v>
      </c>
      <c r="G9" s="25" t="s">
        <v>381</v>
      </c>
      <c r="H9" s="26" t="s">
        <v>382</v>
      </c>
      <c r="I9" s="27" t="s">
        <v>382</v>
      </c>
      <c r="J9" t="s">
        <v>381</v>
      </c>
    </row>
    <row r="10" spans="1:13" ht="14.4">
      <c r="A10" s="22" t="str">
        <f>F10&amp;(COUNTIFS(F$2:F10,F10,K$2:K10,"Sparse"))</f>
        <v>L0</v>
      </c>
      <c r="B10" s="22" t="str">
        <f>J10&amp;(COUNTIF(J$2:J10,J10))</f>
        <v>London2</v>
      </c>
      <c r="C10" t="s">
        <v>196</v>
      </c>
      <c r="D10" t="s">
        <v>196</v>
      </c>
      <c r="E10" s="25" t="s">
        <v>381</v>
      </c>
      <c r="F10" s="25" t="s">
        <v>358</v>
      </c>
      <c r="G10" s="25" t="s">
        <v>381</v>
      </c>
      <c r="H10" s="26" t="s">
        <v>382</v>
      </c>
      <c r="I10" s="27" t="s">
        <v>382</v>
      </c>
      <c r="J10" t="s">
        <v>381</v>
      </c>
    </row>
    <row r="11" spans="1:13" ht="14.4">
      <c r="A11" s="22" t="str">
        <f>F11&amp;(COUNTIFS(F$2:F11,F11,K$2:K11,"Sparse"))</f>
        <v>MD0</v>
      </c>
      <c r="B11" s="22" t="str">
        <f>J11&amp;(COUNTIF(J$2:J11,J11))</f>
        <v>Barnsley1</v>
      </c>
      <c r="C11" t="s">
        <v>222</v>
      </c>
      <c r="D11" t="s">
        <v>222</v>
      </c>
      <c r="E11" s="25" t="s">
        <v>383</v>
      </c>
      <c r="F11" s="25" t="s">
        <v>384</v>
      </c>
      <c r="G11" s="25" t="s">
        <v>395</v>
      </c>
      <c r="H11" s="26" t="s">
        <v>382</v>
      </c>
      <c r="I11" s="27" t="s">
        <v>382</v>
      </c>
      <c r="J11" t="s">
        <v>222</v>
      </c>
    </row>
    <row r="12" spans="1:13" ht="14.4">
      <c r="A12" s="22" t="str">
        <f>F12&amp;(COUNTIFS(F$2:F12,F12,K$2:K12,"Sparse"))</f>
        <v>SD2</v>
      </c>
      <c r="B12" s="22" t="str">
        <f>J12&amp;(COUNTIF(J$2:J12,J12))</f>
        <v>Cumbria2</v>
      </c>
      <c r="C12" t="s">
        <v>13</v>
      </c>
      <c r="D12" t="s">
        <v>13</v>
      </c>
      <c r="E12" s="25" t="s">
        <v>374</v>
      </c>
      <c r="F12" s="25" t="s">
        <v>379</v>
      </c>
      <c r="G12" s="25" t="s">
        <v>5</v>
      </c>
      <c r="H12" s="26" t="s">
        <v>895</v>
      </c>
      <c r="I12" s="27" t="s">
        <v>895</v>
      </c>
      <c r="J12" t="s">
        <v>306</v>
      </c>
    </row>
    <row r="13" spans="1:13" ht="14.4">
      <c r="A13" s="22" t="str">
        <f>F13&amp;(COUNTIFS(F$2:F13,F13,K$2:K13,"Sparse"))</f>
        <v>SD2</v>
      </c>
      <c r="B13" s="22" t="str">
        <f>J13&amp;(COUNTIF(J$2:J13,J13))</f>
        <v>Essex1</v>
      </c>
      <c r="C13" t="s">
        <v>14</v>
      </c>
      <c r="D13" t="s">
        <v>14</v>
      </c>
      <c r="E13" s="25" t="s">
        <v>368</v>
      </c>
      <c r="F13" s="25" t="s">
        <v>379</v>
      </c>
      <c r="G13" s="25" t="s">
        <v>5</v>
      </c>
      <c r="H13" s="26" t="s">
        <v>382</v>
      </c>
      <c r="I13" s="27" t="s">
        <v>382</v>
      </c>
      <c r="J13" t="s">
        <v>311</v>
      </c>
    </row>
    <row r="14" spans="1:13" ht="14.4">
      <c r="A14" s="22" t="str">
        <f>F14&amp;(COUNTIFS(F$2:F14,F14,K$2:K14,"Sparse"))</f>
        <v>SD2</v>
      </c>
      <c r="B14" s="22" t="str">
        <f>J14&amp;(COUNTIF(J$2:J14,J14))</f>
        <v>Hampshire1</v>
      </c>
      <c r="C14" t="s">
        <v>342</v>
      </c>
      <c r="D14" t="s">
        <v>342</v>
      </c>
      <c r="E14" s="25" t="s">
        <v>0</v>
      </c>
      <c r="F14" s="25" t="s">
        <v>379</v>
      </c>
      <c r="G14" s="25" t="s">
        <v>5</v>
      </c>
      <c r="H14" s="26" t="s">
        <v>895</v>
      </c>
      <c r="I14" s="27" t="s">
        <v>895</v>
      </c>
      <c r="J14" t="s">
        <v>313</v>
      </c>
    </row>
    <row r="15" spans="1:13" ht="14.4">
      <c r="A15" s="22" t="str">
        <f>F15&amp;(COUNTIFS(F$2:F15,F15,K$2:K15,"Sparse"))</f>
        <v>SD2</v>
      </c>
      <c r="B15" s="22" t="str">
        <f>J15&amp;(COUNTIF(J$2:J15,J15))</f>
        <v>Nottinghamshire2</v>
      </c>
      <c r="C15" t="s">
        <v>15</v>
      </c>
      <c r="D15" t="s">
        <v>15</v>
      </c>
      <c r="E15" s="25" t="s">
        <v>366</v>
      </c>
      <c r="F15" s="25" t="s">
        <v>379</v>
      </c>
      <c r="G15" s="25" t="s">
        <v>5</v>
      </c>
      <c r="H15" s="26" t="s">
        <v>894</v>
      </c>
      <c r="I15" s="27" t="s">
        <v>380</v>
      </c>
      <c r="J15" t="s">
        <v>323</v>
      </c>
    </row>
    <row r="16" spans="1:13" ht="14.4">
      <c r="A16" s="22" t="str">
        <f>F16&amp;(COUNTIFS(F$2:F16,F16,K$2:K16,"Sparse"))</f>
        <v>UA0</v>
      </c>
      <c r="B16" s="22" t="str">
        <f>J16&amp;(COUNTIF(J$2:J16,J16))</f>
        <v>Unitary1</v>
      </c>
      <c r="C16" t="s">
        <v>258</v>
      </c>
      <c r="D16" t="s">
        <v>258</v>
      </c>
      <c r="E16" s="25" t="s">
        <v>1</v>
      </c>
      <c r="F16" s="25" t="s">
        <v>385</v>
      </c>
      <c r="G16" s="25" t="s">
        <v>394</v>
      </c>
      <c r="H16" s="26" t="s">
        <v>895</v>
      </c>
      <c r="I16" s="27" t="s">
        <v>895</v>
      </c>
      <c r="J16" s="3" t="s">
        <v>394</v>
      </c>
    </row>
    <row r="17" spans="1:11" ht="14.4">
      <c r="A17" s="22" t="str">
        <f>F17&amp;(COUNTIFS(F$2:F17,F17,K$2:K17,"Sparse"))</f>
        <v>UA0</v>
      </c>
      <c r="B17" s="22" t="str">
        <f>J17&amp;(COUNTIF(J$2:J17,J17))</f>
        <v>Unitary2</v>
      </c>
      <c r="C17" t="s">
        <v>259</v>
      </c>
      <c r="D17" t="s">
        <v>259</v>
      </c>
      <c r="E17" s="25" t="s">
        <v>368</v>
      </c>
      <c r="F17" s="25" t="s">
        <v>385</v>
      </c>
      <c r="G17" s="25" t="s">
        <v>394</v>
      </c>
      <c r="H17" s="26" t="s">
        <v>895</v>
      </c>
      <c r="I17" s="27" t="s">
        <v>895</v>
      </c>
      <c r="J17" s="3" t="s">
        <v>394</v>
      </c>
    </row>
    <row r="18" spans="1:11" ht="14.4">
      <c r="A18" s="22" t="str">
        <f>F18&amp;(COUNTIFS(F$2:F18,F18,K$2:K18,"Sparse"))</f>
        <v>L0</v>
      </c>
      <c r="B18" s="22" t="str">
        <f>J18&amp;(COUNTIF(J$2:J18,J18))</f>
        <v>London3</v>
      </c>
      <c r="C18" t="s">
        <v>197</v>
      </c>
      <c r="D18" t="s">
        <v>197</v>
      </c>
      <c r="E18" s="25" t="s">
        <v>381</v>
      </c>
      <c r="F18" s="25" t="s">
        <v>358</v>
      </c>
      <c r="G18" s="25" t="s">
        <v>381</v>
      </c>
      <c r="H18" s="26" t="s">
        <v>382</v>
      </c>
      <c r="I18" s="27" t="s">
        <v>382</v>
      </c>
      <c r="J18" t="s">
        <v>381</v>
      </c>
    </row>
    <row r="19" spans="1:11" ht="14.4">
      <c r="A19" s="22" t="str">
        <f>F19&amp;(COUNTIFS(F$2:F19,F19,K$2:K19,"Sparse"))</f>
        <v>MD0</v>
      </c>
      <c r="B19" s="22" t="str">
        <f>J19&amp;(COUNTIF(J$2:J19,J19))</f>
        <v>Birmingham1</v>
      </c>
      <c r="C19" t="s">
        <v>223</v>
      </c>
      <c r="D19" t="s">
        <v>223</v>
      </c>
      <c r="E19" s="25" t="s">
        <v>367</v>
      </c>
      <c r="F19" s="25" t="s">
        <v>384</v>
      </c>
      <c r="G19" s="25" t="s">
        <v>395</v>
      </c>
      <c r="H19" s="26" t="s">
        <v>382</v>
      </c>
      <c r="I19" s="27" t="s">
        <v>382</v>
      </c>
      <c r="J19" t="s">
        <v>223</v>
      </c>
    </row>
    <row r="20" spans="1:11" ht="14.4">
      <c r="A20" s="22" t="str">
        <f>F20&amp;(COUNTIFS(F$2:F20,F20,K$2:K20,"Sparse"))</f>
        <v>SD2</v>
      </c>
      <c r="B20" s="22" t="str">
        <f>J20&amp;(COUNTIF(J$2:J20,J20))</f>
        <v>Leicestershire1</v>
      </c>
      <c r="C20" t="s">
        <v>16</v>
      </c>
      <c r="D20" t="s">
        <v>16</v>
      </c>
      <c r="E20" s="25" t="s">
        <v>366</v>
      </c>
      <c r="F20" s="25" t="s">
        <v>379</v>
      </c>
      <c r="G20" s="25" t="s">
        <v>5</v>
      </c>
      <c r="H20" s="26" t="s">
        <v>382</v>
      </c>
      <c r="I20" s="27" t="s">
        <v>382</v>
      </c>
      <c r="J20" t="s">
        <v>317</v>
      </c>
    </row>
    <row r="21" spans="1:11" ht="14.4">
      <c r="A21" s="22" t="str">
        <f>F21&amp;(COUNTIFS(F$2:F21,F21,K$2:K21,"Sparse"))</f>
        <v>UA0</v>
      </c>
      <c r="B21" s="22" t="str">
        <f>J21&amp;(COUNTIF(J$2:J21,J21))</f>
        <v>Unitary3</v>
      </c>
      <c r="C21" t="s">
        <v>260</v>
      </c>
      <c r="D21" t="s">
        <v>260</v>
      </c>
      <c r="E21" s="25" t="s">
        <v>374</v>
      </c>
      <c r="F21" s="25" t="s">
        <v>385</v>
      </c>
      <c r="G21" s="25" t="s">
        <v>394</v>
      </c>
      <c r="H21" s="26" t="s">
        <v>382</v>
      </c>
      <c r="I21" s="27" t="s">
        <v>382</v>
      </c>
      <c r="J21" s="3" t="s">
        <v>394</v>
      </c>
    </row>
    <row r="22" spans="1:11" ht="14.4">
      <c r="A22" s="22" t="str">
        <f>F22&amp;(COUNTIFS(F$2:F22,F22,K$2:K22,"Sparse"))</f>
        <v>UA0</v>
      </c>
      <c r="B22" s="22" t="str">
        <f>J22&amp;(COUNTIF(J$2:J22,J22))</f>
        <v>Unitary4</v>
      </c>
      <c r="C22" t="s">
        <v>261</v>
      </c>
      <c r="D22" t="s">
        <v>261</v>
      </c>
      <c r="E22" s="25" t="s">
        <v>374</v>
      </c>
      <c r="F22" s="25" t="s">
        <v>385</v>
      </c>
      <c r="G22" s="25" t="s">
        <v>394</v>
      </c>
      <c r="H22" s="26" t="s">
        <v>382</v>
      </c>
      <c r="I22" s="27" t="s">
        <v>382</v>
      </c>
      <c r="J22" s="3" t="s">
        <v>394</v>
      </c>
    </row>
    <row r="23" spans="1:11" ht="14.4">
      <c r="A23" s="22" t="str">
        <f>F23&amp;(COUNTIFS(F$2:F23,F23,K$2:K23,"Sparse"))</f>
        <v>SD2</v>
      </c>
      <c r="B23" s="22" t="str">
        <f>J23&amp;(COUNTIF(J$2:J23,J23))</f>
        <v>Derbyshire2</v>
      </c>
      <c r="C23" t="s">
        <v>17</v>
      </c>
      <c r="D23" t="s">
        <v>17</v>
      </c>
      <c r="E23" s="25" t="s">
        <v>366</v>
      </c>
      <c r="F23" s="25" t="s">
        <v>379</v>
      </c>
      <c r="G23" s="25" t="s">
        <v>5</v>
      </c>
      <c r="H23" s="26" t="s">
        <v>895</v>
      </c>
      <c r="I23" s="27" t="s">
        <v>895</v>
      </c>
      <c r="J23" t="s">
        <v>307</v>
      </c>
    </row>
    <row r="24" spans="1:11" ht="14.4">
      <c r="A24" s="22" t="str">
        <f>F24&amp;(COUNTIFS(F$2:F24,F24,K$2:K24,"Sparse"))</f>
        <v>MD0</v>
      </c>
      <c r="B24" s="22" t="str">
        <f>J24&amp;(COUNTIF(J$2:J24,J24))</f>
        <v>Bolton1</v>
      </c>
      <c r="C24" t="s">
        <v>224</v>
      </c>
      <c r="D24" t="s">
        <v>224</v>
      </c>
      <c r="E24" s="25" t="s">
        <v>374</v>
      </c>
      <c r="F24" s="25" t="s">
        <v>384</v>
      </c>
      <c r="G24" s="25" t="s">
        <v>395</v>
      </c>
      <c r="H24" s="26" t="s">
        <v>382</v>
      </c>
      <c r="I24" s="27" t="s">
        <v>382</v>
      </c>
      <c r="J24" t="s">
        <v>224</v>
      </c>
    </row>
    <row r="25" spans="1:11" ht="14.4">
      <c r="A25" s="22" t="str">
        <f>F25&amp;(COUNTIFS(F$2:F25,F25,K$2:K25,"Sparse"))</f>
        <v>SD3</v>
      </c>
      <c r="B25" s="22" t="str">
        <f>J25&amp;(COUNTIF(J$2:J25,J25))</f>
        <v>Lincolnshire1</v>
      </c>
      <c r="C25" t="s">
        <v>18</v>
      </c>
      <c r="D25" t="s">
        <v>18</v>
      </c>
      <c r="E25" s="25" t="s">
        <v>366</v>
      </c>
      <c r="F25" s="25" t="s">
        <v>379</v>
      </c>
      <c r="G25" s="25" t="s">
        <v>5</v>
      </c>
      <c r="H25" s="26" t="s">
        <v>895</v>
      </c>
      <c r="I25" s="27" t="s">
        <v>895</v>
      </c>
      <c r="J25" t="s">
        <v>318</v>
      </c>
      <c r="K25" t="s">
        <v>335</v>
      </c>
    </row>
    <row r="26" spans="1:11" ht="14.4">
      <c r="A26" s="22" t="str">
        <f>F26&amp;(COUNTIFS(F$2:F26,F26,K$2:K26,"Sparse"))</f>
        <v>UA0</v>
      </c>
      <c r="B26" s="22" t="str">
        <f>J26&amp;(COUNTIF(J$2:J26,J26))</f>
        <v>Unitary5</v>
      </c>
      <c r="C26" t="s">
        <v>897</v>
      </c>
      <c r="D26" t="s">
        <v>897</v>
      </c>
      <c r="E26" s="25" t="s">
        <v>1</v>
      </c>
      <c r="F26" s="25" t="s">
        <v>385</v>
      </c>
      <c r="G26" s="25" t="s">
        <v>394</v>
      </c>
      <c r="H26" s="26" t="s">
        <v>382</v>
      </c>
      <c r="I26" s="27" t="s">
        <v>382</v>
      </c>
      <c r="J26" s="3" t="s">
        <v>394</v>
      </c>
    </row>
    <row r="27" spans="1:11" ht="14.4">
      <c r="A27" s="22" t="str">
        <f>F27&amp;(COUNTIFS(F$2:F27,F27,K$2:K27,"Sparse"))</f>
        <v>UA0</v>
      </c>
      <c r="B27" s="22" t="str">
        <f>J27&amp;(COUNTIF(J$2:J27,J27))</f>
        <v>Unitary6</v>
      </c>
      <c r="C27" t="s">
        <v>263</v>
      </c>
      <c r="D27" t="s">
        <v>263</v>
      </c>
      <c r="E27" s="25" t="s">
        <v>0</v>
      </c>
      <c r="F27" s="25" t="s">
        <v>385</v>
      </c>
      <c r="G27" s="25" t="s">
        <v>394</v>
      </c>
      <c r="H27" s="26" t="s">
        <v>382</v>
      </c>
      <c r="I27" s="27" t="s">
        <v>382</v>
      </c>
      <c r="J27" s="3" t="s">
        <v>394</v>
      </c>
    </row>
    <row r="28" spans="1:11" ht="14.4">
      <c r="A28" s="22" t="str">
        <f>F28&amp;(COUNTIFS(F$2:F28,F28,K$2:K28,"Sparse"))</f>
        <v>MD0</v>
      </c>
      <c r="B28" s="22" t="str">
        <f>J28&amp;(COUNTIF(J$2:J28,J28))</f>
        <v>Bradford1</v>
      </c>
      <c r="C28" t="s">
        <v>225</v>
      </c>
      <c r="D28" t="s">
        <v>225</v>
      </c>
      <c r="E28" s="25" t="s">
        <v>383</v>
      </c>
      <c r="F28" s="25" t="s">
        <v>384</v>
      </c>
      <c r="G28" s="25" t="s">
        <v>395</v>
      </c>
      <c r="H28" s="26" t="s">
        <v>382</v>
      </c>
      <c r="I28" s="27" t="s">
        <v>382</v>
      </c>
      <c r="J28" t="s">
        <v>225</v>
      </c>
    </row>
    <row r="29" spans="1:11" ht="14.4">
      <c r="A29" s="22" t="str">
        <f>F29&amp;(COUNTIFS(F$2:F29,F29,K$2:K29,"Sparse"))</f>
        <v>SD4</v>
      </c>
      <c r="B29" s="22" t="str">
        <f>J29&amp;(COUNTIF(J$2:J29,J29))</f>
        <v>Essex2</v>
      </c>
      <c r="C29" t="s">
        <v>19</v>
      </c>
      <c r="D29" t="s">
        <v>19</v>
      </c>
      <c r="E29" s="25" t="s">
        <v>368</v>
      </c>
      <c r="F29" s="25" t="s">
        <v>379</v>
      </c>
      <c r="G29" s="25" t="s">
        <v>5</v>
      </c>
      <c r="H29" s="26" t="s">
        <v>894</v>
      </c>
      <c r="I29" s="27" t="s">
        <v>380</v>
      </c>
      <c r="J29" t="s">
        <v>311</v>
      </c>
      <c r="K29" t="s">
        <v>335</v>
      </c>
    </row>
    <row r="30" spans="1:11" ht="14.4">
      <c r="A30" s="22" t="str">
        <f>F30&amp;(COUNTIFS(F$2:F30,F30,K$2:K30,"Sparse"))</f>
        <v>SD4</v>
      </c>
      <c r="B30" s="22" t="str">
        <f>J30&amp;(COUNTIF(J$2:J30,J30))</f>
        <v>Norfolk1</v>
      </c>
      <c r="C30" t="s">
        <v>20</v>
      </c>
      <c r="D30" t="s">
        <v>20</v>
      </c>
      <c r="E30" s="25" t="s">
        <v>368</v>
      </c>
      <c r="F30" s="25" t="s">
        <v>379</v>
      </c>
      <c r="G30" s="25" t="s">
        <v>5</v>
      </c>
      <c r="H30" s="26" t="s">
        <v>894</v>
      </c>
      <c r="I30" s="27" t="s">
        <v>380</v>
      </c>
      <c r="J30" t="s">
        <v>319</v>
      </c>
    </row>
    <row r="31" spans="1:11" ht="14.4">
      <c r="A31" s="22" t="str">
        <f>F31&amp;(COUNTIFS(F$2:F31,F31,K$2:K31,"Sparse"))</f>
        <v>L0</v>
      </c>
      <c r="B31" s="22" t="str">
        <f>J31&amp;(COUNTIF(J$2:J31,J31))</f>
        <v>London4</v>
      </c>
      <c r="C31" t="s">
        <v>198</v>
      </c>
      <c r="D31" t="s">
        <v>198</v>
      </c>
      <c r="E31" s="25" t="s">
        <v>381</v>
      </c>
      <c r="F31" s="25" t="s">
        <v>358</v>
      </c>
      <c r="G31" s="25" t="s">
        <v>381</v>
      </c>
      <c r="H31" s="26" t="s">
        <v>382</v>
      </c>
      <c r="I31" s="27" t="s">
        <v>382</v>
      </c>
      <c r="J31" t="s">
        <v>381</v>
      </c>
    </row>
    <row r="32" spans="1:11" ht="14.4">
      <c r="A32" s="22" t="str">
        <f>F32&amp;(COUNTIFS(F$2:F32,F32,K$2:K32,"Sparse"))</f>
        <v>SD4</v>
      </c>
      <c r="B32" s="22" t="str">
        <f>J32&amp;(COUNTIF(J$2:J32,J32))</f>
        <v>Essex3</v>
      </c>
      <c r="C32" t="s">
        <v>21</v>
      </c>
      <c r="D32" t="s">
        <v>21</v>
      </c>
      <c r="E32" s="25" t="s">
        <v>368</v>
      </c>
      <c r="F32" s="25" t="s">
        <v>379</v>
      </c>
      <c r="G32" s="25" t="s">
        <v>5</v>
      </c>
      <c r="H32" s="26" t="s">
        <v>895</v>
      </c>
      <c r="I32" s="27" t="s">
        <v>895</v>
      </c>
      <c r="J32" t="s">
        <v>311</v>
      </c>
    </row>
    <row r="33" spans="1:10" ht="14.4">
      <c r="A33" s="22" t="str">
        <f>F33&amp;(COUNTIFS(F$2:F33,F33,K$2:K33,"Sparse"))</f>
        <v>UA0</v>
      </c>
      <c r="B33" s="22" t="str">
        <f>J33&amp;(COUNTIF(J$2:J33,J33))</f>
        <v>Unitary7</v>
      </c>
      <c r="C33" t="s">
        <v>812</v>
      </c>
      <c r="D33" t="s">
        <v>812</v>
      </c>
      <c r="E33" s="25" t="s">
        <v>0</v>
      </c>
      <c r="F33" s="25" t="s">
        <v>385</v>
      </c>
      <c r="G33" s="25" t="s">
        <v>394</v>
      </c>
      <c r="H33" s="26" t="s">
        <v>382</v>
      </c>
      <c r="I33" s="27" t="s">
        <v>382</v>
      </c>
      <c r="J33" s="3" t="s">
        <v>394</v>
      </c>
    </row>
    <row r="34" spans="1:10" ht="14.4">
      <c r="A34" s="22" t="str">
        <f>F34&amp;(COUNTIFS(F$2:F34,F34,K$2:K34,"Sparse"))</f>
        <v>UA0</v>
      </c>
      <c r="B34" s="22" t="str">
        <f>J34&amp;(COUNTIF(J$2:J34,J34))</f>
        <v>Unitary8</v>
      </c>
      <c r="C34" t="s">
        <v>816</v>
      </c>
      <c r="D34" t="s">
        <v>386</v>
      </c>
      <c r="E34" s="25" t="s">
        <v>1</v>
      </c>
      <c r="F34" s="25" t="s">
        <v>385</v>
      </c>
      <c r="G34" s="25" t="s">
        <v>394</v>
      </c>
      <c r="H34" s="26" t="s">
        <v>382</v>
      </c>
      <c r="I34" s="27" t="s">
        <v>382</v>
      </c>
      <c r="J34" s="3" t="s">
        <v>394</v>
      </c>
    </row>
    <row r="35" spans="1:10" ht="14.4">
      <c r="A35" s="22" t="str">
        <f>F35&amp;(COUNTIFS(F$2:F35,F35,K$2:K35,"Sparse"))</f>
        <v>SD4</v>
      </c>
      <c r="B35" s="22" t="str">
        <f>J35&amp;(COUNTIF(J$2:J35,J35))</f>
        <v>Norfolk2</v>
      </c>
      <c r="C35" t="s">
        <v>22</v>
      </c>
      <c r="D35" t="s">
        <v>22</v>
      </c>
      <c r="E35" s="25" t="s">
        <v>368</v>
      </c>
      <c r="F35" s="25" t="s">
        <v>379</v>
      </c>
      <c r="G35" s="25" t="s">
        <v>5</v>
      </c>
      <c r="H35" s="26" t="s">
        <v>895</v>
      </c>
      <c r="I35" s="27" t="s">
        <v>895</v>
      </c>
      <c r="J35" t="s">
        <v>319</v>
      </c>
    </row>
    <row r="36" spans="1:10" ht="14.4">
      <c r="A36" s="22" t="str">
        <f>F36&amp;(COUNTIFS(F$2:F36,F36,K$2:K36,"Sparse"))</f>
        <v>L0</v>
      </c>
      <c r="B36" s="22" t="str">
        <f>J36&amp;(COUNTIF(J$2:J36,J36))</f>
        <v>London5</v>
      </c>
      <c r="C36" t="s">
        <v>199</v>
      </c>
      <c r="D36" t="s">
        <v>199</v>
      </c>
      <c r="E36" s="25" t="s">
        <v>381</v>
      </c>
      <c r="F36" s="25" t="s">
        <v>358</v>
      </c>
      <c r="G36" s="25" t="s">
        <v>381</v>
      </c>
      <c r="H36" s="26" t="s">
        <v>382</v>
      </c>
      <c r="I36" s="27" t="s">
        <v>382</v>
      </c>
      <c r="J36" t="s">
        <v>381</v>
      </c>
    </row>
    <row r="37" spans="1:10" ht="14.4">
      <c r="A37" s="22" t="str">
        <f>F37&amp;(COUNTIFS(F$2:F37,F37,K$2:K37,"Sparse"))</f>
        <v>SD4</v>
      </c>
      <c r="B37" s="22" t="str">
        <f>J37&amp;(COUNTIF(J$2:J37,J37))</f>
        <v>Worcestershire1</v>
      </c>
      <c r="C37" t="s">
        <v>23</v>
      </c>
      <c r="D37" t="s">
        <v>23</v>
      </c>
      <c r="E37" s="25" t="s">
        <v>367</v>
      </c>
      <c r="F37" s="25" t="s">
        <v>379</v>
      </c>
      <c r="G37" s="25" t="s">
        <v>5</v>
      </c>
      <c r="H37" s="26" t="s">
        <v>382</v>
      </c>
      <c r="I37" s="27" t="s">
        <v>382</v>
      </c>
      <c r="J37" t="s">
        <v>332</v>
      </c>
    </row>
    <row r="38" spans="1:10" ht="14.4">
      <c r="A38" s="22" t="str">
        <f>F38&amp;(COUNTIFS(F$2:F38,F38,K$2:K38,"Sparse"))</f>
        <v>SD4</v>
      </c>
      <c r="B38" s="22" t="str">
        <f>J38&amp;(COUNTIF(J$2:J38,J38))</f>
        <v>Hertfordshire1</v>
      </c>
      <c r="C38" t="s">
        <v>24</v>
      </c>
      <c r="D38" t="s">
        <v>24</v>
      </c>
      <c r="E38" s="25" t="s">
        <v>368</v>
      </c>
      <c r="F38" s="25" t="s">
        <v>379</v>
      </c>
      <c r="G38" s="25" t="s">
        <v>5</v>
      </c>
      <c r="H38" s="26" t="s">
        <v>382</v>
      </c>
      <c r="I38" s="27" t="s">
        <v>382</v>
      </c>
      <c r="J38" t="s">
        <v>314</v>
      </c>
    </row>
    <row r="39" spans="1:10" ht="14.4">
      <c r="A39" s="22" t="str">
        <f>F39&amp;(COUNTIFS(F$2:F39,F39,K$2:K39,"Sparse"))</f>
        <v>SD4</v>
      </c>
      <c r="B39" s="22" t="str">
        <f>J39&amp;(COUNTIF(J$2:J39,J39))</f>
        <v>Nottinghamshire3</v>
      </c>
      <c r="C39" t="s">
        <v>25</v>
      </c>
      <c r="D39" t="s">
        <v>25</v>
      </c>
      <c r="E39" s="25" t="s">
        <v>366</v>
      </c>
      <c r="F39" s="25" t="s">
        <v>379</v>
      </c>
      <c r="G39" s="25" t="s">
        <v>5</v>
      </c>
      <c r="H39" s="26" t="s">
        <v>382</v>
      </c>
      <c r="I39" s="27" t="s">
        <v>382</v>
      </c>
      <c r="J39" t="s">
        <v>323</v>
      </c>
    </row>
    <row r="40" spans="1:10" ht="14.4">
      <c r="A40" s="22" t="str">
        <f>F40&amp;(COUNTIFS(F$2:F40,F40,K$2:K40,"Sparse"))</f>
        <v>UA0</v>
      </c>
      <c r="B40" s="22" t="str">
        <f>J40&amp;(COUNTIF(J$2:J40,J40))</f>
        <v>Unitary9</v>
      </c>
      <c r="C40" t="s">
        <v>300</v>
      </c>
      <c r="D40" t="s">
        <v>300</v>
      </c>
      <c r="E40" s="25" t="s">
        <v>0</v>
      </c>
      <c r="F40" s="25" t="s">
        <v>385</v>
      </c>
      <c r="G40" s="25" t="s">
        <v>394</v>
      </c>
      <c r="H40" s="27" t="s">
        <v>895</v>
      </c>
      <c r="I40" s="27" t="s">
        <v>895</v>
      </c>
      <c r="J40" s="3" t="s">
        <v>394</v>
      </c>
    </row>
    <row r="41" spans="1:10" ht="14.4">
      <c r="A41" s="22" t="str">
        <f>F41&amp;(COUNTIFS(F$2:F41,F41,K$2:K41,"Sparse"))</f>
        <v>SD4</v>
      </c>
      <c r="B41" s="22" t="str">
        <f>J41&amp;(COUNTIF(J$2:J41,J41))</f>
        <v>Lancashire1</v>
      </c>
      <c r="C41" t="s">
        <v>26</v>
      </c>
      <c r="D41" t="s">
        <v>26</v>
      </c>
      <c r="E41" s="25" t="s">
        <v>374</v>
      </c>
      <c r="F41" s="25" t="s">
        <v>379</v>
      </c>
      <c r="G41" s="25" t="s">
        <v>5</v>
      </c>
      <c r="H41" s="26" t="s">
        <v>382</v>
      </c>
      <c r="I41" s="27" t="s">
        <v>382</v>
      </c>
      <c r="J41" t="s">
        <v>316</v>
      </c>
    </row>
    <row r="42" spans="1:10" ht="14.4">
      <c r="A42" s="22" t="str">
        <f>F42&amp;(COUNTIFS(F$2:F42,F42,K$2:K42,"Sparse"))</f>
        <v>MD0</v>
      </c>
      <c r="B42" s="22" t="str">
        <f>J42&amp;(COUNTIF(J$2:J42,J42))</f>
        <v>Bury1</v>
      </c>
      <c r="C42" t="s">
        <v>226</v>
      </c>
      <c r="D42" t="s">
        <v>226</v>
      </c>
      <c r="E42" s="25" t="s">
        <v>374</v>
      </c>
      <c r="F42" s="25" t="s">
        <v>384</v>
      </c>
      <c r="G42" s="25" t="s">
        <v>395</v>
      </c>
      <c r="H42" s="26" t="s">
        <v>382</v>
      </c>
      <c r="I42" s="27" t="s">
        <v>382</v>
      </c>
      <c r="J42" t="s">
        <v>226</v>
      </c>
    </row>
    <row r="43" spans="1:10" ht="14.4">
      <c r="A43" s="22" t="str">
        <f>F43&amp;(COUNTIFS(F$2:F43,F43,K$2:K43,"Sparse"))</f>
        <v>MD0</v>
      </c>
      <c r="B43" s="22" t="str">
        <f>J43&amp;(COUNTIF(J$2:J43,J43))</f>
        <v>Calderdale1</v>
      </c>
      <c r="C43" t="s">
        <v>227</v>
      </c>
      <c r="D43" t="s">
        <v>227</v>
      </c>
      <c r="E43" s="25" t="s">
        <v>383</v>
      </c>
      <c r="F43" s="25" t="s">
        <v>384</v>
      </c>
      <c r="G43" s="25" t="s">
        <v>395</v>
      </c>
      <c r="H43" s="26" t="s">
        <v>382</v>
      </c>
      <c r="I43" s="27" t="s">
        <v>382</v>
      </c>
      <c r="J43" t="s">
        <v>227</v>
      </c>
    </row>
    <row r="44" spans="1:10" ht="14.4">
      <c r="A44" s="22" t="str">
        <f>F44&amp;(COUNTIFS(F$2:F44,F44,K$2:K44,"Sparse"))</f>
        <v>SD4</v>
      </c>
      <c r="B44" s="22" t="str">
        <f>J44&amp;(COUNTIF(J$2:J44,J44))</f>
        <v>Cambridgeshire1</v>
      </c>
      <c r="C44" t="s">
        <v>27</v>
      </c>
      <c r="D44" t="s">
        <v>27</v>
      </c>
      <c r="E44" s="25" t="s">
        <v>368</v>
      </c>
      <c r="F44" s="25" t="s">
        <v>379</v>
      </c>
      <c r="G44" s="25" t="s">
        <v>5</v>
      </c>
      <c r="H44" s="26" t="s">
        <v>382</v>
      </c>
      <c r="I44" s="27" t="s">
        <v>382</v>
      </c>
      <c r="J44" t="s">
        <v>302</v>
      </c>
    </row>
    <row r="45" spans="1:10" ht="14.4">
      <c r="A45" s="22" t="str">
        <f>F45&amp;(COUNTIFS(F$2:F45,F45,K$2:K45,"Sparse"))</f>
        <v>SC0</v>
      </c>
      <c r="B45" s="22" t="str">
        <f>J45&amp;(COUNTIF(J$2:J45,J45))</f>
        <v>Cambridgeshire2</v>
      </c>
      <c r="C45" t="s">
        <v>302</v>
      </c>
      <c r="D45" t="s">
        <v>302</v>
      </c>
      <c r="E45" s="25" t="s">
        <v>368</v>
      </c>
      <c r="F45" s="25" t="s">
        <v>387</v>
      </c>
      <c r="G45" s="25" t="s">
        <v>301</v>
      </c>
      <c r="H45" s="27" t="s">
        <v>380</v>
      </c>
      <c r="I45" s="27" t="s">
        <v>380</v>
      </c>
      <c r="J45" t="s">
        <v>302</v>
      </c>
    </row>
    <row r="46" spans="1:10" ht="14.4">
      <c r="A46" s="22" t="str">
        <f>F46&amp;(COUNTIFS(F$2:F46,F46,K$2:K46,"Sparse"))</f>
        <v>L0</v>
      </c>
      <c r="B46" s="22" t="str">
        <f>J46&amp;(COUNTIF(J$2:J46,J46))</f>
        <v>London6</v>
      </c>
      <c r="C46" t="s">
        <v>200</v>
      </c>
      <c r="D46" t="s">
        <v>200</v>
      </c>
      <c r="E46" s="25" t="s">
        <v>381</v>
      </c>
      <c r="F46" s="25" t="s">
        <v>358</v>
      </c>
      <c r="G46" s="25" t="s">
        <v>381</v>
      </c>
      <c r="H46" s="26" t="s">
        <v>382</v>
      </c>
      <c r="I46" s="27" t="s">
        <v>382</v>
      </c>
      <c r="J46" t="s">
        <v>381</v>
      </c>
    </row>
    <row r="47" spans="1:10" ht="14.4">
      <c r="A47" s="22" t="str">
        <f>F47&amp;(COUNTIFS(F$2:F47,F47,K$2:K47,"Sparse"))</f>
        <v>SD4</v>
      </c>
      <c r="B47" s="22" t="str">
        <f>J47&amp;(COUNTIF(J$2:J47,J47))</f>
        <v>Staffordshire1</v>
      </c>
      <c r="C47" t="s">
        <v>28</v>
      </c>
      <c r="D47" t="s">
        <v>28</v>
      </c>
      <c r="E47" s="25" t="s">
        <v>367</v>
      </c>
      <c r="F47" s="25" t="s">
        <v>379</v>
      </c>
      <c r="G47" s="25" t="s">
        <v>5</v>
      </c>
      <c r="H47" s="26" t="s">
        <v>895</v>
      </c>
      <c r="I47" s="27" t="s">
        <v>895</v>
      </c>
      <c r="J47" t="s">
        <v>327</v>
      </c>
    </row>
    <row r="48" spans="1:10" ht="14.4">
      <c r="A48" s="22" t="str">
        <f>F48&amp;(COUNTIFS(F$2:F48,F48,K$2:K48,"Sparse"))</f>
        <v>SD4</v>
      </c>
      <c r="B48" s="22" t="str">
        <f>J48&amp;(COUNTIF(J$2:J48,J48))</f>
        <v>Kent2</v>
      </c>
      <c r="C48" t="s">
        <v>29</v>
      </c>
      <c r="D48" t="s">
        <v>29</v>
      </c>
      <c r="E48" s="25" t="s">
        <v>0</v>
      </c>
      <c r="F48" s="25" t="s">
        <v>379</v>
      </c>
      <c r="G48" s="25" t="s">
        <v>5</v>
      </c>
      <c r="H48" s="26" t="s">
        <v>382</v>
      </c>
      <c r="I48" s="27" t="s">
        <v>382</v>
      </c>
      <c r="J48" t="s">
        <v>315</v>
      </c>
    </row>
    <row r="49" spans="1:11" ht="14.4">
      <c r="A49" s="22" t="str">
        <f>F49&amp;(COUNTIFS(F$2:F49,F49,K$2:K49,"Sparse"))</f>
        <v>SD4</v>
      </c>
      <c r="B49" s="22" t="str">
        <f>J49&amp;(COUNTIF(J$2:J49,J49))</f>
        <v>Cumbria3</v>
      </c>
      <c r="C49" t="s">
        <v>30</v>
      </c>
      <c r="D49" t="s">
        <v>30</v>
      </c>
      <c r="E49" s="25" t="s">
        <v>374</v>
      </c>
      <c r="F49" s="25" t="s">
        <v>379</v>
      </c>
      <c r="G49" s="25" t="s">
        <v>5</v>
      </c>
      <c r="H49" s="26" t="s">
        <v>895</v>
      </c>
      <c r="I49" s="27" t="s">
        <v>895</v>
      </c>
      <c r="J49" t="s">
        <v>306</v>
      </c>
    </row>
    <row r="50" spans="1:11" ht="14.4">
      <c r="A50" s="22" t="str">
        <f>F50&amp;(COUNTIFS(F$2:F50,F50,K$2:K50,"Sparse"))</f>
        <v>SD4</v>
      </c>
      <c r="B50" s="22" t="str">
        <f>J50&amp;(COUNTIF(J$2:J50,J50))</f>
        <v>Essex4</v>
      </c>
      <c r="C50" t="s">
        <v>31</v>
      </c>
      <c r="D50" t="s">
        <v>31</v>
      </c>
      <c r="E50" s="25" t="s">
        <v>368</v>
      </c>
      <c r="F50" s="25" t="s">
        <v>379</v>
      </c>
      <c r="G50" s="25" t="s">
        <v>5</v>
      </c>
      <c r="H50" s="26" t="s">
        <v>382</v>
      </c>
      <c r="I50" s="27" t="s">
        <v>382</v>
      </c>
      <c r="J50" t="s">
        <v>311</v>
      </c>
    </row>
    <row r="51" spans="1:11" ht="14.4">
      <c r="A51" s="22" t="str">
        <f>F51&amp;(COUNTIFS(F$2:F51,F51,K$2:K51,"Sparse"))</f>
        <v>UA0</v>
      </c>
      <c r="B51" s="22" t="str">
        <f>J51&amp;(COUNTIF(J$2:J51,J51))</f>
        <v>Unitary10</v>
      </c>
      <c r="C51" t="s">
        <v>303</v>
      </c>
      <c r="D51" t="s">
        <v>303</v>
      </c>
      <c r="E51" s="25" t="s">
        <v>368</v>
      </c>
      <c r="F51" s="25" t="s">
        <v>385</v>
      </c>
      <c r="G51" s="25" t="s">
        <v>394</v>
      </c>
      <c r="H51" s="26" t="s">
        <v>894</v>
      </c>
      <c r="I51" s="27" t="s">
        <v>380</v>
      </c>
      <c r="J51" s="3" t="s">
        <v>394</v>
      </c>
    </row>
    <row r="52" spans="1:11" ht="14.4">
      <c r="A52" s="22" t="str">
        <f>F52&amp;(COUNTIFS(F$2:F52,F52,K$2:K52,"Sparse"))</f>
        <v>SD4</v>
      </c>
      <c r="B52" s="22" t="str">
        <f>J52&amp;(COUNTIF(J$2:J52,J52))</f>
        <v>Leicestershire2</v>
      </c>
      <c r="C52" t="s">
        <v>32</v>
      </c>
      <c r="D52" t="s">
        <v>32</v>
      </c>
      <c r="E52" s="25" t="s">
        <v>366</v>
      </c>
      <c r="F52" s="25" t="s">
        <v>379</v>
      </c>
      <c r="G52" s="25" t="s">
        <v>5</v>
      </c>
      <c r="H52" s="26" t="s">
        <v>382</v>
      </c>
      <c r="I52" s="27" t="s">
        <v>382</v>
      </c>
      <c r="J52" t="s">
        <v>317</v>
      </c>
    </row>
    <row r="53" spans="1:11" ht="14.4">
      <c r="A53" s="22" t="str">
        <f>F53&amp;(COUNTIFS(F$2:F53,F53,K$2:K53,"Sparse"))</f>
        <v>SD4</v>
      </c>
      <c r="B53" s="22" t="str">
        <f>J53&amp;(COUNTIF(J$2:J53,J53))</f>
        <v>Essex5</v>
      </c>
      <c r="C53" t="s">
        <v>33</v>
      </c>
      <c r="D53" t="s">
        <v>33</v>
      </c>
      <c r="E53" s="25" t="s">
        <v>368</v>
      </c>
      <c r="F53" s="25" t="s">
        <v>379</v>
      </c>
      <c r="G53" s="25" t="s">
        <v>5</v>
      </c>
      <c r="H53" s="26" t="s">
        <v>382</v>
      </c>
      <c r="I53" s="27" t="s">
        <v>382</v>
      </c>
      <c r="J53" t="s">
        <v>311</v>
      </c>
    </row>
    <row r="54" spans="1:11" ht="14.4">
      <c r="A54" s="22" t="str">
        <f>F54&amp;(COUNTIFS(F$2:F54,F54,K$2:K54,"Sparse"))</f>
        <v>SD4</v>
      </c>
      <c r="B54" s="22" t="str">
        <f>J54&amp;(COUNTIF(J$2:J54,J54))</f>
        <v>Gloucestershire1</v>
      </c>
      <c r="C54" t="s">
        <v>34</v>
      </c>
      <c r="D54" t="s">
        <v>34</v>
      </c>
      <c r="E54" s="25" t="s">
        <v>1</v>
      </c>
      <c r="F54" s="25" t="s">
        <v>379</v>
      </c>
      <c r="G54" s="25" t="s">
        <v>5</v>
      </c>
      <c r="H54" s="26" t="s">
        <v>382</v>
      </c>
      <c r="I54" s="27" t="s">
        <v>382</v>
      </c>
      <c r="J54" t="s">
        <v>312</v>
      </c>
    </row>
    <row r="55" spans="1:11" ht="14.4">
      <c r="A55" s="22" t="str">
        <f>F55&amp;(COUNTIFS(F$2:F55,F55,K$2:K55,"Sparse"))</f>
        <v>SD4</v>
      </c>
      <c r="B55" s="22" t="str">
        <f>J55&amp;(COUNTIF(J$2:J55,J55))</f>
        <v>Oxfordshire1</v>
      </c>
      <c r="C55" t="s">
        <v>35</v>
      </c>
      <c r="D55" t="s">
        <v>35</v>
      </c>
      <c r="E55" s="25" t="s">
        <v>0</v>
      </c>
      <c r="F55" s="25" t="s">
        <v>379</v>
      </c>
      <c r="G55" s="25" t="s">
        <v>5</v>
      </c>
      <c r="H55" s="26" t="s">
        <v>895</v>
      </c>
      <c r="I55" s="27" t="s">
        <v>895</v>
      </c>
      <c r="J55" t="s">
        <v>324</v>
      </c>
    </row>
    <row r="56" spans="1:11" ht="14.4">
      <c r="A56" s="22" t="str">
        <f>F56&amp;(COUNTIFS(F$2:F56,F56,K$2:K56,"Sparse"))</f>
        <v>UA1</v>
      </c>
      <c r="B56" s="22" t="str">
        <f>J56&amp;(COUNTIF(J$2:J56,J56))</f>
        <v>Unitary11</v>
      </c>
      <c r="C56" t="s">
        <v>304</v>
      </c>
      <c r="D56" t="s">
        <v>304</v>
      </c>
      <c r="E56" s="25" t="s">
        <v>374</v>
      </c>
      <c r="F56" s="25" t="s">
        <v>385</v>
      </c>
      <c r="G56" s="25" t="s">
        <v>394</v>
      </c>
      <c r="H56" s="26" t="s">
        <v>895</v>
      </c>
      <c r="I56" s="27" t="s">
        <v>895</v>
      </c>
      <c r="J56" s="3" t="s">
        <v>394</v>
      </c>
      <c r="K56" t="s">
        <v>335</v>
      </c>
    </row>
    <row r="57" spans="1:11" ht="14.4">
      <c r="A57" s="22" t="str">
        <f>F57&amp;(COUNTIFS(F$2:F57,F57,K$2:K57,"Sparse"))</f>
        <v>UA1</v>
      </c>
      <c r="B57" s="22" t="str">
        <f>J57&amp;(COUNTIF(J$2:J57,J57))</f>
        <v>Unitary12</v>
      </c>
      <c r="C57" t="s">
        <v>813</v>
      </c>
      <c r="D57" t="s">
        <v>813</v>
      </c>
      <c r="E57" s="25" t="s">
        <v>374</v>
      </c>
      <c r="F57" s="25" t="s">
        <v>385</v>
      </c>
      <c r="G57" s="25" t="s">
        <v>394</v>
      </c>
      <c r="H57" s="26" t="s">
        <v>895</v>
      </c>
      <c r="I57" s="27" t="s">
        <v>895</v>
      </c>
      <c r="J57" s="3" t="s">
        <v>394</v>
      </c>
    </row>
    <row r="58" spans="1:11" ht="14.4">
      <c r="A58" s="22" t="str">
        <f>F58&amp;(COUNTIFS(F$2:F58,F58,K$2:K58,"Sparse"))</f>
        <v>SD4</v>
      </c>
      <c r="B58" s="22" t="str">
        <f>J58&amp;(COUNTIF(J$2:J58,J58))</f>
        <v>Derbyshire3</v>
      </c>
      <c r="C58" t="s">
        <v>36</v>
      </c>
      <c r="D58" t="s">
        <v>36</v>
      </c>
      <c r="E58" s="25" t="s">
        <v>366</v>
      </c>
      <c r="F58" s="25" t="s">
        <v>379</v>
      </c>
      <c r="G58" s="25" t="s">
        <v>5</v>
      </c>
      <c r="H58" s="26" t="s">
        <v>382</v>
      </c>
      <c r="I58" s="27" t="s">
        <v>382</v>
      </c>
      <c r="J58" t="s">
        <v>307</v>
      </c>
    </row>
    <row r="59" spans="1:11" ht="14.4">
      <c r="A59" s="22" t="str">
        <f>F59&amp;(COUNTIFS(F$2:F59,F59,K$2:K59,"Sparse"))</f>
        <v>SD5</v>
      </c>
      <c r="B59" s="22" t="str">
        <f>J59&amp;(COUNTIF(J$2:J59,J59))</f>
        <v>West Sussex3</v>
      </c>
      <c r="C59" t="s">
        <v>37</v>
      </c>
      <c r="D59" t="s">
        <v>37</v>
      </c>
      <c r="E59" s="25" t="s">
        <v>0</v>
      </c>
      <c r="F59" s="25" t="s">
        <v>379</v>
      </c>
      <c r="G59" s="25" t="s">
        <v>5</v>
      </c>
      <c r="H59" s="26" t="s">
        <v>894</v>
      </c>
      <c r="I59" s="27" t="s">
        <v>380</v>
      </c>
      <c r="J59" t="s">
        <v>331</v>
      </c>
      <c r="K59" t="s">
        <v>335</v>
      </c>
    </row>
    <row r="60" spans="1:11" ht="14.4">
      <c r="A60" s="22" t="str">
        <f>F60&amp;(COUNTIFS(F$2:F60,F60,K$2:K60,"Sparse"))</f>
        <v>SD5</v>
      </c>
      <c r="B60" s="22" t="str">
        <f>J60&amp;(COUNTIF(J$2:J60,J60))</f>
        <v>Lancashire2</v>
      </c>
      <c r="C60" t="s">
        <v>39</v>
      </c>
      <c r="D60" t="s">
        <v>39</v>
      </c>
      <c r="E60" s="25" t="s">
        <v>374</v>
      </c>
      <c r="F60" s="25" t="s">
        <v>379</v>
      </c>
      <c r="G60" s="25" t="s">
        <v>5</v>
      </c>
      <c r="H60" s="26" t="s">
        <v>895</v>
      </c>
      <c r="I60" s="27" t="s">
        <v>895</v>
      </c>
      <c r="J60" t="s">
        <v>316</v>
      </c>
    </row>
    <row r="61" spans="1:11" ht="14.4">
      <c r="A61" s="22" t="str">
        <f>F61&amp;(COUNTIFS(F$2:F61,F61,K$2:K61,"Sparse"))</f>
        <v>L0</v>
      </c>
      <c r="B61" s="22" t="str">
        <f>J61&amp;(COUNTIF(J$2:J61,J61))</f>
        <v>London7</v>
      </c>
      <c r="C61" t="s">
        <v>369</v>
      </c>
      <c r="D61" t="s">
        <v>369</v>
      </c>
      <c r="E61" s="25" t="s">
        <v>381</v>
      </c>
      <c r="F61" s="25" t="s">
        <v>358</v>
      </c>
      <c r="G61" s="25" t="s">
        <v>381</v>
      </c>
      <c r="H61" s="28" t="s">
        <v>382</v>
      </c>
      <c r="I61" s="27" t="s">
        <v>382</v>
      </c>
      <c r="J61" t="s">
        <v>381</v>
      </c>
    </row>
    <row r="62" spans="1:11" ht="14.4">
      <c r="A62" s="22" t="str">
        <f>F62&amp;(COUNTIFS(F$2:F62,F62,K$2:K62,"Sparse"))</f>
        <v>SD5</v>
      </c>
      <c r="B62" s="22" t="str">
        <f>J62&amp;(COUNTIF(J$2:J62,J62))</f>
        <v>Essex6</v>
      </c>
      <c r="C62" t="s">
        <v>41</v>
      </c>
      <c r="D62" t="s">
        <v>41</v>
      </c>
      <c r="E62" s="25" t="s">
        <v>368</v>
      </c>
      <c r="F62" s="25" t="s">
        <v>379</v>
      </c>
      <c r="G62" s="25" t="s">
        <v>5</v>
      </c>
      <c r="H62" s="26" t="s">
        <v>895</v>
      </c>
      <c r="I62" s="27" t="s">
        <v>895</v>
      </c>
      <c r="J62" t="s">
        <v>311</v>
      </c>
    </row>
    <row r="63" spans="1:11" ht="14.4">
      <c r="A63" s="22" t="str">
        <f>F63&amp;(COUNTIFS(F$2:F63,F63,K$2:K63,"Sparse"))</f>
        <v>SD6</v>
      </c>
      <c r="B63" s="22" t="str">
        <f>J63&amp;(COUNTIF(J$2:J63,J63))</f>
        <v>Cumbria4</v>
      </c>
      <c r="C63" t="s">
        <v>42</v>
      </c>
      <c r="D63" t="s">
        <v>42</v>
      </c>
      <c r="E63" s="25" t="s">
        <v>374</v>
      </c>
      <c r="F63" s="25" t="s">
        <v>379</v>
      </c>
      <c r="G63" s="25" t="s">
        <v>5</v>
      </c>
      <c r="H63" s="26" t="s">
        <v>894</v>
      </c>
      <c r="I63" s="27" t="s">
        <v>380</v>
      </c>
      <c r="J63" t="s">
        <v>306</v>
      </c>
      <c r="K63" t="s">
        <v>335</v>
      </c>
    </row>
    <row r="64" spans="1:11" ht="14.4">
      <c r="A64" s="22" t="str">
        <f>F64&amp;(COUNTIFS(F$2:F64,F64,K$2:K64,"Sparse"))</f>
        <v>UA2</v>
      </c>
      <c r="B64" s="22" t="str">
        <f>J64&amp;(COUNTIF(J$2:J64,J64))</f>
        <v>Unitary13</v>
      </c>
      <c r="C64" t="s">
        <v>305</v>
      </c>
      <c r="D64" t="s">
        <v>305</v>
      </c>
      <c r="E64" s="25" t="s">
        <v>1</v>
      </c>
      <c r="F64" s="25" t="s">
        <v>385</v>
      </c>
      <c r="G64" s="25" t="s">
        <v>394</v>
      </c>
      <c r="H64" s="26" t="s">
        <v>894</v>
      </c>
      <c r="I64" s="27" t="s">
        <v>380</v>
      </c>
      <c r="J64" t="s">
        <v>394</v>
      </c>
      <c r="K64" t="s">
        <v>335</v>
      </c>
    </row>
    <row r="65" spans="1:11" ht="14.4">
      <c r="A65" s="22" t="str">
        <f>F65&amp;(COUNTIFS(F$2:F65,F65,K$2:K65,"Sparse"))</f>
        <v>SD7</v>
      </c>
      <c r="B65" s="22" t="str">
        <f>J65&amp;(COUNTIF(J$2:J65,J65))</f>
        <v>Gloucestershire2</v>
      </c>
      <c r="C65" t="s">
        <v>44</v>
      </c>
      <c r="D65" t="s">
        <v>44</v>
      </c>
      <c r="E65" s="25" t="s">
        <v>1</v>
      </c>
      <c r="F65" s="25" t="s">
        <v>379</v>
      </c>
      <c r="G65" s="25" t="s">
        <v>5</v>
      </c>
      <c r="H65" s="26" t="s">
        <v>894</v>
      </c>
      <c r="I65" s="27" t="s">
        <v>380</v>
      </c>
      <c r="J65" s="3" t="s">
        <v>312</v>
      </c>
      <c r="K65" t="s">
        <v>335</v>
      </c>
    </row>
    <row r="66" spans="1:11" ht="14.4">
      <c r="A66" s="22" t="str">
        <f>F66&amp;(COUNTIFS(F$2:F66,F66,K$2:K66,"Sparse"))</f>
        <v>MD0</v>
      </c>
      <c r="B66" s="22" t="str">
        <f>J66&amp;(COUNTIF(J$2:J66,J66))</f>
        <v>Coventry1</v>
      </c>
      <c r="C66" t="s">
        <v>228</v>
      </c>
      <c r="D66" t="s">
        <v>228</v>
      </c>
      <c r="E66" s="25" t="s">
        <v>367</v>
      </c>
      <c r="F66" s="25" t="s">
        <v>384</v>
      </c>
      <c r="G66" s="25" t="s">
        <v>395</v>
      </c>
      <c r="H66" s="26" t="s">
        <v>382</v>
      </c>
      <c r="I66" s="27" t="s">
        <v>382</v>
      </c>
      <c r="J66" t="s">
        <v>228</v>
      </c>
    </row>
    <row r="67" spans="1:11" ht="14.4">
      <c r="A67" s="22" t="str">
        <f>F67&amp;(COUNTIFS(F$2:F67,F67,K$2:K67,"Sparse"))</f>
        <v>SD8</v>
      </c>
      <c r="B67" s="22" t="str">
        <f>J67&amp;(COUNTIF(J$2:J67,J67))</f>
        <v>North Yorkshire1</v>
      </c>
      <c r="C67" t="s">
        <v>45</v>
      </c>
      <c r="D67" t="s">
        <v>45</v>
      </c>
      <c r="E67" s="25" t="s">
        <v>383</v>
      </c>
      <c r="F67" s="25" t="s">
        <v>379</v>
      </c>
      <c r="G67" s="25" t="s">
        <v>5</v>
      </c>
      <c r="H67" s="26" t="s">
        <v>894</v>
      </c>
      <c r="I67" s="27" t="s">
        <v>380</v>
      </c>
      <c r="J67" t="s">
        <v>320</v>
      </c>
      <c r="K67" t="s">
        <v>335</v>
      </c>
    </row>
    <row r="68" spans="1:11" ht="14.4">
      <c r="A68" s="22" t="str">
        <f>F68&amp;(COUNTIFS(F$2:F68,F68,K$2:K68,"Sparse"))</f>
        <v>SD8</v>
      </c>
      <c r="B68" s="22" t="str">
        <f>J68&amp;(COUNTIF(J$2:J68,J68))</f>
        <v>West Sussex4</v>
      </c>
      <c r="C68" t="s">
        <v>46</v>
      </c>
      <c r="D68" t="s">
        <v>46</v>
      </c>
      <c r="E68" s="25" t="s">
        <v>0</v>
      </c>
      <c r="F68" s="25" t="s">
        <v>379</v>
      </c>
      <c r="G68" s="25" t="s">
        <v>5</v>
      </c>
      <c r="H68" s="26" t="s">
        <v>382</v>
      </c>
      <c r="I68" s="27" t="s">
        <v>382</v>
      </c>
      <c r="J68" t="s">
        <v>331</v>
      </c>
    </row>
    <row r="69" spans="1:11" ht="14.4">
      <c r="A69" s="22" t="str">
        <f>F69&amp;(COUNTIFS(F$2:F69,F69,K$2:K69,"Sparse"))</f>
        <v>L0</v>
      </c>
      <c r="B69" s="22" t="str">
        <f>J69&amp;(COUNTIF(J$2:J69,J69))</f>
        <v>London8</v>
      </c>
      <c r="C69" t="s">
        <v>201</v>
      </c>
      <c r="D69" t="s">
        <v>201</v>
      </c>
      <c r="E69" s="25" t="s">
        <v>381</v>
      </c>
      <c r="F69" s="25" t="s">
        <v>358</v>
      </c>
      <c r="G69" s="25" t="s">
        <v>381</v>
      </c>
      <c r="H69" s="26" t="s">
        <v>382</v>
      </c>
      <c r="I69" s="27" t="s">
        <v>382</v>
      </c>
      <c r="J69" t="s">
        <v>381</v>
      </c>
    </row>
    <row r="70" spans="1:11" ht="14.4">
      <c r="A70" s="22" t="str">
        <f>F70&amp;(COUNTIFS(F$2:F70,F70,K$2:K70,"Sparse"))</f>
        <v>SC1</v>
      </c>
      <c r="B70" s="22" t="str">
        <f>J70&amp;(COUNTIF(J$2:J70,J70))</f>
        <v>Cumbria5</v>
      </c>
      <c r="C70" t="s">
        <v>306</v>
      </c>
      <c r="D70" t="s">
        <v>306</v>
      </c>
      <c r="E70" s="25" t="s">
        <v>374</v>
      </c>
      <c r="F70" s="25" t="s">
        <v>387</v>
      </c>
      <c r="G70" s="25" t="s">
        <v>301</v>
      </c>
      <c r="H70" s="26" t="s">
        <v>380</v>
      </c>
      <c r="I70" s="27" t="s">
        <v>380</v>
      </c>
      <c r="J70" t="s">
        <v>306</v>
      </c>
      <c r="K70" t="s">
        <v>335</v>
      </c>
    </row>
    <row r="71" spans="1:11" ht="14.4">
      <c r="A71" s="22" t="str">
        <f>F71&amp;(COUNTIFS(F$2:F71,F71,K$2:K71,"Sparse"))</f>
        <v>SD8</v>
      </c>
      <c r="B71" s="22" t="str">
        <f>J71&amp;(COUNTIF(J$2:J71,J71))</f>
        <v>Hertfordshire2</v>
      </c>
      <c r="C71" t="s">
        <v>47</v>
      </c>
      <c r="D71" t="s">
        <v>47</v>
      </c>
      <c r="E71" s="25" t="s">
        <v>368</v>
      </c>
      <c r="F71" s="25" t="s">
        <v>379</v>
      </c>
      <c r="G71" s="25" t="s">
        <v>5</v>
      </c>
      <c r="H71" s="27" t="s">
        <v>895</v>
      </c>
      <c r="I71" s="27" t="s">
        <v>895</v>
      </c>
      <c r="J71" t="s">
        <v>314</v>
      </c>
    </row>
    <row r="72" spans="1:11" ht="14.4">
      <c r="A72" s="22" t="str">
        <f>F72&amp;(COUNTIFS(F$2:F72,F72,K$2:K72,"Sparse"))</f>
        <v>UA2</v>
      </c>
      <c r="B72" s="22" t="str">
        <f>J72&amp;(COUNTIF(J$2:J72,J72))</f>
        <v>Unitary14</v>
      </c>
      <c r="C72" t="s">
        <v>264</v>
      </c>
      <c r="D72" t="s">
        <v>264</v>
      </c>
      <c r="E72" s="25" t="s">
        <v>388</v>
      </c>
      <c r="F72" s="25" t="s">
        <v>385</v>
      </c>
      <c r="G72" s="25" t="s">
        <v>394</v>
      </c>
      <c r="H72" s="26" t="s">
        <v>382</v>
      </c>
      <c r="I72" s="27" t="s">
        <v>382</v>
      </c>
      <c r="J72" t="s">
        <v>394</v>
      </c>
    </row>
    <row r="73" spans="1:11" ht="14.4">
      <c r="A73" s="22" t="str">
        <f>F73&amp;(COUNTIFS(F$2:F73,F73,K$2:K73,"Sparse"))</f>
        <v>SD8</v>
      </c>
      <c r="B73" s="22" t="str">
        <f>J73&amp;(COUNTIF(J$2:J73,J73))</f>
        <v>Kent3</v>
      </c>
      <c r="C73" t="s">
        <v>48</v>
      </c>
      <c r="D73" t="s">
        <v>48</v>
      </c>
      <c r="E73" s="25" t="s">
        <v>0</v>
      </c>
      <c r="F73" s="25" t="s">
        <v>379</v>
      </c>
      <c r="G73" s="25" t="s">
        <v>5</v>
      </c>
      <c r="H73" s="26" t="s">
        <v>382</v>
      </c>
      <c r="I73" s="27" t="s">
        <v>382</v>
      </c>
      <c r="J73" s="3" t="s">
        <v>315</v>
      </c>
    </row>
    <row r="74" spans="1:11" ht="14.4">
      <c r="A74" s="22" t="str">
        <f>F74&amp;(COUNTIFS(F$2:F74,F74,K$2:K74,"Sparse"))</f>
        <v>UA2</v>
      </c>
      <c r="B74" s="22" t="str">
        <f>J74&amp;(COUNTIF(J$2:J74,J74))</f>
        <v>Unitary15</v>
      </c>
      <c r="C74" t="s">
        <v>265</v>
      </c>
      <c r="D74" t="s">
        <v>265</v>
      </c>
      <c r="E74" s="25" t="s">
        <v>366</v>
      </c>
      <c r="F74" s="25" t="s">
        <v>385</v>
      </c>
      <c r="G74" s="25" t="s">
        <v>394</v>
      </c>
      <c r="H74" s="26" t="s">
        <v>382</v>
      </c>
      <c r="I74" s="27" t="s">
        <v>382</v>
      </c>
      <c r="J74" t="s">
        <v>394</v>
      </c>
    </row>
    <row r="75" spans="1:11" ht="14.4">
      <c r="A75" s="22" t="str">
        <f>F75&amp;(COUNTIFS(F$2:F75,F75,K$2:K75,"Sparse"))</f>
        <v>SC1</v>
      </c>
      <c r="B75" s="22" t="str">
        <f>J75&amp;(COUNTIF(J$2:J75,J75))</f>
        <v>Derbyshire4</v>
      </c>
      <c r="C75" t="s">
        <v>307</v>
      </c>
      <c r="D75" t="s">
        <v>307</v>
      </c>
      <c r="E75" s="25" t="s">
        <v>366</v>
      </c>
      <c r="F75" s="25" t="s">
        <v>387</v>
      </c>
      <c r="G75" s="25" t="s">
        <v>301</v>
      </c>
      <c r="H75" s="26" t="s">
        <v>895</v>
      </c>
      <c r="I75" s="27" t="s">
        <v>895</v>
      </c>
      <c r="J75" t="s">
        <v>307</v>
      </c>
    </row>
    <row r="76" spans="1:11" ht="14.4">
      <c r="A76" s="22" t="str">
        <f>F76&amp;(COUNTIFS(F$2:F76,F76,K$2:K76,"Sparse"))</f>
        <v>SD9</v>
      </c>
      <c r="B76" s="22" t="str">
        <f>J76&amp;(COUNTIF(J$2:J76,J76))</f>
        <v>Derbyshire5</v>
      </c>
      <c r="C76" t="s">
        <v>50</v>
      </c>
      <c r="D76" t="s">
        <v>50</v>
      </c>
      <c r="E76" s="25" t="s">
        <v>366</v>
      </c>
      <c r="F76" s="25" t="s">
        <v>379</v>
      </c>
      <c r="G76" s="25" t="s">
        <v>5</v>
      </c>
      <c r="H76" s="26" t="s">
        <v>894</v>
      </c>
      <c r="I76" s="27" t="s">
        <v>380</v>
      </c>
      <c r="J76" s="3" t="s">
        <v>307</v>
      </c>
      <c r="K76" t="s">
        <v>335</v>
      </c>
    </row>
    <row r="77" spans="1:11" ht="14.4">
      <c r="A77" s="22" t="str">
        <f>F77&amp;(COUNTIFS(F$2:F77,F77,K$2:K77,"Sparse"))</f>
        <v>SC2</v>
      </c>
      <c r="B77" s="22" t="str">
        <f>J77&amp;(COUNTIF(J$2:J77,J77))</f>
        <v>Devon1</v>
      </c>
      <c r="C77" t="s">
        <v>308</v>
      </c>
      <c r="D77" t="s">
        <v>308</v>
      </c>
      <c r="E77" s="25" t="s">
        <v>1</v>
      </c>
      <c r="F77" s="25" t="s">
        <v>387</v>
      </c>
      <c r="G77" s="25" t="s">
        <v>301</v>
      </c>
      <c r="H77" s="27" t="s">
        <v>380</v>
      </c>
      <c r="I77" s="27" t="s">
        <v>380</v>
      </c>
      <c r="J77" t="s">
        <v>308</v>
      </c>
      <c r="K77" t="s">
        <v>335</v>
      </c>
    </row>
    <row r="78" spans="1:11" ht="14.4">
      <c r="A78" s="22" t="str">
        <f>F78&amp;(COUNTIFS(F$2:F78,F78,K$2:K78,"Sparse"))</f>
        <v>MD0</v>
      </c>
      <c r="B78" s="22" t="str">
        <f>J78&amp;(COUNTIF(J$2:J78,J78))</f>
        <v>Doncaster1</v>
      </c>
      <c r="C78" t="s">
        <v>229</v>
      </c>
      <c r="D78" t="s">
        <v>229</v>
      </c>
      <c r="E78" s="25" t="s">
        <v>383</v>
      </c>
      <c r="F78" s="25" t="s">
        <v>384</v>
      </c>
      <c r="G78" s="25" t="s">
        <v>395</v>
      </c>
      <c r="H78" s="26" t="s">
        <v>382</v>
      </c>
      <c r="I78" s="27" t="s">
        <v>382</v>
      </c>
      <c r="J78" t="s">
        <v>229</v>
      </c>
    </row>
    <row r="79" spans="1:11" ht="14.4">
      <c r="A79" s="22" t="str">
        <f>F79&amp;(COUNTIFS(F$2:F79,F79,K$2:K79,"Sparse"))</f>
        <v>UA2</v>
      </c>
      <c r="B79" s="22" t="str">
        <f>J79&amp;(COUNTIF(J$2:J79,J79))</f>
        <v>Unitary16</v>
      </c>
      <c r="C79" t="s">
        <v>309</v>
      </c>
      <c r="D79" t="s">
        <v>309</v>
      </c>
      <c r="E79" s="25" t="s">
        <v>1</v>
      </c>
      <c r="F79" s="25" t="s">
        <v>385</v>
      </c>
      <c r="G79" s="25" t="s">
        <v>394</v>
      </c>
      <c r="H79" s="27" t="s">
        <v>380</v>
      </c>
      <c r="I79" s="27" t="s">
        <v>380</v>
      </c>
      <c r="J79" t="s">
        <v>394</v>
      </c>
    </row>
    <row r="80" spans="1:11" ht="14.4">
      <c r="A80" s="22" t="str">
        <f>F80&amp;(COUNTIFS(F$2:F80,F80,K$2:K80,"Sparse"))</f>
        <v>SD9</v>
      </c>
      <c r="B80" s="22" t="str">
        <f>J80&amp;(COUNTIF(J$2:J80,J80))</f>
        <v>Kent4</v>
      </c>
      <c r="C80" t="s">
        <v>51</v>
      </c>
      <c r="D80" t="s">
        <v>51</v>
      </c>
      <c r="E80" s="25" t="s">
        <v>0</v>
      </c>
      <c r="F80" s="25" t="s">
        <v>379</v>
      </c>
      <c r="G80" s="25" t="s">
        <v>5</v>
      </c>
      <c r="H80" s="26" t="s">
        <v>895</v>
      </c>
      <c r="I80" s="27" t="s">
        <v>895</v>
      </c>
      <c r="J80" t="s">
        <v>315</v>
      </c>
    </row>
    <row r="81" spans="1:11" ht="14.4">
      <c r="A81" s="22" t="str">
        <f>F81&amp;(COUNTIFS(F$2:F81,F81,K$2:K81,"Sparse"))</f>
        <v>MD0</v>
      </c>
      <c r="B81" s="22" t="str">
        <f>J81&amp;(COUNTIF(J$2:J81,J81))</f>
        <v>Dudley1</v>
      </c>
      <c r="C81" t="s">
        <v>230</v>
      </c>
      <c r="D81" t="s">
        <v>230</v>
      </c>
      <c r="E81" s="25" t="s">
        <v>367</v>
      </c>
      <c r="F81" s="3" t="s">
        <v>384</v>
      </c>
      <c r="G81" s="3" t="s">
        <v>395</v>
      </c>
      <c r="H81" s="27" t="s">
        <v>382</v>
      </c>
      <c r="I81" s="27" t="s">
        <v>382</v>
      </c>
      <c r="J81" t="s">
        <v>230</v>
      </c>
    </row>
    <row r="82" spans="1:11" ht="14.4">
      <c r="A82" s="22" t="str">
        <f>F82&amp;(COUNTIFS(F$2:F82,F82,K$2:K82,"Sparse"))</f>
        <v>UA3</v>
      </c>
      <c r="B82" s="22" t="str">
        <f>J82&amp;(COUNTIF(J$2:J82,J82))</f>
        <v>Unitary17</v>
      </c>
      <c r="C82" t="s">
        <v>266</v>
      </c>
      <c r="D82" t="s">
        <v>266</v>
      </c>
      <c r="E82" s="25" t="s">
        <v>388</v>
      </c>
      <c r="F82" s="25" t="s">
        <v>385</v>
      </c>
      <c r="G82" s="25" t="s">
        <v>394</v>
      </c>
      <c r="H82" s="26" t="s">
        <v>894</v>
      </c>
      <c r="I82" s="27" t="s">
        <v>380</v>
      </c>
      <c r="J82" t="s">
        <v>394</v>
      </c>
      <c r="K82" t="s">
        <v>335</v>
      </c>
    </row>
    <row r="83" spans="1:11" ht="14.4">
      <c r="A83" s="22" t="str">
        <f>F83&amp;(COUNTIFS(F$2:F83,F83,K$2:K83,"Sparse"))</f>
        <v>L0</v>
      </c>
      <c r="B83" s="22" t="str">
        <f>J83&amp;(COUNTIF(J$2:J83,J83))</f>
        <v>London9</v>
      </c>
      <c r="C83" t="s">
        <v>202</v>
      </c>
      <c r="D83" t="s">
        <v>202</v>
      </c>
      <c r="E83" s="25" t="s">
        <v>381</v>
      </c>
      <c r="F83" s="25" t="s">
        <v>358</v>
      </c>
      <c r="G83" s="25" t="s">
        <v>381</v>
      </c>
      <c r="H83" s="26" t="s">
        <v>382</v>
      </c>
      <c r="I83" s="27" t="s">
        <v>382</v>
      </c>
      <c r="J83" s="3" t="s">
        <v>381</v>
      </c>
    </row>
    <row r="84" spans="1:11" ht="14.4">
      <c r="A84" s="22" t="str">
        <f>F84&amp;(COUNTIFS(F$2:F84,F84,K$2:K84,"Sparse"))</f>
        <v>SD10</v>
      </c>
      <c r="B84" s="22" t="str">
        <f>J84&amp;(COUNTIF(J$2:J84,J84))</f>
        <v>Cambridgeshire3</v>
      </c>
      <c r="C84" t="s">
        <v>52</v>
      </c>
      <c r="D84" t="s">
        <v>52</v>
      </c>
      <c r="E84" s="25" t="s">
        <v>368</v>
      </c>
      <c r="F84" s="25" t="s">
        <v>379</v>
      </c>
      <c r="G84" s="25" t="s">
        <v>5</v>
      </c>
      <c r="H84" s="26" t="s">
        <v>894</v>
      </c>
      <c r="I84" s="27" t="s">
        <v>380</v>
      </c>
      <c r="J84" t="s">
        <v>302</v>
      </c>
      <c r="K84" t="s">
        <v>335</v>
      </c>
    </row>
    <row r="85" spans="1:11" ht="14.4">
      <c r="A85" s="22" t="str">
        <f>F85&amp;(COUNTIFS(F$2:F85,F85,K$2:K85,"Sparse"))</f>
        <v>SD11</v>
      </c>
      <c r="B85" s="22" t="str">
        <f>J85&amp;(COUNTIF(J$2:J85,J85))</f>
        <v>Devon2</v>
      </c>
      <c r="C85" t="s">
        <v>53</v>
      </c>
      <c r="D85" t="s">
        <v>53</v>
      </c>
      <c r="E85" s="25" t="s">
        <v>1</v>
      </c>
      <c r="F85" s="25" t="s">
        <v>379</v>
      </c>
      <c r="G85" s="25" t="s">
        <v>5</v>
      </c>
      <c r="H85" s="26" t="s">
        <v>894</v>
      </c>
      <c r="I85" s="27" t="s">
        <v>380</v>
      </c>
      <c r="J85" t="s">
        <v>308</v>
      </c>
      <c r="K85" t="s">
        <v>335</v>
      </c>
    </row>
    <row r="86" spans="1:11" ht="14.4">
      <c r="A86" s="22" t="str">
        <f>F86&amp;(COUNTIFS(F$2:F86,F86,K$2:K86,"Sparse"))</f>
        <v>SD11</v>
      </c>
      <c r="B86" s="22" t="str">
        <f>J86&amp;(COUNTIF(J$2:J86,J86))</f>
        <v>Hampshire2</v>
      </c>
      <c r="C86" t="s">
        <v>55</v>
      </c>
      <c r="D86" t="s">
        <v>55</v>
      </c>
      <c r="E86" s="25" t="s">
        <v>0</v>
      </c>
      <c r="F86" s="25" t="s">
        <v>379</v>
      </c>
      <c r="G86" s="25" t="s">
        <v>5</v>
      </c>
      <c r="H86" s="26" t="s">
        <v>894</v>
      </c>
      <c r="I86" s="27" t="s">
        <v>380</v>
      </c>
      <c r="J86" t="s">
        <v>313</v>
      </c>
    </row>
    <row r="87" spans="1:11" ht="14.4">
      <c r="A87" s="22" t="str">
        <f>F87&amp;(COUNTIFS(F$2:F87,F87,K$2:K87,"Sparse"))</f>
        <v>SD11</v>
      </c>
      <c r="B87" s="22" t="str">
        <f>J87&amp;(COUNTIF(J$2:J87,J87))</f>
        <v>Hertfordshire3</v>
      </c>
      <c r="C87" t="s">
        <v>56</v>
      </c>
      <c r="D87" t="s">
        <v>56</v>
      </c>
      <c r="E87" s="25" t="s">
        <v>368</v>
      </c>
      <c r="F87" s="25" t="s">
        <v>379</v>
      </c>
      <c r="G87" s="25" t="s">
        <v>5</v>
      </c>
      <c r="H87" s="26" t="s">
        <v>895</v>
      </c>
      <c r="I87" s="27" t="s">
        <v>895</v>
      </c>
      <c r="J87" t="s">
        <v>314</v>
      </c>
    </row>
    <row r="88" spans="1:11" ht="14.4">
      <c r="A88" s="22" t="str">
        <f>F88&amp;(COUNTIFS(F$2:F88,F88,K$2:K88,"Sparse"))</f>
        <v>SD12</v>
      </c>
      <c r="B88" s="22" t="str">
        <f>J88&amp;(COUNTIF(J$2:J88,J88))</f>
        <v>Lincolnshire2</v>
      </c>
      <c r="C88" t="s">
        <v>57</v>
      </c>
      <c r="D88" t="s">
        <v>57</v>
      </c>
      <c r="E88" s="25" t="s">
        <v>366</v>
      </c>
      <c r="F88" s="25" t="s">
        <v>379</v>
      </c>
      <c r="G88" s="25" t="s">
        <v>5</v>
      </c>
      <c r="H88" s="26" t="s">
        <v>894</v>
      </c>
      <c r="I88" s="27" t="s">
        <v>380</v>
      </c>
      <c r="J88" t="s">
        <v>318</v>
      </c>
      <c r="K88" t="s">
        <v>335</v>
      </c>
    </row>
    <row r="89" spans="1:11" ht="14.4">
      <c r="A89" s="22" t="str">
        <f>F89&amp;(COUNTIFS(F$2:F89,F89,K$2:K89,"Sparse"))</f>
        <v>UA4</v>
      </c>
      <c r="B89" s="22" t="str">
        <f>J89&amp;(COUNTIF(J$2:J89,J89))</f>
        <v>Unitary18</v>
      </c>
      <c r="C89" t="s">
        <v>267</v>
      </c>
      <c r="D89" t="s">
        <v>267</v>
      </c>
      <c r="E89" s="25" t="s">
        <v>383</v>
      </c>
      <c r="F89" s="25" t="s">
        <v>385</v>
      </c>
      <c r="G89" s="25" t="s">
        <v>394</v>
      </c>
      <c r="H89" s="26" t="s">
        <v>894</v>
      </c>
      <c r="I89" s="27" t="s">
        <v>380</v>
      </c>
      <c r="J89" t="s">
        <v>394</v>
      </c>
      <c r="K89" t="s">
        <v>335</v>
      </c>
    </row>
    <row r="90" spans="1:11" ht="14.4">
      <c r="A90" s="22" t="str">
        <f>F90&amp;(COUNTIFS(F$2:F90,F90,K$2:K90,"Sparse"))</f>
        <v>SD12</v>
      </c>
      <c r="B90" s="22" t="str">
        <f>J90&amp;(COUNTIF(J$2:J90,J90))</f>
        <v>Staffordshire2</v>
      </c>
      <c r="C90" t="s">
        <v>59</v>
      </c>
      <c r="D90" t="s">
        <v>59</v>
      </c>
      <c r="E90" s="25" t="s">
        <v>367</v>
      </c>
      <c r="F90" s="25" t="s">
        <v>379</v>
      </c>
      <c r="G90" s="25" t="s">
        <v>5</v>
      </c>
      <c r="H90" s="26" t="s">
        <v>895</v>
      </c>
      <c r="I90" s="27" t="s">
        <v>895</v>
      </c>
      <c r="J90" t="s">
        <v>327</v>
      </c>
    </row>
    <row r="91" spans="1:11" ht="14.4">
      <c r="A91" s="22" t="str">
        <f>F91&amp;(COUNTIFS(F$2:F91,F91,K$2:K91,"Sparse"))</f>
        <v>SD13</v>
      </c>
      <c r="B91" s="22" t="str">
        <f>J91&amp;(COUNTIF(J$2:J91,J91))</f>
        <v>Suffolk2</v>
      </c>
      <c r="C91" t="s">
        <v>898</v>
      </c>
      <c r="D91" t="s">
        <v>898</v>
      </c>
      <c r="E91" s="25" t="s">
        <v>368</v>
      </c>
      <c r="F91" s="25" t="s">
        <v>379</v>
      </c>
      <c r="G91" s="25" t="s">
        <v>5</v>
      </c>
      <c r="H91" s="26" t="s">
        <v>894</v>
      </c>
      <c r="I91" s="27" t="s">
        <v>894</v>
      </c>
      <c r="J91" t="s">
        <v>328</v>
      </c>
      <c r="K91" t="s">
        <v>335</v>
      </c>
    </row>
    <row r="92" spans="1:11" ht="14.4">
      <c r="A92" s="22" t="str">
        <f>F92&amp;(COUNTIFS(F$2:F92,F92,K$2:K92,"Sparse"))</f>
        <v>SC2</v>
      </c>
      <c r="B92" s="22" t="str">
        <f>J92&amp;(COUNTIF(J$2:J92,J92))</f>
        <v>East Sussex1</v>
      </c>
      <c r="C92" t="s">
        <v>310</v>
      </c>
      <c r="D92" t="s">
        <v>310</v>
      </c>
      <c r="E92" s="25" t="s">
        <v>0</v>
      </c>
      <c r="F92" s="25" t="s">
        <v>387</v>
      </c>
      <c r="G92" s="25" t="s">
        <v>301</v>
      </c>
      <c r="H92" s="26" t="s">
        <v>895</v>
      </c>
      <c r="I92" s="27" t="s">
        <v>895</v>
      </c>
      <c r="J92" s="3" t="s">
        <v>310</v>
      </c>
    </row>
    <row r="93" spans="1:11" ht="14.4">
      <c r="A93" s="22" t="str">
        <f>F93&amp;(COUNTIFS(F$2:F93,F93,K$2:K93,"Sparse"))</f>
        <v>SD13</v>
      </c>
      <c r="B93" s="22" t="str">
        <f>J93&amp;(COUNTIF(J$2:J93,J93))</f>
        <v>East Sussex2</v>
      </c>
      <c r="C93" t="s">
        <v>60</v>
      </c>
      <c r="D93" t="s">
        <v>60</v>
      </c>
      <c r="E93" s="25" t="s">
        <v>0</v>
      </c>
      <c r="F93" s="25" t="s">
        <v>379</v>
      </c>
      <c r="G93" s="25" t="s">
        <v>5</v>
      </c>
      <c r="H93" s="26" t="s">
        <v>382</v>
      </c>
      <c r="I93" s="27" t="s">
        <v>382</v>
      </c>
      <c r="J93" t="s">
        <v>310</v>
      </c>
    </row>
    <row r="94" spans="1:11">
      <c r="A94" s="22" t="str">
        <f>F94&amp;(COUNTIFS(F$2:F94,F94,K$2:K94,"Sparse"))</f>
        <v>SD13</v>
      </c>
      <c r="B94" s="22" t="str">
        <f>J94&amp;(COUNTIF(J$2:J94,J94))</f>
        <v>Hampshire3</v>
      </c>
      <c r="C94" t="s">
        <v>61</v>
      </c>
      <c r="D94" t="s">
        <v>61</v>
      </c>
      <c r="E94" s="25" t="s">
        <v>0</v>
      </c>
      <c r="F94" s="25" t="s">
        <v>379</v>
      </c>
      <c r="G94" s="25" t="s">
        <v>5</v>
      </c>
      <c r="H94" s="26" t="s">
        <v>382</v>
      </c>
      <c r="I94" s="26" t="s">
        <v>382</v>
      </c>
      <c r="J94" t="s">
        <v>313</v>
      </c>
    </row>
    <row r="95" spans="1:11" ht="14.4">
      <c r="A95" s="22" t="str">
        <f>F95&amp;(COUNTIFS(F$2:F95,F95,K$2:K95,"Sparse"))</f>
        <v>SD14</v>
      </c>
      <c r="B95" s="22" t="str">
        <f>J95&amp;(COUNTIF(J$2:J95,J95))</f>
        <v>Cumbria6</v>
      </c>
      <c r="C95" t="s">
        <v>62</v>
      </c>
      <c r="D95" t="s">
        <v>62</v>
      </c>
      <c r="E95" s="25" t="s">
        <v>374</v>
      </c>
      <c r="F95" s="25" t="s">
        <v>379</v>
      </c>
      <c r="G95" s="25" t="s">
        <v>5</v>
      </c>
      <c r="H95" s="27" t="s">
        <v>894</v>
      </c>
      <c r="I95" s="27" t="s">
        <v>380</v>
      </c>
      <c r="J95" t="s">
        <v>306</v>
      </c>
      <c r="K95" t="s">
        <v>335</v>
      </c>
    </row>
    <row r="96" spans="1:11" ht="14.4">
      <c r="A96" s="22" t="str">
        <f>F96&amp;(COUNTIFS(F$2:F96,F96,K$2:K96,"Sparse"))</f>
        <v>SD14</v>
      </c>
      <c r="B96" s="22" t="str">
        <f>J96&amp;(COUNTIF(J$2:J96,J96))</f>
        <v>Surrey1</v>
      </c>
      <c r="C96" t="s">
        <v>63</v>
      </c>
      <c r="D96" t="s">
        <v>63</v>
      </c>
      <c r="E96" s="25" t="s">
        <v>0</v>
      </c>
      <c r="F96" s="25" t="s">
        <v>379</v>
      </c>
      <c r="G96" s="25" t="s">
        <v>5</v>
      </c>
      <c r="H96" s="26" t="s">
        <v>382</v>
      </c>
      <c r="I96" s="27" t="s">
        <v>382</v>
      </c>
      <c r="J96" t="s">
        <v>329</v>
      </c>
    </row>
    <row r="97" spans="1:11" ht="14.4">
      <c r="A97" s="22" t="str">
        <f>F97&amp;(COUNTIFS(F$2:F97,F97,K$2:K97,"Sparse"))</f>
        <v>L0</v>
      </c>
      <c r="B97" s="22" t="str">
        <f>J97&amp;(COUNTIF(J$2:J97,J97))</f>
        <v>London10</v>
      </c>
      <c r="C97" t="s">
        <v>203</v>
      </c>
      <c r="D97" t="s">
        <v>203</v>
      </c>
      <c r="E97" s="25" t="s">
        <v>381</v>
      </c>
      <c r="F97" s="25" t="s">
        <v>358</v>
      </c>
      <c r="G97" s="25" t="s">
        <v>381</v>
      </c>
      <c r="H97" s="26" t="s">
        <v>382</v>
      </c>
      <c r="I97" s="27" t="s">
        <v>382</v>
      </c>
      <c r="J97" t="s">
        <v>381</v>
      </c>
    </row>
    <row r="98" spans="1:11" ht="14.4">
      <c r="A98" s="22" t="str">
        <f>F98&amp;(COUNTIFS(F$2:F98,F98,K$2:K98,"Sparse"))</f>
        <v>SD14</v>
      </c>
      <c r="B98" s="22" t="str">
        <f>J98&amp;(COUNTIF(J$2:J98,J98))</f>
        <v>Essex7</v>
      </c>
      <c r="C98" t="s">
        <v>64</v>
      </c>
      <c r="D98" t="s">
        <v>64</v>
      </c>
      <c r="E98" s="25" t="s">
        <v>368</v>
      </c>
      <c r="F98" s="25" t="s">
        <v>379</v>
      </c>
      <c r="G98" s="25" t="s">
        <v>5</v>
      </c>
      <c r="H98" s="26" t="s">
        <v>895</v>
      </c>
      <c r="I98" s="27" t="s">
        <v>895</v>
      </c>
      <c r="J98" t="s">
        <v>311</v>
      </c>
    </row>
    <row r="99" spans="1:11" ht="14.4">
      <c r="A99" s="22" t="str">
        <f>F99&amp;(COUNTIFS(F$2:F99,F99,K$2:K99,"Sparse"))</f>
        <v>SD14</v>
      </c>
      <c r="B99" s="22" t="str">
        <f>J99&amp;(COUNTIF(J$2:J99,J99))</f>
        <v>Surrey2</v>
      </c>
      <c r="C99" t="s">
        <v>343</v>
      </c>
      <c r="D99" t="s">
        <v>343</v>
      </c>
      <c r="E99" s="25" t="s">
        <v>0</v>
      </c>
      <c r="F99" s="25" t="s">
        <v>379</v>
      </c>
      <c r="G99" s="25" t="s">
        <v>5</v>
      </c>
      <c r="H99" s="26" t="s">
        <v>382</v>
      </c>
      <c r="I99" s="27" t="s">
        <v>382</v>
      </c>
      <c r="J99" t="s">
        <v>329</v>
      </c>
    </row>
    <row r="100" spans="1:11" ht="14.4">
      <c r="A100" s="22" t="str">
        <f>F100&amp;(COUNTIFS(F$2:F100,F100,K$2:K100,"Sparse"))</f>
        <v>SD14</v>
      </c>
      <c r="B100" s="22" t="str">
        <f>J100&amp;(COUNTIF(J$2:J100,J100))</f>
        <v>Derbyshire6</v>
      </c>
      <c r="C100" t="s">
        <v>65</v>
      </c>
      <c r="D100" t="s">
        <v>65</v>
      </c>
      <c r="E100" s="25" t="s">
        <v>366</v>
      </c>
      <c r="F100" s="25" t="s">
        <v>379</v>
      </c>
      <c r="G100" s="25" t="s">
        <v>5</v>
      </c>
      <c r="H100" s="26" t="s">
        <v>382</v>
      </c>
      <c r="I100" s="27" t="s">
        <v>382</v>
      </c>
      <c r="J100" t="s">
        <v>307</v>
      </c>
    </row>
    <row r="101" spans="1:11" ht="14.4">
      <c r="A101" s="22" t="str">
        <f>F101&amp;(COUNTIFS(F$2:F101,F101,K$2:K101,"Sparse"))</f>
        <v>SC2</v>
      </c>
      <c r="B101" s="22" t="str">
        <f>J101&amp;(COUNTIF(J$2:J101,J101))</f>
        <v>Essex8</v>
      </c>
      <c r="C101" t="s">
        <v>311</v>
      </c>
      <c r="D101" t="s">
        <v>311</v>
      </c>
      <c r="E101" s="25" t="s">
        <v>368</v>
      </c>
      <c r="F101" s="25" t="s">
        <v>387</v>
      </c>
      <c r="G101" s="25" t="s">
        <v>301</v>
      </c>
      <c r="H101" s="26" t="s">
        <v>895</v>
      </c>
      <c r="I101" s="27" t="s">
        <v>895</v>
      </c>
      <c r="J101" t="s">
        <v>311</v>
      </c>
    </row>
    <row r="102" spans="1:11" ht="14.4">
      <c r="A102" s="22" t="str">
        <f>F102&amp;(COUNTIFS(F$2:F102,F102,K$2:K102,"Sparse"))</f>
        <v>SD14</v>
      </c>
      <c r="B102" s="22" t="str">
        <f>J102&amp;(COUNTIF(J$2:J102,J102))</f>
        <v>Devon3</v>
      </c>
      <c r="C102" t="s">
        <v>66</v>
      </c>
      <c r="D102" t="s">
        <v>66</v>
      </c>
      <c r="E102" s="25" t="s">
        <v>1</v>
      </c>
      <c r="F102" s="25" t="s">
        <v>379</v>
      </c>
      <c r="G102" s="25" t="s">
        <v>5</v>
      </c>
      <c r="H102" s="26" t="s">
        <v>382</v>
      </c>
      <c r="I102" s="27" t="s">
        <v>382</v>
      </c>
      <c r="J102" t="s">
        <v>308</v>
      </c>
    </row>
    <row r="103" spans="1:11" ht="14.4">
      <c r="A103" s="22" t="str">
        <f>F103&amp;(COUNTIFS(F$2:F103,F103,K$2:K103,"Sparse"))</f>
        <v>SD14</v>
      </c>
      <c r="B103" s="22" t="str">
        <f>J103&amp;(COUNTIF(J$2:J103,J103))</f>
        <v>Hampshire4</v>
      </c>
      <c r="C103" t="s">
        <v>67</v>
      </c>
      <c r="D103" t="s">
        <v>67</v>
      </c>
      <c r="E103" s="25" t="s">
        <v>0</v>
      </c>
      <c r="F103" s="25" t="s">
        <v>379</v>
      </c>
      <c r="G103" s="25" t="s">
        <v>5</v>
      </c>
      <c r="H103" s="26" t="s">
        <v>382</v>
      </c>
      <c r="I103" s="27" t="s">
        <v>382</v>
      </c>
      <c r="J103" t="s">
        <v>313</v>
      </c>
    </row>
    <row r="104" spans="1:11" ht="14.4">
      <c r="A104" s="22" t="str">
        <f>F104&amp;(COUNTIFS(F$2:F104,F104,K$2:K104,"Sparse"))</f>
        <v>SD14</v>
      </c>
      <c r="B104" s="22" t="str">
        <f>J104&amp;(COUNTIF(J$2:J104,J104))</f>
        <v>Cambridgeshire4</v>
      </c>
      <c r="C104" s="27" t="s">
        <v>68</v>
      </c>
      <c r="D104" s="27" t="s">
        <v>68</v>
      </c>
      <c r="E104" s="25" t="s">
        <v>368</v>
      </c>
      <c r="F104" s="25" t="s">
        <v>379</v>
      </c>
      <c r="G104" s="25" t="s">
        <v>5</v>
      </c>
      <c r="H104" s="27" t="s">
        <v>894</v>
      </c>
      <c r="I104" s="27" t="s">
        <v>380</v>
      </c>
      <c r="J104" t="s">
        <v>302</v>
      </c>
    </row>
    <row r="105" spans="1:11" ht="14.4">
      <c r="A105" s="22" t="str">
        <f>F105&amp;(COUNTIFS(F$2:F105,F105,K$2:K105,"Sparse"))</f>
        <v>SD14</v>
      </c>
      <c r="B105" s="22" t="str">
        <f>J105&amp;(COUNTIF(J$2:J105,J105))</f>
        <v>Kent5</v>
      </c>
      <c r="C105" t="s">
        <v>893</v>
      </c>
      <c r="D105" t="s">
        <v>893</v>
      </c>
      <c r="E105" s="25" t="s">
        <v>0</v>
      </c>
      <c r="F105" s="25" t="s">
        <v>379</v>
      </c>
      <c r="G105" s="25" t="s">
        <v>5</v>
      </c>
      <c r="H105" s="26" t="s">
        <v>895</v>
      </c>
      <c r="I105" s="27" t="s">
        <v>895</v>
      </c>
      <c r="J105" t="s">
        <v>315</v>
      </c>
    </row>
    <row r="106" spans="1:11" ht="14.4">
      <c r="A106" s="22" t="str">
        <f>F106&amp;(COUNTIFS(F$2:F106,F106,K$2:K106,"Sparse"))</f>
        <v>SD15</v>
      </c>
      <c r="B106" s="22" t="str">
        <f>J106&amp;(COUNTIF(J$2:J106,J106))</f>
        <v>Gloucestershire3</v>
      </c>
      <c r="C106" t="s">
        <v>70</v>
      </c>
      <c r="D106" t="s">
        <v>70</v>
      </c>
      <c r="E106" s="25" t="s">
        <v>1</v>
      </c>
      <c r="F106" s="25" t="s">
        <v>379</v>
      </c>
      <c r="G106" s="25" t="s">
        <v>5</v>
      </c>
      <c r="H106" s="26" t="s">
        <v>894</v>
      </c>
      <c r="I106" s="27" t="s">
        <v>380</v>
      </c>
      <c r="J106" t="s">
        <v>312</v>
      </c>
      <c r="K106" t="s">
        <v>335</v>
      </c>
    </row>
    <row r="107" spans="1:11" ht="14.4">
      <c r="A107" s="22" t="str">
        <f>F107&amp;(COUNTIFS(F$2:F107,F107,K$2:K107,"Sparse"))</f>
        <v>SD15</v>
      </c>
      <c r="B107" s="22" t="str">
        <f>J107&amp;(COUNTIF(J$2:J107,J107))</f>
        <v>Lancashire3</v>
      </c>
      <c r="C107" t="s">
        <v>71</v>
      </c>
      <c r="D107" t="s">
        <v>71</v>
      </c>
      <c r="E107" s="25" t="s">
        <v>374</v>
      </c>
      <c r="F107" s="25" t="s">
        <v>379</v>
      </c>
      <c r="G107" s="25" t="s">
        <v>5</v>
      </c>
      <c r="H107" s="26" t="s">
        <v>382</v>
      </c>
      <c r="I107" s="27" t="s">
        <v>382</v>
      </c>
      <c r="J107" t="s">
        <v>316</v>
      </c>
    </row>
    <row r="108" spans="1:11" ht="14.4">
      <c r="A108" s="22" t="str">
        <f>F108&amp;(COUNTIFS(F$2:F108,F108,K$2:K108,"Sparse"))</f>
        <v>MD0</v>
      </c>
      <c r="B108" s="22" t="str">
        <f>J108&amp;(COUNTIF(J$2:J108,J108))</f>
        <v>Gateshead1</v>
      </c>
      <c r="C108" t="s">
        <v>231</v>
      </c>
      <c r="D108" t="s">
        <v>231</v>
      </c>
      <c r="E108" s="25" t="s">
        <v>388</v>
      </c>
      <c r="F108" s="25" t="s">
        <v>384</v>
      </c>
      <c r="G108" s="25" t="s">
        <v>395</v>
      </c>
      <c r="H108" s="26" t="s">
        <v>382</v>
      </c>
      <c r="I108" s="27" t="s">
        <v>382</v>
      </c>
      <c r="J108" t="s">
        <v>231</v>
      </c>
    </row>
    <row r="109" spans="1:11" ht="14.4">
      <c r="A109" s="22" t="str">
        <f>F109&amp;(COUNTIFS(F$2:F109,F109,K$2:K109,"Sparse"))</f>
        <v>SD15</v>
      </c>
      <c r="B109" s="22" t="str">
        <f>J109&amp;(COUNTIF(J$2:J109,J109))</f>
        <v>Nottinghamshire4</v>
      </c>
      <c r="C109" t="s">
        <v>72</v>
      </c>
      <c r="D109" t="s">
        <v>72</v>
      </c>
      <c r="E109" s="25" t="s">
        <v>366</v>
      </c>
      <c r="F109" s="25" t="s">
        <v>379</v>
      </c>
      <c r="G109" s="25" t="s">
        <v>5</v>
      </c>
      <c r="H109" s="26" t="s">
        <v>382</v>
      </c>
      <c r="I109" s="27" t="s">
        <v>382</v>
      </c>
      <c r="J109" t="s">
        <v>323</v>
      </c>
    </row>
    <row r="110" spans="1:11" ht="14.4">
      <c r="A110" s="22" t="str">
        <f>F110&amp;(COUNTIFS(F$2:F110,F110,K$2:K110,"Sparse"))</f>
        <v>SD15</v>
      </c>
      <c r="B110" s="22" t="str">
        <f>J110&amp;(COUNTIF(J$2:J110,J110))</f>
        <v>Gloucestershire4</v>
      </c>
      <c r="C110" t="s">
        <v>73</v>
      </c>
      <c r="D110" t="s">
        <v>73</v>
      </c>
      <c r="E110" s="25" t="s">
        <v>1</v>
      </c>
      <c r="F110" s="25" t="s">
        <v>379</v>
      </c>
      <c r="G110" s="25" t="s">
        <v>5</v>
      </c>
      <c r="H110" s="26" t="s">
        <v>382</v>
      </c>
      <c r="I110" s="27" t="s">
        <v>382</v>
      </c>
      <c r="J110" t="s">
        <v>312</v>
      </c>
    </row>
    <row r="111" spans="1:11" ht="14.4">
      <c r="A111" s="22" t="str">
        <f>F111&amp;(COUNTIFS(F$2:F111,F111,K$2:K111,"Sparse"))</f>
        <v>SC2</v>
      </c>
      <c r="B111" s="22" t="str">
        <f>J111&amp;(COUNTIF(J$2:J111,J111))</f>
        <v>Gloucestershire5</v>
      </c>
      <c r="C111" t="s">
        <v>312</v>
      </c>
      <c r="D111" t="s">
        <v>312</v>
      </c>
      <c r="E111" s="25" t="s">
        <v>1</v>
      </c>
      <c r="F111" s="25" t="s">
        <v>387</v>
      </c>
      <c r="G111" s="25" t="s">
        <v>301</v>
      </c>
      <c r="H111" s="26" t="s">
        <v>895</v>
      </c>
      <c r="I111" s="27" t="s">
        <v>895</v>
      </c>
      <c r="J111" t="s">
        <v>312</v>
      </c>
    </row>
    <row r="112" spans="1:11" ht="14.4">
      <c r="A112" s="22" t="str">
        <f>F112&amp;(COUNTIFS(F$2:F112,F112,K$2:K112,"Sparse"))</f>
        <v>SD15</v>
      </c>
      <c r="B112" s="22" t="str">
        <f>J112&amp;(COUNTIF(J$2:J112,J112))</f>
        <v>Hampshire5</v>
      </c>
      <c r="C112" t="s">
        <v>74</v>
      </c>
      <c r="D112" t="s">
        <v>74</v>
      </c>
      <c r="E112" s="25" t="s">
        <v>0</v>
      </c>
      <c r="F112" s="25" t="s">
        <v>379</v>
      </c>
      <c r="G112" s="25" t="s">
        <v>5</v>
      </c>
      <c r="H112" s="26" t="s">
        <v>382</v>
      </c>
      <c r="I112" s="27" t="s">
        <v>382</v>
      </c>
      <c r="J112" t="s">
        <v>313</v>
      </c>
    </row>
    <row r="113" spans="1:11" ht="14.4">
      <c r="A113" s="22" t="str">
        <f>F113&amp;(COUNTIFS(F$2:F113,F113,K$2:K113,"Sparse"))</f>
        <v>SD15</v>
      </c>
      <c r="B113" s="22" t="str">
        <f>J113&amp;(COUNTIF(J$2:J113,J113))</f>
        <v>Kent6</v>
      </c>
      <c r="C113" s="27" t="s">
        <v>75</v>
      </c>
      <c r="D113" s="27" t="s">
        <v>75</v>
      </c>
      <c r="E113" s="25" t="s">
        <v>0</v>
      </c>
      <c r="F113" s="25" t="s">
        <v>379</v>
      </c>
      <c r="G113" s="25" t="s">
        <v>5</v>
      </c>
      <c r="H113" s="27" t="s">
        <v>382</v>
      </c>
      <c r="I113" s="27" t="s">
        <v>382</v>
      </c>
      <c r="J113" t="s">
        <v>315</v>
      </c>
    </row>
    <row r="114" spans="1:11" ht="14.4">
      <c r="A114" s="22" t="str">
        <f>F114&amp;(COUNTIFS(F$2:F114,F114,K$2:K114,"Sparse"))</f>
        <v>SD15</v>
      </c>
      <c r="B114" s="22" t="str">
        <f>J114&amp;(COUNTIF(J$2:J114,J114))</f>
        <v>Norfolk3</v>
      </c>
      <c r="C114" t="s">
        <v>76</v>
      </c>
      <c r="D114" t="s">
        <v>76</v>
      </c>
      <c r="E114" s="25" t="s">
        <v>368</v>
      </c>
      <c r="F114" s="25" t="s">
        <v>379</v>
      </c>
      <c r="G114" s="25" t="s">
        <v>5</v>
      </c>
      <c r="H114" s="26" t="s">
        <v>895</v>
      </c>
      <c r="I114" s="27" t="s">
        <v>895</v>
      </c>
      <c r="J114" t="s">
        <v>319</v>
      </c>
    </row>
    <row r="115" spans="1:11" ht="14.4">
      <c r="A115" s="22" t="str">
        <f>F115&amp;(COUNTIFS(F$2:F115,F115,K$2:K115,"Sparse"))</f>
        <v>L0</v>
      </c>
      <c r="B115" s="22" t="str">
        <f>J115&amp;(COUNTIF(J$2:J115,J115))</f>
        <v>London11</v>
      </c>
      <c r="C115" t="s">
        <v>204</v>
      </c>
      <c r="D115" t="s">
        <v>204</v>
      </c>
      <c r="E115" s="25" t="s">
        <v>381</v>
      </c>
      <c r="F115" s="25" t="s">
        <v>358</v>
      </c>
      <c r="G115" s="25" t="s">
        <v>381</v>
      </c>
      <c r="H115" s="26" t="s">
        <v>382</v>
      </c>
      <c r="I115" s="27" t="s">
        <v>382</v>
      </c>
      <c r="J115" t="s">
        <v>381</v>
      </c>
    </row>
    <row r="116" spans="1:11" ht="14.4">
      <c r="A116" s="22" t="str">
        <f>F116&amp;(COUNTIFS(F$2:F116,F116,K$2:K116,"Sparse"))</f>
        <v>SD15</v>
      </c>
      <c r="B116" s="22" t="str">
        <f>J116&amp;(COUNTIF(J$2:J116,J116))</f>
        <v>Surrey3</v>
      </c>
      <c r="C116" t="s">
        <v>77</v>
      </c>
      <c r="D116" t="s">
        <v>77</v>
      </c>
      <c r="E116" s="25" t="s">
        <v>0</v>
      </c>
      <c r="F116" s="25" t="s">
        <v>379</v>
      </c>
      <c r="G116" s="25" t="s">
        <v>5</v>
      </c>
      <c r="H116" s="26" t="s">
        <v>382</v>
      </c>
      <c r="I116" s="27" t="s">
        <v>382</v>
      </c>
      <c r="J116" t="s">
        <v>329</v>
      </c>
    </row>
    <row r="117" spans="1:11" ht="14.4">
      <c r="A117" s="22" t="str">
        <f>F117&amp;(COUNTIFS(F$2:F117,F117,K$2:K117,"Sparse"))</f>
        <v>L0</v>
      </c>
      <c r="B117" s="22" t="str">
        <f>J117&amp;(COUNTIF(J$2:J117,J117))</f>
        <v>London12</v>
      </c>
      <c r="C117" t="s">
        <v>205</v>
      </c>
      <c r="D117" t="s">
        <v>205</v>
      </c>
      <c r="E117" s="25" t="s">
        <v>381</v>
      </c>
      <c r="F117" s="25" t="s">
        <v>358</v>
      </c>
      <c r="G117" s="25" t="s">
        <v>381</v>
      </c>
      <c r="H117" s="26" t="s">
        <v>382</v>
      </c>
      <c r="I117" s="27" t="s">
        <v>382</v>
      </c>
      <c r="J117" t="s">
        <v>381</v>
      </c>
    </row>
    <row r="118" spans="1:11" ht="14.4">
      <c r="A118" s="22" t="str">
        <f>F118&amp;(COUNTIFS(F$2:F118,F118,K$2:K118,"Sparse"))</f>
        <v>UA4</v>
      </c>
      <c r="B118" s="22" t="str">
        <f>J118&amp;(COUNTIF(J$2:J118,J118))</f>
        <v>Unitary19</v>
      </c>
      <c r="C118" t="s">
        <v>268</v>
      </c>
      <c r="D118" t="s">
        <v>268</v>
      </c>
      <c r="E118" s="25" t="s">
        <v>374</v>
      </c>
      <c r="F118" s="25" t="s">
        <v>385</v>
      </c>
      <c r="G118" s="25" t="s">
        <v>394</v>
      </c>
      <c r="H118" s="26" t="s">
        <v>382</v>
      </c>
      <c r="I118" s="27" t="s">
        <v>382</v>
      </c>
      <c r="J118" t="s">
        <v>394</v>
      </c>
    </row>
    <row r="119" spans="1:11" ht="14.4">
      <c r="A119" s="22" t="str">
        <f>F119&amp;(COUNTIFS(F$2:F119,F119,K$2:K119,"Sparse"))</f>
        <v>SD16</v>
      </c>
      <c r="B119" s="22" t="str">
        <f>J119&amp;(COUNTIF(J$2:J119,J119))</f>
        <v>North Yorkshire2</v>
      </c>
      <c r="C119" t="s">
        <v>78</v>
      </c>
      <c r="D119" t="s">
        <v>78</v>
      </c>
      <c r="E119" s="25" t="s">
        <v>383</v>
      </c>
      <c r="F119" s="25" t="s">
        <v>379</v>
      </c>
      <c r="G119" s="25" t="s">
        <v>5</v>
      </c>
      <c r="H119" s="26" t="s">
        <v>894</v>
      </c>
      <c r="I119" s="27" t="s">
        <v>380</v>
      </c>
      <c r="J119" t="s">
        <v>320</v>
      </c>
      <c r="K119" t="s">
        <v>335</v>
      </c>
    </row>
    <row r="120" spans="1:11" ht="14.4">
      <c r="A120" s="22" t="str">
        <f>F120&amp;(COUNTIFS(F$2:F120,F120,K$2:K120,"Sparse"))</f>
        <v>L0</v>
      </c>
      <c r="B120" s="22" t="str">
        <f>J120&amp;(COUNTIF(J$2:J120,J120))</f>
        <v>London13</v>
      </c>
      <c r="C120" t="s">
        <v>336</v>
      </c>
      <c r="D120" t="s">
        <v>336</v>
      </c>
      <c r="E120" s="25" t="s">
        <v>381</v>
      </c>
      <c r="F120" s="25" t="s">
        <v>358</v>
      </c>
      <c r="G120" s="25" t="s">
        <v>381</v>
      </c>
      <c r="H120" s="26" t="s">
        <v>382</v>
      </c>
      <c r="I120" s="27" t="s">
        <v>382</v>
      </c>
      <c r="J120" s="3" t="s">
        <v>381</v>
      </c>
    </row>
    <row r="121" spans="1:11" ht="14.4">
      <c r="A121" s="22" t="str">
        <f>F121&amp;(COUNTIFS(F$2:F121,F121,K$2:K121,"Sparse"))</f>
        <v>SC3</v>
      </c>
      <c r="B121" s="22" t="str">
        <f>J121&amp;(COUNTIF(J$2:J121,J121))</f>
        <v>Hampshire6</v>
      </c>
      <c r="C121" t="s">
        <v>313</v>
      </c>
      <c r="D121" t="s">
        <v>313</v>
      </c>
      <c r="E121" s="25" t="s">
        <v>0</v>
      </c>
      <c r="F121" s="25" t="s">
        <v>387</v>
      </c>
      <c r="G121" s="25" t="s">
        <v>301</v>
      </c>
      <c r="H121" s="26" t="s">
        <v>895</v>
      </c>
      <c r="I121" s="27" t="s">
        <v>895</v>
      </c>
      <c r="J121" t="s">
        <v>313</v>
      </c>
      <c r="K121" t="s">
        <v>335</v>
      </c>
    </row>
    <row r="122" spans="1:11" ht="14.4">
      <c r="A122" s="22" t="str">
        <f>F122&amp;(COUNTIFS(F$2:F122,F122,K$2:K122,"Sparse"))</f>
        <v>SD17</v>
      </c>
      <c r="B122" s="22" t="str">
        <f>J122&amp;(COUNTIF(J$2:J122,J122))</f>
        <v>Leicestershire3</v>
      </c>
      <c r="C122" t="s">
        <v>79</v>
      </c>
      <c r="D122" t="s">
        <v>79</v>
      </c>
      <c r="E122" s="25" t="s">
        <v>366</v>
      </c>
      <c r="F122" s="25" t="s">
        <v>379</v>
      </c>
      <c r="G122" s="25" t="s">
        <v>5</v>
      </c>
      <c r="H122" s="26" t="s">
        <v>894</v>
      </c>
      <c r="I122" s="27" t="s">
        <v>380</v>
      </c>
      <c r="J122" t="s">
        <v>317</v>
      </c>
      <c r="K122" t="s">
        <v>335</v>
      </c>
    </row>
    <row r="123" spans="1:11" ht="14.4">
      <c r="A123" s="22" t="str">
        <f>F123&amp;(COUNTIFS(F$2:F123,F123,K$2:K123,"Sparse"))</f>
        <v>L0</v>
      </c>
      <c r="B123" s="22" t="str">
        <f>J123&amp;(COUNTIF(J$2:J123,J123))</f>
        <v>London14</v>
      </c>
      <c r="C123" s="27" t="s">
        <v>206</v>
      </c>
      <c r="D123" s="27" t="s">
        <v>206</v>
      </c>
      <c r="E123" s="25" t="s">
        <v>381</v>
      </c>
      <c r="F123" s="25" t="s">
        <v>358</v>
      </c>
      <c r="G123" s="25" t="s">
        <v>381</v>
      </c>
      <c r="H123" s="27" t="s">
        <v>382</v>
      </c>
      <c r="I123" s="27" t="s">
        <v>382</v>
      </c>
      <c r="J123" t="s">
        <v>381</v>
      </c>
    </row>
    <row r="124" spans="1:11" ht="14.4">
      <c r="A124" s="22" t="str">
        <f>F124&amp;(COUNTIFS(F$2:F124,F124,K$2:K124,"Sparse"))</f>
        <v>SD17</v>
      </c>
      <c r="B124" s="22" t="str">
        <f>J124&amp;(COUNTIF(J$2:J124,J124))</f>
        <v>Essex9</v>
      </c>
      <c r="C124" t="s">
        <v>80</v>
      </c>
      <c r="D124" t="s">
        <v>80</v>
      </c>
      <c r="E124" s="25" t="s">
        <v>368</v>
      </c>
      <c r="F124" s="25" t="s">
        <v>379</v>
      </c>
      <c r="G124" s="25" t="s">
        <v>5</v>
      </c>
      <c r="H124" s="26" t="s">
        <v>382</v>
      </c>
      <c r="I124" s="27" t="s">
        <v>382</v>
      </c>
      <c r="J124" t="s">
        <v>311</v>
      </c>
    </row>
    <row r="125" spans="1:11" ht="14.4">
      <c r="A125" s="22" t="str">
        <f>F125&amp;(COUNTIFS(F$2:F125,F125,K$2:K125,"Sparse"))</f>
        <v>SD18</v>
      </c>
      <c r="B125" s="22" t="str">
        <f>J125&amp;(COUNTIF(J$2:J125,J125))</f>
        <v>North Yorkshire3</v>
      </c>
      <c r="C125" t="s">
        <v>81</v>
      </c>
      <c r="D125" t="s">
        <v>81</v>
      </c>
      <c r="E125" s="25" t="s">
        <v>383</v>
      </c>
      <c r="F125" s="25" t="s">
        <v>379</v>
      </c>
      <c r="G125" s="25" t="s">
        <v>5</v>
      </c>
      <c r="H125" s="26" t="s">
        <v>895</v>
      </c>
      <c r="I125" s="27" t="s">
        <v>895</v>
      </c>
      <c r="J125" t="s">
        <v>320</v>
      </c>
      <c r="K125" t="s">
        <v>335</v>
      </c>
    </row>
    <row r="126" spans="1:11" ht="14.4">
      <c r="A126" s="22" t="str">
        <f>F126&amp;(COUNTIFS(F$2:F126,F126,K$2:K126,"Sparse"))</f>
        <v>L0</v>
      </c>
      <c r="B126" s="22" t="str">
        <f>J126&amp;(COUNTIF(J$2:J126,J126))</f>
        <v>London15</v>
      </c>
      <c r="C126" t="s">
        <v>207</v>
      </c>
      <c r="D126" t="s">
        <v>207</v>
      </c>
      <c r="E126" s="25" t="s">
        <v>381</v>
      </c>
      <c r="F126" s="25" t="s">
        <v>358</v>
      </c>
      <c r="G126" s="25" t="s">
        <v>381</v>
      </c>
      <c r="H126" s="26" t="s">
        <v>382</v>
      </c>
      <c r="I126" s="27" t="s">
        <v>382</v>
      </c>
      <c r="J126" t="s">
        <v>381</v>
      </c>
    </row>
    <row r="127" spans="1:11" ht="14.4">
      <c r="A127" s="22" t="str">
        <f>F127&amp;(COUNTIFS(F$2:F127,F127,K$2:K127,"Sparse"))</f>
        <v>SD18</v>
      </c>
      <c r="B127" s="22" t="str">
        <f>J127&amp;(COUNTIF(J$2:J127,J127))</f>
        <v>Hampshire7</v>
      </c>
      <c r="C127" t="s">
        <v>82</v>
      </c>
      <c r="D127" t="s">
        <v>82</v>
      </c>
      <c r="E127" s="25" t="s">
        <v>0</v>
      </c>
      <c r="F127" s="25" t="s">
        <v>379</v>
      </c>
      <c r="G127" s="25" t="s">
        <v>5</v>
      </c>
      <c r="H127" s="26" t="s">
        <v>895</v>
      </c>
      <c r="I127" s="27" t="s">
        <v>895</v>
      </c>
      <c r="J127" t="s">
        <v>313</v>
      </c>
    </row>
    <row r="128" spans="1:11" ht="14.4">
      <c r="A128" s="22" t="str">
        <f>F128&amp;(COUNTIFS(F$2:F128,F128,K$2:K128,"Sparse"))</f>
        <v>UA4</v>
      </c>
      <c r="B128" s="22" t="str">
        <f>J128&amp;(COUNTIF(J$2:J128,J128))</f>
        <v>Unitary20</v>
      </c>
      <c r="C128" t="s">
        <v>269</v>
      </c>
      <c r="D128" t="s">
        <v>269</v>
      </c>
      <c r="E128" s="25" t="s">
        <v>388</v>
      </c>
      <c r="F128" s="25" t="s">
        <v>385</v>
      </c>
      <c r="G128" s="25" t="s">
        <v>394</v>
      </c>
      <c r="H128" s="26" t="s">
        <v>382</v>
      </c>
      <c r="I128" s="27" t="s">
        <v>382</v>
      </c>
      <c r="J128" t="s">
        <v>394</v>
      </c>
    </row>
    <row r="129" spans="1:11" ht="14.4">
      <c r="A129" s="22" t="str">
        <f>F129&amp;(COUNTIFS(F$2:F129,F129,K$2:K129,"Sparse"))</f>
        <v>SD18</v>
      </c>
      <c r="B129" s="22" t="str">
        <f>J129&amp;(COUNTIF(J$2:J129,J129))</f>
        <v>East Sussex3</v>
      </c>
      <c r="C129" t="s">
        <v>83</v>
      </c>
      <c r="D129" t="s">
        <v>83</v>
      </c>
      <c r="E129" s="25" t="s">
        <v>0</v>
      </c>
      <c r="F129" s="25" t="s">
        <v>379</v>
      </c>
      <c r="G129" s="25" t="s">
        <v>5</v>
      </c>
      <c r="H129" s="26" t="s">
        <v>382</v>
      </c>
      <c r="I129" s="27" t="s">
        <v>382</v>
      </c>
      <c r="J129" t="s">
        <v>310</v>
      </c>
    </row>
    <row r="130" spans="1:11" ht="14.4">
      <c r="A130" s="22" t="str">
        <f>F130&amp;(COUNTIFS(F$2:F130,F130,K$2:K130,"Sparse"))</f>
        <v>SD18</v>
      </c>
      <c r="B130" s="22" t="str">
        <f>J130&amp;(COUNTIF(J$2:J130,J130))</f>
        <v>Hampshire8</v>
      </c>
      <c r="C130" t="s">
        <v>84</v>
      </c>
      <c r="D130" t="s">
        <v>84</v>
      </c>
      <c r="E130" s="25" t="s">
        <v>0</v>
      </c>
      <c r="F130" s="25" t="s">
        <v>379</v>
      </c>
      <c r="G130" s="25" t="s">
        <v>5</v>
      </c>
      <c r="H130" s="26" t="s">
        <v>382</v>
      </c>
      <c r="I130" s="27" t="s">
        <v>382</v>
      </c>
      <c r="J130" s="3" t="s">
        <v>313</v>
      </c>
    </row>
    <row r="131" spans="1:11" ht="14.4">
      <c r="A131" s="22" t="str">
        <f>F131&amp;(COUNTIFS(F$2:F131,F131,K$2:K131,"Sparse"))</f>
        <v>L0</v>
      </c>
      <c r="B131" s="22" t="str">
        <f>J131&amp;(COUNTIF(J$2:J131,J131))</f>
        <v>London16</v>
      </c>
      <c r="C131" t="s">
        <v>208</v>
      </c>
      <c r="D131" t="s">
        <v>208</v>
      </c>
      <c r="E131" s="25" t="s">
        <v>381</v>
      </c>
      <c r="F131" s="25" t="s">
        <v>358</v>
      </c>
      <c r="G131" s="25" t="s">
        <v>381</v>
      </c>
      <c r="H131" s="26" t="s">
        <v>382</v>
      </c>
      <c r="I131" s="27" t="s">
        <v>382</v>
      </c>
      <c r="J131" t="s">
        <v>381</v>
      </c>
    </row>
    <row r="132" spans="1:11" ht="14.4">
      <c r="A132" s="22" t="str">
        <f>F132&amp;(COUNTIFS(F$2:F132,F132,K$2:K132,"Sparse"))</f>
        <v>UA5</v>
      </c>
      <c r="B132" s="22" t="str">
        <f>J132&amp;(COUNTIF(J$2:J132,J132))</f>
        <v>Unitary21</v>
      </c>
      <c r="C132" t="s">
        <v>817</v>
      </c>
      <c r="D132" t="s">
        <v>389</v>
      </c>
      <c r="E132" s="25" t="s">
        <v>367</v>
      </c>
      <c r="F132" s="25" t="s">
        <v>385</v>
      </c>
      <c r="G132" s="25" t="s">
        <v>394</v>
      </c>
      <c r="H132" s="26" t="s">
        <v>894</v>
      </c>
      <c r="I132" s="27" t="s">
        <v>380</v>
      </c>
      <c r="J132" t="s">
        <v>394</v>
      </c>
      <c r="K132" t="s">
        <v>335</v>
      </c>
    </row>
    <row r="133" spans="1:11" ht="14.4">
      <c r="A133" s="22" t="str">
        <f>F133&amp;(COUNTIFS(F$2:F133,F133,K$2:K133,"Sparse"))</f>
        <v>SC3</v>
      </c>
      <c r="B133" s="22" t="str">
        <f>J133&amp;(COUNTIF(J$2:J133,J133))</f>
        <v>Hertfordshire4</v>
      </c>
      <c r="C133" t="s">
        <v>314</v>
      </c>
      <c r="D133" t="s">
        <v>314</v>
      </c>
      <c r="E133" s="25" t="s">
        <v>368</v>
      </c>
      <c r="F133" s="25" t="s">
        <v>387</v>
      </c>
      <c r="G133" s="25" t="s">
        <v>301</v>
      </c>
      <c r="H133" s="26" t="s">
        <v>382</v>
      </c>
      <c r="I133" s="27" t="s">
        <v>382</v>
      </c>
      <c r="J133" t="s">
        <v>314</v>
      </c>
    </row>
    <row r="134" spans="1:11" ht="14.4">
      <c r="A134" s="22" t="str">
        <f>F134&amp;(COUNTIFS(F$2:F134,F134,K$2:K134,"Sparse"))</f>
        <v>SD18</v>
      </c>
      <c r="B134" s="22" t="str">
        <f>J134&amp;(COUNTIF(J$2:J134,J134))</f>
        <v>Hertfordshire5</v>
      </c>
      <c r="C134" t="s">
        <v>85</v>
      </c>
      <c r="D134" t="s">
        <v>85</v>
      </c>
      <c r="E134" s="25" t="s">
        <v>368</v>
      </c>
      <c r="F134" s="25" t="s">
        <v>379</v>
      </c>
      <c r="G134" s="25" t="s">
        <v>5</v>
      </c>
      <c r="H134" s="26" t="s">
        <v>382</v>
      </c>
      <c r="I134" s="27" t="s">
        <v>382</v>
      </c>
      <c r="J134" s="3" t="s">
        <v>314</v>
      </c>
    </row>
    <row r="135" spans="1:11" ht="14.4">
      <c r="A135" s="22" t="str">
        <f>F135&amp;(COUNTIFS(F$2:F135,F135,K$2:K135,"Sparse"))</f>
        <v>SD18</v>
      </c>
      <c r="B135" s="22" t="str">
        <f>J135&amp;(COUNTIF(J$2:J135,J135))</f>
        <v>Derbyshire7</v>
      </c>
      <c r="C135" s="27" t="s">
        <v>86</v>
      </c>
      <c r="D135" s="27" t="s">
        <v>86</v>
      </c>
      <c r="E135" s="25" t="s">
        <v>366</v>
      </c>
      <c r="F135" s="25" t="s">
        <v>379</v>
      </c>
      <c r="G135" s="25" t="s">
        <v>5</v>
      </c>
      <c r="H135" s="27" t="s">
        <v>894</v>
      </c>
      <c r="I135" s="27" t="s">
        <v>380</v>
      </c>
      <c r="J135" t="s">
        <v>307</v>
      </c>
    </row>
    <row r="136" spans="1:11" ht="14.4">
      <c r="A136" s="22" t="str">
        <f>F136&amp;(COUNTIFS(F$2:F136,F136,K$2:K136,"Sparse"))</f>
        <v>L0</v>
      </c>
      <c r="B136" s="22" t="str">
        <f>J136&amp;(COUNTIF(J$2:J136,J136))</f>
        <v>London17</v>
      </c>
      <c r="C136" t="s">
        <v>209</v>
      </c>
      <c r="D136" t="s">
        <v>209</v>
      </c>
      <c r="E136" s="25" t="s">
        <v>381</v>
      </c>
      <c r="F136" s="25" t="s">
        <v>358</v>
      </c>
      <c r="G136" s="25" t="s">
        <v>381</v>
      </c>
      <c r="H136" s="26" t="s">
        <v>382</v>
      </c>
      <c r="I136" s="27" t="s">
        <v>382</v>
      </c>
      <c r="J136" t="s">
        <v>381</v>
      </c>
    </row>
    <row r="137" spans="1:11" ht="14.4">
      <c r="A137" s="22" t="str">
        <f>F137&amp;(COUNTIFS(F$2:F137,F137,K$2:K137,"Sparse"))</f>
        <v>SD18</v>
      </c>
      <c r="B137" s="22" t="str">
        <f>J137&amp;(COUNTIF(J$2:J137,J137))</f>
        <v>Leicestershire4</v>
      </c>
      <c r="C137" t="s">
        <v>344</v>
      </c>
      <c r="D137" t="s">
        <v>344</v>
      </c>
      <c r="E137" s="25" t="s">
        <v>366</v>
      </c>
      <c r="F137" s="25" t="s">
        <v>379</v>
      </c>
      <c r="G137" s="25" t="s">
        <v>5</v>
      </c>
      <c r="H137" s="26" t="s">
        <v>894</v>
      </c>
      <c r="I137" s="27" t="s">
        <v>380</v>
      </c>
      <c r="J137" t="s">
        <v>317</v>
      </c>
    </row>
    <row r="138" spans="1:11" ht="14.4">
      <c r="A138" s="22" t="str">
        <f>F138&amp;(COUNTIFS(F$2:F138,F138,K$2:K138,"Sparse"))</f>
        <v>SD18</v>
      </c>
      <c r="B138" s="22" t="str">
        <f>J138&amp;(COUNTIF(J$2:J138,J138))</f>
        <v>West Sussex5</v>
      </c>
      <c r="C138" t="s">
        <v>87</v>
      </c>
      <c r="D138" t="s">
        <v>87</v>
      </c>
      <c r="E138" s="25" t="s">
        <v>0</v>
      </c>
      <c r="F138" s="25" t="s">
        <v>379</v>
      </c>
      <c r="G138" s="25" t="s">
        <v>5</v>
      </c>
      <c r="H138" s="26" t="s">
        <v>894</v>
      </c>
      <c r="I138" s="27" t="s">
        <v>380</v>
      </c>
      <c r="J138" t="s">
        <v>331</v>
      </c>
    </row>
    <row r="139" spans="1:11" ht="14.4">
      <c r="A139" s="22" t="str">
        <f>F139&amp;(COUNTIFS(F$2:F139,F139,K$2:K139,"Sparse"))</f>
        <v>L0</v>
      </c>
      <c r="B139" s="22" t="str">
        <f>J139&amp;(COUNTIF(J$2:J139,J139))</f>
        <v>London18</v>
      </c>
      <c r="C139" t="s">
        <v>210</v>
      </c>
      <c r="D139" t="s">
        <v>210</v>
      </c>
      <c r="E139" s="25" t="s">
        <v>381</v>
      </c>
      <c r="F139" s="25" t="s">
        <v>358</v>
      </c>
      <c r="G139" s="25" t="s">
        <v>381</v>
      </c>
      <c r="H139" s="26" t="s">
        <v>382</v>
      </c>
      <c r="I139" s="27" t="s">
        <v>382</v>
      </c>
      <c r="J139" t="s">
        <v>381</v>
      </c>
    </row>
    <row r="140" spans="1:11" ht="14.4">
      <c r="A140" s="22" t="str">
        <f>F140&amp;(COUNTIFS(F$2:F140,F140,K$2:K140,"Sparse"))</f>
        <v>SD18</v>
      </c>
      <c r="B140" s="22" t="str">
        <f>J140&amp;(COUNTIF(J$2:J140,J140))</f>
        <v>Cambridgeshire5</v>
      </c>
      <c r="C140" t="s">
        <v>88</v>
      </c>
      <c r="D140" t="s">
        <v>88</v>
      </c>
      <c r="E140" s="25" t="s">
        <v>368</v>
      </c>
      <c r="F140" s="25" t="s">
        <v>379</v>
      </c>
      <c r="G140" s="25" t="s">
        <v>5</v>
      </c>
      <c r="H140" s="26" t="s">
        <v>894</v>
      </c>
      <c r="I140" s="27" t="s">
        <v>380</v>
      </c>
      <c r="J140" t="s">
        <v>302</v>
      </c>
    </row>
    <row r="141" spans="1:11" ht="14.4">
      <c r="A141" s="22" t="str">
        <f>F141&amp;(COUNTIFS(F$2:F141,F141,K$2:K141,"Sparse"))</f>
        <v>SD18</v>
      </c>
      <c r="B141" s="22" t="str">
        <f>J141&amp;(COUNTIF(J$2:J141,J141))</f>
        <v>Lancashire4</v>
      </c>
      <c r="C141" t="s">
        <v>89</v>
      </c>
      <c r="D141" t="s">
        <v>89</v>
      </c>
      <c r="E141" s="25" t="s">
        <v>374</v>
      </c>
      <c r="F141" s="25" t="s">
        <v>379</v>
      </c>
      <c r="G141" s="25" t="s">
        <v>5</v>
      </c>
      <c r="H141" s="26" t="s">
        <v>382</v>
      </c>
      <c r="I141" s="27" t="s">
        <v>382</v>
      </c>
      <c r="J141" t="s">
        <v>316</v>
      </c>
    </row>
    <row r="142" spans="1:11" ht="14.4">
      <c r="A142" s="22" t="str">
        <f>F142&amp;(COUNTIFS(F$2:F142,F142,K$2:K142,"Sparse"))</f>
        <v>SD18</v>
      </c>
      <c r="B142" s="22" t="str">
        <f>J142&amp;(COUNTIF(J$2:J142,J142))</f>
        <v>Suffolk3</v>
      </c>
      <c r="C142" t="s">
        <v>90</v>
      </c>
      <c r="D142" t="s">
        <v>90</v>
      </c>
      <c r="E142" s="25" t="s">
        <v>368</v>
      </c>
      <c r="F142" s="25" t="s">
        <v>379</v>
      </c>
      <c r="G142" s="25" t="s">
        <v>5</v>
      </c>
      <c r="H142" s="26" t="s">
        <v>382</v>
      </c>
      <c r="I142" s="27" t="s">
        <v>382</v>
      </c>
      <c r="J142" t="s">
        <v>328</v>
      </c>
    </row>
    <row r="143" spans="1:11" ht="14.4">
      <c r="A143" s="22" t="str">
        <f>F143&amp;(COUNTIFS(F$2:F143,F143,K$2:K143,"Sparse"))</f>
        <v>UA6</v>
      </c>
      <c r="B143" s="22" t="str">
        <f>J143&amp;(COUNTIF(J$2:J143,J143))</f>
        <v>Unitary22</v>
      </c>
      <c r="C143" t="s">
        <v>810</v>
      </c>
      <c r="D143" t="s">
        <v>270</v>
      </c>
      <c r="E143" s="25" t="s">
        <v>0</v>
      </c>
      <c r="F143" s="25" t="s">
        <v>385</v>
      </c>
      <c r="G143" s="25" t="s">
        <v>394</v>
      </c>
      <c r="H143" s="26" t="s">
        <v>894</v>
      </c>
      <c r="I143" s="27" t="s">
        <v>380</v>
      </c>
      <c r="J143" t="s">
        <v>394</v>
      </c>
      <c r="K143" t="s">
        <v>335</v>
      </c>
    </row>
    <row r="144" spans="1:11" ht="14.4">
      <c r="A144" s="22" t="str">
        <f>F144&amp;(COUNTIFS(F$2:F144,F144,K$2:K144,"Sparse"))</f>
        <v>00</v>
      </c>
      <c r="B144" s="22" t="str">
        <f>J144&amp;(COUNTIF(J$2:J144,J144))</f>
        <v>01</v>
      </c>
      <c r="C144" t="s">
        <v>2</v>
      </c>
      <c r="D144" t="s">
        <v>2</v>
      </c>
      <c r="E144" s="25" t="s">
        <v>1</v>
      </c>
      <c r="F144" s="25">
        <v>0</v>
      </c>
      <c r="G144" s="25" t="s">
        <v>398</v>
      </c>
      <c r="H144" s="26" t="s">
        <v>894</v>
      </c>
      <c r="I144" s="27" t="s">
        <v>380</v>
      </c>
      <c r="J144">
        <v>0</v>
      </c>
    </row>
    <row r="145" spans="1:11" ht="14.4">
      <c r="A145" s="22" t="str">
        <f>F145&amp;(COUNTIFS(F$2:F145,F145,K$2:K145,"Sparse"))</f>
        <v>L0</v>
      </c>
      <c r="B145" s="22" t="str">
        <f>J145&amp;(COUNTIF(J$2:J145,J145))</f>
        <v>London19</v>
      </c>
      <c r="C145" t="s">
        <v>211</v>
      </c>
      <c r="D145" t="s">
        <v>211</v>
      </c>
      <c r="E145" s="25" t="s">
        <v>381</v>
      </c>
      <c r="F145" s="25" t="s">
        <v>358</v>
      </c>
      <c r="G145" s="25" t="s">
        <v>381</v>
      </c>
      <c r="H145" s="26" t="s">
        <v>382</v>
      </c>
      <c r="I145" s="27" t="s">
        <v>382</v>
      </c>
      <c r="J145" s="3" t="s">
        <v>381</v>
      </c>
    </row>
    <row r="146" spans="1:11" ht="14.4">
      <c r="A146" s="22" t="str">
        <f>F146&amp;(COUNTIFS(F$2:F146,F146,K$2:K146,"Sparse"))</f>
        <v>L0</v>
      </c>
      <c r="B146" s="22" t="str">
        <f>J146&amp;(COUNTIF(J$2:J146,J146))</f>
        <v>London20</v>
      </c>
      <c r="C146" t="s">
        <v>337</v>
      </c>
      <c r="D146" t="s">
        <v>337</v>
      </c>
      <c r="E146" s="25" t="s">
        <v>381</v>
      </c>
      <c r="F146" s="25" t="s">
        <v>358</v>
      </c>
      <c r="G146" s="3" t="s">
        <v>381</v>
      </c>
      <c r="H146" s="26" t="s">
        <v>382</v>
      </c>
      <c r="I146" s="27" t="s">
        <v>382</v>
      </c>
      <c r="J146" t="s">
        <v>381</v>
      </c>
    </row>
    <row r="147" spans="1:11" ht="14.4">
      <c r="A147" s="22" t="str">
        <f>F147&amp;(COUNTIFS(F$2:F147,F147,K$2:K147,"Sparse"))</f>
        <v>SC3</v>
      </c>
      <c r="B147" s="22" t="str">
        <f>J147&amp;(COUNTIF(J$2:J147,J147))</f>
        <v>Kent7</v>
      </c>
      <c r="C147" t="s">
        <v>315</v>
      </c>
      <c r="D147" t="s">
        <v>315</v>
      </c>
      <c r="E147" s="25" t="s">
        <v>368</v>
      </c>
      <c r="F147" s="25" t="s">
        <v>387</v>
      </c>
      <c r="G147" s="25" t="s">
        <v>301</v>
      </c>
      <c r="H147" s="26" t="s">
        <v>895</v>
      </c>
      <c r="I147" s="27" t="s">
        <v>895</v>
      </c>
      <c r="J147" t="s">
        <v>315</v>
      </c>
    </row>
    <row r="148" spans="1:11" ht="14.4">
      <c r="A148" s="22" t="str">
        <f>F148&amp;(COUNTIFS(F$2:F148,F148,K$2:K148,"Sparse"))</f>
        <v>SD19</v>
      </c>
      <c r="B148" s="22" t="str">
        <f>J148&amp;(COUNTIF(J$2:J148,J148))</f>
        <v>Norfolk4</v>
      </c>
      <c r="C148" t="s">
        <v>375</v>
      </c>
      <c r="D148" t="s">
        <v>375</v>
      </c>
      <c r="E148" s="25" t="s">
        <v>368</v>
      </c>
      <c r="F148" s="25" t="s">
        <v>379</v>
      </c>
      <c r="G148" s="25" t="s">
        <v>5</v>
      </c>
      <c r="H148" s="26" t="s">
        <v>894</v>
      </c>
      <c r="I148" s="27" t="s">
        <v>380</v>
      </c>
      <c r="J148" t="s">
        <v>319</v>
      </c>
      <c r="K148" t="s">
        <v>335</v>
      </c>
    </row>
    <row r="149" spans="1:11" ht="14.4">
      <c r="A149" s="22" t="str">
        <f>F149&amp;(COUNTIFS(F$2:F149,F149,K$2:K149,"Sparse"))</f>
        <v>UA6</v>
      </c>
      <c r="B149" s="22" t="str">
        <f>J149&amp;(COUNTIF(J$2:J149,J149))</f>
        <v>Unitary23</v>
      </c>
      <c r="C149" s="27" t="s">
        <v>818</v>
      </c>
      <c r="D149" s="27" t="s">
        <v>390</v>
      </c>
      <c r="E149" s="25" t="s">
        <v>383</v>
      </c>
      <c r="F149" s="25" t="s">
        <v>385</v>
      </c>
      <c r="G149" s="25" t="s">
        <v>394</v>
      </c>
      <c r="H149" s="27" t="s">
        <v>382</v>
      </c>
      <c r="I149" s="27" t="s">
        <v>382</v>
      </c>
      <c r="J149" t="s">
        <v>394</v>
      </c>
    </row>
    <row r="150" spans="1:11" ht="14.4">
      <c r="A150" s="22" t="str">
        <f>F150&amp;(COUNTIFS(F$2:F150,F150,K$2:K150,"Sparse"))</f>
        <v>L0</v>
      </c>
      <c r="B150" s="22" t="str">
        <f>J150&amp;(COUNTIF(J$2:J150,J150))</f>
        <v>London21</v>
      </c>
      <c r="C150" t="s">
        <v>391</v>
      </c>
      <c r="D150" t="s">
        <v>391</v>
      </c>
      <c r="E150" s="25" t="s">
        <v>381</v>
      </c>
      <c r="F150" s="25" t="s">
        <v>358</v>
      </c>
      <c r="G150" s="25" t="s">
        <v>381</v>
      </c>
      <c r="H150" s="26" t="s">
        <v>382</v>
      </c>
      <c r="I150" s="27" t="s">
        <v>382</v>
      </c>
      <c r="J150" t="s">
        <v>381</v>
      </c>
    </row>
    <row r="151" spans="1:11" ht="14.4">
      <c r="A151" s="22" t="str">
        <f>F151&amp;(COUNTIFS(F$2:F151,F151,K$2:K151,"Sparse"))</f>
        <v>MD0</v>
      </c>
      <c r="B151" s="22" t="str">
        <f>J151&amp;(COUNTIF(J$2:J151,J151))</f>
        <v>Kirklees1</v>
      </c>
      <c r="C151" t="s">
        <v>232</v>
      </c>
      <c r="D151" t="s">
        <v>232</v>
      </c>
      <c r="E151" s="25" t="s">
        <v>383</v>
      </c>
      <c r="F151" s="25" t="s">
        <v>384</v>
      </c>
      <c r="G151" s="25" t="s">
        <v>395</v>
      </c>
      <c r="H151" s="26" t="s">
        <v>382</v>
      </c>
      <c r="I151" s="27" t="s">
        <v>382</v>
      </c>
      <c r="J151" t="s">
        <v>232</v>
      </c>
    </row>
    <row r="152" spans="1:11" ht="14.4">
      <c r="A152" s="22" t="str">
        <f>F152&amp;(COUNTIFS(F$2:F152,F152,K$2:K152,"Sparse"))</f>
        <v>MD0</v>
      </c>
      <c r="B152" s="22" t="str">
        <f>J152&amp;(COUNTIF(J$2:J152,J152))</f>
        <v>Knowsley1</v>
      </c>
      <c r="C152" t="s">
        <v>233</v>
      </c>
      <c r="D152" t="s">
        <v>233</v>
      </c>
      <c r="E152" s="25" t="s">
        <v>374</v>
      </c>
      <c r="F152" s="25" t="s">
        <v>384</v>
      </c>
      <c r="G152" s="25" t="s">
        <v>395</v>
      </c>
      <c r="H152" s="26" t="s">
        <v>382</v>
      </c>
      <c r="I152" s="27" t="s">
        <v>382</v>
      </c>
      <c r="J152" s="3" t="s">
        <v>233</v>
      </c>
    </row>
    <row r="153" spans="1:11" ht="14.4">
      <c r="A153" s="22" t="str">
        <f>F153&amp;(COUNTIFS(F$2:F153,F153,K$2:K153,"Sparse"))</f>
        <v>L0</v>
      </c>
      <c r="B153" s="22" t="str">
        <f>J153&amp;(COUNTIF(J$2:J153,J153))</f>
        <v>London22</v>
      </c>
      <c r="C153" t="s">
        <v>212</v>
      </c>
      <c r="D153" t="s">
        <v>212</v>
      </c>
      <c r="E153" s="25" t="s">
        <v>381</v>
      </c>
      <c r="F153" s="25" t="s">
        <v>358</v>
      </c>
      <c r="G153" s="25" t="s">
        <v>381</v>
      </c>
      <c r="H153" s="26" t="s">
        <v>382</v>
      </c>
      <c r="I153" s="27" t="s">
        <v>382</v>
      </c>
      <c r="J153" t="s">
        <v>381</v>
      </c>
    </row>
    <row r="154" spans="1:11" ht="14.4">
      <c r="A154" s="22" t="str">
        <f>F154&amp;(COUNTIFS(F$2:F154,F154,K$2:K154,"Sparse"))</f>
        <v>SC4</v>
      </c>
      <c r="B154" s="22" t="str">
        <f>J154&amp;(COUNTIF(J$2:J154,J154))</f>
        <v>Lancashire5</v>
      </c>
      <c r="C154" t="s">
        <v>316</v>
      </c>
      <c r="D154" t="s">
        <v>316</v>
      </c>
      <c r="E154" s="25" t="s">
        <v>374</v>
      </c>
      <c r="F154" s="25" t="s">
        <v>387</v>
      </c>
      <c r="G154" s="25" t="s">
        <v>301</v>
      </c>
      <c r="H154" s="26" t="s">
        <v>895</v>
      </c>
      <c r="I154" s="27" t="s">
        <v>895</v>
      </c>
      <c r="J154" t="s">
        <v>316</v>
      </c>
      <c r="K154" t="s">
        <v>335</v>
      </c>
    </row>
    <row r="155" spans="1:11" ht="14.4">
      <c r="A155" s="22" t="str">
        <f>F155&amp;(COUNTIFS(F$2:F155,F155,K$2:K155,"Sparse"))</f>
        <v>SD19</v>
      </c>
      <c r="B155" s="22" t="str">
        <f>J155&amp;(COUNTIF(J$2:J155,J155))</f>
        <v>Lancashire6</v>
      </c>
      <c r="C155" t="s">
        <v>92</v>
      </c>
      <c r="D155" t="s">
        <v>92</v>
      </c>
      <c r="E155" s="25" t="s">
        <v>374</v>
      </c>
      <c r="F155" s="25" t="s">
        <v>379</v>
      </c>
      <c r="G155" s="25" t="s">
        <v>5</v>
      </c>
      <c r="H155" s="26" t="s">
        <v>895</v>
      </c>
      <c r="I155" s="27" t="s">
        <v>895</v>
      </c>
      <c r="J155" t="s">
        <v>316</v>
      </c>
    </row>
    <row r="156" spans="1:11" ht="14.4">
      <c r="A156" s="22" t="str">
        <f>F156&amp;(COUNTIFS(F$2:F156,F156,K$2:K156,"Sparse"))</f>
        <v>MD0</v>
      </c>
      <c r="B156" s="22" t="str">
        <f>J156&amp;(COUNTIF(J$2:J156,J156))</f>
        <v>Leeds1</v>
      </c>
      <c r="C156" t="s">
        <v>234</v>
      </c>
      <c r="D156" t="s">
        <v>234</v>
      </c>
      <c r="E156" s="25" t="s">
        <v>383</v>
      </c>
      <c r="F156" s="25" t="s">
        <v>384</v>
      </c>
      <c r="G156" s="25" t="s">
        <v>395</v>
      </c>
      <c r="H156" s="26" t="s">
        <v>382</v>
      </c>
      <c r="I156" s="27" t="s">
        <v>382</v>
      </c>
      <c r="J156" t="s">
        <v>234</v>
      </c>
    </row>
    <row r="157" spans="1:11" ht="14.4">
      <c r="A157" s="22" t="str">
        <f>F157&amp;(COUNTIFS(F$2:F157,F157,K$2:K157,"Sparse"))</f>
        <v>UA6</v>
      </c>
      <c r="B157" s="22" t="str">
        <f>J157&amp;(COUNTIF(J$2:J157,J157))</f>
        <v>Unitary24</v>
      </c>
      <c r="C157" s="27" t="s">
        <v>271</v>
      </c>
      <c r="D157" s="27" t="s">
        <v>271</v>
      </c>
      <c r="E157" s="25" t="s">
        <v>366</v>
      </c>
      <c r="F157" s="25" t="s">
        <v>385</v>
      </c>
      <c r="G157" s="25" t="s">
        <v>394</v>
      </c>
      <c r="H157" s="27" t="s">
        <v>382</v>
      </c>
      <c r="I157" s="27" t="s">
        <v>382</v>
      </c>
      <c r="J157" t="s">
        <v>394</v>
      </c>
    </row>
    <row r="158" spans="1:11" ht="14.4">
      <c r="A158" s="22" t="str">
        <f>F158&amp;(COUNTIFS(F$2:F158,F158,K$2:K158,"Sparse"))</f>
        <v>SC4</v>
      </c>
      <c r="B158" s="22" t="str">
        <f>J158&amp;(COUNTIF(J$2:J158,J158))</f>
        <v>Leicestershire5</v>
      </c>
      <c r="C158" t="s">
        <v>317</v>
      </c>
      <c r="D158" t="s">
        <v>317</v>
      </c>
      <c r="E158" s="25" t="s">
        <v>366</v>
      </c>
      <c r="F158" s="25" t="s">
        <v>387</v>
      </c>
      <c r="G158" s="25" t="s">
        <v>301</v>
      </c>
      <c r="H158" s="26" t="s">
        <v>895</v>
      </c>
      <c r="I158" s="27" t="s">
        <v>895</v>
      </c>
      <c r="J158" t="s">
        <v>317</v>
      </c>
    </row>
    <row r="159" spans="1:11" ht="14.4">
      <c r="A159" s="22" t="str">
        <f>F159&amp;(COUNTIFS(F$2:F159,F159,K$2:K159,"Sparse"))</f>
        <v>SD20</v>
      </c>
      <c r="B159" s="22" t="str">
        <f>J159&amp;(COUNTIF(J$2:J159,J159))</f>
        <v>East Sussex4</v>
      </c>
      <c r="C159" t="s">
        <v>93</v>
      </c>
      <c r="D159" t="s">
        <v>93</v>
      </c>
      <c r="E159" s="25" t="s">
        <v>0</v>
      </c>
      <c r="F159" s="25" t="s">
        <v>379</v>
      </c>
      <c r="G159" s="25" t="s">
        <v>5</v>
      </c>
      <c r="H159" s="26" t="s">
        <v>895</v>
      </c>
      <c r="I159" s="27" t="s">
        <v>895</v>
      </c>
      <c r="J159" t="s">
        <v>310</v>
      </c>
      <c r="K159" t="s">
        <v>335</v>
      </c>
    </row>
    <row r="160" spans="1:11" ht="14.4">
      <c r="A160" s="22" t="str">
        <f>F160&amp;(COUNTIFS(F$2:F160,F160,K$2:K160,"Sparse"))</f>
        <v>L0</v>
      </c>
      <c r="B160" s="22" t="str">
        <f>J160&amp;(COUNTIF(J$2:J160,J160))</f>
        <v>London23</v>
      </c>
      <c r="C160" t="s">
        <v>213</v>
      </c>
      <c r="D160" t="s">
        <v>213</v>
      </c>
      <c r="E160" s="25" t="s">
        <v>381</v>
      </c>
      <c r="F160" s="25" t="s">
        <v>358</v>
      </c>
      <c r="G160" s="25" t="s">
        <v>381</v>
      </c>
      <c r="H160" s="26" t="s">
        <v>382</v>
      </c>
      <c r="I160" s="27" t="s">
        <v>382</v>
      </c>
      <c r="J160" s="3" t="s">
        <v>381</v>
      </c>
    </row>
    <row r="161" spans="1:11" ht="14.4">
      <c r="A161" s="22" t="str">
        <f>F161&amp;(COUNTIFS(F$2:F161,F161,K$2:K161,"Sparse"))</f>
        <v>SD21</v>
      </c>
      <c r="B161" s="22" t="str">
        <f>J161&amp;(COUNTIF(J$2:J161,J161))</f>
        <v>Staffordshire3</v>
      </c>
      <c r="C161" s="27" t="s">
        <v>94</v>
      </c>
      <c r="D161" s="27" t="s">
        <v>94</v>
      </c>
      <c r="E161" s="25" t="s">
        <v>367</v>
      </c>
      <c r="F161" s="25" t="s">
        <v>379</v>
      </c>
      <c r="G161" s="25" t="s">
        <v>5</v>
      </c>
      <c r="H161" s="27" t="s">
        <v>895</v>
      </c>
      <c r="I161" s="27" t="s">
        <v>895</v>
      </c>
      <c r="J161" t="s">
        <v>327</v>
      </c>
      <c r="K161" t="s">
        <v>335</v>
      </c>
    </row>
    <row r="162" spans="1:11" ht="14.4">
      <c r="A162" s="22" t="str">
        <f>F162&amp;(COUNTIFS(F$2:F162,F162,K$2:K162,"Sparse"))</f>
        <v>SD21</v>
      </c>
      <c r="B162" s="22" t="str">
        <f>J162&amp;(COUNTIF(J$2:J162,J162))</f>
        <v>Lincolnshire3</v>
      </c>
      <c r="C162" t="s">
        <v>95</v>
      </c>
      <c r="D162" t="s">
        <v>95</v>
      </c>
      <c r="E162" s="25" t="s">
        <v>366</v>
      </c>
      <c r="F162" s="25" t="s">
        <v>379</v>
      </c>
      <c r="G162" s="25" t="s">
        <v>5</v>
      </c>
      <c r="H162" s="26" t="s">
        <v>382</v>
      </c>
      <c r="I162" s="27" t="s">
        <v>382</v>
      </c>
      <c r="J162" t="s">
        <v>318</v>
      </c>
    </row>
    <row r="163" spans="1:11" ht="14.4">
      <c r="A163" s="22" t="str">
        <f>F163&amp;(COUNTIFS(F$2:F163,F163,K$2:K163,"Sparse"))</f>
        <v>SC5</v>
      </c>
      <c r="B163" s="22" t="str">
        <f>J163&amp;(COUNTIF(J$2:J163,J163))</f>
        <v>Lincolnshire4</v>
      </c>
      <c r="C163" t="s">
        <v>318</v>
      </c>
      <c r="D163" t="s">
        <v>318</v>
      </c>
      <c r="E163" s="25" t="s">
        <v>366</v>
      </c>
      <c r="F163" s="25" t="s">
        <v>387</v>
      </c>
      <c r="G163" s="25" t="s">
        <v>301</v>
      </c>
      <c r="H163" s="26" t="s">
        <v>380</v>
      </c>
      <c r="I163" s="27" t="s">
        <v>380</v>
      </c>
      <c r="J163" t="s">
        <v>318</v>
      </c>
      <c r="K163" t="s">
        <v>335</v>
      </c>
    </row>
    <row r="164" spans="1:11" ht="14.4">
      <c r="A164" s="22" t="str">
        <f>F164&amp;(COUNTIFS(F$2:F164,F164,K$2:K164,"Sparse"))</f>
        <v>MD0</v>
      </c>
      <c r="B164" s="22" t="str">
        <f>J164&amp;(COUNTIF(J$2:J164,J164))</f>
        <v>Liverpool1</v>
      </c>
      <c r="C164" t="s">
        <v>235</v>
      </c>
      <c r="D164" t="s">
        <v>235</v>
      </c>
      <c r="E164" s="25" t="s">
        <v>374</v>
      </c>
      <c r="F164" s="25" t="s">
        <v>384</v>
      </c>
      <c r="G164" s="25" t="s">
        <v>395</v>
      </c>
      <c r="H164" s="26" t="s">
        <v>382</v>
      </c>
      <c r="I164" s="27" t="s">
        <v>382</v>
      </c>
      <c r="J164" t="s">
        <v>235</v>
      </c>
    </row>
    <row r="165" spans="1:11" ht="14.4">
      <c r="A165" s="22" t="str">
        <f>F165&amp;(COUNTIFS(F$2:F165,F165,K$2:K165,"Sparse"))</f>
        <v>UA6</v>
      </c>
      <c r="B165" s="22" t="str">
        <f>J165&amp;(COUNTIF(J$2:J165,J165))</f>
        <v>Unitary25</v>
      </c>
      <c r="C165" t="s">
        <v>272</v>
      </c>
      <c r="D165" t="s">
        <v>272</v>
      </c>
      <c r="E165" s="25" t="s">
        <v>368</v>
      </c>
      <c r="F165" s="25" t="s">
        <v>385</v>
      </c>
      <c r="G165" s="25" t="s">
        <v>394</v>
      </c>
      <c r="H165" s="26" t="s">
        <v>382</v>
      </c>
      <c r="I165" s="27" t="s">
        <v>382</v>
      </c>
      <c r="J165" t="s">
        <v>394</v>
      </c>
    </row>
    <row r="166" spans="1:11" ht="14.4">
      <c r="A166" s="22" t="str">
        <f>F166&amp;(COUNTIFS(F$2:F166,F166,K$2:K166,"Sparse"))</f>
        <v>SD21</v>
      </c>
      <c r="B166" s="22" t="str">
        <f>J166&amp;(COUNTIF(J$2:J166,J166))</f>
        <v>Kent8</v>
      </c>
      <c r="C166" s="27" t="s">
        <v>96</v>
      </c>
      <c r="D166" s="27" t="s">
        <v>96</v>
      </c>
      <c r="E166" s="25" t="s">
        <v>0</v>
      </c>
      <c r="F166" s="25" t="s">
        <v>379</v>
      </c>
      <c r="G166" s="25" t="s">
        <v>5</v>
      </c>
      <c r="H166" s="27" t="s">
        <v>895</v>
      </c>
      <c r="I166" s="27" t="s">
        <v>895</v>
      </c>
      <c r="J166" t="s">
        <v>315</v>
      </c>
    </row>
    <row r="167" spans="1:11" ht="14.4">
      <c r="A167" s="22" t="str">
        <f>F167&amp;(COUNTIFS(F$2:F167,F167,K$2:K167,"Sparse"))</f>
        <v>SD21</v>
      </c>
      <c r="B167" s="22" t="str">
        <f>J167&amp;(COUNTIF(J$2:J167,J167))</f>
        <v>Essex10</v>
      </c>
      <c r="C167" t="s">
        <v>97</v>
      </c>
      <c r="D167" t="s">
        <v>97</v>
      </c>
      <c r="E167" s="25" t="s">
        <v>368</v>
      </c>
      <c r="F167" s="25" t="s">
        <v>379</v>
      </c>
      <c r="G167" s="25" t="s">
        <v>5</v>
      </c>
      <c r="H167" s="26" t="s">
        <v>894</v>
      </c>
      <c r="I167" s="27" t="s">
        <v>380</v>
      </c>
      <c r="J167" t="s">
        <v>311</v>
      </c>
    </row>
    <row r="168" spans="1:11" ht="14.4">
      <c r="A168" s="22" t="str">
        <f>F168&amp;(COUNTIFS(F$2:F168,F168,K$2:K168,"Sparse"))</f>
        <v>SD22</v>
      </c>
      <c r="B168" s="22" t="str">
        <f>J168&amp;(COUNTIF(J$2:J168,J168))</f>
        <v>Worcestershire2</v>
      </c>
      <c r="C168" t="s">
        <v>98</v>
      </c>
      <c r="D168" t="s">
        <v>98</v>
      </c>
      <c r="E168" s="25" t="s">
        <v>367</v>
      </c>
      <c r="F168" s="25" t="s">
        <v>379</v>
      </c>
      <c r="G168" s="25" t="s">
        <v>5</v>
      </c>
      <c r="H168" s="26" t="s">
        <v>894</v>
      </c>
      <c r="I168" s="27" t="s">
        <v>380</v>
      </c>
      <c r="J168" s="3" t="s">
        <v>332</v>
      </c>
      <c r="K168" t="s">
        <v>335</v>
      </c>
    </row>
    <row r="169" spans="1:11" ht="14.4">
      <c r="A169" s="22" t="str">
        <f>F169&amp;(COUNTIFS(F$2:F169,F169,K$2:K169,"Sparse"))</f>
        <v>MD0</v>
      </c>
      <c r="B169" s="22" t="str">
        <f>J169&amp;(COUNTIF(J$2:J169,J169))</f>
        <v>Manchester1</v>
      </c>
      <c r="C169" t="s">
        <v>236</v>
      </c>
      <c r="D169" t="s">
        <v>236</v>
      </c>
      <c r="E169" s="25" t="s">
        <v>374</v>
      </c>
      <c r="F169" s="25" t="s">
        <v>384</v>
      </c>
      <c r="G169" s="25" t="s">
        <v>395</v>
      </c>
      <c r="H169" s="26" t="s">
        <v>382</v>
      </c>
      <c r="I169" s="27" t="s">
        <v>382</v>
      </c>
      <c r="J169" t="s">
        <v>236</v>
      </c>
    </row>
    <row r="170" spans="1:11" ht="14.4">
      <c r="A170" s="22" t="str">
        <f>F170&amp;(COUNTIFS(F$2:F170,F170,K$2:K170,"Sparse"))</f>
        <v>SD22</v>
      </c>
      <c r="B170" s="22" t="str">
        <f>J170&amp;(COUNTIF(J$2:J170,J170))</f>
        <v>Nottinghamshire5</v>
      </c>
      <c r="C170" t="s">
        <v>99</v>
      </c>
      <c r="D170" t="s">
        <v>99</v>
      </c>
      <c r="E170" s="25" t="s">
        <v>366</v>
      </c>
      <c r="F170" s="25" t="s">
        <v>379</v>
      </c>
      <c r="G170" s="25" t="s">
        <v>5</v>
      </c>
      <c r="H170" s="26" t="s">
        <v>382</v>
      </c>
      <c r="I170" s="27" t="s">
        <v>382</v>
      </c>
      <c r="J170" t="s">
        <v>323</v>
      </c>
    </row>
    <row r="171" spans="1:11" ht="14.4">
      <c r="A171" s="22" t="str">
        <f>F171&amp;(COUNTIFS(F$2:F171,F171,K$2:K171,"Sparse"))</f>
        <v>UA6</v>
      </c>
      <c r="B171" s="22" t="str">
        <f>J171&amp;(COUNTIF(J$2:J171,J171))</f>
        <v>Unitary26</v>
      </c>
      <c r="C171" t="s">
        <v>273</v>
      </c>
      <c r="D171" t="s">
        <v>273</v>
      </c>
      <c r="E171" s="25" t="s">
        <v>0</v>
      </c>
      <c r="F171" s="25" t="s">
        <v>385</v>
      </c>
      <c r="G171" s="25" t="s">
        <v>394</v>
      </c>
      <c r="H171" s="26" t="s">
        <v>382</v>
      </c>
      <c r="I171" s="27" t="s">
        <v>382</v>
      </c>
      <c r="J171" t="s">
        <v>394</v>
      </c>
    </row>
    <row r="172" spans="1:11" ht="14.4">
      <c r="A172" s="22" t="str">
        <f>F172&amp;(COUNTIFS(F$2:F172,F172,K$2:K172,"Sparse"))</f>
        <v>SD23</v>
      </c>
      <c r="B172" s="22" t="str">
        <f>J172&amp;(COUNTIF(J$2:J172,J172))</f>
        <v>Leicestershire6</v>
      </c>
      <c r="C172" t="s">
        <v>100</v>
      </c>
      <c r="D172" t="s">
        <v>100</v>
      </c>
      <c r="E172" s="25" t="s">
        <v>366</v>
      </c>
      <c r="F172" s="25" t="s">
        <v>379</v>
      </c>
      <c r="G172" s="25" t="s">
        <v>5</v>
      </c>
      <c r="H172" s="26" t="s">
        <v>894</v>
      </c>
      <c r="I172" s="27" t="s">
        <v>380</v>
      </c>
      <c r="J172" t="s">
        <v>317</v>
      </c>
      <c r="K172" t="s">
        <v>335</v>
      </c>
    </row>
    <row r="173" spans="1:11" ht="14.4">
      <c r="A173" s="22" t="str">
        <f>F173&amp;(COUNTIFS(F$2:F173,F173,K$2:K173,"Sparse"))</f>
        <v>SD24</v>
      </c>
      <c r="B173" s="22" t="str">
        <f>J173&amp;(COUNTIF(J$2:J173,J173))</f>
        <v>Somerset1</v>
      </c>
      <c r="C173" t="s">
        <v>101</v>
      </c>
      <c r="D173" t="s">
        <v>101</v>
      </c>
      <c r="E173" s="25" t="s">
        <v>1</v>
      </c>
      <c r="F173" s="25" t="s">
        <v>379</v>
      </c>
      <c r="G173" s="25" t="s">
        <v>5</v>
      </c>
      <c r="H173" s="26" t="s">
        <v>894</v>
      </c>
      <c r="I173" s="27" t="s">
        <v>380</v>
      </c>
      <c r="J173" t="s">
        <v>326</v>
      </c>
      <c r="K173" t="s">
        <v>335</v>
      </c>
    </row>
    <row r="174" spans="1:11" ht="14.4">
      <c r="A174" s="22" t="str">
        <f>F174&amp;(COUNTIFS(F$2:F174,F174,K$2:K174,"Sparse"))</f>
        <v>L0</v>
      </c>
      <c r="B174" s="22" t="str">
        <f>J174&amp;(COUNTIF(J$2:J174,J174))</f>
        <v>London24</v>
      </c>
      <c r="C174" t="s">
        <v>214</v>
      </c>
      <c r="D174" t="s">
        <v>214</v>
      </c>
      <c r="E174" s="25" t="s">
        <v>381</v>
      </c>
      <c r="F174" s="25" t="s">
        <v>358</v>
      </c>
      <c r="G174" s="25" t="s">
        <v>381</v>
      </c>
      <c r="H174" s="26" t="s">
        <v>382</v>
      </c>
      <c r="I174" s="27" t="s">
        <v>382</v>
      </c>
      <c r="J174" s="3" t="s">
        <v>381</v>
      </c>
    </row>
    <row r="175" spans="1:11" ht="14.4">
      <c r="A175" s="22" t="str">
        <f>F175&amp;(COUNTIFS(F$2:F175,F175,K$2:K175,"Sparse"))</f>
        <v>SD25</v>
      </c>
      <c r="B175" s="22" t="str">
        <f>J175&amp;(COUNTIF(J$2:J175,J175))</f>
        <v>Devon4</v>
      </c>
      <c r="C175" t="s">
        <v>102</v>
      </c>
      <c r="D175" t="s">
        <v>102</v>
      </c>
      <c r="E175" s="25" t="s">
        <v>1</v>
      </c>
      <c r="F175" s="25" t="s">
        <v>379</v>
      </c>
      <c r="G175" s="25" t="s">
        <v>5</v>
      </c>
      <c r="H175" s="26" t="s">
        <v>894</v>
      </c>
      <c r="I175" s="27" t="s">
        <v>380</v>
      </c>
      <c r="J175" t="s">
        <v>308</v>
      </c>
      <c r="K175" t="s">
        <v>335</v>
      </c>
    </row>
    <row r="176" spans="1:11" ht="14.4">
      <c r="A176" s="22" t="str">
        <f>F176&amp;(COUNTIFS(F$2:F176,F176,K$2:K176,"Sparse"))</f>
        <v>SD26</v>
      </c>
      <c r="B176" s="22" t="str">
        <f>J176&amp;(COUNTIF(J$2:J176,J176))</f>
        <v>Suffolk4</v>
      </c>
      <c r="C176" t="s">
        <v>103</v>
      </c>
      <c r="D176" t="s">
        <v>103</v>
      </c>
      <c r="E176" s="25" t="s">
        <v>368</v>
      </c>
      <c r="F176" s="25" t="s">
        <v>379</v>
      </c>
      <c r="G176" s="25" t="s">
        <v>5</v>
      </c>
      <c r="H176" s="26" t="s">
        <v>894</v>
      </c>
      <c r="I176" s="27" t="s">
        <v>380</v>
      </c>
      <c r="J176" t="s">
        <v>328</v>
      </c>
      <c r="K176" t="s">
        <v>335</v>
      </c>
    </row>
    <row r="177" spans="1:11" ht="14.4">
      <c r="A177" s="22" t="str">
        <f>F177&amp;(COUNTIFS(F$2:F177,F177,K$2:K177,"Sparse"))</f>
        <v>SD26</v>
      </c>
      <c r="B177" s="22" t="str">
        <f>J177&amp;(COUNTIF(J$2:J177,J177))</f>
        <v>West Sussex6</v>
      </c>
      <c r="C177" t="s">
        <v>104</v>
      </c>
      <c r="D177" t="s">
        <v>104</v>
      </c>
      <c r="E177" s="25" t="s">
        <v>0</v>
      </c>
      <c r="F177" s="25" t="s">
        <v>379</v>
      </c>
      <c r="G177" s="25" t="s">
        <v>5</v>
      </c>
      <c r="H177" s="26" t="s">
        <v>382</v>
      </c>
      <c r="I177" s="27" t="s">
        <v>382</v>
      </c>
      <c r="J177" t="s">
        <v>331</v>
      </c>
    </row>
    <row r="178" spans="1:11" ht="14.4">
      <c r="A178" s="22" t="str">
        <f>F178&amp;(COUNTIFS(F$2:F178,F178,K$2:K178,"Sparse"))</f>
        <v>UA6</v>
      </c>
      <c r="B178" s="22" t="str">
        <f>J178&amp;(COUNTIF(J$2:J178,J178))</f>
        <v>Unitary27</v>
      </c>
      <c r="C178" t="s">
        <v>274</v>
      </c>
      <c r="D178" t="s">
        <v>274</v>
      </c>
      <c r="E178" s="25" t="s">
        <v>388</v>
      </c>
      <c r="F178" s="25" t="s">
        <v>385</v>
      </c>
      <c r="G178" s="25" t="s">
        <v>394</v>
      </c>
      <c r="H178" s="26" t="s">
        <v>382</v>
      </c>
      <c r="I178" s="27" t="s">
        <v>382</v>
      </c>
      <c r="J178" t="s">
        <v>394</v>
      </c>
    </row>
    <row r="179" spans="1:11" ht="14.4">
      <c r="A179" s="22" t="str">
        <f>F179&amp;(COUNTIFS(F$2:F179,F179,K$2:K179,"Sparse"))</f>
        <v>UA6</v>
      </c>
      <c r="B179" s="22" t="str">
        <f>J179&amp;(COUNTIF(J$2:J179,J179))</f>
        <v>Unitary28</v>
      </c>
      <c r="C179" t="s">
        <v>275</v>
      </c>
      <c r="D179" t="s">
        <v>275</v>
      </c>
      <c r="E179" s="25" t="s">
        <v>0</v>
      </c>
      <c r="F179" s="25" t="s">
        <v>385</v>
      </c>
      <c r="G179" s="25" t="s">
        <v>394</v>
      </c>
      <c r="H179" s="26" t="s">
        <v>382</v>
      </c>
      <c r="I179" s="27" t="s">
        <v>382</v>
      </c>
      <c r="J179" t="s">
        <v>394</v>
      </c>
    </row>
    <row r="180" spans="1:11" ht="14.4">
      <c r="A180" s="22" t="str">
        <f>F180&amp;(COUNTIFS(F$2:F180,F180,K$2:K180,"Sparse"))</f>
        <v>SD26</v>
      </c>
      <c r="B180" s="22" t="str">
        <f>J180&amp;(COUNTIF(J$2:J180,J180))</f>
        <v>Surrey4</v>
      </c>
      <c r="C180" t="s">
        <v>105</v>
      </c>
      <c r="D180" t="s">
        <v>105</v>
      </c>
      <c r="E180" s="25" t="s">
        <v>0</v>
      </c>
      <c r="F180" s="25" t="s">
        <v>379</v>
      </c>
      <c r="G180" s="25" t="s">
        <v>5</v>
      </c>
      <c r="H180" s="26" t="s">
        <v>895</v>
      </c>
      <c r="I180" s="27" t="s">
        <v>895</v>
      </c>
      <c r="J180" t="s">
        <v>329</v>
      </c>
    </row>
    <row r="181" spans="1:11" ht="14.4">
      <c r="A181" s="22" t="str">
        <f>F181&amp;(COUNTIFS(F$2:F181,F181,K$2:K181,"Sparse"))</f>
        <v>SD27</v>
      </c>
      <c r="B181" s="22" t="str">
        <f>J181&amp;(COUNTIF(J$2:J181,J181))</f>
        <v>Hampshire9</v>
      </c>
      <c r="C181" t="s">
        <v>106</v>
      </c>
      <c r="D181" t="s">
        <v>106</v>
      </c>
      <c r="E181" s="25" t="s">
        <v>0</v>
      </c>
      <c r="F181" s="25" t="s">
        <v>379</v>
      </c>
      <c r="G181" s="25" t="s">
        <v>5</v>
      </c>
      <c r="H181" s="26" t="s">
        <v>895</v>
      </c>
      <c r="I181" s="27" t="s">
        <v>895</v>
      </c>
      <c r="J181" s="3" t="s">
        <v>313</v>
      </c>
      <c r="K181" t="s">
        <v>335</v>
      </c>
    </row>
    <row r="182" spans="1:11" ht="14.4">
      <c r="A182" s="22" t="str">
        <f>F182&amp;(COUNTIFS(F$2:F182,F182,K$2:K182,"Sparse"))</f>
        <v>SD27</v>
      </c>
      <c r="B182" s="22" t="str">
        <f>J182&amp;(COUNTIF(J$2:J182,J182))</f>
        <v>Nottinghamshire6</v>
      </c>
      <c r="C182" t="s">
        <v>345</v>
      </c>
      <c r="D182" t="s">
        <v>345</v>
      </c>
      <c r="E182" s="25" t="s">
        <v>366</v>
      </c>
      <c r="F182" s="25" t="s">
        <v>379</v>
      </c>
      <c r="G182" s="25" t="s">
        <v>5</v>
      </c>
      <c r="H182" s="26" t="s">
        <v>894</v>
      </c>
      <c r="I182" s="27" t="s">
        <v>380</v>
      </c>
      <c r="J182" s="3" t="s">
        <v>323</v>
      </c>
    </row>
    <row r="183" spans="1:11" ht="14.4">
      <c r="A183" s="22" t="str">
        <f>F183&amp;(COUNTIFS(F$2:F183,F183,K$2:K183,"Sparse"))</f>
        <v>MD0</v>
      </c>
      <c r="B183" s="22" t="str">
        <f>J183&amp;(COUNTIF(J$2:J183,J183))</f>
        <v>Newcastle upon Tyne1</v>
      </c>
      <c r="C183" t="s">
        <v>237</v>
      </c>
      <c r="D183" t="s">
        <v>237</v>
      </c>
      <c r="E183" s="25" t="s">
        <v>388</v>
      </c>
      <c r="F183" s="25" t="s">
        <v>384</v>
      </c>
      <c r="G183" s="25" t="s">
        <v>395</v>
      </c>
      <c r="H183" s="26" t="s">
        <v>382</v>
      </c>
      <c r="I183" s="27" t="s">
        <v>382</v>
      </c>
      <c r="J183" t="s">
        <v>237</v>
      </c>
    </row>
    <row r="184" spans="1:11" ht="14.4">
      <c r="A184" s="22" t="str">
        <f>F184&amp;(COUNTIFS(F$2:F184,F184,K$2:K184,"Sparse"))</f>
        <v>SD27</v>
      </c>
      <c r="B184" s="22" t="str">
        <f>J184&amp;(COUNTIF(J$2:J184,J184))</f>
        <v>Staffordshire4</v>
      </c>
      <c r="C184" t="s">
        <v>107</v>
      </c>
      <c r="D184" t="s">
        <v>107</v>
      </c>
      <c r="E184" s="25" t="s">
        <v>367</v>
      </c>
      <c r="F184" s="25" t="s">
        <v>379</v>
      </c>
      <c r="G184" s="25" t="s">
        <v>5</v>
      </c>
      <c r="H184" s="26" t="s">
        <v>382</v>
      </c>
      <c r="I184" s="27" t="s">
        <v>382</v>
      </c>
      <c r="J184" t="s">
        <v>327</v>
      </c>
    </row>
    <row r="185" spans="1:11" ht="14.4">
      <c r="A185" s="22" t="str">
        <f>F185&amp;(COUNTIFS(F$2:F185,F185,K$2:K185,"Sparse"))</f>
        <v>L0</v>
      </c>
      <c r="B185" s="22" t="str">
        <f>J185&amp;(COUNTIF(J$2:J185,J185))</f>
        <v>London25</v>
      </c>
      <c r="C185" t="s">
        <v>215</v>
      </c>
      <c r="D185" t="s">
        <v>215</v>
      </c>
      <c r="E185" s="25" t="s">
        <v>381</v>
      </c>
      <c r="F185" s="25" t="s">
        <v>358</v>
      </c>
      <c r="G185" s="25" t="s">
        <v>381</v>
      </c>
      <c r="H185" s="26" t="s">
        <v>382</v>
      </c>
      <c r="I185" s="27" t="s">
        <v>382</v>
      </c>
      <c r="J185" t="s">
        <v>381</v>
      </c>
    </row>
    <row r="186" spans="1:11" ht="14.4">
      <c r="A186" s="22" t="str">
        <f>F186&amp;(COUNTIFS(F$2:F186,F186,K$2:K186,"Sparse"))</f>
        <v>SC6</v>
      </c>
      <c r="B186" s="22" t="str">
        <f>J186&amp;(COUNTIF(J$2:J186,J186))</f>
        <v>Norfolk5</v>
      </c>
      <c r="C186" t="s">
        <v>319</v>
      </c>
      <c r="D186" t="s">
        <v>319</v>
      </c>
      <c r="E186" s="25" t="s">
        <v>368</v>
      </c>
      <c r="F186" s="25" t="s">
        <v>387</v>
      </c>
      <c r="G186" s="25" t="s">
        <v>301</v>
      </c>
      <c r="H186" s="26" t="s">
        <v>380</v>
      </c>
      <c r="I186" s="27" t="s">
        <v>380</v>
      </c>
      <c r="J186" t="s">
        <v>319</v>
      </c>
      <c r="K186" t="s">
        <v>335</v>
      </c>
    </row>
    <row r="187" spans="1:11" ht="14.4">
      <c r="A187" s="22" t="str">
        <f>F187&amp;(COUNTIFS(F$2:F187,F187,K$2:K187,"Sparse"))</f>
        <v>SD28</v>
      </c>
      <c r="B187" s="22" t="str">
        <f>J187&amp;(COUNTIF(J$2:J187,J187))</f>
        <v>Devon5</v>
      </c>
      <c r="C187" t="s">
        <v>108</v>
      </c>
      <c r="D187" t="s">
        <v>108</v>
      </c>
      <c r="E187" s="25" t="s">
        <v>1</v>
      </c>
      <c r="F187" s="25" t="s">
        <v>379</v>
      </c>
      <c r="G187" s="25" t="s">
        <v>5</v>
      </c>
      <c r="H187" s="26" t="s">
        <v>894</v>
      </c>
      <c r="I187" s="27" t="s">
        <v>380</v>
      </c>
      <c r="J187" t="s">
        <v>308</v>
      </c>
      <c r="K187" t="s">
        <v>335</v>
      </c>
    </row>
    <row r="188" spans="1:11" ht="14.4">
      <c r="A188" s="22" t="str">
        <f>F188&amp;(COUNTIFS(F$2:F188,F188,K$2:K188,"Sparse"))</f>
        <v>SD28</v>
      </c>
      <c r="B188" s="22" t="str">
        <f>J188&amp;(COUNTIF(J$2:J188,J188))</f>
        <v>Derbyshire8</v>
      </c>
      <c r="C188" t="s">
        <v>110</v>
      </c>
      <c r="D188" t="s">
        <v>110</v>
      </c>
      <c r="E188" s="25" t="s">
        <v>366</v>
      </c>
      <c r="F188" s="25" t="s">
        <v>379</v>
      </c>
      <c r="G188" s="25" t="s">
        <v>5</v>
      </c>
      <c r="H188" s="26" t="s">
        <v>382</v>
      </c>
      <c r="I188" s="27" t="s">
        <v>382</v>
      </c>
      <c r="J188" t="s">
        <v>307</v>
      </c>
    </row>
    <row r="189" spans="1:11" ht="14.4">
      <c r="A189" s="22" t="str">
        <f>F189&amp;(COUNTIFS(F$2:F189,F189,K$2:K189,"Sparse"))</f>
        <v>UA6</v>
      </c>
      <c r="B189" s="22" t="str">
        <f>J189&amp;(COUNTIF(J$2:J189,J189))</f>
        <v>Unitary29</v>
      </c>
      <c r="C189" s="30" t="s">
        <v>276</v>
      </c>
      <c r="D189" s="30" t="s">
        <v>276</v>
      </c>
      <c r="E189" s="25" t="s">
        <v>383</v>
      </c>
      <c r="F189" s="25" t="s">
        <v>385</v>
      </c>
      <c r="G189" s="25" t="s">
        <v>394</v>
      </c>
      <c r="H189" s="30" t="s">
        <v>382</v>
      </c>
      <c r="I189" s="27" t="s">
        <v>382</v>
      </c>
      <c r="J189" t="s">
        <v>394</v>
      </c>
    </row>
    <row r="190" spans="1:11" ht="14.4">
      <c r="A190" s="22" t="str">
        <f>F190&amp;(COUNTIFS(F$2:F190,F190,K$2:K190,"Sparse"))</f>
        <v>SD28</v>
      </c>
      <c r="B190" s="22" t="str">
        <f>J190&amp;(COUNTIF(J$2:J190,J190))</f>
        <v>Hertfordshire6</v>
      </c>
      <c r="C190" t="s">
        <v>111</v>
      </c>
      <c r="D190" t="s">
        <v>111</v>
      </c>
      <c r="E190" s="25" t="s">
        <v>368</v>
      </c>
      <c r="F190" s="25" t="s">
        <v>379</v>
      </c>
      <c r="G190" s="25" t="s">
        <v>5</v>
      </c>
      <c r="H190" s="26" t="s">
        <v>895</v>
      </c>
      <c r="I190" s="27" t="s">
        <v>895</v>
      </c>
      <c r="J190" t="s">
        <v>314</v>
      </c>
    </row>
    <row r="191" spans="1:11" ht="14.4">
      <c r="A191" s="22" t="str">
        <f>F191&amp;(COUNTIFS(F$2:F191,F191,K$2:K191,"Sparse"))</f>
        <v>SD29</v>
      </c>
      <c r="B191" s="22" t="str">
        <f>J191&amp;(COUNTIF(J$2:J191,J191))</f>
        <v>Lincolnshire5</v>
      </c>
      <c r="C191" t="s">
        <v>112</v>
      </c>
      <c r="D191" t="s">
        <v>112</v>
      </c>
      <c r="E191" s="25" t="s">
        <v>366</v>
      </c>
      <c r="F191" s="25" t="s">
        <v>379</v>
      </c>
      <c r="G191" s="25" t="s">
        <v>5</v>
      </c>
      <c r="H191" s="26" t="s">
        <v>894</v>
      </c>
      <c r="I191" s="27" t="s">
        <v>380</v>
      </c>
      <c r="J191" t="s">
        <v>318</v>
      </c>
      <c r="K191" t="s">
        <v>335</v>
      </c>
    </row>
    <row r="192" spans="1:11" ht="14.4">
      <c r="A192" s="22" t="str">
        <f>F192&amp;(COUNTIFS(F$2:F192,F192,K$2:K192,"Sparse"))</f>
        <v>UA7</v>
      </c>
      <c r="B192" s="22" t="str">
        <f>J192&amp;(COUNTIF(J$2:J192,J192))</f>
        <v>Unitary30</v>
      </c>
      <c r="C192" t="s">
        <v>277</v>
      </c>
      <c r="D192" t="s">
        <v>277</v>
      </c>
      <c r="E192" s="25" t="s">
        <v>383</v>
      </c>
      <c r="F192" s="25" t="s">
        <v>385</v>
      </c>
      <c r="G192" s="25" t="s">
        <v>394</v>
      </c>
      <c r="H192" s="26" t="s">
        <v>895</v>
      </c>
      <c r="I192" s="27" t="s">
        <v>895</v>
      </c>
      <c r="J192" s="3" t="s">
        <v>394</v>
      </c>
      <c r="K192" t="s">
        <v>335</v>
      </c>
    </row>
    <row r="193" spans="1:11" ht="14.4">
      <c r="A193" s="22" t="str">
        <f>F193&amp;(COUNTIFS(F$2:F193,F193,K$2:K193,"Sparse"))</f>
        <v>SD30</v>
      </c>
      <c r="B193" s="22" t="str">
        <f>J193&amp;(COUNTIF(J$2:J193,J193))</f>
        <v>Norfolk6</v>
      </c>
      <c r="C193" t="s">
        <v>113</v>
      </c>
      <c r="D193" t="s">
        <v>113</v>
      </c>
      <c r="E193" s="25" t="s">
        <v>368</v>
      </c>
      <c r="F193" s="25" t="s">
        <v>379</v>
      </c>
      <c r="G193" s="25" t="s">
        <v>5</v>
      </c>
      <c r="H193" s="26" t="s">
        <v>894</v>
      </c>
      <c r="I193" s="27" t="s">
        <v>380</v>
      </c>
      <c r="J193" t="s">
        <v>319</v>
      </c>
      <c r="K193" t="s">
        <v>335</v>
      </c>
    </row>
    <row r="194" spans="1:11" ht="14.4">
      <c r="A194" s="22" t="str">
        <f>F194&amp;(COUNTIFS(F$2:F194,F194,K$2:K194,"Sparse"))</f>
        <v>UA7</v>
      </c>
      <c r="B194" s="22" t="str">
        <f>J194&amp;(COUNTIF(J$2:J194,J194))</f>
        <v>Unitary31</v>
      </c>
      <c r="C194" t="s">
        <v>901</v>
      </c>
      <c r="D194" t="s">
        <v>901</v>
      </c>
      <c r="E194" s="25" t="s">
        <v>366</v>
      </c>
      <c r="F194" s="25" t="s">
        <v>385</v>
      </c>
      <c r="G194" s="25" t="s">
        <v>394</v>
      </c>
      <c r="H194" s="26" t="s">
        <v>895</v>
      </c>
      <c r="I194" s="27" t="s">
        <v>895</v>
      </c>
      <c r="J194" t="s">
        <v>394</v>
      </c>
    </row>
    <row r="195" spans="1:11" ht="14.4">
      <c r="A195" s="22" t="str">
        <f>F195&amp;(COUNTIFS(F$2:F195,F195,K$2:K195,"Sparse"))</f>
        <v>UA8</v>
      </c>
      <c r="B195" s="22" t="str">
        <f>J195&amp;(COUNTIF(J$2:J195,J195))</f>
        <v>Unitary32</v>
      </c>
      <c r="C195" t="s">
        <v>278</v>
      </c>
      <c r="D195" t="s">
        <v>278</v>
      </c>
      <c r="E195" s="25" t="s">
        <v>1</v>
      </c>
      <c r="F195" s="25" t="s">
        <v>385</v>
      </c>
      <c r="G195" s="25" t="s">
        <v>394</v>
      </c>
      <c r="H195" s="26" t="s">
        <v>895</v>
      </c>
      <c r="I195" s="27" t="s">
        <v>895</v>
      </c>
      <c r="J195" s="3" t="s">
        <v>394</v>
      </c>
      <c r="K195" t="s">
        <v>335</v>
      </c>
    </row>
    <row r="196" spans="1:11" ht="14.4">
      <c r="A196" s="22" t="str">
        <f>F196&amp;(COUNTIFS(F$2:F196,F196,K$2:K196,"Sparse"))</f>
        <v>MD0</v>
      </c>
      <c r="B196" s="22" t="str">
        <f>J196&amp;(COUNTIF(J$2:J196,J196))</f>
        <v>North Tyneside1</v>
      </c>
      <c r="C196" t="s">
        <v>238</v>
      </c>
      <c r="D196" t="s">
        <v>238</v>
      </c>
      <c r="E196" s="25" t="s">
        <v>388</v>
      </c>
      <c r="F196" s="25" t="s">
        <v>384</v>
      </c>
      <c r="G196" s="25" t="s">
        <v>395</v>
      </c>
      <c r="H196" s="26" t="s">
        <v>382</v>
      </c>
      <c r="I196" s="27" t="s">
        <v>382</v>
      </c>
      <c r="J196" s="3" t="s">
        <v>238</v>
      </c>
    </row>
    <row r="197" spans="1:11" ht="14.4">
      <c r="A197" s="22" t="str">
        <f>F197&amp;(COUNTIFS(F$2:F197,F197,K$2:K197,"Sparse"))</f>
        <v>SD30</v>
      </c>
      <c r="B197" s="22" t="str">
        <f>J197&amp;(COUNTIF(J$2:J197,J197))</f>
        <v>Warwickshire1</v>
      </c>
      <c r="C197" t="s">
        <v>114</v>
      </c>
      <c r="D197" t="s">
        <v>114</v>
      </c>
      <c r="E197" s="25" t="s">
        <v>367</v>
      </c>
      <c r="F197" s="25" t="s">
        <v>379</v>
      </c>
      <c r="G197" s="25" t="s">
        <v>5</v>
      </c>
      <c r="H197" s="26" t="s">
        <v>894</v>
      </c>
      <c r="I197" s="27" t="s">
        <v>380</v>
      </c>
      <c r="J197" s="3" t="s">
        <v>330</v>
      </c>
    </row>
    <row r="198" spans="1:11" ht="14.4">
      <c r="A198" s="22" t="str">
        <f>F198&amp;(COUNTIFS(F$2:F198,F198,K$2:K198,"Sparse"))</f>
        <v>SD30</v>
      </c>
      <c r="B198" s="22" t="str">
        <f>J198&amp;(COUNTIF(J$2:J198,J198))</f>
        <v>Leicestershire7</v>
      </c>
      <c r="C198" t="s">
        <v>115</v>
      </c>
      <c r="D198" t="s">
        <v>115</v>
      </c>
      <c r="E198" s="25" t="s">
        <v>366</v>
      </c>
      <c r="F198" s="25" t="s">
        <v>379</v>
      </c>
      <c r="G198" s="25" t="s">
        <v>5</v>
      </c>
      <c r="H198" s="26" t="s">
        <v>894</v>
      </c>
      <c r="I198" s="27" t="s">
        <v>380</v>
      </c>
      <c r="J198" t="s">
        <v>317</v>
      </c>
    </row>
    <row r="199" spans="1:11" ht="14.4">
      <c r="A199" s="22" t="str">
        <f>F199&amp;(COUNTIFS(F$2:F199,F199,K$2:K199,"Sparse"))</f>
        <v>SC7</v>
      </c>
      <c r="B199" s="22" t="str">
        <f>J199&amp;(COUNTIF(J$2:J199,J199))</f>
        <v>North Yorkshire4</v>
      </c>
      <c r="C199" t="s">
        <v>320</v>
      </c>
      <c r="D199" t="s">
        <v>320</v>
      </c>
      <c r="E199" s="25" t="s">
        <v>383</v>
      </c>
      <c r="F199" s="25" t="s">
        <v>387</v>
      </c>
      <c r="G199" s="25" t="s">
        <v>301</v>
      </c>
      <c r="H199" s="26" t="s">
        <v>380</v>
      </c>
      <c r="I199" s="27" t="s">
        <v>380</v>
      </c>
      <c r="J199" t="s">
        <v>320</v>
      </c>
      <c r="K199" t="s">
        <v>335</v>
      </c>
    </row>
    <row r="200" spans="1:11" ht="14.4">
      <c r="A200" s="22" t="str">
        <f>F200&amp;(COUNTIFS(F$2:F200,F200,K$2:K200,"Sparse"))</f>
        <v>UA9</v>
      </c>
      <c r="B200" s="22" t="str">
        <f>J200&amp;(COUNTIF(J$2:J200,J200))</f>
        <v>Unitary33</v>
      </c>
      <c r="C200" t="s">
        <v>322</v>
      </c>
      <c r="D200" t="s">
        <v>322</v>
      </c>
      <c r="E200" s="25" t="s">
        <v>388</v>
      </c>
      <c r="F200" s="25" t="s">
        <v>385</v>
      </c>
      <c r="G200" s="25" t="s">
        <v>394</v>
      </c>
      <c r="H200" s="26" t="s">
        <v>894</v>
      </c>
      <c r="I200" s="27" t="s">
        <v>380</v>
      </c>
      <c r="J200" t="s">
        <v>394</v>
      </c>
      <c r="K200" t="s">
        <v>335</v>
      </c>
    </row>
    <row r="201" spans="1:11" ht="14.4">
      <c r="A201" s="22" t="str">
        <f>F201&amp;(COUNTIFS(F$2:F201,F201,K$2:K201,"Sparse"))</f>
        <v>SD30</v>
      </c>
      <c r="B201" s="22" t="str">
        <f>J201&amp;(COUNTIF(J$2:J201,J201))</f>
        <v>Norfolk7</v>
      </c>
      <c r="C201" s="27" t="s">
        <v>117</v>
      </c>
      <c r="D201" s="27" t="s">
        <v>117</v>
      </c>
      <c r="E201" s="25" t="s">
        <v>368</v>
      </c>
      <c r="F201" s="25" t="s">
        <v>379</v>
      </c>
      <c r="G201" s="25" t="s">
        <v>5</v>
      </c>
      <c r="H201" s="27" t="s">
        <v>382</v>
      </c>
      <c r="I201" s="27" t="s">
        <v>382</v>
      </c>
      <c r="J201" t="s">
        <v>319</v>
      </c>
    </row>
    <row r="202" spans="1:11" ht="14.4">
      <c r="A202" s="22" t="str">
        <f>F202&amp;(COUNTIFS(F$2:F202,F202,K$2:K202,"Sparse"))</f>
        <v>UA9</v>
      </c>
      <c r="B202" s="22" t="str">
        <f>J202&amp;(COUNTIF(J$2:J202,J202))</f>
        <v>Unitary34</v>
      </c>
      <c r="C202" t="s">
        <v>279</v>
      </c>
      <c r="D202" t="s">
        <v>279</v>
      </c>
      <c r="E202" s="25" t="s">
        <v>366</v>
      </c>
      <c r="F202" s="25" t="s">
        <v>385</v>
      </c>
      <c r="G202" s="25" t="s">
        <v>394</v>
      </c>
      <c r="H202" s="26" t="s">
        <v>382</v>
      </c>
      <c r="I202" s="27" t="s">
        <v>382</v>
      </c>
      <c r="J202" t="s">
        <v>394</v>
      </c>
    </row>
    <row r="203" spans="1:11" ht="14.4">
      <c r="A203" s="22" t="str">
        <f>F203&amp;(COUNTIFS(F$2:F203,F203,K$2:K203,"Sparse"))</f>
        <v>SC8</v>
      </c>
      <c r="B203" s="22" t="str">
        <f>J203&amp;(COUNTIF(J$2:J203,J203))</f>
        <v>Nottinghamshire7</v>
      </c>
      <c r="C203" s="27" t="s">
        <v>323</v>
      </c>
      <c r="D203" s="27" t="s">
        <v>323</v>
      </c>
      <c r="E203" s="25" t="s">
        <v>366</v>
      </c>
      <c r="F203" s="25" t="s">
        <v>387</v>
      </c>
      <c r="G203" s="25" t="s">
        <v>301</v>
      </c>
      <c r="H203" s="27" t="s">
        <v>895</v>
      </c>
      <c r="I203" s="27" t="s">
        <v>895</v>
      </c>
      <c r="J203" t="s">
        <v>323</v>
      </c>
      <c r="K203" t="s">
        <v>335</v>
      </c>
    </row>
    <row r="204" spans="1:11" ht="14.4">
      <c r="A204" s="22" t="str">
        <f>F204&amp;(COUNTIFS(F$2:F204,F204,K$2:K204,"Sparse"))</f>
        <v>SD30</v>
      </c>
      <c r="B204" s="22" t="str">
        <f>J204&amp;(COUNTIF(J$2:J204,J204))</f>
        <v>Warwickshire2</v>
      </c>
      <c r="C204" t="s">
        <v>346</v>
      </c>
      <c r="D204" t="s">
        <v>346</v>
      </c>
      <c r="E204" s="25" t="s">
        <v>367</v>
      </c>
      <c r="F204" s="25" t="s">
        <v>379</v>
      </c>
      <c r="G204" s="25" t="s">
        <v>5</v>
      </c>
      <c r="H204" s="26" t="s">
        <v>382</v>
      </c>
      <c r="I204" s="27" t="s">
        <v>382</v>
      </c>
      <c r="J204" s="3" t="s">
        <v>330</v>
      </c>
    </row>
    <row r="205" spans="1:11" ht="14.4">
      <c r="A205" s="22" t="str">
        <f>F205&amp;(COUNTIFS(F$2:F205,F205,K$2:K205,"Sparse"))</f>
        <v>SD30</v>
      </c>
      <c r="B205" s="22" t="str">
        <f>J205&amp;(COUNTIF(J$2:J205,J205))</f>
        <v>Leicestershire8</v>
      </c>
      <c r="C205" t="s">
        <v>347</v>
      </c>
      <c r="D205" t="s">
        <v>347</v>
      </c>
      <c r="E205" s="25" t="s">
        <v>366</v>
      </c>
      <c r="F205" s="25" t="s">
        <v>379</v>
      </c>
      <c r="G205" s="25" t="s">
        <v>5</v>
      </c>
      <c r="H205" s="26" t="s">
        <v>382</v>
      </c>
      <c r="I205" s="27" t="s">
        <v>382</v>
      </c>
      <c r="J205" t="s">
        <v>317</v>
      </c>
    </row>
    <row r="206" spans="1:11" ht="14.4">
      <c r="A206" s="22" t="str">
        <f>F206&amp;(COUNTIFS(F$2:F206,F206,K$2:K206,"Sparse"))</f>
        <v>MD0</v>
      </c>
      <c r="B206" s="22" t="str">
        <f>J206&amp;(COUNTIF(J$2:J206,J206))</f>
        <v>Oldham1</v>
      </c>
      <c r="C206" t="s">
        <v>239</v>
      </c>
      <c r="D206" t="s">
        <v>239</v>
      </c>
      <c r="E206" s="25" t="s">
        <v>374</v>
      </c>
      <c r="F206" s="25" t="s">
        <v>384</v>
      </c>
      <c r="G206" s="25" t="s">
        <v>395</v>
      </c>
      <c r="H206" s="26" t="s">
        <v>382</v>
      </c>
      <c r="I206" s="27" t="s">
        <v>382</v>
      </c>
      <c r="J206" s="3" t="s">
        <v>239</v>
      </c>
    </row>
    <row r="207" spans="1:11" ht="14.4">
      <c r="A207" s="22" t="str">
        <f>F207&amp;(COUNTIFS(F$2:F207,F207,K$2:K207,"Sparse"))</f>
        <v>SD30</v>
      </c>
      <c r="B207" s="22" t="str">
        <f>J207&amp;(COUNTIF(J$2:J207,J207))</f>
        <v>Oxfordshire2</v>
      </c>
      <c r="C207" s="27" t="s">
        <v>118</v>
      </c>
      <c r="D207" s="27" t="s">
        <v>118</v>
      </c>
      <c r="E207" s="25" t="s">
        <v>0</v>
      </c>
      <c r="F207" s="25" t="s">
        <v>379</v>
      </c>
      <c r="G207" s="25" t="s">
        <v>5</v>
      </c>
      <c r="H207" s="27" t="s">
        <v>382</v>
      </c>
      <c r="I207" s="27" t="s">
        <v>382</v>
      </c>
      <c r="J207" t="s">
        <v>324</v>
      </c>
    </row>
    <row r="208" spans="1:11" ht="14.4">
      <c r="A208" s="22" t="str">
        <f>F208&amp;(COUNTIFS(F$2:F208,F208,K$2:K208,"Sparse"))</f>
        <v>SC8</v>
      </c>
      <c r="B208" s="22" t="str">
        <f>J208&amp;(COUNTIF(J$2:J208,J208))</f>
        <v>Oxfordshire3</v>
      </c>
      <c r="C208" t="s">
        <v>324</v>
      </c>
      <c r="D208" t="s">
        <v>324</v>
      </c>
      <c r="E208" s="25" t="s">
        <v>0</v>
      </c>
      <c r="F208" s="25" t="s">
        <v>387</v>
      </c>
      <c r="G208" s="25" t="s">
        <v>301</v>
      </c>
      <c r="H208" s="26" t="s">
        <v>380</v>
      </c>
      <c r="I208" s="27" t="s">
        <v>380</v>
      </c>
      <c r="J208" t="s">
        <v>324</v>
      </c>
    </row>
    <row r="209" spans="1:11" ht="14.4">
      <c r="A209" s="22" t="str">
        <f>F209&amp;(COUNTIFS(F$2:F209,F209,K$2:K209,"Sparse"))</f>
        <v>SD30</v>
      </c>
      <c r="B209" s="22" t="str">
        <f>J209&amp;(COUNTIF(J$2:J209,J209))</f>
        <v>Lancashire7</v>
      </c>
      <c r="C209" t="s">
        <v>119</v>
      </c>
      <c r="D209" t="s">
        <v>119</v>
      </c>
      <c r="E209" s="25" t="s">
        <v>374</v>
      </c>
      <c r="F209" s="25" t="s">
        <v>379</v>
      </c>
      <c r="G209" s="25" t="s">
        <v>5</v>
      </c>
      <c r="H209" s="26" t="s">
        <v>382</v>
      </c>
      <c r="I209" s="27" t="s">
        <v>382</v>
      </c>
      <c r="J209" t="s">
        <v>316</v>
      </c>
    </row>
    <row r="210" spans="1:11" ht="14.4">
      <c r="A210" s="22" t="str">
        <f>F210&amp;(COUNTIFS(F$2:F210,F210,K$2:K210,"Sparse"))</f>
        <v>UA9</v>
      </c>
      <c r="B210" s="22" t="str">
        <f>J210&amp;(COUNTIF(J$2:J210,J210))</f>
        <v>Unitary35</v>
      </c>
      <c r="C210" t="s">
        <v>280</v>
      </c>
      <c r="D210" t="s">
        <v>280</v>
      </c>
      <c r="E210" s="25" t="s">
        <v>368</v>
      </c>
      <c r="F210" s="25" t="s">
        <v>385</v>
      </c>
      <c r="G210" s="25" t="s">
        <v>394</v>
      </c>
      <c r="H210" s="26" t="s">
        <v>382</v>
      </c>
      <c r="I210" s="27" t="s">
        <v>382</v>
      </c>
      <c r="J210" t="s">
        <v>394</v>
      </c>
    </row>
    <row r="211" spans="1:11" ht="14.4">
      <c r="A211" s="22" t="str">
        <f>F211&amp;(COUNTIFS(F$2:F211,F211,K$2:K211,"Sparse"))</f>
        <v>UA9</v>
      </c>
      <c r="B211" s="22" t="str">
        <f>J211&amp;(COUNTIF(J$2:J211,J211))</f>
        <v>Unitary36</v>
      </c>
      <c r="C211" t="s">
        <v>281</v>
      </c>
      <c r="D211" t="s">
        <v>281</v>
      </c>
      <c r="E211" s="25" t="s">
        <v>1</v>
      </c>
      <c r="F211" s="25" t="s">
        <v>385</v>
      </c>
      <c r="G211" s="25" t="s">
        <v>394</v>
      </c>
      <c r="H211" s="26" t="s">
        <v>382</v>
      </c>
      <c r="I211" s="27" t="s">
        <v>382</v>
      </c>
      <c r="J211" t="s">
        <v>394</v>
      </c>
    </row>
    <row r="212" spans="1:11" ht="14.4">
      <c r="A212" s="22" t="str">
        <f>F212&amp;(COUNTIFS(F$2:F212,F212,K$2:K212,"Sparse"))</f>
        <v>UA9</v>
      </c>
      <c r="B212" s="22" t="str">
        <f>J212&amp;(COUNTIF(J$2:J212,J212))</f>
        <v>Unitary37</v>
      </c>
      <c r="C212" s="27" t="s">
        <v>283</v>
      </c>
      <c r="D212" s="27" t="s">
        <v>283</v>
      </c>
      <c r="E212" s="25" t="s">
        <v>0</v>
      </c>
      <c r="F212" s="25" t="s">
        <v>385</v>
      </c>
      <c r="G212" s="25" t="s">
        <v>394</v>
      </c>
      <c r="H212" s="27" t="s">
        <v>382</v>
      </c>
      <c r="I212" s="27" t="s">
        <v>382</v>
      </c>
      <c r="J212" t="s">
        <v>394</v>
      </c>
    </row>
    <row r="213" spans="1:11" ht="14.4">
      <c r="A213" s="22" t="str">
        <f>F213&amp;(COUNTIFS(F$2:F213,F213,K$2:K213,"Sparse"))</f>
        <v>SD30</v>
      </c>
      <c r="B213" s="22" t="str">
        <f>J213&amp;(COUNTIF(J$2:J213,J213))</f>
        <v>Lancashire8</v>
      </c>
      <c r="C213" t="s">
        <v>120</v>
      </c>
      <c r="D213" t="s">
        <v>120</v>
      </c>
      <c r="E213" s="25" t="s">
        <v>374</v>
      </c>
      <c r="F213" s="25" t="s">
        <v>379</v>
      </c>
      <c r="G213" s="25" t="s">
        <v>5</v>
      </c>
      <c r="H213" s="26" t="s">
        <v>382</v>
      </c>
      <c r="I213" s="27" t="s">
        <v>382</v>
      </c>
      <c r="J213" t="s">
        <v>316</v>
      </c>
    </row>
    <row r="214" spans="1:11" ht="14.4">
      <c r="A214" s="22" t="str">
        <f>F214&amp;(COUNTIFS(F$2:F214,F214,K$2:K214,"Sparse"))</f>
        <v>UA9</v>
      </c>
      <c r="B214" s="22" t="str">
        <f>J214&amp;(COUNTIF(J$2:J214,J214))</f>
        <v>Unitary38</v>
      </c>
      <c r="C214" t="s">
        <v>284</v>
      </c>
      <c r="D214" t="s">
        <v>284</v>
      </c>
      <c r="E214" s="25" t="s">
        <v>0</v>
      </c>
      <c r="F214" s="25" t="s">
        <v>385</v>
      </c>
      <c r="G214" s="25" t="s">
        <v>394</v>
      </c>
      <c r="H214" s="26" t="s">
        <v>382</v>
      </c>
      <c r="I214" s="27" t="s">
        <v>382</v>
      </c>
      <c r="J214" s="3" t="s">
        <v>394</v>
      </c>
    </row>
    <row r="215" spans="1:11" ht="14.4">
      <c r="A215" s="22" t="str">
        <f>F215&amp;(COUNTIFS(F$2:F215,F215,K$2:K215,"Sparse"))</f>
        <v>L0</v>
      </c>
      <c r="B215" s="22" t="str">
        <f>J215&amp;(COUNTIF(J$2:J215,J215))</f>
        <v>London26</v>
      </c>
      <c r="C215" t="s">
        <v>216</v>
      </c>
      <c r="D215" t="s">
        <v>216</v>
      </c>
      <c r="E215" s="25" t="s">
        <v>381</v>
      </c>
      <c r="F215" s="25" t="s">
        <v>358</v>
      </c>
      <c r="G215" s="25" t="s">
        <v>381</v>
      </c>
      <c r="H215" s="26" t="s">
        <v>382</v>
      </c>
      <c r="I215" s="27" t="s">
        <v>382</v>
      </c>
      <c r="J215" s="3" t="s">
        <v>381</v>
      </c>
    </row>
    <row r="216" spans="1:11" ht="14.4">
      <c r="A216" s="22" t="str">
        <f>F216&amp;(COUNTIFS(F$2:F216,F216,K$2:K216,"Sparse"))</f>
        <v>UA9</v>
      </c>
      <c r="B216" s="22" t="str">
        <f>J216&amp;(COUNTIF(J$2:J216,J216))</f>
        <v>Unitary39</v>
      </c>
      <c r="C216" t="s">
        <v>808</v>
      </c>
      <c r="D216" t="s">
        <v>808</v>
      </c>
      <c r="E216" s="25" t="s">
        <v>388</v>
      </c>
      <c r="F216" s="25" t="s">
        <v>385</v>
      </c>
      <c r="G216" s="25" t="s">
        <v>394</v>
      </c>
      <c r="H216" s="26" t="s">
        <v>895</v>
      </c>
      <c r="I216" s="27" t="s">
        <v>895</v>
      </c>
      <c r="J216" s="3" t="s">
        <v>394</v>
      </c>
    </row>
    <row r="217" spans="1:11" ht="14.4">
      <c r="A217" s="22" t="str">
        <f>F217&amp;(COUNTIFS(F$2:F217,F217,K$2:K217,"Sparse"))</f>
        <v>SD30</v>
      </c>
      <c r="B217" s="22" t="str">
        <f>J217&amp;(COUNTIF(J$2:J217,J217))</f>
        <v>Worcestershire3</v>
      </c>
      <c r="C217" t="s">
        <v>122</v>
      </c>
      <c r="D217" t="s">
        <v>122</v>
      </c>
      <c r="E217" s="25" t="s">
        <v>367</v>
      </c>
      <c r="F217" s="25" t="s">
        <v>379</v>
      </c>
      <c r="G217" s="25" t="s">
        <v>5</v>
      </c>
      <c r="H217" s="26" t="s">
        <v>382</v>
      </c>
      <c r="I217" s="27" t="s">
        <v>382</v>
      </c>
      <c r="J217" t="s">
        <v>332</v>
      </c>
    </row>
    <row r="218" spans="1:11" ht="14.4">
      <c r="A218" s="22" t="str">
        <f>F218&amp;(COUNTIFS(F$2:F218,F218,K$2:K218,"Sparse"))</f>
        <v>SD30</v>
      </c>
      <c r="B218" s="22" t="str">
        <f>J218&amp;(COUNTIF(J$2:J218,J218))</f>
        <v>Surrey5</v>
      </c>
      <c r="C218" t="s">
        <v>348</v>
      </c>
      <c r="D218" t="s">
        <v>348</v>
      </c>
      <c r="E218" s="25" t="s">
        <v>0</v>
      </c>
      <c r="F218" s="25" t="s">
        <v>379</v>
      </c>
      <c r="G218" s="25" t="s">
        <v>5</v>
      </c>
      <c r="H218" s="26" t="s">
        <v>382</v>
      </c>
      <c r="I218" s="27" t="s">
        <v>382</v>
      </c>
      <c r="J218" s="3" t="s">
        <v>329</v>
      </c>
    </row>
    <row r="219" spans="1:11" ht="14.4">
      <c r="A219" s="22" t="str">
        <f>F219&amp;(COUNTIFS(F$2:F219,F219,K$2:K219,"Sparse"))</f>
        <v>SD31</v>
      </c>
      <c r="B219" s="22" t="str">
        <f>J219&amp;(COUNTIF(J$2:J219,J219))</f>
        <v>Lancashire9</v>
      </c>
      <c r="C219" t="s">
        <v>123</v>
      </c>
      <c r="D219" t="s">
        <v>123</v>
      </c>
      <c r="E219" s="25" t="s">
        <v>374</v>
      </c>
      <c r="F219" s="25" t="s">
        <v>379</v>
      </c>
      <c r="G219" s="25" t="s">
        <v>5</v>
      </c>
      <c r="H219" s="26" t="s">
        <v>894</v>
      </c>
      <c r="I219" s="27" t="s">
        <v>380</v>
      </c>
      <c r="J219" t="s">
        <v>316</v>
      </c>
      <c r="K219" t="s">
        <v>335</v>
      </c>
    </row>
    <row r="220" spans="1:11" ht="14.4">
      <c r="A220" s="22" t="str">
        <f>F220&amp;(COUNTIFS(F$2:F220,F220,K$2:K220,"Sparse"))</f>
        <v>L0</v>
      </c>
      <c r="B220" s="22" t="str">
        <f>J220&amp;(COUNTIF(J$2:J220,J220))</f>
        <v>London27</v>
      </c>
      <c r="C220" t="s">
        <v>392</v>
      </c>
      <c r="D220" t="s">
        <v>392</v>
      </c>
      <c r="E220" s="25" t="s">
        <v>381</v>
      </c>
      <c r="F220" s="25" t="s">
        <v>358</v>
      </c>
      <c r="G220" s="25" t="s">
        <v>381</v>
      </c>
      <c r="H220" s="26" t="s">
        <v>382</v>
      </c>
      <c r="I220" s="27" t="s">
        <v>382</v>
      </c>
      <c r="J220" s="3" t="s">
        <v>381</v>
      </c>
    </row>
    <row r="221" spans="1:11" ht="14.4">
      <c r="A221" s="22" t="str">
        <f>F221&amp;(COUNTIFS(F$2:F221,F221,K$2:K221,"Sparse"))</f>
        <v>SD32</v>
      </c>
      <c r="B221" s="22" t="str">
        <f>J221&amp;(COUNTIF(J$2:J221,J221))</f>
        <v>North Yorkshire5</v>
      </c>
      <c r="C221" t="s">
        <v>124</v>
      </c>
      <c r="D221" t="s">
        <v>124</v>
      </c>
      <c r="E221" s="25" t="s">
        <v>383</v>
      </c>
      <c r="F221" s="25" t="s">
        <v>379</v>
      </c>
      <c r="G221" s="25" t="s">
        <v>5</v>
      </c>
      <c r="H221" s="26" t="s">
        <v>894</v>
      </c>
      <c r="I221" s="27" t="s">
        <v>380</v>
      </c>
      <c r="J221" t="s">
        <v>320</v>
      </c>
      <c r="K221" t="s">
        <v>335</v>
      </c>
    </row>
    <row r="222" spans="1:11" ht="14.4">
      <c r="A222" s="22" t="str">
        <f>F222&amp;(COUNTIFS(F$2:F222,F222,K$2:K222,"Sparse"))</f>
        <v>MD0</v>
      </c>
      <c r="B222" s="22" t="str">
        <f>J222&amp;(COUNTIF(J$2:J222,J222))</f>
        <v>Rochdale1</v>
      </c>
      <c r="C222" t="s">
        <v>240</v>
      </c>
      <c r="D222" t="s">
        <v>240</v>
      </c>
      <c r="E222" s="25" t="s">
        <v>374</v>
      </c>
      <c r="F222" s="25" t="s">
        <v>384</v>
      </c>
      <c r="G222" s="25" t="s">
        <v>395</v>
      </c>
      <c r="H222" s="26" t="s">
        <v>382</v>
      </c>
      <c r="I222" s="27" t="s">
        <v>382</v>
      </c>
      <c r="J222" t="s">
        <v>240</v>
      </c>
    </row>
    <row r="223" spans="1:11" ht="14.4">
      <c r="A223" s="22" t="str">
        <f>F223&amp;(COUNTIFS(F$2:F223,F223,K$2:K223,"Sparse"))</f>
        <v>SD32</v>
      </c>
      <c r="B223" s="22" t="str">
        <f>J223&amp;(COUNTIF(J$2:J223,J223))</f>
        <v>Essex11</v>
      </c>
      <c r="C223" t="s">
        <v>125</v>
      </c>
      <c r="D223" t="s">
        <v>125</v>
      </c>
      <c r="E223" s="25" t="s">
        <v>368</v>
      </c>
      <c r="F223" s="25" t="s">
        <v>379</v>
      </c>
      <c r="G223" s="25" t="s">
        <v>5</v>
      </c>
      <c r="H223" s="26" t="s">
        <v>382</v>
      </c>
      <c r="I223" s="27" t="s">
        <v>382</v>
      </c>
      <c r="J223" t="s">
        <v>311</v>
      </c>
    </row>
    <row r="224" spans="1:11" ht="14.4">
      <c r="A224" s="22" t="str">
        <f>F224&amp;(COUNTIFS(F$2:F224,F224,K$2:K224,"Sparse"))</f>
        <v>SD32</v>
      </c>
      <c r="B224" s="22" t="str">
        <f>J224&amp;(COUNTIF(J$2:J224,J224))</f>
        <v>Lancashire10</v>
      </c>
      <c r="C224" t="s">
        <v>126</v>
      </c>
      <c r="D224" t="s">
        <v>126</v>
      </c>
      <c r="E224" s="25" t="s">
        <v>374</v>
      </c>
      <c r="F224" s="25" t="s">
        <v>379</v>
      </c>
      <c r="G224" s="25" t="s">
        <v>5</v>
      </c>
      <c r="H224" s="26" t="s">
        <v>382</v>
      </c>
      <c r="I224" s="27" t="s">
        <v>382</v>
      </c>
      <c r="J224" t="s">
        <v>316</v>
      </c>
    </row>
    <row r="225" spans="1:11" ht="14.4">
      <c r="A225" s="22" t="str">
        <f>F225&amp;(COUNTIFS(F$2:F225,F225,K$2:K225,"Sparse"))</f>
        <v>SD33</v>
      </c>
      <c r="B225" s="22" t="str">
        <f>J225&amp;(COUNTIF(J$2:J225,J225))</f>
        <v>East Sussex5</v>
      </c>
      <c r="C225" t="s">
        <v>127</v>
      </c>
      <c r="D225" t="s">
        <v>127</v>
      </c>
      <c r="E225" s="25" t="s">
        <v>0</v>
      </c>
      <c r="F225" s="25" t="s">
        <v>379</v>
      </c>
      <c r="G225" s="25" t="s">
        <v>5</v>
      </c>
      <c r="H225" s="26" t="s">
        <v>894</v>
      </c>
      <c r="I225" s="27" t="s">
        <v>380</v>
      </c>
      <c r="J225" t="s">
        <v>310</v>
      </c>
      <c r="K225" t="s">
        <v>335</v>
      </c>
    </row>
    <row r="226" spans="1:11" ht="14.4">
      <c r="A226" s="22" t="str">
        <f>F226&amp;(COUNTIFS(F$2:F226,F226,K$2:K226,"Sparse"))</f>
        <v>MD0</v>
      </c>
      <c r="B226" s="22" t="str">
        <f>J226&amp;(COUNTIF(J$2:J226,J226))</f>
        <v>Rotherham1</v>
      </c>
      <c r="C226" t="s">
        <v>241</v>
      </c>
      <c r="D226" t="s">
        <v>241</v>
      </c>
      <c r="E226" s="25" t="s">
        <v>383</v>
      </c>
      <c r="F226" s="25" t="s">
        <v>384</v>
      </c>
      <c r="G226" s="25" t="s">
        <v>395</v>
      </c>
      <c r="H226" s="26" t="s">
        <v>382</v>
      </c>
      <c r="I226" s="27" t="s">
        <v>382</v>
      </c>
      <c r="J226" t="s">
        <v>241</v>
      </c>
    </row>
    <row r="227" spans="1:11" ht="14.4">
      <c r="A227" s="22" t="str">
        <f>F227&amp;(COUNTIFS(F$2:F227,F227,K$2:K227,"Sparse"))</f>
        <v>SD34</v>
      </c>
      <c r="B227" s="22" t="str">
        <f>J227&amp;(COUNTIF(J$2:J227,J227))</f>
        <v>Warwickshire3</v>
      </c>
      <c r="C227" t="s">
        <v>128</v>
      </c>
      <c r="D227" t="s">
        <v>128</v>
      </c>
      <c r="E227" s="25" t="s">
        <v>367</v>
      </c>
      <c r="F227" s="25" t="s">
        <v>379</v>
      </c>
      <c r="G227" s="25" t="s">
        <v>5</v>
      </c>
      <c r="H227" s="26" t="s">
        <v>382</v>
      </c>
      <c r="I227" s="27" t="s">
        <v>382</v>
      </c>
      <c r="J227" t="s">
        <v>330</v>
      </c>
      <c r="K227" t="s">
        <v>335</v>
      </c>
    </row>
    <row r="228" spans="1:11" ht="14.4">
      <c r="A228" s="22" t="str">
        <f>F228&amp;(COUNTIFS(F$2:F228,F228,K$2:K228,"Sparse"))</f>
        <v>SD34</v>
      </c>
      <c r="B228" s="22" t="str">
        <f>J228&amp;(COUNTIF(J$2:J228,J228))</f>
        <v>Surrey6</v>
      </c>
      <c r="C228" t="s">
        <v>129</v>
      </c>
      <c r="D228" t="s">
        <v>129</v>
      </c>
      <c r="E228" s="25" t="s">
        <v>0</v>
      </c>
      <c r="F228" s="25" t="s">
        <v>379</v>
      </c>
      <c r="G228" s="25" t="s">
        <v>5</v>
      </c>
      <c r="H228" s="26" t="s">
        <v>382</v>
      </c>
      <c r="I228" s="27" t="s">
        <v>382</v>
      </c>
      <c r="J228" t="s">
        <v>329</v>
      </c>
    </row>
    <row r="229" spans="1:11" ht="14.4">
      <c r="A229" s="22" t="str">
        <f>F229&amp;(COUNTIFS(F$2:F229,F229,K$2:K229,"Sparse"))</f>
        <v>SD34</v>
      </c>
      <c r="B229" s="22" t="str">
        <f>J229&amp;(COUNTIF(J$2:J229,J229))</f>
        <v>Nottinghamshire8</v>
      </c>
      <c r="C229" t="s">
        <v>130</v>
      </c>
      <c r="D229" t="s">
        <v>130</v>
      </c>
      <c r="E229" s="25" t="s">
        <v>366</v>
      </c>
      <c r="F229" s="25" t="s">
        <v>379</v>
      </c>
      <c r="G229" s="25" t="s">
        <v>5</v>
      </c>
      <c r="H229" s="26" t="s">
        <v>894</v>
      </c>
      <c r="I229" s="27" t="s">
        <v>380</v>
      </c>
      <c r="J229" t="s">
        <v>323</v>
      </c>
    </row>
    <row r="230" spans="1:11" ht="14.4">
      <c r="A230" s="22" t="str">
        <f>F230&amp;(COUNTIFS(F$2:F230,F230,K$2:K230,"Sparse"))</f>
        <v>SD34</v>
      </c>
      <c r="B230" s="22" t="str">
        <f>J230&amp;(COUNTIF(J$2:J230,J230))</f>
        <v>Hampshire10</v>
      </c>
      <c r="C230" t="s">
        <v>131</v>
      </c>
      <c r="D230" t="s">
        <v>131</v>
      </c>
      <c r="E230" s="25" t="s">
        <v>0</v>
      </c>
      <c r="F230" s="25" t="s">
        <v>379</v>
      </c>
      <c r="G230" s="25" t="s">
        <v>5</v>
      </c>
      <c r="H230" s="26" t="s">
        <v>382</v>
      </c>
      <c r="I230" s="27" t="s">
        <v>382</v>
      </c>
      <c r="J230" t="s">
        <v>313</v>
      </c>
    </row>
    <row r="231" spans="1:11" ht="14.4">
      <c r="A231" s="22" t="str">
        <f>F231&amp;(COUNTIFS(F$2:F231,F231,K$2:K231,"Sparse"))</f>
        <v>UA10</v>
      </c>
      <c r="B231" s="22" t="str">
        <f>J231&amp;(COUNTIF(J$2:J231,J231))</f>
        <v>Unitary40</v>
      </c>
      <c r="C231" t="s">
        <v>285</v>
      </c>
      <c r="D231" t="s">
        <v>285</v>
      </c>
      <c r="E231" s="25" t="s">
        <v>366</v>
      </c>
      <c r="F231" s="25" t="s">
        <v>385</v>
      </c>
      <c r="G231" s="25" t="s">
        <v>394</v>
      </c>
      <c r="H231" s="26" t="s">
        <v>894</v>
      </c>
      <c r="I231" s="27" t="s">
        <v>380</v>
      </c>
      <c r="J231" t="s">
        <v>394</v>
      </c>
      <c r="K231" t="s">
        <v>335</v>
      </c>
    </row>
    <row r="232" spans="1:11" ht="14.4">
      <c r="A232" s="22" t="str">
        <f>F232&amp;(COUNTIFS(F$2:F232,F232,K$2:K232,"Sparse"))</f>
        <v>SD35</v>
      </c>
      <c r="B232" s="22" t="str">
        <f>J232&amp;(COUNTIF(J$2:J232,J232))</f>
        <v>North Yorkshire6</v>
      </c>
      <c r="C232" t="s">
        <v>132</v>
      </c>
      <c r="D232" t="s">
        <v>132</v>
      </c>
      <c r="E232" s="25" t="s">
        <v>383</v>
      </c>
      <c r="F232" s="25" t="s">
        <v>379</v>
      </c>
      <c r="G232" s="25" t="s">
        <v>5</v>
      </c>
      <c r="H232" s="26" t="s">
        <v>894</v>
      </c>
      <c r="I232" s="27" t="s">
        <v>380</v>
      </c>
      <c r="J232" t="s">
        <v>320</v>
      </c>
      <c r="K232" t="s">
        <v>335</v>
      </c>
    </row>
    <row r="233" spans="1:11" ht="14.4">
      <c r="A233" s="22" t="str">
        <f>F233&amp;(COUNTIFS(F$2:F233,F233,K$2:K233,"Sparse"))</f>
        <v>MD0</v>
      </c>
      <c r="B233" s="22" t="str">
        <f>J233&amp;(COUNTIF(J$2:J233,J233))</f>
        <v>Salford1</v>
      </c>
      <c r="C233" t="s">
        <v>242</v>
      </c>
      <c r="D233" t="s">
        <v>242</v>
      </c>
      <c r="E233" s="25" t="s">
        <v>374</v>
      </c>
      <c r="F233" s="25" t="s">
        <v>384</v>
      </c>
      <c r="G233" s="25" t="s">
        <v>395</v>
      </c>
      <c r="H233" s="26" t="s">
        <v>382</v>
      </c>
      <c r="I233" s="27" t="s">
        <v>382</v>
      </c>
      <c r="J233" t="s">
        <v>242</v>
      </c>
    </row>
    <row r="234" spans="1:11" ht="14.4">
      <c r="A234" s="22" t="str">
        <f>F234&amp;(COUNTIFS(F$2:F234,F234,K$2:K234,"Sparse"))</f>
        <v>MD0</v>
      </c>
      <c r="B234" s="22" t="str">
        <f>J234&amp;(COUNTIF(J$2:J234,J234))</f>
        <v>Sandwell1</v>
      </c>
      <c r="C234" t="s">
        <v>243</v>
      </c>
      <c r="D234" t="s">
        <v>243</v>
      </c>
      <c r="E234" s="25" t="s">
        <v>367</v>
      </c>
      <c r="F234" s="25" t="s">
        <v>384</v>
      </c>
      <c r="G234" s="25" t="s">
        <v>395</v>
      </c>
      <c r="H234" s="26" t="s">
        <v>382</v>
      </c>
      <c r="I234" s="27" t="s">
        <v>382</v>
      </c>
      <c r="J234" t="s">
        <v>243</v>
      </c>
    </row>
    <row r="235" spans="1:11" ht="14.4">
      <c r="A235" s="22" t="str">
        <f>F235&amp;(COUNTIFS(F$2:F235,F235,K$2:K235,"Sparse"))</f>
        <v>SD36</v>
      </c>
      <c r="B235" s="22" t="str">
        <f>J235&amp;(COUNTIF(J$2:J235,J235))</f>
        <v>North Yorkshire7</v>
      </c>
      <c r="C235" t="s">
        <v>133</v>
      </c>
      <c r="D235" t="s">
        <v>133</v>
      </c>
      <c r="E235" s="25" t="s">
        <v>383</v>
      </c>
      <c r="F235" s="25" t="s">
        <v>379</v>
      </c>
      <c r="G235" s="25" t="s">
        <v>5</v>
      </c>
      <c r="H235" s="26" t="s">
        <v>895</v>
      </c>
      <c r="I235" s="27" t="s">
        <v>895</v>
      </c>
      <c r="J235" s="3" t="s">
        <v>320</v>
      </c>
      <c r="K235" t="s">
        <v>335</v>
      </c>
    </row>
    <row r="236" spans="1:11" ht="14.4">
      <c r="A236" s="22" t="str">
        <f>F236&amp;(COUNTIFS(F$2:F236,F236,K$2:K236,"Sparse"))</f>
        <v>SD37</v>
      </c>
      <c r="B236" s="22" t="str">
        <f>J236&amp;(COUNTIF(J$2:J236,J236))</f>
        <v>Somerset2</v>
      </c>
      <c r="C236" t="s">
        <v>134</v>
      </c>
      <c r="D236" t="s">
        <v>134</v>
      </c>
      <c r="E236" s="25" t="s">
        <v>1</v>
      </c>
      <c r="F236" s="25" t="s">
        <v>379</v>
      </c>
      <c r="G236" s="25" t="s">
        <v>5</v>
      </c>
      <c r="H236" s="26" t="s">
        <v>894</v>
      </c>
      <c r="I236" s="27" t="s">
        <v>380</v>
      </c>
      <c r="J236" t="s">
        <v>326</v>
      </c>
      <c r="K236" t="s">
        <v>335</v>
      </c>
    </row>
    <row r="237" spans="1:11" ht="14.4">
      <c r="A237" s="22" t="str">
        <f>F237&amp;(COUNTIFS(F$2:F237,F237,K$2:K237,"Sparse"))</f>
        <v>MD0</v>
      </c>
      <c r="B237" s="22" t="str">
        <f>J237&amp;(COUNTIF(J$2:J237,J237))</f>
        <v>Sefton1</v>
      </c>
      <c r="C237" t="s">
        <v>244</v>
      </c>
      <c r="D237" t="s">
        <v>244</v>
      </c>
      <c r="E237" s="25" t="s">
        <v>374</v>
      </c>
      <c r="F237" s="25" t="s">
        <v>384</v>
      </c>
      <c r="G237" s="25" t="s">
        <v>395</v>
      </c>
      <c r="H237" s="26" t="s">
        <v>382</v>
      </c>
      <c r="I237" s="27" t="s">
        <v>382</v>
      </c>
      <c r="J237" t="s">
        <v>244</v>
      </c>
    </row>
    <row r="238" spans="1:11" ht="14.4">
      <c r="A238" s="22" t="str">
        <f>F238&amp;(COUNTIFS(F$2:F238,F238,K$2:K238,"Sparse"))</f>
        <v>SD38</v>
      </c>
      <c r="B238" s="22" t="str">
        <f>J238&amp;(COUNTIF(J$2:J238,J238))</f>
        <v>North Yorkshire8</v>
      </c>
      <c r="C238" t="s">
        <v>135</v>
      </c>
      <c r="D238" t="s">
        <v>135</v>
      </c>
      <c r="E238" s="25" t="s">
        <v>383</v>
      </c>
      <c r="F238" s="25" t="s">
        <v>379</v>
      </c>
      <c r="G238" s="25" t="s">
        <v>5</v>
      </c>
      <c r="H238" s="26" t="s">
        <v>894</v>
      </c>
      <c r="I238" s="27" t="s">
        <v>380</v>
      </c>
      <c r="J238" t="s">
        <v>320</v>
      </c>
      <c r="K238" t="s">
        <v>335</v>
      </c>
    </row>
    <row r="239" spans="1:11" ht="14.4">
      <c r="A239" s="22" t="str">
        <f>F239&amp;(COUNTIFS(F$2:F239,F239,K$2:K239,"Sparse"))</f>
        <v>SD38</v>
      </c>
      <c r="B239" s="22" t="str">
        <f>J239&amp;(COUNTIF(J$2:J239,J239))</f>
        <v>Kent9</v>
      </c>
      <c r="C239" t="s">
        <v>136</v>
      </c>
      <c r="D239" t="s">
        <v>136</v>
      </c>
      <c r="E239" s="25" t="s">
        <v>0</v>
      </c>
      <c r="F239" s="25" t="s">
        <v>379</v>
      </c>
      <c r="G239" s="25" t="s">
        <v>5</v>
      </c>
      <c r="H239" s="26" t="s">
        <v>894</v>
      </c>
      <c r="I239" s="27" t="s">
        <v>380</v>
      </c>
      <c r="J239" t="s">
        <v>315</v>
      </c>
    </row>
    <row r="240" spans="1:11" ht="14.4">
      <c r="A240" s="22" t="str">
        <f>F240&amp;(COUNTIFS(F$2:F240,F240,K$2:K240,"Sparse"))</f>
        <v>MD0</v>
      </c>
      <c r="B240" s="22" t="str">
        <f>J240&amp;(COUNTIF(J$2:J240,J240))</f>
        <v>Sheffield1</v>
      </c>
      <c r="C240" t="s">
        <v>245</v>
      </c>
      <c r="D240" t="s">
        <v>245</v>
      </c>
      <c r="E240" s="25" t="s">
        <v>383</v>
      </c>
      <c r="F240" s="25" t="s">
        <v>384</v>
      </c>
      <c r="G240" s="25" t="s">
        <v>395</v>
      </c>
      <c r="H240" s="26" t="s">
        <v>382</v>
      </c>
      <c r="I240" s="27" t="s">
        <v>382</v>
      </c>
      <c r="J240" t="s">
        <v>245</v>
      </c>
    </row>
    <row r="241" spans="1:11" ht="14.4">
      <c r="A241" s="22" t="str">
        <f>F241&amp;(COUNTIFS(F$2:F241,F241,K$2:K241,"Sparse"))</f>
        <v>UA11</v>
      </c>
      <c r="B241" s="22" t="str">
        <f>J241&amp;(COUNTIF(J$2:J241,J241))</f>
        <v>Unitary41</v>
      </c>
      <c r="C241" t="s">
        <v>325</v>
      </c>
      <c r="D241" t="s">
        <v>325</v>
      </c>
      <c r="E241" s="25" t="s">
        <v>367</v>
      </c>
      <c r="F241" s="25" t="s">
        <v>385</v>
      </c>
      <c r="G241" s="25" t="s">
        <v>394</v>
      </c>
      <c r="H241" s="26" t="s">
        <v>894</v>
      </c>
      <c r="I241" s="27" t="s">
        <v>380</v>
      </c>
      <c r="J241" t="s">
        <v>394</v>
      </c>
      <c r="K241" t="s">
        <v>335</v>
      </c>
    </row>
    <row r="242" spans="1:11" ht="14.4">
      <c r="A242" s="22" t="str">
        <f>F242&amp;(COUNTIFS(F$2:F242,F242,K$2:K242,"Sparse"))</f>
        <v>UA11</v>
      </c>
      <c r="B242" s="22" t="str">
        <f>J242&amp;(COUNTIF(J$2:J242,J242))</f>
        <v>Unitary42</v>
      </c>
      <c r="C242" t="s">
        <v>286</v>
      </c>
      <c r="D242" t="s">
        <v>286</v>
      </c>
      <c r="E242" s="25" t="s">
        <v>0</v>
      </c>
      <c r="F242" s="25" t="s">
        <v>385</v>
      </c>
      <c r="G242" s="25" t="s">
        <v>394</v>
      </c>
      <c r="H242" s="26" t="s">
        <v>382</v>
      </c>
      <c r="I242" s="27" t="s">
        <v>382</v>
      </c>
      <c r="J242" t="s">
        <v>394</v>
      </c>
    </row>
    <row r="243" spans="1:11" ht="14.4">
      <c r="A243" s="22" t="str">
        <f>F243&amp;(COUNTIFS(F$2:F243,F243,K$2:K243,"Sparse"))</f>
        <v>MD0</v>
      </c>
      <c r="B243" s="22" t="str">
        <f>J243&amp;(COUNTIF(J$2:J243,J243))</f>
        <v>Solihull1</v>
      </c>
      <c r="C243" t="s">
        <v>246</v>
      </c>
      <c r="D243" t="s">
        <v>246</v>
      </c>
      <c r="E243" s="25" t="s">
        <v>367</v>
      </c>
      <c r="F243" s="25" t="s">
        <v>384</v>
      </c>
      <c r="G243" s="25" t="s">
        <v>395</v>
      </c>
      <c r="H243" s="26" t="s">
        <v>382</v>
      </c>
      <c r="I243" s="27" t="s">
        <v>382</v>
      </c>
      <c r="J243" t="s">
        <v>246</v>
      </c>
    </row>
    <row r="244" spans="1:11" ht="14.4">
      <c r="A244" s="22" t="str">
        <f>F244&amp;(COUNTIFS(F$2:F244,F244,K$2:K244,"Sparse"))</f>
        <v>SC8</v>
      </c>
      <c r="B244" s="22" t="str">
        <f>J244&amp;(COUNTIF(J$2:J244,J244))</f>
        <v>Somerset3</v>
      </c>
      <c r="C244" t="s">
        <v>326</v>
      </c>
      <c r="D244" t="s">
        <v>326</v>
      </c>
      <c r="E244" s="25" t="s">
        <v>1</v>
      </c>
      <c r="F244" s="25" t="s">
        <v>387</v>
      </c>
      <c r="G244" s="25" t="s">
        <v>301</v>
      </c>
      <c r="H244" s="26" t="s">
        <v>380</v>
      </c>
      <c r="I244" s="27" t="s">
        <v>380</v>
      </c>
      <c r="J244" t="s">
        <v>326</v>
      </c>
    </row>
    <row r="245" spans="1:11" ht="14.4">
      <c r="A245" s="22" t="str">
        <f>F245&amp;(COUNTIFS(F$2:F245,F245,K$2:K245,"Sparse"))</f>
        <v>SD39</v>
      </c>
      <c r="B245" s="22" t="str">
        <f>J245&amp;(COUNTIF(J$2:J245,J245))</f>
        <v>Somerset4</v>
      </c>
      <c r="C245" t="s">
        <v>899</v>
      </c>
      <c r="D245" t="s">
        <v>899</v>
      </c>
      <c r="E245" s="25" t="s">
        <v>1</v>
      </c>
      <c r="F245" s="25" t="s">
        <v>379</v>
      </c>
      <c r="G245" s="25" t="s">
        <v>5</v>
      </c>
      <c r="H245" s="26" t="s">
        <v>894</v>
      </c>
      <c r="I245" s="27" t="s">
        <v>380</v>
      </c>
      <c r="J245" t="s">
        <v>326</v>
      </c>
      <c r="K245" t="s">
        <v>335</v>
      </c>
    </row>
    <row r="246" spans="1:11" ht="14.4">
      <c r="A246" s="22" t="str">
        <f>F246&amp;(COUNTIFS(F$2:F246,F246,K$2:K246,"Sparse"))</f>
        <v>SD40</v>
      </c>
      <c r="B246" s="22" t="str">
        <f>J246&amp;(COUNTIF(J$2:J246,J246))</f>
        <v>Cambridgeshire6</v>
      </c>
      <c r="C246" t="s">
        <v>138</v>
      </c>
      <c r="D246" t="s">
        <v>138</v>
      </c>
      <c r="E246" s="25" t="s">
        <v>368</v>
      </c>
      <c r="F246" s="25" t="s">
        <v>379</v>
      </c>
      <c r="G246" s="25" t="s">
        <v>5</v>
      </c>
      <c r="H246" s="26" t="s">
        <v>894</v>
      </c>
      <c r="I246" s="27" t="s">
        <v>380</v>
      </c>
      <c r="J246" s="3" t="s">
        <v>302</v>
      </c>
      <c r="K246" t="s">
        <v>335</v>
      </c>
    </row>
    <row r="247" spans="1:11" ht="14.4">
      <c r="A247" s="22" t="str">
        <f>F247&amp;(COUNTIFS(F$2:F247,F247,K$2:K247,"Sparse"))</f>
        <v>SD40</v>
      </c>
      <c r="B247" s="22" t="str">
        <f>J247&amp;(COUNTIF(J$2:J247,J247))</f>
        <v>Derbyshire9</v>
      </c>
      <c r="C247" t="s">
        <v>139</v>
      </c>
      <c r="D247" t="s">
        <v>139</v>
      </c>
      <c r="E247" s="25" t="s">
        <v>366</v>
      </c>
      <c r="F247" s="25" t="s">
        <v>379</v>
      </c>
      <c r="G247" s="25" t="s">
        <v>5</v>
      </c>
      <c r="H247" s="26" t="s">
        <v>895</v>
      </c>
      <c r="I247" s="27" t="s">
        <v>895</v>
      </c>
      <c r="J247" s="3" t="s">
        <v>307</v>
      </c>
    </row>
    <row r="248" spans="1:11" ht="14.4">
      <c r="A248" s="22" t="str">
        <f>F248&amp;(COUNTIFS(F$2:F248,F248,K$2:K248,"Sparse"))</f>
        <v>UA11</v>
      </c>
      <c r="B248" s="22" t="str">
        <f>J248&amp;(COUNTIF(J$2:J248,J248))</f>
        <v>Unitary43</v>
      </c>
      <c r="C248" t="s">
        <v>287</v>
      </c>
      <c r="D248" t="s">
        <v>287</v>
      </c>
      <c r="E248" s="25" t="s">
        <v>1</v>
      </c>
      <c r="F248" s="25" t="s">
        <v>385</v>
      </c>
      <c r="G248" s="25" t="s">
        <v>394</v>
      </c>
      <c r="H248" s="26" t="s">
        <v>382</v>
      </c>
      <c r="I248" s="27" t="s">
        <v>382</v>
      </c>
      <c r="J248" t="s">
        <v>394</v>
      </c>
    </row>
    <row r="249" spans="1:11" ht="14.4">
      <c r="A249" s="22" t="str">
        <f>F249&amp;(COUNTIFS(F$2:F249,F249,K$2:K249,"Sparse"))</f>
        <v>SD41</v>
      </c>
      <c r="B249" s="22" t="str">
        <f>J249&amp;(COUNTIF(J$2:J249,J249))</f>
        <v>Devon6</v>
      </c>
      <c r="C249" s="27" t="s">
        <v>140</v>
      </c>
      <c r="D249" s="27" t="s">
        <v>140</v>
      </c>
      <c r="E249" s="25" t="s">
        <v>1</v>
      </c>
      <c r="F249" s="25" t="s">
        <v>379</v>
      </c>
      <c r="G249" s="25" t="s">
        <v>5</v>
      </c>
      <c r="H249" s="27" t="s">
        <v>894</v>
      </c>
      <c r="I249" s="27" t="s">
        <v>380</v>
      </c>
      <c r="J249" t="s">
        <v>308</v>
      </c>
      <c r="K249" t="s">
        <v>335</v>
      </c>
    </row>
    <row r="250" spans="1:11" ht="14.4">
      <c r="A250" s="22" t="str">
        <f>F250&amp;(COUNTIFS(F$2:F250,F250,K$2:K250,"Sparse"))</f>
        <v>SD42</v>
      </c>
      <c r="B250" s="22" t="str">
        <f>J250&amp;(COUNTIF(J$2:J250,J250))</f>
        <v>Lincolnshire6</v>
      </c>
      <c r="C250" t="s">
        <v>141</v>
      </c>
      <c r="D250" t="s">
        <v>141</v>
      </c>
      <c r="E250" s="25" t="s">
        <v>366</v>
      </c>
      <c r="F250" s="25" t="s">
        <v>379</v>
      </c>
      <c r="G250" s="25" t="s">
        <v>5</v>
      </c>
      <c r="H250" s="26" t="s">
        <v>894</v>
      </c>
      <c r="I250" s="27" t="s">
        <v>380</v>
      </c>
      <c r="J250" t="s">
        <v>318</v>
      </c>
      <c r="K250" t="s">
        <v>335</v>
      </c>
    </row>
    <row r="251" spans="1:11" ht="14.4">
      <c r="A251" s="22" t="str">
        <f>F251&amp;(COUNTIFS(F$2:F251,F251,K$2:K251,"Sparse"))</f>
        <v>SD43</v>
      </c>
      <c r="B251" s="22" t="str">
        <f>J251&amp;(COUNTIF(J$2:J251,J251))</f>
        <v>Lincolnshire7</v>
      </c>
      <c r="C251" t="s">
        <v>142</v>
      </c>
      <c r="D251" t="s">
        <v>142</v>
      </c>
      <c r="E251" s="25" t="s">
        <v>366</v>
      </c>
      <c r="F251" s="25" t="s">
        <v>379</v>
      </c>
      <c r="G251" s="25" t="s">
        <v>5</v>
      </c>
      <c r="H251" s="26" t="s">
        <v>894</v>
      </c>
      <c r="I251" s="27" t="s">
        <v>380</v>
      </c>
      <c r="J251" t="s">
        <v>318</v>
      </c>
      <c r="K251" t="s">
        <v>335</v>
      </c>
    </row>
    <row r="252" spans="1:11" ht="14.4">
      <c r="A252" s="22" t="str">
        <f>F252&amp;(COUNTIFS(F$2:F252,F252,K$2:K252,"Sparse"))</f>
        <v>SD44</v>
      </c>
      <c r="B252" s="22" t="str">
        <f>J252&amp;(COUNTIF(J$2:J252,J252))</f>
        <v>Cumbria7</v>
      </c>
      <c r="C252" t="s">
        <v>143</v>
      </c>
      <c r="D252" t="s">
        <v>143</v>
      </c>
      <c r="E252" s="25" t="s">
        <v>374</v>
      </c>
      <c r="F252" s="25" t="s">
        <v>379</v>
      </c>
      <c r="G252" s="25" t="s">
        <v>5</v>
      </c>
      <c r="H252" s="26" t="s">
        <v>894</v>
      </c>
      <c r="I252" s="27" t="s">
        <v>380</v>
      </c>
      <c r="J252" t="s">
        <v>306</v>
      </c>
      <c r="K252" t="s">
        <v>335</v>
      </c>
    </row>
    <row r="253" spans="1:11" ht="14.4">
      <c r="A253" s="22" t="str">
        <f>F253&amp;(COUNTIFS(F$2:F253,F253,K$2:K253,"Sparse"))</f>
        <v>SD45</v>
      </c>
      <c r="B253" s="22" t="str">
        <f>J253&amp;(COUNTIF(J$2:J253,J253))</f>
        <v>Norfolk8</v>
      </c>
      <c r="C253" t="s">
        <v>144</v>
      </c>
      <c r="D253" t="s">
        <v>144</v>
      </c>
      <c r="E253" s="25" t="s">
        <v>368</v>
      </c>
      <c r="F253" s="25" t="s">
        <v>379</v>
      </c>
      <c r="G253" s="25" t="s">
        <v>5</v>
      </c>
      <c r="H253" s="26" t="s">
        <v>894</v>
      </c>
      <c r="I253" s="27" t="s">
        <v>380</v>
      </c>
      <c r="J253" s="3" t="s">
        <v>319</v>
      </c>
      <c r="K253" t="s">
        <v>335</v>
      </c>
    </row>
    <row r="254" spans="1:11" ht="14.4">
      <c r="A254" s="22" t="str">
        <f>F254&amp;(COUNTIFS(F$2:F254,F254,K$2:K254,"Sparse"))</f>
        <v>SD46</v>
      </c>
      <c r="B254" s="22" t="str">
        <f>J254&amp;(COUNTIF(J$2:J254,J254))</f>
        <v>Oxfordshire4</v>
      </c>
      <c r="C254" t="s">
        <v>146</v>
      </c>
      <c r="D254" t="s">
        <v>146</v>
      </c>
      <c r="E254" s="25" t="s">
        <v>0</v>
      </c>
      <c r="F254" s="25" t="s">
        <v>379</v>
      </c>
      <c r="G254" s="25" t="s">
        <v>5</v>
      </c>
      <c r="H254" s="26" t="s">
        <v>894</v>
      </c>
      <c r="I254" s="27" t="s">
        <v>380</v>
      </c>
      <c r="J254" t="s">
        <v>324</v>
      </c>
      <c r="K254" t="s">
        <v>335</v>
      </c>
    </row>
    <row r="255" spans="1:11" ht="14.4">
      <c r="A255" s="22" t="str">
        <f>F255&amp;(COUNTIFS(F$2:F255,F255,K$2:K255,"Sparse"))</f>
        <v>SD46</v>
      </c>
      <c r="B255" s="22" t="str">
        <f>J255&amp;(COUNTIF(J$2:J255,J255))</f>
        <v>Lancashire11</v>
      </c>
      <c r="C255" t="s">
        <v>147</v>
      </c>
      <c r="D255" t="s">
        <v>147</v>
      </c>
      <c r="E255" s="25" t="s">
        <v>374</v>
      </c>
      <c r="F255" s="25" t="s">
        <v>379</v>
      </c>
      <c r="G255" s="25" t="s">
        <v>5</v>
      </c>
      <c r="H255" s="26" t="s">
        <v>382</v>
      </c>
      <c r="I255" s="27" t="s">
        <v>382</v>
      </c>
      <c r="J255" t="s">
        <v>316</v>
      </c>
    </row>
    <row r="256" spans="1:11" ht="14.4">
      <c r="A256" s="22" t="str">
        <f>F256&amp;(COUNTIFS(F$2:F256,F256,K$2:K256,"Sparse"))</f>
        <v>SD47</v>
      </c>
      <c r="B256" s="22" t="str">
        <f>J256&amp;(COUNTIF(J$2:J256,J256))</f>
        <v>Somerset5</v>
      </c>
      <c r="C256" t="s">
        <v>148</v>
      </c>
      <c r="D256" t="s">
        <v>148</v>
      </c>
      <c r="E256" s="25" t="s">
        <v>1</v>
      </c>
      <c r="F256" s="25" t="s">
        <v>379</v>
      </c>
      <c r="G256" s="25" t="s">
        <v>5</v>
      </c>
      <c r="H256" s="26" t="s">
        <v>894</v>
      </c>
      <c r="I256" s="27" t="s">
        <v>380</v>
      </c>
      <c r="J256" t="s">
        <v>326</v>
      </c>
      <c r="K256" t="s">
        <v>335</v>
      </c>
    </row>
    <row r="257" spans="1:11" ht="14.4">
      <c r="A257" s="22" t="str">
        <f>F257&amp;(COUNTIFS(F$2:F257,F257,K$2:K257,"Sparse"))</f>
        <v>SD47</v>
      </c>
      <c r="B257" s="22" t="str">
        <f>J257&amp;(COUNTIF(J$2:J257,J257))</f>
        <v>Staffordshire5</v>
      </c>
      <c r="C257" t="s">
        <v>149</v>
      </c>
      <c r="D257" t="s">
        <v>149</v>
      </c>
      <c r="E257" s="25" t="s">
        <v>367</v>
      </c>
      <c r="F257" s="25" t="s">
        <v>379</v>
      </c>
      <c r="G257" s="25" t="s">
        <v>5</v>
      </c>
      <c r="H257" s="26" t="s">
        <v>895</v>
      </c>
      <c r="I257" s="27" t="s">
        <v>895</v>
      </c>
      <c r="J257" t="s">
        <v>327</v>
      </c>
    </row>
    <row r="258" spans="1:11" ht="14.4">
      <c r="A258" s="22" t="str">
        <f>F258&amp;(COUNTIFS(F$2:F258,F258,K$2:K258,"Sparse"))</f>
        <v>MD0</v>
      </c>
      <c r="B258" s="22" t="str">
        <f>J258&amp;(COUNTIF(J$2:J258,J258))</f>
        <v>South Tyneside1</v>
      </c>
      <c r="C258" t="s">
        <v>247</v>
      </c>
      <c r="D258" t="s">
        <v>247</v>
      </c>
      <c r="E258" s="25" t="s">
        <v>388</v>
      </c>
      <c r="F258" s="25" t="s">
        <v>384</v>
      </c>
      <c r="G258" s="25" t="s">
        <v>395</v>
      </c>
      <c r="H258" s="26" t="s">
        <v>382</v>
      </c>
      <c r="I258" s="27" t="s">
        <v>382</v>
      </c>
      <c r="J258" t="s">
        <v>247</v>
      </c>
    </row>
    <row r="259" spans="1:11" ht="14.4">
      <c r="A259" s="22" t="str">
        <f>F259&amp;(COUNTIFS(F$2:F259,F259,K$2:K259,"Sparse"))</f>
        <v>UA11</v>
      </c>
      <c r="B259" s="22" t="str">
        <f>J259&amp;(COUNTIF(J$2:J259,J259))</f>
        <v>Unitary44</v>
      </c>
      <c r="C259" t="s">
        <v>288</v>
      </c>
      <c r="D259" t="s">
        <v>288</v>
      </c>
      <c r="E259" s="25" t="s">
        <v>0</v>
      </c>
      <c r="F259" s="25" t="s">
        <v>385</v>
      </c>
      <c r="G259" s="25" t="s">
        <v>394</v>
      </c>
      <c r="H259" s="26" t="s">
        <v>382</v>
      </c>
      <c r="I259" s="27" t="s">
        <v>382</v>
      </c>
      <c r="J259" t="s">
        <v>394</v>
      </c>
    </row>
    <row r="260" spans="1:11" ht="14.4">
      <c r="A260" s="22" t="str">
        <f>F260&amp;(COUNTIFS(F$2:F260,F260,K$2:K260,"Sparse"))</f>
        <v>UA11</v>
      </c>
      <c r="B260" s="22" t="str">
        <f>J260&amp;(COUNTIF(J$2:J260,J260))</f>
        <v>Unitary45</v>
      </c>
      <c r="C260" t="s">
        <v>289</v>
      </c>
      <c r="D260" t="s">
        <v>289</v>
      </c>
      <c r="E260" s="25" t="s">
        <v>368</v>
      </c>
      <c r="F260" s="25" t="s">
        <v>385</v>
      </c>
      <c r="G260" s="25" t="s">
        <v>394</v>
      </c>
      <c r="H260" s="26" t="s">
        <v>382</v>
      </c>
      <c r="I260" s="27" t="s">
        <v>382</v>
      </c>
      <c r="J260" t="s">
        <v>394</v>
      </c>
    </row>
    <row r="261" spans="1:11" ht="14.4">
      <c r="A261" s="22" t="str">
        <f>F261&amp;(COUNTIFS(F$2:F261,F261,K$2:K261,"Sparse"))</f>
        <v>L0</v>
      </c>
      <c r="B261" s="22" t="str">
        <f>J261&amp;(COUNTIF(J$2:J261,J261))</f>
        <v>London28</v>
      </c>
      <c r="C261" t="s">
        <v>217</v>
      </c>
      <c r="D261" t="s">
        <v>217</v>
      </c>
      <c r="E261" s="25" t="s">
        <v>381</v>
      </c>
      <c r="F261" s="25" t="s">
        <v>358</v>
      </c>
      <c r="G261" s="25" t="s">
        <v>381</v>
      </c>
      <c r="H261" s="26" t="s">
        <v>382</v>
      </c>
      <c r="I261" s="27" t="s">
        <v>382</v>
      </c>
      <c r="J261" t="s">
        <v>381</v>
      </c>
    </row>
    <row r="262" spans="1:11" ht="14.4">
      <c r="A262" s="22" t="str">
        <f>F262&amp;(COUNTIFS(F$2:F262,F262,K$2:K262,"Sparse"))</f>
        <v>SD47</v>
      </c>
      <c r="B262" s="22" t="str">
        <f>J262&amp;(COUNTIF(J$2:J262,J262))</f>
        <v>Surrey7</v>
      </c>
      <c r="C262" t="s">
        <v>150</v>
      </c>
      <c r="D262" t="s">
        <v>150</v>
      </c>
      <c r="E262" s="25" t="s">
        <v>0</v>
      </c>
      <c r="F262" s="25" t="s">
        <v>379</v>
      </c>
      <c r="G262" s="25" t="s">
        <v>5</v>
      </c>
      <c r="H262" s="26" t="s">
        <v>382</v>
      </c>
      <c r="I262" s="27" t="s">
        <v>382</v>
      </c>
      <c r="J262" t="s">
        <v>329</v>
      </c>
    </row>
    <row r="263" spans="1:11" ht="14.4">
      <c r="A263" s="22" t="str">
        <f>F263&amp;(COUNTIFS(F$2:F263,F263,K$2:K263,"Sparse"))</f>
        <v>SD47</v>
      </c>
      <c r="B263" s="22" t="str">
        <f>J263&amp;(COUNTIF(J$2:J263,J263))</f>
        <v>Hertfordshire7</v>
      </c>
      <c r="C263" t="s">
        <v>151</v>
      </c>
      <c r="D263" t="s">
        <v>151</v>
      </c>
      <c r="E263" s="25" t="s">
        <v>368</v>
      </c>
      <c r="F263" s="25" t="s">
        <v>379</v>
      </c>
      <c r="G263" s="25" t="s">
        <v>5</v>
      </c>
      <c r="H263" s="26" t="s">
        <v>382</v>
      </c>
      <c r="I263" s="27" t="s">
        <v>382</v>
      </c>
      <c r="J263" t="s">
        <v>314</v>
      </c>
    </row>
    <row r="264" spans="1:11" ht="14.4">
      <c r="A264" s="22" t="str">
        <f>F264&amp;(COUNTIFS(F$2:F264,F264,K$2:K264,"Sparse"))</f>
        <v>MD0</v>
      </c>
      <c r="B264" s="22" t="str">
        <f>J264&amp;(COUNTIF(J$2:J264,J264))</f>
        <v>St Helens1</v>
      </c>
      <c r="C264" t="s">
        <v>248</v>
      </c>
      <c r="D264" t="s">
        <v>393</v>
      </c>
      <c r="E264" s="25" t="s">
        <v>374</v>
      </c>
      <c r="F264" s="25" t="s">
        <v>384</v>
      </c>
      <c r="G264" s="25" t="s">
        <v>395</v>
      </c>
      <c r="H264" s="26" t="s">
        <v>382</v>
      </c>
      <c r="I264" s="27" t="s">
        <v>382</v>
      </c>
      <c r="J264" t="s">
        <v>248</v>
      </c>
    </row>
    <row r="265" spans="1:11" ht="14.4">
      <c r="A265" s="22" t="str">
        <f>F265&amp;(COUNTIFS(F$2:F265,F265,K$2:K265,"Sparse"))</f>
        <v>SD48</v>
      </c>
      <c r="B265" s="22" t="str">
        <f>J265&amp;(COUNTIF(J$2:J265,J265))</f>
        <v>Staffordshire6</v>
      </c>
      <c r="C265" t="s">
        <v>153</v>
      </c>
      <c r="D265" t="s">
        <v>153</v>
      </c>
      <c r="E265" s="25" t="s">
        <v>367</v>
      </c>
      <c r="F265" s="25" t="s">
        <v>379</v>
      </c>
      <c r="G265" s="25" t="s">
        <v>5</v>
      </c>
      <c r="H265" s="26" t="s">
        <v>895</v>
      </c>
      <c r="I265" s="27" t="s">
        <v>895</v>
      </c>
      <c r="J265" s="3" t="s">
        <v>327</v>
      </c>
      <c r="K265" t="s">
        <v>335</v>
      </c>
    </row>
    <row r="266" spans="1:11" ht="14.4">
      <c r="A266" s="22" t="str">
        <f>F266&amp;(COUNTIFS(F$2:F266,F266,K$2:K266,"Sparse"))</f>
        <v>SC9</v>
      </c>
      <c r="B266" s="22" t="str">
        <f>J266&amp;(COUNTIF(J$2:J266,J266))</f>
        <v>Staffordshire7</v>
      </c>
      <c r="C266" t="s">
        <v>327</v>
      </c>
      <c r="D266" t="s">
        <v>327</v>
      </c>
      <c r="E266" s="25" t="s">
        <v>367</v>
      </c>
      <c r="F266" s="25" t="s">
        <v>387</v>
      </c>
      <c r="G266" s="25" t="s">
        <v>301</v>
      </c>
      <c r="H266" s="26" t="s">
        <v>895</v>
      </c>
      <c r="I266" s="27" t="s">
        <v>895</v>
      </c>
      <c r="J266" s="3" t="s">
        <v>327</v>
      </c>
      <c r="K266" t="s">
        <v>335</v>
      </c>
    </row>
    <row r="267" spans="1:11" ht="14.4">
      <c r="A267" s="22" t="str">
        <f>F267&amp;(COUNTIFS(F$2:F267,F267,K$2:K267,"Sparse"))</f>
        <v>SD48</v>
      </c>
      <c r="B267" s="22" t="str">
        <f>J267&amp;(COUNTIF(J$2:J267,J267))</f>
        <v>Staffordshire8</v>
      </c>
      <c r="C267" t="s">
        <v>154</v>
      </c>
      <c r="D267" t="s">
        <v>154</v>
      </c>
      <c r="E267" s="25" t="s">
        <v>367</v>
      </c>
      <c r="F267" s="25" t="s">
        <v>379</v>
      </c>
      <c r="G267" s="25" t="s">
        <v>5</v>
      </c>
      <c r="H267" s="26" t="s">
        <v>894</v>
      </c>
      <c r="I267" s="27" t="s">
        <v>380</v>
      </c>
      <c r="J267" t="s">
        <v>327</v>
      </c>
    </row>
    <row r="268" spans="1:11" ht="14.4">
      <c r="A268" s="22" t="str">
        <f>F268&amp;(COUNTIFS(F$2:F268,F268,K$2:K268,"Sparse"))</f>
        <v>SD48</v>
      </c>
      <c r="B268" s="22" t="str">
        <f>J268&amp;(COUNTIF(J$2:J268,J268))</f>
        <v>Hertfordshire8</v>
      </c>
      <c r="C268" t="s">
        <v>155</v>
      </c>
      <c r="D268" t="s">
        <v>155</v>
      </c>
      <c r="E268" s="25" t="s">
        <v>368</v>
      </c>
      <c r="F268" s="25" t="s">
        <v>379</v>
      </c>
      <c r="G268" s="25" t="s">
        <v>5</v>
      </c>
      <c r="H268" s="26" t="s">
        <v>382</v>
      </c>
      <c r="I268" s="27" t="s">
        <v>382</v>
      </c>
      <c r="J268" t="s">
        <v>314</v>
      </c>
    </row>
    <row r="269" spans="1:11" ht="14.4">
      <c r="A269" s="22" t="str">
        <f>F269&amp;(COUNTIFS(F$2:F269,F269,K$2:K269,"Sparse"))</f>
        <v>MD0</v>
      </c>
      <c r="B269" s="22" t="str">
        <f>J269&amp;(COUNTIF(J$2:J269,J269))</f>
        <v>Stockport1</v>
      </c>
      <c r="C269" t="s">
        <v>249</v>
      </c>
      <c r="D269" t="s">
        <v>249</v>
      </c>
      <c r="E269" s="25" t="s">
        <v>374</v>
      </c>
      <c r="F269" s="25" t="s">
        <v>384</v>
      </c>
      <c r="G269" s="25" t="s">
        <v>395</v>
      </c>
      <c r="H269" s="26" t="s">
        <v>382</v>
      </c>
      <c r="I269" s="27" t="s">
        <v>382</v>
      </c>
      <c r="J269" t="s">
        <v>249</v>
      </c>
    </row>
    <row r="270" spans="1:11" ht="14.4">
      <c r="A270" s="22" t="str">
        <f>F270&amp;(COUNTIFS(F$2:F270,F270,K$2:K270,"Sparse"))</f>
        <v>UA11</v>
      </c>
      <c r="B270" s="22" t="str">
        <f>J270&amp;(COUNTIF(J$2:J270,J270))</f>
        <v>Unitary46</v>
      </c>
      <c r="C270" t="s">
        <v>290</v>
      </c>
      <c r="D270" t="s">
        <v>290</v>
      </c>
      <c r="E270" s="25" t="s">
        <v>388</v>
      </c>
      <c r="F270" s="25" t="s">
        <v>385</v>
      </c>
      <c r="G270" s="25" t="s">
        <v>394</v>
      </c>
      <c r="H270" s="26" t="s">
        <v>382</v>
      </c>
      <c r="I270" s="27" t="s">
        <v>382</v>
      </c>
      <c r="J270" t="s">
        <v>394</v>
      </c>
    </row>
    <row r="271" spans="1:11" ht="14.4">
      <c r="A271" s="22" t="str">
        <f>F271&amp;(COUNTIFS(F$2:F271,F271,K$2:K271,"Sparse"))</f>
        <v>UA11</v>
      </c>
      <c r="B271" s="22" t="str">
        <f>J271&amp;(COUNTIF(J$2:J271,J271))</f>
        <v>Unitary47</v>
      </c>
      <c r="C271" t="s">
        <v>291</v>
      </c>
      <c r="D271" t="s">
        <v>291</v>
      </c>
      <c r="E271" s="25" t="s">
        <v>367</v>
      </c>
      <c r="F271" s="25" t="s">
        <v>385</v>
      </c>
      <c r="G271" s="25" t="s">
        <v>394</v>
      </c>
      <c r="H271" s="26" t="s">
        <v>382</v>
      </c>
      <c r="I271" s="27" t="s">
        <v>382</v>
      </c>
      <c r="J271" t="s">
        <v>394</v>
      </c>
    </row>
    <row r="272" spans="1:11" ht="14.4">
      <c r="A272" s="22" t="str">
        <f>F272&amp;(COUNTIFS(F$2:F272,F272,K$2:K272,"Sparse"))</f>
        <v>SD49</v>
      </c>
      <c r="B272" s="22" t="str">
        <f>J272&amp;(COUNTIF(J$2:J272,J272))</f>
        <v>Warwickshire4</v>
      </c>
      <c r="C272" s="27" t="s">
        <v>156</v>
      </c>
      <c r="D272" s="27" t="s">
        <v>156</v>
      </c>
      <c r="E272" s="25" t="s">
        <v>367</v>
      </c>
      <c r="F272" s="25" t="s">
        <v>379</v>
      </c>
      <c r="G272" s="25" t="s">
        <v>5</v>
      </c>
      <c r="H272" s="27" t="s">
        <v>894</v>
      </c>
      <c r="I272" s="27" t="s">
        <v>380</v>
      </c>
      <c r="J272" t="s">
        <v>330</v>
      </c>
      <c r="K272" t="s">
        <v>335</v>
      </c>
    </row>
    <row r="273" spans="1:11" ht="14.4">
      <c r="A273" s="22" t="str">
        <f>F273&amp;(COUNTIFS(F$2:F273,F273,K$2:K273,"Sparse"))</f>
        <v>SD50</v>
      </c>
      <c r="B273" s="22" t="str">
        <f>J273&amp;(COUNTIF(J$2:J273,J273))</f>
        <v>Gloucestershire6</v>
      </c>
      <c r="C273" t="s">
        <v>157</v>
      </c>
      <c r="D273" t="s">
        <v>157</v>
      </c>
      <c r="E273" s="25" t="s">
        <v>1</v>
      </c>
      <c r="F273" s="25" t="s">
        <v>379</v>
      </c>
      <c r="G273" s="25" t="s">
        <v>5</v>
      </c>
      <c r="H273" s="26" t="s">
        <v>895</v>
      </c>
      <c r="I273" s="27" t="s">
        <v>895</v>
      </c>
      <c r="J273" t="s">
        <v>312</v>
      </c>
      <c r="K273" t="s">
        <v>335</v>
      </c>
    </row>
    <row r="274" spans="1:11" ht="14.4">
      <c r="A274" s="22" t="str">
        <f>F274&amp;(COUNTIFS(F$2:F274,F274,K$2:K274,"Sparse"))</f>
        <v>SC10</v>
      </c>
      <c r="B274" s="22" t="str">
        <f>J274&amp;(COUNTIF(J$2:J274,J274))</f>
        <v>Suffolk5</v>
      </c>
      <c r="C274" t="s">
        <v>328</v>
      </c>
      <c r="D274" t="s">
        <v>328</v>
      </c>
      <c r="E274" s="25" t="s">
        <v>368</v>
      </c>
      <c r="F274" s="25" t="s">
        <v>387</v>
      </c>
      <c r="G274" s="25" t="s">
        <v>301</v>
      </c>
      <c r="H274" s="26" t="s">
        <v>380</v>
      </c>
      <c r="I274" s="27" t="s">
        <v>380</v>
      </c>
      <c r="J274" t="s">
        <v>328</v>
      </c>
      <c r="K274" t="s">
        <v>335</v>
      </c>
    </row>
    <row r="275" spans="1:11" ht="14.4">
      <c r="A275" s="22" t="str">
        <f>F275&amp;(COUNTIFS(F$2:F275,F275,K$2:K275,"Sparse"))</f>
        <v>MD0</v>
      </c>
      <c r="B275" s="22" t="str">
        <f>J275&amp;(COUNTIF(J$2:J275,J275))</f>
        <v>Sunderland1</v>
      </c>
      <c r="C275" t="s">
        <v>250</v>
      </c>
      <c r="D275" t="s">
        <v>250</v>
      </c>
      <c r="E275" s="25" t="s">
        <v>388</v>
      </c>
      <c r="F275" s="25" t="s">
        <v>384</v>
      </c>
      <c r="G275" s="25" t="s">
        <v>395</v>
      </c>
      <c r="H275" s="26" t="s">
        <v>382</v>
      </c>
      <c r="I275" s="27" t="s">
        <v>382</v>
      </c>
      <c r="J275" t="s">
        <v>250</v>
      </c>
    </row>
    <row r="276" spans="1:11" ht="14.4">
      <c r="A276" s="22" t="str">
        <f>F276&amp;(COUNTIFS(F$2:F276,F276,K$2:K276,"Sparse"))</f>
        <v>SC10</v>
      </c>
      <c r="B276" s="22" t="str">
        <f>J276&amp;(COUNTIF(J$2:J276,J276))</f>
        <v>Surrey8</v>
      </c>
      <c r="C276" t="s">
        <v>329</v>
      </c>
      <c r="D276" t="s">
        <v>329</v>
      </c>
      <c r="E276" s="25" t="s">
        <v>0</v>
      </c>
      <c r="F276" s="25" t="s">
        <v>387</v>
      </c>
      <c r="G276" s="25" t="s">
        <v>301</v>
      </c>
      <c r="H276" s="26" t="s">
        <v>382</v>
      </c>
      <c r="I276" s="27" t="s">
        <v>382</v>
      </c>
      <c r="J276" s="3" t="s">
        <v>329</v>
      </c>
    </row>
    <row r="277" spans="1:11" ht="14.4">
      <c r="A277" s="22" t="str">
        <f>F277&amp;(COUNTIFS(F$2:F277,F277,K$2:K277,"Sparse"))</f>
        <v>SD50</v>
      </c>
      <c r="B277" s="22" t="str">
        <f>J277&amp;(COUNTIF(J$2:J277,J277))</f>
        <v>Surrey9</v>
      </c>
      <c r="C277" t="s">
        <v>159</v>
      </c>
      <c r="D277" t="s">
        <v>159</v>
      </c>
      <c r="E277" s="25" t="s">
        <v>0</v>
      </c>
      <c r="F277" s="25" t="s">
        <v>379</v>
      </c>
      <c r="G277" s="25" t="s">
        <v>5</v>
      </c>
      <c r="H277" s="26" t="s">
        <v>382</v>
      </c>
      <c r="I277" s="27" t="s">
        <v>382</v>
      </c>
      <c r="J277" s="3" t="s">
        <v>329</v>
      </c>
    </row>
    <row r="278" spans="1:11" ht="14.4">
      <c r="A278" s="22" t="str">
        <f>F278&amp;(COUNTIFS(F$2:F278,F278,K$2:K278,"Sparse"))</f>
        <v>L0</v>
      </c>
      <c r="B278" s="22" t="str">
        <f>J278&amp;(COUNTIF(J$2:J278,J278))</f>
        <v>London29</v>
      </c>
      <c r="C278" t="s">
        <v>218</v>
      </c>
      <c r="D278" t="s">
        <v>218</v>
      </c>
      <c r="E278" s="25" t="s">
        <v>381</v>
      </c>
      <c r="F278" s="25" t="s">
        <v>358</v>
      </c>
      <c r="G278" s="25" t="s">
        <v>381</v>
      </c>
      <c r="H278" s="26" t="s">
        <v>382</v>
      </c>
      <c r="I278" s="27" t="s">
        <v>382</v>
      </c>
      <c r="J278" t="s">
        <v>381</v>
      </c>
    </row>
    <row r="279" spans="1:11" ht="14.4">
      <c r="A279" s="22" t="str">
        <f>F279&amp;(COUNTIFS(F$2:F279,F279,K$2:K279,"Sparse"))</f>
        <v>SD50</v>
      </c>
      <c r="B279" s="22" t="str">
        <f>J279&amp;(COUNTIF(J$2:J279,J279))</f>
        <v>Kent10</v>
      </c>
      <c r="C279" t="s">
        <v>160</v>
      </c>
      <c r="D279" t="s">
        <v>160</v>
      </c>
      <c r="E279" s="25" t="s">
        <v>0</v>
      </c>
      <c r="F279" s="25" t="s">
        <v>379</v>
      </c>
      <c r="G279" s="25" t="s">
        <v>5</v>
      </c>
      <c r="H279" s="26" t="s">
        <v>894</v>
      </c>
      <c r="I279" s="27" t="s">
        <v>380</v>
      </c>
      <c r="J279" t="s">
        <v>315</v>
      </c>
    </row>
    <row r="280" spans="1:11" ht="14.4">
      <c r="A280" s="22" t="str">
        <f>F280&amp;(COUNTIFS(F$2:F280,F280,K$2:K280,"Sparse"))</f>
        <v>UA11</v>
      </c>
      <c r="B280" s="22" t="str">
        <f>J280&amp;(COUNTIF(J$2:J280,J280))</f>
        <v>Unitary48</v>
      </c>
      <c r="C280" s="27" t="s">
        <v>292</v>
      </c>
      <c r="D280" s="27" t="s">
        <v>292</v>
      </c>
      <c r="E280" s="25" t="s">
        <v>1</v>
      </c>
      <c r="F280" s="25" t="s">
        <v>385</v>
      </c>
      <c r="G280" s="25" t="s">
        <v>394</v>
      </c>
      <c r="H280" s="27" t="s">
        <v>382</v>
      </c>
      <c r="I280" s="27" t="s">
        <v>382</v>
      </c>
      <c r="J280" t="s">
        <v>394</v>
      </c>
    </row>
    <row r="281" spans="1:11" ht="14.4">
      <c r="A281" s="22" t="str">
        <f>F281&amp;(COUNTIFS(F$2:F281,F281,K$2:K281,"Sparse"))</f>
        <v>MD0</v>
      </c>
      <c r="B281" s="22" t="str">
        <f>J281&amp;(COUNTIF(J$2:J281,J281))</f>
        <v>Tameside1</v>
      </c>
      <c r="C281" t="s">
        <v>251</v>
      </c>
      <c r="D281" t="s">
        <v>251</v>
      </c>
      <c r="E281" s="25" t="s">
        <v>374</v>
      </c>
      <c r="F281" s="25" t="s">
        <v>384</v>
      </c>
      <c r="G281" s="25" t="s">
        <v>395</v>
      </c>
      <c r="H281" s="26" t="s">
        <v>382</v>
      </c>
      <c r="I281" s="27" t="s">
        <v>382</v>
      </c>
      <c r="J281" t="s">
        <v>251</v>
      </c>
    </row>
    <row r="282" spans="1:11" ht="14.4">
      <c r="A282" s="22" t="str">
        <f>F282&amp;(COUNTIFS(F$2:F282,F282,K$2:K282,"Sparse"))</f>
        <v>SD50</v>
      </c>
      <c r="B282" s="22" t="str">
        <f>J282&amp;(COUNTIF(J$2:J282,J282))</f>
        <v>Staffordshire9</v>
      </c>
      <c r="C282" s="27" t="s">
        <v>161</v>
      </c>
      <c r="D282" s="27" t="s">
        <v>161</v>
      </c>
      <c r="E282" s="25" t="s">
        <v>367</v>
      </c>
      <c r="F282" s="25" t="s">
        <v>379</v>
      </c>
      <c r="G282" s="25" t="s">
        <v>5</v>
      </c>
      <c r="H282" s="27" t="s">
        <v>382</v>
      </c>
      <c r="I282" s="27" t="s">
        <v>382</v>
      </c>
      <c r="J282" t="s">
        <v>327</v>
      </c>
    </row>
    <row r="283" spans="1:11" ht="14.4">
      <c r="A283" s="22" t="str">
        <f>F283&amp;(COUNTIFS(F$2:F283,F283,K$2:K283,"Sparse"))</f>
        <v>SD50</v>
      </c>
      <c r="B283" s="22" t="str">
        <f>J283&amp;(COUNTIF(J$2:J283,J283))</f>
        <v>Surrey10</v>
      </c>
      <c r="C283" t="s">
        <v>162</v>
      </c>
      <c r="D283" t="s">
        <v>162</v>
      </c>
      <c r="E283" s="25" t="s">
        <v>0</v>
      </c>
      <c r="F283" s="25" t="s">
        <v>379</v>
      </c>
      <c r="G283" s="25" t="s">
        <v>5</v>
      </c>
      <c r="H283" s="26" t="s">
        <v>895</v>
      </c>
      <c r="I283" s="27" t="s">
        <v>895</v>
      </c>
      <c r="J283" t="s">
        <v>329</v>
      </c>
    </row>
    <row r="284" spans="1:11" ht="14.4">
      <c r="A284" s="22" t="str">
        <f>F284&amp;(COUNTIFS(F$2:F284,F284,K$2:K284,"Sparse"))</f>
        <v>SD51</v>
      </c>
      <c r="B284" s="22" t="str">
        <f>J284&amp;(COUNTIF(J$2:J284,J284))</f>
        <v>Devon7</v>
      </c>
      <c r="C284" t="s">
        <v>164</v>
      </c>
      <c r="D284" t="s">
        <v>164</v>
      </c>
      <c r="E284" s="25" t="s">
        <v>1</v>
      </c>
      <c r="F284" s="25" t="s">
        <v>379</v>
      </c>
      <c r="G284" s="25" t="s">
        <v>5</v>
      </c>
      <c r="H284" s="26" t="s">
        <v>894</v>
      </c>
      <c r="I284" s="27" t="s">
        <v>380</v>
      </c>
      <c r="J284" t="s">
        <v>308</v>
      </c>
      <c r="K284" t="s">
        <v>335</v>
      </c>
    </row>
    <row r="285" spans="1:11" ht="14.4">
      <c r="A285" s="22" t="str">
        <f>F285&amp;(COUNTIFS(F$2:F285,F285,K$2:K285,"Sparse"))</f>
        <v>UA11</v>
      </c>
      <c r="B285" s="22" t="str">
        <f>J285&amp;(COUNTIF(J$2:J285,J285))</f>
        <v>Unitary49</v>
      </c>
      <c r="C285" t="s">
        <v>814</v>
      </c>
      <c r="D285" t="s">
        <v>814</v>
      </c>
      <c r="E285" s="25" t="s">
        <v>367</v>
      </c>
      <c r="F285" s="25" t="s">
        <v>385</v>
      </c>
      <c r="G285" s="25" t="s">
        <v>394</v>
      </c>
      <c r="H285" s="26" t="s">
        <v>382</v>
      </c>
      <c r="I285" s="27" t="s">
        <v>382</v>
      </c>
      <c r="J285" t="s">
        <v>394</v>
      </c>
    </row>
    <row r="286" spans="1:11" ht="14.4">
      <c r="A286" s="22" t="str">
        <f>F286&amp;(COUNTIFS(F$2:F286,F286,K$2:K286,"Sparse"))</f>
        <v>SD51</v>
      </c>
      <c r="B286" s="22" t="str">
        <f>J286&amp;(COUNTIF(J$2:J286,J286))</f>
        <v>Essex12</v>
      </c>
      <c r="C286" t="s">
        <v>165</v>
      </c>
      <c r="D286" t="s">
        <v>165</v>
      </c>
      <c r="E286" s="25" t="s">
        <v>368</v>
      </c>
      <c r="F286" s="25" t="s">
        <v>379</v>
      </c>
      <c r="G286" s="25" t="s">
        <v>5</v>
      </c>
      <c r="H286" s="26" t="s">
        <v>894</v>
      </c>
      <c r="I286" s="27" t="s">
        <v>380</v>
      </c>
      <c r="J286" s="3" t="s">
        <v>311</v>
      </c>
    </row>
    <row r="287" spans="1:11" ht="14.4">
      <c r="A287" s="22" t="str">
        <f>F287&amp;(COUNTIFS(F$2:F287,F287,K$2:K287,"Sparse"))</f>
        <v>SD51</v>
      </c>
      <c r="B287" s="22" t="str">
        <f>J287&amp;(COUNTIF(J$2:J287,J287))</f>
        <v>Hampshire11</v>
      </c>
      <c r="C287" t="s">
        <v>166</v>
      </c>
      <c r="D287" t="s">
        <v>166</v>
      </c>
      <c r="E287" s="25" t="s">
        <v>0</v>
      </c>
      <c r="F287" s="25" t="s">
        <v>379</v>
      </c>
      <c r="G287" s="25" t="s">
        <v>5</v>
      </c>
      <c r="H287" s="26" t="s">
        <v>895</v>
      </c>
      <c r="I287" s="27" t="s">
        <v>895</v>
      </c>
      <c r="J287" t="s">
        <v>313</v>
      </c>
    </row>
    <row r="288" spans="1:11" ht="14.4">
      <c r="A288" s="22" t="str">
        <f>F288&amp;(COUNTIFS(F$2:F288,F288,K$2:K288,"Sparse"))</f>
        <v>SD52</v>
      </c>
      <c r="B288" s="22" t="str">
        <f>J288&amp;(COUNTIF(J$2:J288,J288))</f>
        <v>Gloucestershire7</v>
      </c>
      <c r="C288" t="s">
        <v>167</v>
      </c>
      <c r="D288" t="s">
        <v>167</v>
      </c>
      <c r="E288" s="25" t="s">
        <v>1</v>
      </c>
      <c r="F288" s="25" t="s">
        <v>379</v>
      </c>
      <c r="G288" s="25" t="s">
        <v>5</v>
      </c>
      <c r="H288" s="26" t="s">
        <v>894</v>
      </c>
      <c r="I288" s="27" t="s">
        <v>380</v>
      </c>
      <c r="J288" t="s">
        <v>312</v>
      </c>
      <c r="K288" t="s">
        <v>335</v>
      </c>
    </row>
    <row r="289" spans="1:11" ht="14.4">
      <c r="A289" s="22" t="str">
        <f>F289&amp;(COUNTIFS(F$2:F289,F289,K$2:K289,"Sparse"))</f>
        <v>SD52</v>
      </c>
      <c r="B289" s="22" t="str">
        <f>J289&amp;(COUNTIF(J$2:J289,J289))</f>
        <v>Kent11</v>
      </c>
      <c r="C289" t="s">
        <v>168</v>
      </c>
      <c r="D289" t="s">
        <v>168</v>
      </c>
      <c r="E289" s="25" t="s">
        <v>0</v>
      </c>
      <c r="F289" s="25" t="s">
        <v>379</v>
      </c>
      <c r="G289" s="25" t="s">
        <v>5</v>
      </c>
      <c r="H289" s="26" t="s">
        <v>382</v>
      </c>
      <c r="I289" s="27" t="s">
        <v>382</v>
      </c>
      <c r="J289" t="s">
        <v>315</v>
      </c>
    </row>
    <row r="290" spans="1:11" ht="14.4">
      <c r="A290" s="22" t="str">
        <f>F290&amp;(COUNTIFS(F$2:F290,F290,K$2:K290,"Sparse"))</f>
        <v>SD52</v>
      </c>
      <c r="B290" s="22" t="str">
        <f>J290&amp;(COUNTIF(J$2:J290,J290))</f>
        <v>Hertfordshire9</v>
      </c>
      <c r="C290" t="s">
        <v>169</v>
      </c>
      <c r="D290" t="s">
        <v>169</v>
      </c>
      <c r="E290" s="25" t="s">
        <v>368</v>
      </c>
      <c r="F290" s="25" t="s">
        <v>379</v>
      </c>
      <c r="G290" s="25" t="s">
        <v>5</v>
      </c>
      <c r="H290" s="26" t="s">
        <v>382</v>
      </c>
      <c r="I290" s="27" t="s">
        <v>382</v>
      </c>
      <c r="J290" t="s">
        <v>314</v>
      </c>
    </row>
    <row r="291" spans="1:11" ht="14.4">
      <c r="A291" s="22" t="str">
        <f>F291&amp;(COUNTIFS(F$2:F291,F291,K$2:K291,"Sparse"))</f>
        <v>UA11</v>
      </c>
      <c r="B291" s="22" t="str">
        <f>J291&amp;(COUNTIF(J$2:J291,J291))</f>
        <v>Unitary50</v>
      </c>
      <c r="C291" t="s">
        <v>293</v>
      </c>
      <c r="D291" t="s">
        <v>293</v>
      </c>
      <c r="E291" s="25" t="s">
        <v>368</v>
      </c>
      <c r="F291" s="25" t="s">
        <v>385</v>
      </c>
      <c r="G291" s="25" t="s">
        <v>394</v>
      </c>
      <c r="H291" s="26" t="s">
        <v>382</v>
      </c>
      <c r="I291" s="27" t="s">
        <v>382</v>
      </c>
      <c r="J291" s="3" t="s">
        <v>394</v>
      </c>
    </row>
    <row r="292" spans="1:11" ht="14.4">
      <c r="A292" s="22" t="str">
        <f>F292&amp;(COUNTIFS(F$2:F292,F292,K$2:K292,"Sparse"))</f>
        <v>SD52</v>
      </c>
      <c r="B292" s="22" t="str">
        <f>J292&amp;(COUNTIF(J$2:J292,J292))</f>
        <v>Kent12</v>
      </c>
      <c r="C292" t="s">
        <v>349</v>
      </c>
      <c r="D292" t="s">
        <v>349</v>
      </c>
      <c r="E292" s="25" t="s">
        <v>0</v>
      </c>
      <c r="F292" s="25" t="s">
        <v>379</v>
      </c>
      <c r="G292" s="25" t="s">
        <v>5</v>
      </c>
      <c r="H292" s="26" t="s">
        <v>895</v>
      </c>
      <c r="I292" s="27" t="s">
        <v>895</v>
      </c>
      <c r="J292" t="s">
        <v>315</v>
      </c>
    </row>
    <row r="293" spans="1:11" ht="14.4">
      <c r="A293" s="22" t="str">
        <f>F293&amp;(COUNTIFS(F$2:F293,F293,K$2:K293,"Sparse"))</f>
        <v>UA11</v>
      </c>
      <c r="B293" s="22" t="str">
        <f>J293&amp;(COUNTIF(J$2:J293,J293))</f>
        <v>Unitary51</v>
      </c>
      <c r="C293" t="s">
        <v>294</v>
      </c>
      <c r="D293" t="s">
        <v>294</v>
      </c>
      <c r="E293" s="25" t="s">
        <v>1</v>
      </c>
      <c r="F293" s="25" t="s">
        <v>385</v>
      </c>
      <c r="G293" s="25" t="s">
        <v>394</v>
      </c>
      <c r="H293" s="26" t="s">
        <v>382</v>
      </c>
      <c r="I293" s="27" t="s">
        <v>382</v>
      </c>
      <c r="J293" t="s">
        <v>394</v>
      </c>
    </row>
    <row r="294" spans="1:11" ht="14.4">
      <c r="A294" s="22" t="str">
        <f>F294&amp;(COUNTIFS(F$2:F294,F294,K$2:K294,"Sparse"))</f>
        <v>SD53</v>
      </c>
      <c r="B294" s="22" t="str">
        <f>J294&amp;(COUNTIF(J$2:J294,J294))</f>
        <v>Devon8</v>
      </c>
      <c r="C294" t="s">
        <v>170</v>
      </c>
      <c r="D294" t="s">
        <v>170</v>
      </c>
      <c r="E294" s="25" t="s">
        <v>1</v>
      </c>
      <c r="F294" s="25" t="s">
        <v>379</v>
      </c>
      <c r="G294" s="25" t="s">
        <v>5</v>
      </c>
      <c r="H294" s="26" t="s">
        <v>894</v>
      </c>
      <c r="I294" s="27" t="s">
        <v>380</v>
      </c>
      <c r="J294" t="s">
        <v>308</v>
      </c>
      <c r="K294" t="s">
        <v>335</v>
      </c>
    </row>
    <row r="295" spans="1:11" ht="14.4">
      <c r="A295" s="22" t="str">
        <f>F295&amp;(COUNTIFS(F$2:F295,F295,K$2:K295,"Sparse"))</f>
        <v>L0</v>
      </c>
      <c r="B295" s="22" t="str">
        <f>J295&amp;(COUNTIF(J$2:J295,J295))</f>
        <v>London30</v>
      </c>
      <c r="C295" t="s">
        <v>219</v>
      </c>
      <c r="D295" t="s">
        <v>219</v>
      </c>
      <c r="E295" s="25" t="s">
        <v>381</v>
      </c>
      <c r="F295" s="25" t="s">
        <v>358</v>
      </c>
      <c r="G295" s="25" t="s">
        <v>381</v>
      </c>
      <c r="H295" s="26" t="s">
        <v>382</v>
      </c>
      <c r="I295" s="27" t="s">
        <v>382</v>
      </c>
      <c r="J295" t="s">
        <v>381</v>
      </c>
    </row>
    <row r="296" spans="1:11" ht="14.4">
      <c r="A296" s="22" t="str">
        <f>F296&amp;(COUNTIFS(F$2:F296,F296,K$2:K296,"Sparse"))</f>
        <v>MD0</v>
      </c>
      <c r="B296" s="22" t="str">
        <f>J296&amp;(COUNTIF(J$2:J296,J296))</f>
        <v>Trafford1</v>
      </c>
      <c r="C296" t="s">
        <v>252</v>
      </c>
      <c r="D296" t="s">
        <v>252</v>
      </c>
      <c r="E296" s="25" t="s">
        <v>374</v>
      </c>
      <c r="F296" s="25" t="s">
        <v>384</v>
      </c>
      <c r="G296" s="25" t="s">
        <v>395</v>
      </c>
      <c r="H296" s="26" t="s">
        <v>382</v>
      </c>
      <c r="I296" s="27" t="s">
        <v>382</v>
      </c>
      <c r="J296" t="s">
        <v>252</v>
      </c>
    </row>
    <row r="297" spans="1:11" ht="14.4">
      <c r="A297" s="22" t="str">
        <f>F297&amp;(COUNTIFS(F$2:F297,F297,K$2:K297,"Sparse"))</f>
        <v>SD53</v>
      </c>
      <c r="B297" s="22" t="str">
        <f>J297&amp;(COUNTIF(J$2:J297,J297))</f>
        <v>Kent13</v>
      </c>
      <c r="C297" t="s">
        <v>171</v>
      </c>
      <c r="D297" t="s">
        <v>171</v>
      </c>
      <c r="E297" s="25" t="s">
        <v>0</v>
      </c>
      <c r="F297" s="25" t="s">
        <v>379</v>
      </c>
      <c r="G297" s="25" t="s">
        <v>5</v>
      </c>
      <c r="H297" s="26" t="s">
        <v>895</v>
      </c>
      <c r="I297" s="27" t="s">
        <v>895</v>
      </c>
      <c r="J297" s="3" t="s">
        <v>315</v>
      </c>
    </row>
    <row r="298" spans="1:11" ht="14.4">
      <c r="A298" s="22" t="str">
        <f>F298&amp;(COUNTIFS(F$2:F298,F298,K$2:K298,"Sparse"))</f>
        <v>SD54</v>
      </c>
      <c r="B298" s="22" t="str">
        <f>J298&amp;(COUNTIF(J$2:J298,J298))</f>
        <v>Essex13</v>
      </c>
      <c r="C298" t="s">
        <v>172</v>
      </c>
      <c r="D298" t="s">
        <v>172</v>
      </c>
      <c r="E298" s="25" t="s">
        <v>368</v>
      </c>
      <c r="F298" s="25" t="s">
        <v>379</v>
      </c>
      <c r="G298" s="25" t="s">
        <v>5</v>
      </c>
      <c r="H298" s="26" t="s">
        <v>894</v>
      </c>
      <c r="I298" s="27" t="s">
        <v>380</v>
      </c>
      <c r="J298" t="s">
        <v>311</v>
      </c>
      <c r="K298" t="s">
        <v>335</v>
      </c>
    </row>
    <row r="299" spans="1:11" ht="14.4">
      <c r="A299" s="22" t="str">
        <f>F299&amp;(COUNTIFS(F$2:F299,F299,K$2:K299,"Sparse"))</f>
        <v>SD55</v>
      </c>
      <c r="B299" s="22" t="str">
        <f>J299&amp;(COUNTIF(J$2:J299,J299))</f>
        <v>Oxfordshire5</v>
      </c>
      <c r="C299" t="s">
        <v>173</v>
      </c>
      <c r="D299" t="s">
        <v>173</v>
      </c>
      <c r="E299" s="25" t="s">
        <v>0</v>
      </c>
      <c r="F299" s="25" t="s">
        <v>379</v>
      </c>
      <c r="G299" s="25" t="s">
        <v>5</v>
      </c>
      <c r="H299" s="26" t="s">
        <v>894</v>
      </c>
      <c r="I299" s="27" t="s">
        <v>380</v>
      </c>
      <c r="J299" s="3" t="s">
        <v>324</v>
      </c>
      <c r="K299" t="s">
        <v>335</v>
      </c>
    </row>
    <row r="300" spans="1:11" ht="14.4">
      <c r="A300" s="22" t="str">
        <f>F300&amp;(COUNTIFS(F$2:F300,F300,K$2:K300,"Sparse"))</f>
        <v>MD0</v>
      </c>
      <c r="B300" s="22" t="str">
        <f>J300&amp;(COUNTIF(J$2:J300,J300))</f>
        <v>Wakefield1</v>
      </c>
      <c r="C300" t="s">
        <v>253</v>
      </c>
      <c r="D300" t="s">
        <v>253</v>
      </c>
      <c r="E300" s="25" t="s">
        <v>383</v>
      </c>
      <c r="F300" s="25" t="s">
        <v>384</v>
      </c>
      <c r="G300" s="25" t="s">
        <v>395</v>
      </c>
      <c r="H300" s="26" t="s">
        <v>382</v>
      </c>
      <c r="I300" s="27" t="s">
        <v>382</v>
      </c>
      <c r="J300" t="s">
        <v>253</v>
      </c>
    </row>
    <row r="301" spans="1:11" ht="14.4">
      <c r="A301" s="22" t="str">
        <f>F301&amp;(COUNTIFS(F$2:F301,F301,K$2:K301,"Sparse"))</f>
        <v>MD0</v>
      </c>
      <c r="B301" s="22" t="str">
        <f>J301&amp;(COUNTIF(J$2:J301,J301))</f>
        <v>Walsall1</v>
      </c>
      <c r="C301" t="s">
        <v>254</v>
      </c>
      <c r="D301" t="s">
        <v>254</v>
      </c>
      <c r="E301" s="25" t="s">
        <v>367</v>
      </c>
      <c r="F301" s="25" t="s">
        <v>384</v>
      </c>
      <c r="G301" s="25" t="s">
        <v>395</v>
      </c>
      <c r="H301" s="26" t="s">
        <v>382</v>
      </c>
      <c r="I301" s="27" t="s">
        <v>382</v>
      </c>
      <c r="J301" t="s">
        <v>254</v>
      </c>
    </row>
    <row r="302" spans="1:11" ht="14.4">
      <c r="A302" s="22" t="str">
        <f>F302&amp;(COUNTIFS(F$2:F302,F302,K$2:K302,"Sparse"))</f>
        <v>L0</v>
      </c>
      <c r="B302" s="22" t="str">
        <f>J302&amp;(COUNTIF(J$2:J302,J302))</f>
        <v>London31</v>
      </c>
      <c r="C302" t="s">
        <v>220</v>
      </c>
      <c r="D302" t="s">
        <v>220</v>
      </c>
      <c r="E302" s="25" t="s">
        <v>381</v>
      </c>
      <c r="F302" s="25" t="s">
        <v>358</v>
      </c>
      <c r="G302" s="25" t="s">
        <v>381</v>
      </c>
      <c r="H302" s="26" t="s">
        <v>382</v>
      </c>
      <c r="I302" s="27" t="s">
        <v>382</v>
      </c>
      <c r="J302" t="s">
        <v>381</v>
      </c>
    </row>
    <row r="303" spans="1:11" ht="14.4">
      <c r="A303" s="22" t="str">
        <f>F303&amp;(COUNTIFS(F$2:F303,F303,K$2:K303,"Sparse"))</f>
        <v>L0</v>
      </c>
      <c r="B303" s="22" t="str">
        <f>J303&amp;(COUNTIF(J$2:J303,J303))</f>
        <v>London32</v>
      </c>
      <c r="C303" t="s">
        <v>221</v>
      </c>
      <c r="D303" t="s">
        <v>221</v>
      </c>
      <c r="E303" s="25" t="s">
        <v>381</v>
      </c>
      <c r="F303" s="25" t="s">
        <v>358</v>
      </c>
      <c r="G303" s="25" t="s">
        <v>381</v>
      </c>
      <c r="H303" s="26" t="s">
        <v>382</v>
      </c>
      <c r="I303" s="27" t="s">
        <v>382</v>
      </c>
      <c r="J303" t="s">
        <v>381</v>
      </c>
    </row>
    <row r="304" spans="1:11" ht="14.4">
      <c r="A304" s="22" t="str">
        <f>F304&amp;(COUNTIFS(F$2:F304,F304,K$2:K304,"Sparse"))</f>
        <v>UA11</v>
      </c>
      <c r="B304" s="22" t="str">
        <f>J304&amp;(COUNTIF(J$2:J304,J304))</f>
        <v>Unitary52</v>
      </c>
      <c r="C304" t="s">
        <v>295</v>
      </c>
      <c r="D304" t="s">
        <v>295</v>
      </c>
      <c r="E304" s="25" t="s">
        <v>374</v>
      </c>
      <c r="F304" s="25" t="s">
        <v>385</v>
      </c>
      <c r="G304" s="25" t="s">
        <v>394</v>
      </c>
      <c r="H304" s="26" t="s">
        <v>382</v>
      </c>
      <c r="I304" s="27" t="s">
        <v>382</v>
      </c>
      <c r="J304" t="s">
        <v>394</v>
      </c>
    </row>
    <row r="305" spans="1:11" ht="14.4">
      <c r="A305" s="22" t="str">
        <f>F305&amp;(COUNTIFS(F$2:F305,F305,K$2:K305,"Sparse"))</f>
        <v>SD55</v>
      </c>
      <c r="B305" s="22" t="str">
        <f>J305&amp;(COUNTIF(J$2:J305,J305))</f>
        <v>Warwickshire5</v>
      </c>
      <c r="C305" t="s">
        <v>174</v>
      </c>
      <c r="D305" t="s">
        <v>174</v>
      </c>
      <c r="E305" s="25" t="s">
        <v>367</v>
      </c>
      <c r="F305" s="25" t="s">
        <v>379</v>
      </c>
      <c r="G305" s="25" t="s">
        <v>5</v>
      </c>
      <c r="H305" s="26" t="s">
        <v>382</v>
      </c>
      <c r="I305" s="27" t="s">
        <v>382</v>
      </c>
      <c r="J305" t="s">
        <v>330</v>
      </c>
    </row>
    <row r="306" spans="1:11" ht="14.4">
      <c r="A306" s="22" t="str">
        <f>F306&amp;(COUNTIFS(F$2:F306,F306,K$2:K306,"Sparse"))</f>
        <v>SC10</v>
      </c>
      <c r="B306" s="22" t="str">
        <f>J306&amp;(COUNTIF(J$2:J306,J306))</f>
        <v>Warwickshire6</v>
      </c>
      <c r="C306" t="s">
        <v>330</v>
      </c>
      <c r="D306" t="s">
        <v>330</v>
      </c>
      <c r="E306" s="25" t="s">
        <v>367</v>
      </c>
      <c r="F306" s="25" t="s">
        <v>387</v>
      </c>
      <c r="G306" s="25" t="s">
        <v>301</v>
      </c>
      <c r="H306" s="26" t="s">
        <v>895</v>
      </c>
      <c r="I306" s="27" t="s">
        <v>895</v>
      </c>
      <c r="J306" t="s">
        <v>330</v>
      </c>
    </row>
    <row r="307" spans="1:11" ht="14.4">
      <c r="A307" s="22" t="str">
        <f>F307&amp;(COUNTIFS(F$2:F307,F307,K$2:K307,"Sparse"))</f>
        <v>SD55</v>
      </c>
      <c r="B307" s="22" t="str">
        <f>J307&amp;(COUNTIF(J$2:J307,J307))</f>
        <v>Hertfordshire10</v>
      </c>
      <c r="C307" t="s">
        <v>175</v>
      </c>
      <c r="D307" t="s">
        <v>175</v>
      </c>
      <c r="E307" s="25" t="s">
        <v>368</v>
      </c>
      <c r="F307" s="25" t="s">
        <v>379</v>
      </c>
      <c r="G307" s="25" t="s">
        <v>5</v>
      </c>
      <c r="H307" s="26" t="s">
        <v>382</v>
      </c>
      <c r="I307" s="27" t="s">
        <v>382</v>
      </c>
      <c r="J307" t="s">
        <v>314</v>
      </c>
    </row>
    <row r="308" spans="1:11" ht="14.4">
      <c r="A308" s="22" t="str">
        <f>F308&amp;(COUNTIFS(F$2:F308,F308,K$2:K308,"Sparse"))</f>
        <v>SD55</v>
      </c>
      <c r="B308" s="22" t="str">
        <f>J308&amp;(COUNTIF(J$2:J308,J308))</f>
        <v>Surrey11</v>
      </c>
      <c r="C308" t="s">
        <v>177</v>
      </c>
      <c r="D308" t="s">
        <v>177</v>
      </c>
      <c r="E308" s="25" t="s">
        <v>0</v>
      </c>
      <c r="F308" s="25" t="s">
        <v>379</v>
      </c>
      <c r="G308" s="25" t="s">
        <v>5</v>
      </c>
      <c r="H308" s="26" t="s">
        <v>894</v>
      </c>
      <c r="I308" s="27" t="s">
        <v>380</v>
      </c>
      <c r="J308" t="s">
        <v>329</v>
      </c>
    </row>
    <row r="309" spans="1:11" ht="14.4">
      <c r="A309" s="22" t="str">
        <f>F309&amp;(COUNTIFS(F$2:F309,F309,K$2:K309,"Sparse"))</f>
        <v>SD56</v>
      </c>
      <c r="B309" s="22" t="str">
        <f>J309&amp;(COUNTIF(J$2:J309,J309))</f>
        <v>East Sussex6</v>
      </c>
      <c r="C309" t="s">
        <v>178</v>
      </c>
      <c r="D309" t="s">
        <v>178</v>
      </c>
      <c r="E309" s="25" t="s">
        <v>0</v>
      </c>
      <c r="F309" s="25" t="s">
        <v>379</v>
      </c>
      <c r="G309" s="25" t="s">
        <v>5</v>
      </c>
      <c r="H309" s="26" t="s">
        <v>894</v>
      </c>
      <c r="I309" s="27" t="s">
        <v>380</v>
      </c>
      <c r="J309" t="s">
        <v>310</v>
      </c>
      <c r="K309" t="s">
        <v>335</v>
      </c>
    </row>
    <row r="310" spans="1:11" ht="14.4">
      <c r="A310" s="22" t="str">
        <f>F310&amp;(COUNTIFS(F$2:F310,F310,K$2:K310,"Sparse"))</f>
        <v>SD56</v>
      </c>
      <c r="B310" s="22" t="str">
        <f>J310&amp;(COUNTIF(J$2:J310,J310))</f>
        <v>Hertfordshire11</v>
      </c>
      <c r="C310" t="s">
        <v>180</v>
      </c>
      <c r="D310" t="s">
        <v>180</v>
      </c>
      <c r="E310" s="25" t="s">
        <v>368</v>
      </c>
      <c r="F310" s="25" t="s">
        <v>379</v>
      </c>
      <c r="G310" s="25" t="s">
        <v>5</v>
      </c>
      <c r="H310" s="26" t="s">
        <v>382</v>
      </c>
      <c r="I310" s="27" t="s">
        <v>382</v>
      </c>
      <c r="J310" s="3" t="s">
        <v>314</v>
      </c>
    </row>
    <row r="311" spans="1:11" ht="14.4">
      <c r="A311" s="22" t="str">
        <f>F311&amp;(COUNTIFS(F$2:F311,F311,K$2:K311,"Sparse"))</f>
        <v>UA11</v>
      </c>
      <c r="B311" s="22" t="str">
        <f>J311&amp;(COUNTIF(J$2:J311,J311))</f>
        <v>Unitary53</v>
      </c>
      <c r="C311" t="s">
        <v>296</v>
      </c>
      <c r="D311" t="s">
        <v>296</v>
      </c>
      <c r="E311" s="25" t="s">
        <v>0</v>
      </c>
      <c r="F311" s="25" t="s">
        <v>385</v>
      </c>
      <c r="G311" s="25" t="s">
        <v>394</v>
      </c>
      <c r="H311" s="26" t="s">
        <v>895</v>
      </c>
      <c r="I311" s="27" t="s">
        <v>895</v>
      </c>
      <c r="J311" t="s">
        <v>394</v>
      </c>
    </row>
    <row r="312" spans="1:11" ht="14.4">
      <c r="A312" s="22" t="str">
        <f>F312&amp;(COUNTIFS(F$2:F312,F312,K$2:K312,"Sparse"))</f>
        <v>SD57</v>
      </c>
      <c r="B312" s="22" t="str">
        <f>J312&amp;(COUNTIF(J$2:J312,J312))</f>
        <v>Devon9</v>
      </c>
      <c r="C312" s="27" t="s">
        <v>181</v>
      </c>
      <c r="D312" s="27" t="s">
        <v>181</v>
      </c>
      <c r="E312" s="25" t="s">
        <v>1</v>
      </c>
      <c r="F312" s="25" t="s">
        <v>379</v>
      </c>
      <c r="G312" s="25" t="s">
        <v>5</v>
      </c>
      <c r="H312" s="27" t="s">
        <v>894</v>
      </c>
      <c r="I312" s="27" t="s">
        <v>380</v>
      </c>
      <c r="J312" t="s">
        <v>308</v>
      </c>
      <c r="K312" t="s">
        <v>335</v>
      </c>
    </row>
    <row r="313" spans="1:11" ht="14.4">
      <c r="A313" s="22" t="str">
        <f>F313&amp;(COUNTIFS(F$2:F313,F313,K$2:K313,"Sparse"))</f>
        <v>SD57</v>
      </c>
      <c r="B313" s="22" t="str">
        <f>J313&amp;(COUNTIF(J$2:J313,J313))</f>
        <v>Lancashire12</v>
      </c>
      <c r="C313" t="s">
        <v>183</v>
      </c>
      <c r="D313" t="s">
        <v>183</v>
      </c>
      <c r="E313" s="25" t="s">
        <v>374</v>
      </c>
      <c r="F313" s="25" t="s">
        <v>379</v>
      </c>
      <c r="G313" s="25" t="s">
        <v>5</v>
      </c>
      <c r="H313" s="26" t="s">
        <v>895</v>
      </c>
      <c r="I313" s="27" t="s">
        <v>895</v>
      </c>
      <c r="J313" t="s">
        <v>316</v>
      </c>
    </row>
    <row r="314" spans="1:11" ht="14.4">
      <c r="A314" s="22" t="str">
        <f>F314&amp;(COUNTIFS(F$2:F314,F314,K$2:K314,"Sparse"))</f>
        <v>SD58</v>
      </c>
      <c r="B314" s="22" t="str">
        <f>J314&amp;(COUNTIF(J$2:J314,J314))</f>
        <v>Lincolnshire8</v>
      </c>
      <c r="C314" t="s">
        <v>184</v>
      </c>
      <c r="D314" t="s">
        <v>184</v>
      </c>
      <c r="E314" s="25" t="s">
        <v>366</v>
      </c>
      <c r="F314" s="25" t="s">
        <v>379</v>
      </c>
      <c r="G314" s="25" t="s">
        <v>5</v>
      </c>
      <c r="H314" s="26" t="s">
        <v>894</v>
      </c>
      <c r="I314" s="27" t="s">
        <v>380</v>
      </c>
      <c r="J314" t="s">
        <v>318</v>
      </c>
      <c r="K314" t="s">
        <v>335</v>
      </c>
    </row>
    <row r="315" spans="1:11" ht="14.4">
      <c r="A315" s="22" t="str">
        <f>F315&amp;(COUNTIFS(F$2:F315,F315,K$2:K315,"Sparse"))</f>
        <v>UA12</v>
      </c>
      <c r="B315" s="22" t="str">
        <f>J315&amp;(COUNTIF(J$2:J315,J315))</f>
        <v>Unitary54</v>
      </c>
      <c r="C315" t="s">
        <v>902</v>
      </c>
      <c r="D315" t="s">
        <v>902</v>
      </c>
      <c r="E315" s="25" t="s">
        <v>366</v>
      </c>
      <c r="F315" s="25" t="s">
        <v>385</v>
      </c>
      <c r="G315" s="25" t="s">
        <v>394</v>
      </c>
      <c r="H315" s="26" t="s">
        <v>895</v>
      </c>
      <c r="I315" s="27" t="s">
        <v>895</v>
      </c>
      <c r="J315" t="s">
        <v>394</v>
      </c>
      <c r="K315" t="s">
        <v>335</v>
      </c>
    </row>
    <row r="316" spans="1:11" ht="14.4">
      <c r="A316" s="22" t="str">
        <f>F316&amp;(COUNTIFS(F$2:F316,F316,K$2:K316,"Sparse"))</f>
        <v>SD59</v>
      </c>
      <c r="B316" s="22" t="str">
        <f>J316&amp;(COUNTIF(J$2:J316,J316))</f>
        <v>Oxfordshire6</v>
      </c>
      <c r="C316" t="s">
        <v>185</v>
      </c>
      <c r="D316" t="s">
        <v>185</v>
      </c>
      <c r="E316" s="25" t="s">
        <v>0</v>
      </c>
      <c r="F316" s="25" t="s">
        <v>379</v>
      </c>
      <c r="G316" s="25" t="s">
        <v>5</v>
      </c>
      <c r="H316" s="26" t="s">
        <v>894</v>
      </c>
      <c r="I316" s="27" t="s">
        <v>380</v>
      </c>
      <c r="J316" t="s">
        <v>324</v>
      </c>
      <c r="K316" t="s">
        <v>335</v>
      </c>
    </row>
    <row r="317" spans="1:11" ht="14.4">
      <c r="A317" s="22" t="str">
        <f>F317&amp;(COUNTIFS(F$2:F317,F317,K$2:K317,"Sparse"))</f>
        <v>SD60</v>
      </c>
      <c r="B317" s="22" t="str">
        <f>J317&amp;(COUNTIF(J$2:J317,J317))</f>
        <v>Suffolk6</v>
      </c>
      <c r="C317" t="s">
        <v>900</v>
      </c>
      <c r="D317" t="s">
        <v>900</v>
      </c>
      <c r="E317" s="25" t="s">
        <v>368</v>
      </c>
      <c r="F317" s="25" t="s">
        <v>379</v>
      </c>
      <c r="G317" s="25" t="s">
        <v>5</v>
      </c>
      <c r="H317" s="26" t="s">
        <v>894</v>
      </c>
      <c r="I317" s="27" t="s">
        <v>380</v>
      </c>
      <c r="J317" t="s">
        <v>328</v>
      </c>
      <c r="K317" t="s">
        <v>335</v>
      </c>
    </row>
    <row r="318" spans="1:11" ht="14.4">
      <c r="A318" s="22" t="str">
        <f>F318&amp;(COUNTIFS(F$2:F318,F318,K$2:K318,"Sparse"))</f>
        <v>SC10</v>
      </c>
      <c r="B318" s="22" t="str">
        <f>J318&amp;(COUNTIF(J$2:J318,J318))</f>
        <v>West Sussex7</v>
      </c>
      <c r="C318" t="s">
        <v>331</v>
      </c>
      <c r="D318" t="s">
        <v>331</v>
      </c>
      <c r="E318" s="25" t="s">
        <v>0</v>
      </c>
      <c r="F318" s="25" t="s">
        <v>387</v>
      </c>
      <c r="G318" s="25" t="s">
        <v>301</v>
      </c>
      <c r="H318" s="26" t="s">
        <v>895</v>
      </c>
      <c r="I318" s="27" t="s">
        <v>895</v>
      </c>
      <c r="J318" s="3" t="s">
        <v>331</v>
      </c>
    </row>
    <row r="319" spans="1:11" ht="14.4">
      <c r="A319" s="22" t="str">
        <f>F319&amp;(COUNTIFS(F$2:F319,F319,K$2:K319,"Sparse"))</f>
        <v>L0</v>
      </c>
      <c r="B319" s="22" t="str">
        <f>J319&amp;(COUNTIF(J$2:J319,J319))</f>
        <v>London33</v>
      </c>
      <c r="C319" t="s">
        <v>187</v>
      </c>
      <c r="D319" t="s">
        <v>187</v>
      </c>
      <c r="E319" s="25" t="s">
        <v>381</v>
      </c>
      <c r="F319" s="25" t="s">
        <v>358</v>
      </c>
      <c r="G319" s="25" t="s">
        <v>381</v>
      </c>
      <c r="H319" s="26" t="s">
        <v>382</v>
      </c>
      <c r="I319" s="27" t="s">
        <v>382</v>
      </c>
      <c r="J319" t="s">
        <v>381</v>
      </c>
    </row>
    <row r="320" spans="1:11" ht="14.4">
      <c r="A320" s="22" t="str">
        <f>F320&amp;(COUNTIFS(F$2:F320,F320,K$2:K320,"Sparse"))</f>
        <v>MD0</v>
      </c>
      <c r="B320" s="22" t="str">
        <f>J320&amp;(COUNTIF(J$2:J320,J320))</f>
        <v>Wigan1</v>
      </c>
      <c r="C320" t="s">
        <v>255</v>
      </c>
      <c r="D320" t="s">
        <v>255</v>
      </c>
      <c r="E320" s="25" t="s">
        <v>374</v>
      </c>
      <c r="F320" s="25" t="s">
        <v>384</v>
      </c>
      <c r="G320" s="25" t="s">
        <v>395</v>
      </c>
      <c r="H320" s="26" t="s">
        <v>382</v>
      </c>
      <c r="I320" s="27" t="s">
        <v>382</v>
      </c>
      <c r="J320" t="s">
        <v>255</v>
      </c>
    </row>
    <row r="321" spans="1:11" ht="14.4">
      <c r="A321" s="22" t="str">
        <f>F321&amp;(COUNTIFS(F$2:F321,F321,K$2:K321,"Sparse"))</f>
        <v>UA12</v>
      </c>
      <c r="B321" s="22" t="str">
        <f>J321&amp;(COUNTIF(J$2:J321,J321))</f>
        <v>Unitary55</v>
      </c>
      <c r="C321" t="s">
        <v>297</v>
      </c>
      <c r="D321" t="s">
        <v>297</v>
      </c>
      <c r="E321" s="25" t="s">
        <v>1</v>
      </c>
      <c r="F321" s="25" t="s">
        <v>385</v>
      </c>
      <c r="G321" s="25" t="s">
        <v>394</v>
      </c>
      <c r="H321" s="26" t="s">
        <v>894</v>
      </c>
      <c r="I321" s="27" t="s">
        <v>380</v>
      </c>
      <c r="J321" t="s">
        <v>394</v>
      </c>
    </row>
    <row r="322" spans="1:11" ht="14.4">
      <c r="A322" s="22" t="str">
        <f>F322&amp;(COUNTIFS(F$2:F322,F322,K$2:K322,"Sparse"))</f>
        <v>SD60</v>
      </c>
      <c r="B322" s="22" t="str">
        <f>J322&amp;(COUNTIF(J$2:J322,J322))</f>
        <v>Hampshire12</v>
      </c>
      <c r="C322" t="s">
        <v>188</v>
      </c>
      <c r="D322" t="s">
        <v>188</v>
      </c>
      <c r="E322" s="25" t="s">
        <v>0</v>
      </c>
      <c r="F322" s="25" t="s">
        <v>379</v>
      </c>
      <c r="G322" s="25" t="s">
        <v>5</v>
      </c>
      <c r="H322" s="26" t="s">
        <v>894</v>
      </c>
      <c r="I322" s="27" t="s">
        <v>380</v>
      </c>
      <c r="J322" t="s">
        <v>313</v>
      </c>
    </row>
    <row r="323" spans="1:11" ht="14.4">
      <c r="A323" s="22" t="str">
        <f>F323&amp;(COUNTIFS(F$2:F323,F323,K$2:K323,"Sparse"))</f>
        <v>UA12</v>
      </c>
      <c r="B323" s="22" t="str">
        <f>J323&amp;(COUNTIF(J$2:J323,J323))</f>
        <v>Unitary56</v>
      </c>
      <c r="C323" t="s">
        <v>815</v>
      </c>
      <c r="D323" t="s">
        <v>815</v>
      </c>
      <c r="E323" s="25" t="s">
        <v>0</v>
      </c>
      <c r="F323" s="25" t="s">
        <v>385</v>
      </c>
      <c r="G323" s="25" t="s">
        <v>394</v>
      </c>
      <c r="H323" s="26" t="s">
        <v>382</v>
      </c>
      <c r="I323" s="27" t="s">
        <v>382</v>
      </c>
      <c r="J323" t="s">
        <v>394</v>
      </c>
    </row>
    <row r="324" spans="1:11" ht="14.4">
      <c r="A324" s="22" t="str">
        <f>F324&amp;(COUNTIFS(F$2:F324,F324,K$2:K324,"Sparse"))</f>
        <v>MD0</v>
      </c>
      <c r="B324" s="22" t="str">
        <f>J324&amp;(COUNTIF(J$2:J324,J324))</f>
        <v>Wirral1</v>
      </c>
      <c r="C324" s="27" t="s">
        <v>256</v>
      </c>
      <c r="D324" s="27" t="s">
        <v>256</v>
      </c>
      <c r="E324" s="25" t="s">
        <v>374</v>
      </c>
      <c r="F324" s="25" t="s">
        <v>384</v>
      </c>
      <c r="G324" s="25" t="s">
        <v>395</v>
      </c>
      <c r="H324" s="27" t="s">
        <v>382</v>
      </c>
      <c r="I324" s="27" t="s">
        <v>382</v>
      </c>
      <c r="J324" t="s">
        <v>256</v>
      </c>
    </row>
    <row r="325" spans="1:11" ht="14.4">
      <c r="A325" s="22" t="str">
        <f>F325&amp;(COUNTIFS(F$2:F325,F325,K$2:K325,"Sparse"))</f>
        <v>SD60</v>
      </c>
      <c r="B325" s="22" t="str">
        <f>J325&amp;(COUNTIF(J$2:J325,J325))</f>
        <v>Surrey12</v>
      </c>
      <c r="C325" t="s">
        <v>189</v>
      </c>
      <c r="D325" t="s">
        <v>189</v>
      </c>
      <c r="E325" s="25" t="s">
        <v>0</v>
      </c>
      <c r="F325" s="25" t="s">
        <v>379</v>
      </c>
      <c r="G325" s="25" t="s">
        <v>5</v>
      </c>
      <c r="H325" s="26" t="s">
        <v>382</v>
      </c>
      <c r="I325" s="27" t="s">
        <v>382</v>
      </c>
      <c r="J325" t="s">
        <v>329</v>
      </c>
    </row>
    <row r="326" spans="1:11" ht="14.4">
      <c r="A326" s="22" t="str">
        <f>F326&amp;(COUNTIFS(F$2:F326,F326,K$2:K326,"Sparse"))</f>
        <v>UA12</v>
      </c>
      <c r="B326" s="22" t="str">
        <f>J326&amp;(COUNTIF(J$2:J326,J326))</f>
        <v>Unitary57</v>
      </c>
      <c r="C326" t="s">
        <v>298</v>
      </c>
      <c r="D326" t="s">
        <v>298</v>
      </c>
      <c r="E326" s="25" t="s">
        <v>0</v>
      </c>
      <c r="F326" s="25" t="s">
        <v>385</v>
      </c>
      <c r="G326" s="25" t="s">
        <v>394</v>
      </c>
      <c r="H326" s="26" t="s">
        <v>382</v>
      </c>
      <c r="I326" s="27" t="s">
        <v>382</v>
      </c>
      <c r="J326" t="s">
        <v>394</v>
      </c>
    </row>
    <row r="327" spans="1:11" ht="14.4">
      <c r="A327" s="22" t="str">
        <f>F327&amp;(COUNTIFS(F$2:F327,F327,K$2:K327,"Sparse"))</f>
        <v>MD0</v>
      </c>
      <c r="B327" s="22" t="str">
        <f>J327&amp;(COUNTIF(J$2:J327,J327))</f>
        <v>Wolverhampton1</v>
      </c>
      <c r="C327" t="s">
        <v>257</v>
      </c>
      <c r="D327" t="s">
        <v>257</v>
      </c>
      <c r="E327" s="25" t="s">
        <v>367</v>
      </c>
      <c r="F327" s="25" t="s">
        <v>384</v>
      </c>
      <c r="G327" s="25" t="s">
        <v>395</v>
      </c>
      <c r="H327" s="26" t="s">
        <v>382</v>
      </c>
      <c r="I327" s="27" t="s">
        <v>382</v>
      </c>
      <c r="J327" s="3" t="s">
        <v>257</v>
      </c>
    </row>
    <row r="328" spans="1:11" ht="14.4">
      <c r="A328" s="22" t="str">
        <f>F328&amp;(COUNTIFS(F$2:F328,F328,K$2:K328,"Sparse"))</f>
        <v>SD60</v>
      </c>
      <c r="B328" s="22" t="str">
        <f>J328&amp;(COUNTIF(J$2:J328,J328))</f>
        <v>Worcestershire4</v>
      </c>
      <c r="C328" t="s">
        <v>190</v>
      </c>
      <c r="D328" t="s">
        <v>190</v>
      </c>
      <c r="E328" s="25" t="s">
        <v>367</v>
      </c>
      <c r="F328" s="25" t="s">
        <v>379</v>
      </c>
      <c r="G328" s="25" t="s">
        <v>5</v>
      </c>
      <c r="H328" s="26" t="s">
        <v>382</v>
      </c>
      <c r="I328" s="27" t="s">
        <v>382</v>
      </c>
      <c r="J328" t="s">
        <v>332</v>
      </c>
    </row>
    <row r="329" spans="1:11" ht="14.4">
      <c r="A329" s="22" t="str">
        <f>F329&amp;(COUNTIFS(F$2:F329,F329,K$2:K329,"Sparse"))</f>
        <v>SC10</v>
      </c>
      <c r="B329" s="22" t="str">
        <f>J329&amp;(COUNTIF(J$2:J329,J329))</f>
        <v>Worcestershire5</v>
      </c>
      <c r="C329" t="s">
        <v>332</v>
      </c>
      <c r="D329" t="s">
        <v>332</v>
      </c>
      <c r="E329" s="25" t="s">
        <v>367</v>
      </c>
      <c r="F329" s="25" t="s">
        <v>387</v>
      </c>
      <c r="G329" s="25" t="s">
        <v>301</v>
      </c>
      <c r="H329" s="26" t="s">
        <v>895</v>
      </c>
      <c r="I329" s="27" t="s">
        <v>895</v>
      </c>
      <c r="J329" s="3" t="s">
        <v>332</v>
      </c>
    </row>
    <row r="330" spans="1:11" ht="14.4">
      <c r="A330" s="22" t="str">
        <f>F330&amp;(COUNTIFS(F$2:F330,F330,K$2:K330,"Sparse"))</f>
        <v>SD60</v>
      </c>
      <c r="B330" s="22" t="str">
        <f>J330&amp;(COUNTIF(J$2:J330,J330))</f>
        <v>West Sussex8</v>
      </c>
      <c r="C330" t="s">
        <v>191</v>
      </c>
      <c r="D330" t="s">
        <v>191</v>
      </c>
      <c r="E330" s="25" t="s">
        <v>0</v>
      </c>
      <c r="F330" s="25" t="s">
        <v>379</v>
      </c>
      <c r="G330" s="25" t="s">
        <v>5</v>
      </c>
      <c r="H330" s="26" t="s">
        <v>382</v>
      </c>
      <c r="I330" s="27" t="s">
        <v>382</v>
      </c>
      <c r="J330" t="s">
        <v>331</v>
      </c>
    </row>
    <row r="331" spans="1:11" ht="14.4">
      <c r="A331" s="22" t="str">
        <f>F331&amp;(COUNTIFS(F$2:F331,F331,K$2:K331,"Sparse"))</f>
        <v>SD61</v>
      </c>
      <c r="B331" s="22" t="str">
        <f>J331&amp;(COUNTIF(J$2:J331,J331))</f>
        <v>Worcestershire6</v>
      </c>
      <c r="C331" t="s">
        <v>192</v>
      </c>
      <c r="D331" t="s">
        <v>192</v>
      </c>
      <c r="E331" s="25" t="s">
        <v>367</v>
      </c>
      <c r="F331" s="25" t="s">
        <v>379</v>
      </c>
      <c r="G331" s="25" t="s">
        <v>5</v>
      </c>
      <c r="H331" s="26" t="s">
        <v>894</v>
      </c>
      <c r="I331" s="27" t="s">
        <v>380</v>
      </c>
      <c r="J331" t="s">
        <v>332</v>
      </c>
      <c r="K331" t="s">
        <v>335</v>
      </c>
    </row>
    <row r="332" spans="1:11" ht="14.4">
      <c r="A332" s="22" t="str">
        <f>F332&amp;(COUNTIFS(F$2:F332,F332,K$2:K332,"Sparse"))</f>
        <v>SD61</v>
      </c>
      <c r="B332" s="22" t="str">
        <f>J332&amp;(COUNTIF(J$2:J332,J332))</f>
        <v>Lancashire13</v>
      </c>
      <c r="C332" t="s">
        <v>194</v>
      </c>
      <c r="D332" t="s">
        <v>194</v>
      </c>
      <c r="E332" s="25" t="s">
        <v>374</v>
      </c>
      <c r="F332" s="25" t="s">
        <v>379</v>
      </c>
      <c r="G332" s="25" t="s">
        <v>5</v>
      </c>
      <c r="H332" s="26" t="s">
        <v>894</v>
      </c>
      <c r="I332" s="27" t="s">
        <v>380</v>
      </c>
      <c r="J332" s="3" t="s">
        <v>316</v>
      </c>
    </row>
    <row r="333" spans="1:11" ht="14.4">
      <c r="A333" s="22" t="str">
        <f>F333&amp;(COUNTIFS(F$2:F333,F333,K$2:K333,"Sparse"))</f>
        <v>SD61</v>
      </c>
      <c r="B333" s="22" t="str">
        <f>J333&amp;(COUNTIF(J$2:J333,J333))</f>
        <v>Worcestershire7</v>
      </c>
      <c r="C333" t="s">
        <v>195</v>
      </c>
      <c r="D333" t="s">
        <v>195</v>
      </c>
      <c r="E333" s="25" t="s">
        <v>367</v>
      </c>
      <c r="F333" s="25" t="s">
        <v>379</v>
      </c>
      <c r="G333" s="25" t="s">
        <v>5</v>
      </c>
      <c r="H333" s="26" t="s">
        <v>895</v>
      </c>
      <c r="I333" s="27" t="s">
        <v>895</v>
      </c>
      <c r="J333" t="s">
        <v>332</v>
      </c>
    </row>
    <row r="334" spans="1:11" ht="14.4">
      <c r="A334" s="22" t="str">
        <f>F334&amp;(COUNTIFS(F$2:F334,F334,K$2:K334,"Sparse"))</f>
        <v>UA12</v>
      </c>
      <c r="B334" s="22" t="str">
        <f>J334&amp;(COUNTIF(J$2:J334,J334))</f>
        <v>Unitary58</v>
      </c>
      <c r="C334" t="s">
        <v>299</v>
      </c>
      <c r="D334" t="s">
        <v>299</v>
      </c>
      <c r="E334" s="25" t="s">
        <v>383</v>
      </c>
      <c r="F334" s="25" t="s">
        <v>385</v>
      </c>
      <c r="G334" s="25" t="s">
        <v>394</v>
      </c>
      <c r="H334" s="26" t="s">
        <v>382</v>
      </c>
      <c r="I334" s="27" t="s">
        <v>382</v>
      </c>
      <c r="J334" t="s">
        <v>394</v>
      </c>
    </row>
    <row r="335" spans="1:11" ht="14.4">
      <c r="C335" s="27"/>
      <c r="D335" s="27"/>
      <c r="E335" s="25"/>
      <c r="F335" s="25"/>
      <c r="G335" s="25"/>
      <c r="H335" s="27"/>
      <c r="I335" s="27"/>
    </row>
    <row r="336" spans="1:11" ht="14.4">
      <c r="E336" s="25"/>
      <c r="F336" s="25"/>
      <c r="G336" s="25"/>
      <c r="H336" s="26"/>
      <c r="I336" s="27"/>
    </row>
    <row r="337" spans="5:12" ht="14.4">
      <c r="E337" s="25"/>
      <c r="F337" s="25"/>
      <c r="G337" s="25"/>
      <c r="H337" s="26"/>
      <c r="I337" s="27"/>
    </row>
    <row r="338" spans="5:12" ht="14.4">
      <c r="E338" s="25"/>
      <c r="F338" s="25"/>
      <c r="G338" s="25"/>
      <c r="H338" s="26"/>
      <c r="I338" s="27"/>
    </row>
    <row r="339" spans="5:12" ht="14.4">
      <c r="E339" s="25"/>
      <c r="F339" s="25"/>
      <c r="G339" s="25"/>
      <c r="H339" s="26"/>
      <c r="I339" s="27"/>
    </row>
    <row r="340" spans="5:12" ht="14.4">
      <c r="E340" s="25"/>
      <c r="F340" s="25"/>
      <c r="G340" s="25"/>
      <c r="H340" s="26"/>
      <c r="I340" s="27"/>
      <c r="J340" s="3"/>
    </row>
    <row r="341" spans="5:12" ht="14.4">
      <c r="E341" s="29"/>
      <c r="F341" s="29"/>
      <c r="G341" s="29"/>
      <c r="H341" s="31"/>
      <c r="I341" s="32"/>
      <c r="J341" s="32"/>
      <c r="K341" s="32"/>
      <c r="L341" s="32"/>
    </row>
    <row r="342" spans="5:12" ht="14.4">
      <c r="E342" s="29"/>
      <c r="F342" s="29"/>
      <c r="G342" s="29"/>
      <c r="H342" s="31"/>
      <c r="I342" s="32"/>
      <c r="J342" s="32"/>
      <c r="K342" s="32"/>
      <c r="L342" s="32"/>
    </row>
    <row r="343" spans="5:12" ht="14.4">
      <c r="E343" s="29"/>
      <c r="F343" s="29"/>
      <c r="G343" s="29"/>
      <c r="H343" s="31"/>
      <c r="I343" s="32"/>
      <c r="J343" s="32"/>
      <c r="K343" s="32"/>
      <c r="L343" s="32"/>
    </row>
    <row r="344" spans="5:12" ht="14.4">
      <c r="E344" s="29"/>
      <c r="F344" s="29"/>
      <c r="G344" s="29"/>
      <c r="H344" s="31"/>
      <c r="I344" s="32"/>
      <c r="J344" s="32"/>
      <c r="K344" s="32"/>
      <c r="L344" s="32"/>
    </row>
    <row r="345" spans="5:12" ht="14.4">
      <c r="E345" s="29"/>
      <c r="F345" s="29"/>
      <c r="G345" s="29"/>
      <c r="H345" s="31"/>
      <c r="I345" s="32"/>
      <c r="J345" s="32"/>
      <c r="K345" s="32"/>
      <c r="L345" s="32"/>
    </row>
    <row r="346" spans="5:12" ht="14.4">
      <c r="E346" s="29"/>
      <c r="F346" s="29"/>
      <c r="G346" s="29"/>
      <c r="H346" s="31"/>
      <c r="I346" s="32"/>
      <c r="J346" s="32"/>
      <c r="K346" s="32"/>
      <c r="L346" s="32"/>
    </row>
    <row r="347" spans="5:12" ht="14.4">
      <c r="E347" s="29"/>
      <c r="F347" s="29"/>
      <c r="G347" s="29"/>
      <c r="H347" s="31"/>
      <c r="I347" s="32"/>
      <c r="J347" s="32"/>
      <c r="K347" s="32"/>
      <c r="L347" s="32"/>
    </row>
    <row r="348" spans="5:12" ht="14.4">
      <c r="E348" s="29"/>
      <c r="F348" s="29"/>
      <c r="G348" s="29"/>
      <c r="H348" s="31"/>
      <c r="I348" s="32"/>
      <c r="J348" s="32"/>
      <c r="K348" s="32"/>
      <c r="L348" s="32"/>
    </row>
    <row r="349" spans="5:12">
      <c r="F349" s="29"/>
      <c r="G349" s="29"/>
    </row>
  </sheetData>
  <autoFilter ref="A1:L340" xr:uid="{00000000-0009-0000-0000-000004000000}"/>
  <sortState xmlns:xlrd2="http://schemas.microsoft.com/office/spreadsheetml/2017/richdata2" ref="L324:L675">
    <sortCondition ref="L324"/>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71" customWidth="1"/>
    <col min="2" max="2" width="8.88671875" style="71"/>
    <col min="3" max="3" width="25.109375" style="71" bestFit="1" customWidth="1"/>
    <col min="4" max="18" width="25.109375" style="71" customWidth="1"/>
    <col min="19" max="237" width="8.88671875" style="71"/>
    <col min="238" max="238" width="25.109375" style="71" bestFit="1" customWidth="1"/>
    <col min="239" max="253" width="25.109375" style="71" customWidth="1"/>
    <col min="254" max="271" width="9.109375" style="71" customWidth="1"/>
    <col min="272" max="493" width="8.88671875" style="71"/>
    <col min="494" max="494" width="25.109375" style="71" bestFit="1" customWidth="1"/>
    <col min="495" max="509" width="25.109375" style="71" customWidth="1"/>
    <col min="510" max="527" width="9.109375" style="71" customWidth="1"/>
    <col min="528" max="749" width="8.88671875" style="71"/>
    <col min="750" max="750" width="25.109375" style="71" bestFit="1" customWidth="1"/>
    <col min="751" max="765" width="25.109375" style="71" customWidth="1"/>
    <col min="766" max="783" width="9.109375" style="71" customWidth="1"/>
    <col min="784" max="1005" width="8.88671875" style="71"/>
    <col min="1006" max="1006" width="25.109375" style="71" bestFit="1" customWidth="1"/>
    <col min="1007" max="1021" width="25.109375" style="71" customWidth="1"/>
    <col min="1022" max="1039" width="9.109375" style="71" customWidth="1"/>
    <col min="1040" max="1261" width="8.88671875" style="71"/>
    <col min="1262" max="1262" width="25.109375" style="71" bestFit="1" customWidth="1"/>
    <col min="1263" max="1277" width="25.109375" style="71" customWidth="1"/>
    <col min="1278" max="1295" width="9.109375" style="71" customWidth="1"/>
    <col min="1296" max="1517" width="8.88671875" style="71"/>
    <col min="1518" max="1518" width="25.109375" style="71" bestFit="1" customWidth="1"/>
    <col min="1519" max="1533" width="25.109375" style="71" customWidth="1"/>
    <col min="1534" max="1551" width="9.109375" style="71" customWidth="1"/>
    <col min="1552" max="1773" width="8.88671875" style="71"/>
    <col min="1774" max="1774" width="25.109375" style="71" bestFit="1" customWidth="1"/>
    <col min="1775" max="1789" width="25.109375" style="71" customWidth="1"/>
    <col min="1790" max="1807" width="9.109375" style="71" customWidth="1"/>
    <col min="1808" max="2029" width="8.88671875" style="71"/>
    <col min="2030" max="2030" width="25.109375" style="71" bestFit="1" customWidth="1"/>
    <col min="2031" max="2045" width="25.109375" style="71" customWidth="1"/>
    <col min="2046" max="2063" width="9.109375" style="71" customWidth="1"/>
    <col min="2064" max="2285" width="8.88671875" style="71"/>
    <col min="2286" max="2286" width="25.109375" style="71" bestFit="1" customWidth="1"/>
    <col min="2287" max="2301" width="25.109375" style="71" customWidth="1"/>
    <col min="2302" max="2319" width="9.109375" style="71" customWidth="1"/>
    <col min="2320" max="2541" width="8.88671875" style="71"/>
    <col min="2542" max="2542" width="25.109375" style="71" bestFit="1" customWidth="1"/>
    <col min="2543" max="2557" width="25.109375" style="71" customWidth="1"/>
    <col min="2558" max="2575" width="9.109375" style="71" customWidth="1"/>
    <col min="2576" max="2797" width="8.88671875" style="71"/>
    <col min="2798" max="2798" width="25.109375" style="71" bestFit="1" customWidth="1"/>
    <col min="2799" max="2813" width="25.109375" style="71" customWidth="1"/>
    <col min="2814" max="2831" width="9.109375" style="71" customWidth="1"/>
    <col min="2832" max="3053" width="8.88671875" style="71"/>
    <col min="3054" max="3054" width="25.109375" style="71" bestFit="1" customWidth="1"/>
    <col min="3055" max="3069" width="25.109375" style="71" customWidth="1"/>
    <col min="3070" max="3087" width="9.109375" style="71" customWidth="1"/>
    <col min="3088" max="3309" width="8.88671875" style="71"/>
    <col min="3310" max="3310" width="25.109375" style="71" bestFit="1" customWidth="1"/>
    <col min="3311" max="3325" width="25.109375" style="71" customWidth="1"/>
    <col min="3326" max="3343" width="9.109375" style="71" customWidth="1"/>
    <col min="3344" max="3565" width="8.88671875" style="71"/>
    <col min="3566" max="3566" width="25.109375" style="71" bestFit="1" customWidth="1"/>
    <col min="3567" max="3581" width="25.109375" style="71" customWidth="1"/>
    <col min="3582" max="3599" width="9.109375" style="71" customWidth="1"/>
    <col min="3600" max="3821" width="8.88671875" style="71"/>
    <col min="3822" max="3822" width="25.109375" style="71" bestFit="1" customWidth="1"/>
    <col min="3823" max="3837" width="25.109375" style="71" customWidth="1"/>
    <col min="3838" max="3855" width="9.109375" style="71" customWidth="1"/>
    <col min="3856" max="4077" width="8.88671875" style="71"/>
    <col min="4078" max="4078" width="25.109375" style="71" bestFit="1" customWidth="1"/>
    <col min="4079" max="4093" width="25.109375" style="71" customWidth="1"/>
    <col min="4094" max="4111" width="9.109375" style="71" customWidth="1"/>
    <col min="4112" max="4333" width="8.88671875" style="71"/>
    <col min="4334" max="4334" width="25.109375" style="71" bestFit="1" customWidth="1"/>
    <col min="4335" max="4349" width="25.109375" style="71" customWidth="1"/>
    <col min="4350" max="4367" width="9.109375" style="71" customWidth="1"/>
    <col min="4368" max="4589" width="8.88671875" style="71"/>
    <col min="4590" max="4590" width="25.109375" style="71" bestFit="1" customWidth="1"/>
    <col min="4591" max="4605" width="25.109375" style="71" customWidth="1"/>
    <col min="4606" max="4623" width="9.109375" style="71" customWidth="1"/>
    <col min="4624" max="4845" width="8.88671875" style="71"/>
    <col min="4846" max="4846" width="25.109375" style="71" bestFit="1" customWidth="1"/>
    <col min="4847" max="4861" width="25.109375" style="71" customWidth="1"/>
    <col min="4862" max="4879" width="9.109375" style="71" customWidth="1"/>
    <col min="4880" max="5101" width="8.88671875" style="71"/>
    <col min="5102" max="5102" width="25.109375" style="71" bestFit="1" customWidth="1"/>
    <col min="5103" max="5117" width="25.109375" style="71" customWidth="1"/>
    <col min="5118" max="5135" width="9.109375" style="71" customWidth="1"/>
    <col min="5136" max="5357" width="8.88671875" style="71"/>
    <col min="5358" max="5358" width="25.109375" style="71" bestFit="1" customWidth="1"/>
    <col min="5359" max="5373" width="25.109375" style="71" customWidth="1"/>
    <col min="5374" max="5391" width="9.109375" style="71" customWidth="1"/>
    <col min="5392" max="5613" width="8.88671875" style="71"/>
    <col min="5614" max="5614" width="25.109375" style="71" bestFit="1" customWidth="1"/>
    <col min="5615" max="5629" width="25.109375" style="71" customWidth="1"/>
    <col min="5630" max="5647" width="9.109375" style="71" customWidth="1"/>
    <col min="5648" max="5869" width="8.88671875" style="71"/>
    <col min="5870" max="5870" width="25.109375" style="71" bestFit="1" customWidth="1"/>
    <col min="5871" max="5885" width="25.109375" style="71" customWidth="1"/>
    <col min="5886" max="5903" width="9.109375" style="71" customWidth="1"/>
    <col min="5904" max="6125" width="8.88671875" style="71"/>
    <col min="6126" max="6126" width="25.109375" style="71" bestFit="1" customWidth="1"/>
    <col min="6127" max="6141" width="25.109375" style="71" customWidth="1"/>
    <col min="6142" max="6159" width="9.109375" style="71" customWidth="1"/>
    <col min="6160" max="6381" width="8.88671875" style="71"/>
    <col min="6382" max="6382" width="25.109375" style="71" bestFit="1" customWidth="1"/>
    <col min="6383" max="6397" width="25.109375" style="71" customWidth="1"/>
    <col min="6398" max="6415" width="9.109375" style="71" customWidth="1"/>
    <col min="6416" max="6637" width="8.88671875" style="71"/>
    <col min="6638" max="6638" width="25.109375" style="71" bestFit="1" customWidth="1"/>
    <col min="6639" max="6653" width="25.109375" style="71" customWidth="1"/>
    <col min="6654" max="6671" width="9.109375" style="71" customWidth="1"/>
    <col min="6672" max="6893" width="8.88671875" style="71"/>
    <col min="6894" max="6894" width="25.109375" style="71" bestFit="1" customWidth="1"/>
    <col min="6895" max="6909" width="25.109375" style="71" customWidth="1"/>
    <col min="6910" max="6927" width="9.109375" style="71" customWidth="1"/>
    <col min="6928" max="7149" width="8.88671875" style="71"/>
    <col min="7150" max="7150" width="25.109375" style="71" bestFit="1" customWidth="1"/>
    <col min="7151" max="7165" width="25.109375" style="71" customWidth="1"/>
    <col min="7166" max="7183" width="9.109375" style="71" customWidth="1"/>
    <col min="7184" max="7405" width="8.88671875" style="71"/>
    <col min="7406" max="7406" width="25.109375" style="71" bestFit="1" customWidth="1"/>
    <col min="7407" max="7421" width="25.109375" style="71" customWidth="1"/>
    <col min="7422" max="7439" width="9.109375" style="71" customWidth="1"/>
    <col min="7440" max="7661" width="8.88671875" style="71"/>
    <col min="7662" max="7662" width="25.109375" style="71" bestFit="1" customWidth="1"/>
    <col min="7663" max="7677" width="25.109375" style="71" customWidth="1"/>
    <col min="7678" max="7695" width="9.109375" style="71" customWidth="1"/>
    <col min="7696" max="7917" width="8.88671875" style="71"/>
    <col min="7918" max="7918" width="25.109375" style="71" bestFit="1" customWidth="1"/>
    <col min="7919" max="7933" width="25.109375" style="71" customWidth="1"/>
    <col min="7934" max="7951" width="9.109375" style="71" customWidth="1"/>
    <col min="7952" max="8173" width="8.88671875" style="71"/>
    <col min="8174" max="8174" width="25.109375" style="71" bestFit="1" customWidth="1"/>
    <col min="8175" max="8189" width="25.109375" style="71" customWidth="1"/>
    <col min="8190" max="8207" width="9.109375" style="71" customWidth="1"/>
    <col min="8208" max="8429" width="8.88671875" style="71"/>
    <col min="8430" max="8430" width="25.109375" style="71" bestFit="1" customWidth="1"/>
    <col min="8431" max="8445" width="25.109375" style="71" customWidth="1"/>
    <col min="8446" max="8463" width="9.109375" style="71" customWidth="1"/>
    <col min="8464" max="8685" width="8.88671875" style="71"/>
    <col min="8686" max="8686" width="25.109375" style="71" bestFit="1" customWidth="1"/>
    <col min="8687" max="8701" width="25.109375" style="71" customWidth="1"/>
    <col min="8702" max="8719" width="9.109375" style="71" customWidth="1"/>
    <col min="8720" max="8941" width="8.88671875" style="71"/>
    <col min="8942" max="8942" width="25.109375" style="71" bestFit="1" customWidth="1"/>
    <col min="8943" max="8957" width="25.109375" style="71" customWidth="1"/>
    <col min="8958" max="8975" width="9.109375" style="71" customWidth="1"/>
    <col min="8976" max="9197" width="8.88671875" style="71"/>
    <col min="9198" max="9198" width="25.109375" style="71" bestFit="1" customWidth="1"/>
    <col min="9199" max="9213" width="25.109375" style="71" customWidth="1"/>
    <col min="9214" max="9231" width="9.109375" style="71" customWidth="1"/>
    <col min="9232" max="9453" width="8.88671875" style="71"/>
    <col min="9454" max="9454" width="25.109375" style="71" bestFit="1" customWidth="1"/>
    <col min="9455" max="9469" width="25.109375" style="71" customWidth="1"/>
    <col min="9470" max="9487" width="9.109375" style="71" customWidth="1"/>
    <col min="9488" max="9709" width="8.88671875" style="71"/>
    <col min="9710" max="9710" width="25.109375" style="71" bestFit="1" customWidth="1"/>
    <col min="9711" max="9725" width="25.109375" style="71" customWidth="1"/>
    <col min="9726" max="9743" width="9.109375" style="71" customWidth="1"/>
    <col min="9744" max="9965" width="8.88671875" style="71"/>
    <col min="9966" max="9966" width="25.109375" style="71" bestFit="1" customWidth="1"/>
    <col min="9967" max="9981" width="25.109375" style="71" customWidth="1"/>
    <col min="9982" max="9999" width="9.109375" style="71" customWidth="1"/>
    <col min="10000" max="10221" width="8.88671875" style="71"/>
    <col min="10222" max="10222" width="25.109375" style="71" bestFit="1" customWidth="1"/>
    <col min="10223" max="10237" width="25.109375" style="71" customWidth="1"/>
    <col min="10238" max="10255" width="9.109375" style="71" customWidth="1"/>
    <col min="10256" max="10477" width="8.88671875" style="71"/>
    <col min="10478" max="10478" width="25.109375" style="71" bestFit="1" customWidth="1"/>
    <col min="10479" max="10493" width="25.109375" style="71" customWidth="1"/>
    <col min="10494" max="10511" width="9.109375" style="71" customWidth="1"/>
    <col min="10512" max="10733" width="8.88671875" style="71"/>
    <col min="10734" max="10734" width="25.109375" style="71" bestFit="1" customWidth="1"/>
    <col min="10735" max="10749" width="25.109375" style="71" customWidth="1"/>
    <col min="10750" max="10767" width="9.109375" style="71" customWidth="1"/>
    <col min="10768" max="10989" width="8.88671875" style="71"/>
    <col min="10990" max="10990" width="25.109375" style="71" bestFit="1" customWidth="1"/>
    <col min="10991" max="11005" width="25.109375" style="71" customWidth="1"/>
    <col min="11006" max="11023" width="9.109375" style="71" customWidth="1"/>
    <col min="11024" max="11245" width="8.88671875" style="71"/>
    <col min="11246" max="11246" width="25.109375" style="71" bestFit="1" customWidth="1"/>
    <col min="11247" max="11261" width="25.109375" style="71" customWidth="1"/>
    <col min="11262" max="11279" width="9.109375" style="71" customWidth="1"/>
    <col min="11280" max="11501" width="8.88671875" style="71"/>
    <col min="11502" max="11502" width="25.109375" style="71" bestFit="1" customWidth="1"/>
    <col min="11503" max="11517" width="25.109375" style="71" customWidth="1"/>
    <col min="11518" max="11535" width="9.109375" style="71" customWidth="1"/>
    <col min="11536" max="11757" width="8.88671875" style="71"/>
    <col min="11758" max="11758" width="25.109375" style="71" bestFit="1" customWidth="1"/>
    <col min="11759" max="11773" width="25.109375" style="71" customWidth="1"/>
    <col min="11774" max="11791" width="9.109375" style="71" customWidth="1"/>
    <col min="11792" max="12013" width="8.88671875" style="71"/>
    <col min="12014" max="12014" width="25.109375" style="71" bestFit="1" customWidth="1"/>
    <col min="12015" max="12029" width="25.109375" style="71" customWidth="1"/>
    <col min="12030" max="12047" width="9.109375" style="71" customWidth="1"/>
    <col min="12048" max="12269" width="8.88671875" style="71"/>
    <col min="12270" max="12270" width="25.109375" style="71" bestFit="1" customWidth="1"/>
    <col min="12271" max="12285" width="25.109375" style="71" customWidth="1"/>
    <col min="12286" max="12303" width="9.109375" style="71" customWidth="1"/>
    <col min="12304" max="12525" width="8.88671875" style="71"/>
    <col min="12526" max="12526" width="25.109375" style="71" bestFit="1" customWidth="1"/>
    <col min="12527" max="12541" width="25.109375" style="71" customWidth="1"/>
    <col min="12542" max="12559" width="9.109375" style="71" customWidth="1"/>
    <col min="12560" max="12781" width="8.88671875" style="71"/>
    <col min="12782" max="12782" width="25.109375" style="71" bestFit="1" customWidth="1"/>
    <col min="12783" max="12797" width="25.109375" style="71" customWidth="1"/>
    <col min="12798" max="12815" width="9.109375" style="71" customWidth="1"/>
    <col min="12816" max="13037" width="8.88671875" style="71"/>
    <col min="13038" max="13038" width="25.109375" style="71" bestFit="1" customWidth="1"/>
    <col min="13039" max="13053" width="25.109375" style="71" customWidth="1"/>
    <col min="13054" max="13071" width="9.109375" style="71" customWidth="1"/>
    <col min="13072" max="13293" width="8.88671875" style="71"/>
    <col min="13294" max="13294" width="25.109375" style="71" bestFit="1" customWidth="1"/>
    <col min="13295" max="13309" width="25.109375" style="71" customWidth="1"/>
    <col min="13310" max="13327" width="9.109375" style="71" customWidth="1"/>
    <col min="13328" max="13549" width="8.88671875" style="71"/>
    <col min="13550" max="13550" width="25.109375" style="71" bestFit="1" customWidth="1"/>
    <col min="13551" max="13565" width="25.109375" style="71" customWidth="1"/>
    <col min="13566" max="13583" width="9.109375" style="71" customWidth="1"/>
    <col min="13584" max="13805" width="8.88671875" style="71"/>
    <col min="13806" max="13806" width="25.109375" style="71" bestFit="1" customWidth="1"/>
    <col min="13807" max="13821" width="25.109375" style="71" customWidth="1"/>
    <col min="13822" max="13839" width="9.109375" style="71" customWidth="1"/>
    <col min="13840" max="14061" width="8.88671875" style="71"/>
    <col min="14062" max="14062" width="25.109375" style="71" bestFit="1" customWidth="1"/>
    <col min="14063" max="14077" width="25.109375" style="71" customWidth="1"/>
    <col min="14078" max="14095" width="9.109375" style="71" customWidth="1"/>
    <col min="14096" max="14317" width="8.88671875" style="71"/>
    <col min="14318" max="14318" width="25.109375" style="71" bestFit="1" customWidth="1"/>
    <col min="14319" max="14333" width="25.109375" style="71" customWidth="1"/>
    <col min="14334" max="14351" width="9.109375" style="71" customWidth="1"/>
    <col min="14352" max="14573" width="8.88671875" style="71"/>
    <col min="14574" max="14574" width="25.109375" style="71" bestFit="1" customWidth="1"/>
    <col min="14575" max="14589" width="25.109375" style="71" customWidth="1"/>
    <col min="14590" max="14607" width="9.109375" style="71" customWidth="1"/>
    <col min="14608" max="14829" width="8.88671875" style="71"/>
    <col min="14830" max="14830" width="25.109375" style="71" bestFit="1" customWidth="1"/>
    <col min="14831" max="14845" width="25.109375" style="71" customWidth="1"/>
    <col min="14846" max="14863" width="9.109375" style="71" customWidth="1"/>
    <col min="14864" max="15085" width="8.88671875" style="71"/>
    <col min="15086" max="15086" width="25.109375" style="71" bestFit="1" customWidth="1"/>
    <col min="15087" max="15101" width="25.109375" style="71" customWidth="1"/>
    <col min="15102" max="15119" width="9.109375" style="71" customWidth="1"/>
    <col min="15120" max="15341" width="8.88671875" style="71"/>
    <col min="15342" max="15342" width="25.109375" style="71" bestFit="1" customWidth="1"/>
    <col min="15343" max="15357" width="25.109375" style="71" customWidth="1"/>
    <col min="15358" max="15375" width="9.109375" style="71" customWidth="1"/>
    <col min="15376" max="15597" width="8.88671875" style="71"/>
    <col min="15598" max="15598" width="25.109375" style="71" bestFit="1" customWidth="1"/>
    <col min="15599" max="15613" width="25.109375" style="71" customWidth="1"/>
    <col min="15614" max="15631" width="9.109375" style="71" customWidth="1"/>
    <col min="15632" max="15853" width="8.88671875" style="71"/>
    <col min="15854" max="15854" width="25.109375" style="71" bestFit="1" customWidth="1"/>
    <col min="15855" max="15869" width="25.109375" style="71" customWidth="1"/>
    <col min="15870" max="15887" width="9.109375" style="71" customWidth="1"/>
    <col min="15888" max="16109" width="8.88671875" style="71"/>
    <col min="16110" max="16110" width="25.109375" style="71" bestFit="1" customWidth="1"/>
    <col min="16111" max="16125" width="25.109375" style="71" customWidth="1"/>
    <col min="16126" max="16143" width="9.109375" style="71" customWidth="1"/>
    <col min="16144" max="16384" width="8.88671875" style="71"/>
  </cols>
  <sheetData>
    <row r="1" spans="1:18">
      <c r="A1" s="70"/>
      <c r="B1" s="70" t="s">
        <v>420</v>
      </c>
      <c r="C1" s="70"/>
    </row>
    <row r="2" spans="1:18">
      <c r="A2" s="70"/>
      <c r="B2" s="70"/>
      <c r="C2" s="70"/>
    </row>
    <row r="3" spans="1:18">
      <c r="A3" s="70"/>
      <c r="B3" s="70" t="s">
        <v>421</v>
      </c>
      <c r="C3" s="70" t="s">
        <v>333</v>
      </c>
      <c r="D3" s="71" t="s">
        <v>422</v>
      </c>
      <c r="E3" s="71" t="s">
        <v>423</v>
      </c>
      <c r="F3" s="71" t="s">
        <v>424</v>
      </c>
      <c r="G3" s="71" t="s">
        <v>425</v>
      </c>
      <c r="H3" s="71" t="s">
        <v>426</v>
      </c>
      <c r="I3" s="71" t="s">
        <v>427</v>
      </c>
      <c r="J3" s="71" t="s">
        <v>428</v>
      </c>
      <c r="K3" s="71" t="s">
        <v>429</v>
      </c>
      <c r="L3" s="71" t="s">
        <v>430</v>
      </c>
      <c r="M3" s="71" t="s">
        <v>431</v>
      </c>
      <c r="N3" s="71" t="s">
        <v>432</v>
      </c>
      <c r="O3" s="71" t="s">
        <v>433</v>
      </c>
      <c r="P3" s="71" t="s">
        <v>434</v>
      </c>
      <c r="Q3" s="71" t="s">
        <v>435</v>
      </c>
      <c r="R3" s="71" t="s">
        <v>436</v>
      </c>
    </row>
    <row r="4" spans="1:18">
      <c r="A4" s="70"/>
      <c r="C4" s="70"/>
    </row>
    <row r="5" spans="1:18">
      <c r="A5" s="70"/>
      <c r="B5" s="70" t="s">
        <v>437</v>
      </c>
      <c r="C5" s="70"/>
    </row>
    <row r="6" spans="1:18">
      <c r="A6" s="71" t="str">
        <f>VLOOKUP(C6,classifications!C:F,4,FALSE)</f>
        <v>L</v>
      </c>
      <c r="B6" s="71" t="s">
        <v>438</v>
      </c>
      <c r="C6" s="71" t="s">
        <v>200</v>
      </c>
      <c r="D6" s="71" t="s">
        <v>336</v>
      </c>
      <c r="E6" s="71" t="s">
        <v>211</v>
      </c>
      <c r="F6" s="71" t="s">
        <v>337</v>
      </c>
      <c r="G6" s="71" t="s">
        <v>221</v>
      </c>
      <c r="H6" s="71" t="s">
        <v>217</v>
      </c>
      <c r="I6" s="71" t="s">
        <v>212</v>
      </c>
      <c r="J6" s="71" t="s">
        <v>206</v>
      </c>
      <c r="K6" s="71" t="s">
        <v>214</v>
      </c>
      <c r="L6" s="71" t="s">
        <v>202</v>
      </c>
      <c r="M6" s="71" t="s">
        <v>198</v>
      </c>
      <c r="N6" s="71" t="s">
        <v>219</v>
      </c>
      <c r="O6" s="71" t="s">
        <v>391</v>
      </c>
      <c r="P6" s="71" t="s">
        <v>210</v>
      </c>
      <c r="Q6" s="71" t="s">
        <v>213</v>
      </c>
      <c r="R6" s="71" t="s">
        <v>207</v>
      </c>
    </row>
    <row r="7" spans="1:18">
      <c r="A7" s="71" t="str">
        <f>VLOOKUP(C7,classifications!C:F,4,FALSE)</f>
        <v>L</v>
      </c>
      <c r="B7" s="71" t="s">
        <v>439</v>
      </c>
      <c r="C7" s="71" t="s">
        <v>204</v>
      </c>
      <c r="D7" s="71" t="s">
        <v>213</v>
      </c>
      <c r="E7" s="71" t="s">
        <v>220</v>
      </c>
      <c r="F7" s="71" t="s">
        <v>212</v>
      </c>
      <c r="G7" s="71" t="s">
        <v>217</v>
      </c>
      <c r="H7" s="71" t="s">
        <v>210</v>
      </c>
      <c r="I7" s="71" t="s">
        <v>205</v>
      </c>
      <c r="J7" s="71" t="s">
        <v>198</v>
      </c>
      <c r="K7" s="71" t="s">
        <v>206</v>
      </c>
      <c r="L7" s="71" t="s">
        <v>202</v>
      </c>
      <c r="M7" s="71" t="s">
        <v>201</v>
      </c>
      <c r="N7" s="71" t="s">
        <v>203</v>
      </c>
      <c r="O7" s="71" t="s">
        <v>338</v>
      </c>
      <c r="P7" s="71" t="s">
        <v>219</v>
      </c>
      <c r="Q7" s="71" t="s">
        <v>215</v>
      </c>
      <c r="R7" s="71" t="s">
        <v>216</v>
      </c>
    </row>
    <row r="8" spans="1:18">
      <c r="A8" s="71" t="str">
        <f>VLOOKUP(C8,classifications!C:F,4,FALSE)</f>
        <v>L</v>
      </c>
      <c r="B8" s="71" t="s">
        <v>440</v>
      </c>
      <c r="C8" s="71" t="s">
        <v>205</v>
      </c>
      <c r="D8" s="71" t="s">
        <v>217</v>
      </c>
      <c r="E8" s="71" t="s">
        <v>219</v>
      </c>
      <c r="F8" s="71" t="s">
        <v>212</v>
      </c>
      <c r="G8" s="71" t="s">
        <v>213</v>
      </c>
      <c r="H8" s="71" t="s">
        <v>211</v>
      </c>
      <c r="I8" s="71" t="s">
        <v>204</v>
      </c>
      <c r="J8" s="71" t="s">
        <v>206</v>
      </c>
      <c r="K8" s="71" t="s">
        <v>215</v>
      </c>
      <c r="L8" s="71" t="s">
        <v>198</v>
      </c>
      <c r="M8" s="71" t="s">
        <v>220</v>
      </c>
      <c r="N8" s="71" t="s">
        <v>336</v>
      </c>
      <c r="O8" s="71" t="s">
        <v>210</v>
      </c>
      <c r="P8" s="71" t="s">
        <v>202</v>
      </c>
      <c r="Q8" s="71" t="s">
        <v>338</v>
      </c>
      <c r="R8" s="71" t="s">
        <v>200</v>
      </c>
    </row>
    <row r="9" spans="1:18">
      <c r="A9" s="71" t="str">
        <f>VLOOKUP(C9,classifications!C:F,4,FALSE)</f>
        <v>L</v>
      </c>
      <c r="B9" s="71" t="s">
        <v>441</v>
      </c>
      <c r="C9" s="71" t="s">
        <v>336</v>
      </c>
      <c r="D9" s="71" t="s">
        <v>200</v>
      </c>
      <c r="E9" s="71" t="s">
        <v>211</v>
      </c>
      <c r="F9" s="71" t="s">
        <v>221</v>
      </c>
      <c r="G9" s="71" t="s">
        <v>212</v>
      </c>
      <c r="H9" s="71" t="s">
        <v>217</v>
      </c>
      <c r="I9" s="71" t="s">
        <v>337</v>
      </c>
      <c r="J9" s="71" t="s">
        <v>219</v>
      </c>
      <c r="K9" s="71" t="s">
        <v>206</v>
      </c>
      <c r="L9" s="71" t="s">
        <v>214</v>
      </c>
      <c r="M9" s="71" t="s">
        <v>205</v>
      </c>
      <c r="N9" s="71" t="s">
        <v>210</v>
      </c>
      <c r="O9" s="71" t="s">
        <v>198</v>
      </c>
      <c r="P9" s="71" t="s">
        <v>202</v>
      </c>
      <c r="Q9" s="71" t="s">
        <v>213</v>
      </c>
      <c r="R9" s="71" t="s">
        <v>391</v>
      </c>
    </row>
    <row r="10" spans="1:18">
      <c r="A10" s="71" t="str">
        <f>VLOOKUP(C10,classifications!C:F,4,FALSE)</f>
        <v>L</v>
      </c>
      <c r="B10" s="71" t="s">
        <v>442</v>
      </c>
      <c r="C10" s="71" t="s">
        <v>211</v>
      </c>
      <c r="D10" s="71" t="s">
        <v>336</v>
      </c>
      <c r="E10" s="71" t="s">
        <v>217</v>
      </c>
      <c r="F10" s="71" t="s">
        <v>212</v>
      </c>
      <c r="G10" s="71" t="s">
        <v>219</v>
      </c>
      <c r="H10" s="71" t="s">
        <v>200</v>
      </c>
      <c r="I10" s="71" t="s">
        <v>205</v>
      </c>
      <c r="J10" s="71" t="s">
        <v>221</v>
      </c>
      <c r="K10" s="71" t="s">
        <v>213</v>
      </c>
      <c r="L10" s="71" t="s">
        <v>206</v>
      </c>
      <c r="M10" s="71" t="s">
        <v>204</v>
      </c>
      <c r="N10" s="71" t="s">
        <v>198</v>
      </c>
      <c r="O10" s="71" t="s">
        <v>210</v>
      </c>
      <c r="P10" s="71" t="s">
        <v>202</v>
      </c>
      <c r="Q10" s="71" t="s">
        <v>220</v>
      </c>
      <c r="R10" s="71" t="s">
        <v>214</v>
      </c>
    </row>
    <row r="11" spans="1:18">
      <c r="A11" s="71" t="str">
        <f>VLOOKUP(C11,classifications!C:F,4,FALSE)</f>
        <v>L</v>
      </c>
      <c r="B11" s="71" t="s">
        <v>443</v>
      </c>
      <c r="C11" s="71" t="s">
        <v>337</v>
      </c>
      <c r="D11" s="71" t="s">
        <v>200</v>
      </c>
      <c r="E11" s="71" t="s">
        <v>336</v>
      </c>
      <c r="F11" s="71" t="s">
        <v>187</v>
      </c>
      <c r="G11" s="71" t="s">
        <v>211</v>
      </c>
      <c r="H11" s="71" t="s">
        <v>221</v>
      </c>
      <c r="I11" s="71" t="s">
        <v>391</v>
      </c>
      <c r="J11" s="71" t="s">
        <v>392</v>
      </c>
      <c r="K11" s="71" t="s">
        <v>207</v>
      </c>
      <c r="L11" s="71" t="s">
        <v>214</v>
      </c>
      <c r="M11" s="71" t="s">
        <v>196</v>
      </c>
      <c r="N11" s="71" t="s">
        <v>202</v>
      </c>
      <c r="O11" s="71" t="s">
        <v>212</v>
      </c>
      <c r="P11" s="71" t="s">
        <v>217</v>
      </c>
      <c r="Q11" s="71" t="s">
        <v>218</v>
      </c>
      <c r="R11" s="71" t="s">
        <v>198</v>
      </c>
    </row>
    <row r="12" spans="1:18">
      <c r="A12" s="71" t="str">
        <f>VLOOKUP(C12,classifications!C:F,4,FALSE)</f>
        <v>L</v>
      </c>
      <c r="B12" s="71" t="s">
        <v>444</v>
      </c>
      <c r="C12" s="71" t="s">
        <v>212</v>
      </c>
      <c r="D12" s="71" t="s">
        <v>217</v>
      </c>
      <c r="E12" s="71" t="s">
        <v>213</v>
      </c>
      <c r="F12" s="71" t="s">
        <v>211</v>
      </c>
      <c r="G12" s="71" t="s">
        <v>205</v>
      </c>
      <c r="H12" s="71" t="s">
        <v>219</v>
      </c>
      <c r="I12" s="71" t="s">
        <v>204</v>
      </c>
      <c r="J12" s="71" t="s">
        <v>206</v>
      </c>
      <c r="K12" s="71" t="s">
        <v>198</v>
      </c>
      <c r="L12" s="71" t="s">
        <v>221</v>
      </c>
      <c r="M12" s="71" t="s">
        <v>202</v>
      </c>
      <c r="N12" s="71" t="s">
        <v>336</v>
      </c>
      <c r="O12" s="71" t="s">
        <v>220</v>
      </c>
      <c r="P12" s="71" t="s">
        <v>210</v>
      </c>
      <c r="Q12" s="71" t="s">
        <v>200</v>
      </c>
      <c r="R12" s="71" t="s">
        <v>201</v>
      </c>
    </row>
    <row r="13" spans="1:18">
      <c r="A13" s="71" t="str">
        <f>VLOOKUP(C13,classifications!C:F,4,FALSE)</f>
        <v>L</v>
      </c>
      <c r="B13" s="71" t="s">
        <v>445</v>
      </c>
      <c r="C13" s="71" t="s">
        <v>213</v>
      </c>
      <c r="D13" s="71" t="s">
        <v>204</v>
      </c>
      <c r="E13" s="71" t="s">
        <v>212</v>
      </c>
      <c r="F13" s="71" t="s">
        <v>217</v>
      </c>
      <c r="G13" s="71" t="s">
        <v>220</v>
      </c>
      <c r="H13" s="71" t="s">
        <v>205</v>
      </c>
      <c r="I13" s="71" t="s">
        <v>206</v>
      </c>
      <c r="J13" s="71" t="s">
        <v>198</v>
      </c>
      <c r="K13" s="71" t="s">
        <v>210</v>
      </c>
      <c r="L13" s="71" t="s">
        <v>202</v>
      </c>
      <c r="M13" s="71" t="s">
        <v>219</v>
      </c>
      <c r="N13" s="71" t="s">
        <v>201</v>
      </c>
      <c r="O13" s="71" t="s">
        <v>211</v>
      </c>
      <c r="P13" s="71" t="s">
        <v>215</v>
      </c>
      <c r="Q13" s="71" t="s">
        <v>203</v>
      </c>
      <c r="R13" s="71" t="s">
        <v>216</v>
      </c>
    </row>
    <row r="14" spans="1:18">
      <c r="A14" s="71" t="str">
        <f>VLOOKUP(C14,classifications!C:F,4,FALSE)</f>
        <v>L</v>
      </c>
      <c r="B14" s="71" t="s">
        <v>446</v>
      </c>
      <c r="C14" s="71" t="s">
        <v>217</v>
      </c>
      <c r="D14" s="71" t="s">
        <v>212</v>
      </c>
      <c r="E14" s="71" t="s">
        <v>205</v>
      </c>
      <c r="F14" s="71" t="s">
        <v>213</v>
      </c>
      <c r="G14" s="71" t="s">
        <v>219</v>
      </c>
      <c r="H14" s="71" t="s">
        <v>211</v>
      </c>
      <c r="I14" s="71" t="s">
        <v>204</v>
      </c>
      <c r="J14" s="71" t="s">
        <v>206</v>
      </c>
      <c r="K14" s="71" t="s">
        <v>198</v>
      </c>
      <c r="L14" s="71" t="s">
        <v>336</v>
      </c>
      <c r="M14" s="71" t="s">
        <v>220</v>
      </c>
      <c r="N14" s="71" t="s">
        <v>202</v>
      </c>
      <c r="O14" s="71" t="s">
        <v>221</v>
      </c>
      <c r="P14" s="71" t="s">
        <v>210</v>
      </c>
      <c r="Q14" s="71" t="s">
        <v>200</v>
      </c>
      <c r="R14" s="71" t="s">
        <v>215</v>
      </c>
    </row>
    <row r="15" spans="1:18">
      <c r="A15" s="71" t="str">
        <f>VLOOKUP(C15,classifications!C:F,4,FALSE)</f>
        <v>L</v>
      </c>
      <c r="B15" s="71" t="s">
        <v>447</v>
      </c>
      <c r="C15" s="71" t="s">
        <v>219</v>
      </c>
      <c r="D15" s="71" t="s">
        <v>205</v>
      </c>
      <c r="E15" s="71" t="s">
        <v>217</v>
      </c>
      <c r="F15" s="71" t="s">
        <v>212</v>
      </c>
      <c r="G15" s="71" t="s">
        <v>211</v>
      </c>
      <c r="H15" s="71" t="s">
        <v>213</v>
      </c>
      <c r="I15" s="71" t="s">
        <v>204</v>
      </c>
      <c r="J15" s="71" t="s">
        <v>206</v>
      </c>
      <c r="K15" s="71" t="s">
        <v>336</v>
      </c>
      <c r="L15" s="71" t="s">
        <v>215</v>
      </c>
      <c r="M15" s="71" t="s">
        <v>198</v>
      </c>
      <c r="N15" s="71" t="s">
        <v>220</v>
      </c>
      <c r="O15" s="71" t="s">
        <v>221</v>
      </c>
      <c r="P15" s="71" t="s">
        <v>202</v>
      </c>
      <c r="Q15" s="71" t="s">
        <v>210</v>
      </c>
      <c r="R15" s="71" t="s">
        <v>200</v>
      </c>
    </row>
    <row r="16" spans="1:18">
      <c r="A16" s="71" t="str">
        <f>VLOOKUP(C16,classifications!C:F,4,FALSE)</f>
        <v>L</v>
      </c>
      <c r="B16" s="71" t="s">
        <v>448</v>
      </c>
      <c r="C16" s="71" t="s">
        <v>221</v>
      </c>
      <c r="D16" s="71" t="s">
        <v>212</v>
      </c>
      <c r="E16" s="71" t="s">
        <v>336</v>
      </c>
      <c r="F16" s="71" t="s">
        <v>214</v>
      </c>
      <c r="G16" s="71" t="s">
        <v>202</v>
      </c>
      <c r="H16" s="71" t="s">
        <v>211</v>
      </c>
      <c r="I16" s="71" t="s">
        <v>210</v>
      </c>
      <c r="J16" s="71" t="s">
        <v>200</v>
      </c>
      <c r="K16" s="71" t="s">
        <v>217</v>
      </c>
      <c r="L16" s="71" t="s">
        <v>391</v>
      </c>
      <c r="M16" s="71" t="s">
        <v>196</v>
      </c>
      <c r="N16" s="71" t="s">
        <v>213</v>
      </c>
      <c r="O16" s="71" t="s">
        <v>198</v>
      </c>
      <c r="P16" s="71" t="s">
        <v>218</v>
      </c>
      <c r="Q16" s="71" t="s">
        <v>201</v>
      </c>
      <c r="R16" s="71" t="s">
        <v>216</v>
      </c>
    </row>
    <row r="17" spans="1:18">
      <c r="A17" s="71" t="str">
        <f>VLOOKUP(C17,classifications!C:F,4,FALSE)</f>
        <v>L</v>
      </c>
      <c r="B17" s="71" t="s">
        <v>449</v>
      </c>
      <c r="C17" s="71" t="s">
        <v>187</v>
      </c>
      <c r="D17" s="71" t="s">
        <v>337</v>
      </c>
      <c r="E17" s="71" t="s">
        <v>200</v>
      </c>
      <c r="F17" s="71" t="s">
        <v>336</v>
      </c>
      <c r="G17" s="71" t="s">
        <v>211</v>
      </c>
      <c r="H17" s="71" t="s">
        <v>221</v>
      </c>
      <c r="I17" s="71" t="s">
        <v>219</v>
      </c>
      <c r="J17" s="71" t="s">
        <v>217</v>
      </c>
      <c r="K17" s="71" t="s">
        <v>391</v>
      </c>
      <c r="L17" s="71" t="s">
        <v>212</v>
      </c>
      <c r="M17" s="71" t="s">
        <v>392</v>
      </c>
      <c r="N17" s="71" t="s">
        <v>214</v>
      </c>
      <c r="O17" s="71" t="s">
        <v>202</v>
      </c>
      <c r="P17" s="71" t="s">
        <v>196</v>
      </c>
      <c r="Q17" s="71" t="s">
        <v>207</v>
      </c>
      <c r="R17" s="71" t="s">
        <v>206</v>
      </c>
    </row>
    <row r="18" spans="1:18">
      <c r="A18" s="71" t="str">
        <f>VLOOKUP(C18,classifications!C:F,4,FALSE)</f>
        <v>L</v>
      </c>
      <c r="B18" s="71" t="s">
        <v>450</v>
      </c>
      <c r="C18" s="71" t="s">
        <v>338</v>
      </c>
      <c r="D18" s="71" t="s">
        <v>220</v>
      </c>
      <c r="E18" s="71" t="s">
        <v>204</v>
      </c>
      <c r="F18" s="71" t="s">
        <v>215</v>
      </c>
      <c r="G18" s="71" t="s">
        <v>213</v>
      </c>
      <c r="H18" s="71" t="s">
        <v>203</v>
      </c>
      <c r="I18" s="71" t="s">
        <v>206</v>
      </c>
      <c r="J18" s="71" t="s">
        <v>210</v>
      </c>
      <c r="K18" s="71" t="s">
        <v>205</v>
      </c>
      <c r="L18" s="71" t="s">
        <v>198</v>
      </c>
      <c r="M18" s="71" t="s">
        <v>201</v>
      </c>
      <c r="N18" s="71" t="s">
        <v>216</v>
      </c>
      <c r="O18" s="71" t="s">
        <v>202</v>
      </c>
      <c r="P18" s="71" t="s">
        <v>209</v>
      </c>
      <c r="Q18" s="71" t="s">
        <v>217</v>
      </c>
      <c r="R18" s="71" t="s">
        <v>219</v>
      </c>
    </row>
    <row r="19" spans="1:18">
      <c r="A19" s="71" t="str">
        <f>VLOOKUP(C19,classifications!C:F,4,FALSE)</f>
        <v>L</v>
      </c>
      <c r="B19" s="71" t="s">
        <v>451</v>
      </c>
      <c r="C19" s="71" t="s">
        <v>196</v>
      </c>
      <c r="D19" s="71" t="s">
        <v>207</v>
      </c>
      <c r="E19" s="71" t="s">
        <v>216</v>
      </c>
      <c r="F19" s="71" t="s">
        <v>201</v>
      </c>
      <c r="G19" s="71" t="s">
        <v>202</v>
      </c>
      <c r="H19" s="71" t="s">
        <v>203</v>
      </c>
      <c r="I19" s="71" t="s">
        <v>199</v>
      </c>
      <c r="J19" s="71" t="s">
        <v>209</v>
      </c>
      <c r="K19" s="71" t="s">
        <v>214</v>
      </c>
      <c r="L19" s="71" t="s">
        <v>391</v>
      </c>
      <c r="M19" s="71" t="s">
        <v>210</v>
      </c>
      <c r="N19" s="71" t="s">
        <v>218</v>
      </c>
      <c r="O19" s="71" t="s">
        <v>392</v>
      </c>
      <c r="P19" s="71" t="s">
        <v>197</v>
      </c>
      <c r="Q19" s="71" t="s">
        <v>221</v>
      </c>
      <c r="R19" s="71" t="s">
        <v>198</v>
      </c>
    </row>
    <row r="20" spans="1:18">
      <c r="A20" s="71" t="str">
        <f>VLOOKUP(C20,classifications!C:F,4,FALSE)</f>
        <v>L</v>
      </c>
      <c r="B20" s="71" t="s">
        <v>452</v>
      </c>
      <c r="C20" s="71" t="s">
        <v>197</v>
      </c>
      <c r="D20" s="71" t="s">
        <v>208</v>
      </c>
      <c r="E20" s="71" t="s">
        <v>218</v>
      </c>
      <c r="F20" s="71" t="s">
        <v>209</v>
      </c>
      <c r="G20" s="71" t="s">
        <v>216</v>
      </c>
      <c r="H20" s="71" t="s">
        <v>199</v>
      </c>
      <c r="I20" s="71" t="s">
        <v>214</v>
      </c>
      <c r="J20" s="71" t="s">
        <v>207</v>
      </c>
      <c r="K20" s="71" t="s">
        <v>391</v>
      </c>
      <c r="L20" s="71" t="s">
        <v>201</v>
      </c>
      <c r="M20" s="71" t="s">
        <v>203</v>
      </c>
      <c r="N20" s="71" t="s">
        <v>210</v>
      </c>
      <c r="O20" s="71" t="s">
        <v>196</v>
      </c>
      <c r="P20" s="71" t="s">
        <v>220</v>
      </c>
      <c r="Q20" s="71" t="s">
        <v>202</v>
      </c>
      <c r="R20" s="71" t="s">
        <v>392</v>
      </c>
    </row>
    <row r="21" spans="1:18">
      <c r="A21" s="71" t="str">
        <f>VLOOKUP(C21,classifications!C:F,4,FALSE)</f>
        <v>L</v>
      </c>
      <c r="B21" s="71" t="s">
        <v>453</v>
      </c>
      <c r="C21" s="71" t="s">
        <v>198</v>
      </c>
      <c r="D21" s="71" t="s">
        <v>202</v>
      </c>
      <c r="E21" s="71" t="s">
        <v>206</v>
      </c>
      <c r="F21" s="71" t="s">
        <v>220</v>
      </c>
      <c r="G21" s="71" t="s">
        <v>210</v>
      </c>
      <c r="H21" s="71" t="s">
        <v>203</v>
      </c>
      <c r="I21" s="71" t="s">
        <v>213</v>
      </c>
      <c r="J21" s="71" t="s">
        <v>212</v>
      </c>
      <c r="K21" s="71" t="s">
        <v>201</v>
      </c>
      <c r="L21" s="71" t="s">
        <v>216</v>
      </c>
      <c r="M21" s="71" t="s">
        <v>217</v>
      </c>
      <c r="N21" s="71" t="s">
        <v>204</v>
      </c>
      <c r="O21" s="71" t="s">
        <v>215</v>
      </c>
      <c r="P21" s="71" t="s">
        <v>214</v>
      </c>
      <c r="Q21" s="71" t="s">
        <v>205</v>
      </c>
      <c r="R21" s="71" t="s">
        <v>207</v>
      </c>
    </row>
    <row r="22" spans="1:18">
      <c r="A22" s="71" t="str">
        <f>VLOOKUP(C22,classifications!C:F,4,FALSE)</f>
        <v>L</v>
      </c>
      <c r="B22" s="71" t="s">
        <v>454</v>
      </c>
      <c r="C22" s="71" t="s">
        <v>199</v>
      </c>
      <c r="D22" s="71" t="s">
        <v>208</v>
      </c>
      <c r="E22" s="71" t="s">
        <v>197</v>
      </c>
      <c r="F22" s="71" t="s">
        <v>209</v>
      </c>
      <c r="G22" s="71" t="s">
        <v>196</v>
      </c>
      <c r="H22" s="71" t="s">
        <v>392</v>
      </c>
      <c r="I22" s="71" t="s">
        <v>218</v>
      </c>
      <c r="J22" s="71" t="s">
        <v>391</v>
      </c>
      <c r="K22" s="71" t="s">
        <v>207</v>
      </c>
      <c r="L22" s="71" t="s">
        <v>201</v>
      </c>
      <c r="M22" s="71" t="s">
        <v>216</v>
      </c>
      <c r="N22" s="71" t="s">
        <v>203</v>
      </c>
      <c r="O22" s="71" t="s">
        <v>214</v>
      </c>
      <c r="P22" s="71" t="s">
        <v>210</v>
      </c>
      <c r="Q22" s="71" t="s">
        <v>202</v>
      </c>
      <c r="R22" s="71" t="s">
        <v>221</v>
      </c>
    </row>
    <row r="23" spans="1:18">
      <c r="A23" s="71" t="str">
        <f>VLOOKUP(C23,classifications!C:F,4,FALSE)</f>
        <v>L</v>
      </c>
      <c r="B23" s="71" t="s">
        <v>455</v>
      </c>
      <c r="C23" s="71" t="s">
        <v>201</v>
      </c>
      <c r="D23" s="71" t="s">
        <v>203</v>
      </c>
      <c r="E23" s="71" t="s">
        <v>216</v>
      </c>
      <c r="F23" s="71" t="s">
        <v>202</v>
      </c>
      <c r="G23" s="71" t="s">
        <v>210</v>
      </c>
      <c r="H23" s="71" t="s">
        <v>220</v>
      </c>
      <c r="I23" s="71" t="s">
        <v>209</v>
      </c>
      <c r="J23" s="71" t="s">
        <v>196</v>
      </c>
      <c r="K23" s="71" t="s">
        <v>198</v>
      </c>
      <c r="L23" s="71" t="s">
        <v>197</v>
      </c>
      <c r="M23" s="71" t="s">
        <v>204</v>
      </c>
      <c r="N23" s="71" t="s">
        <v>214</v>
      </c>
      <c r="O23" s="71" t="s">
        <v>213</v>
      </c>
      <c r="P23" s="71" t="s">
        <v>218</v>
      </c>
      <c r="Q23" s="71" t="s">
        <v>206</v>
      </c>
      <c r="R23" s="71" t="s">
        <v>207</v>
      </c>
    </row>
    <row r="24" spans="1:18">
      <c r="A24" s="71" t="str">
        <f>VLOOKUP(C24,classifications!C:F,4,FALSE)</f>
        <v>L</v>
      </c>
      <c r="B24" s="71" t="s">
        <v>456</v>
      </c>
      <c r="C24" s="71" t="s">
        <v>202</v>
      </c>
      <c r="D24" s="71" t="s">
        <v>198</v>
      </c>
      <c r="E24" s="71" t="s">
        <v>210</v>
      </c>
      <c r="F24" s="71" t="s">
        <v>201</v>
      </c>
      <c r="G24" s="71" t="s">
        <v>216</v>
      </c>
      <c r="H24" s="71" t="s">
        <v>203</v>
      </c>
      <c r="I24" s="71" t="s">
        <v>220</v>
      </c>
      <c r="J24" s="71" t="s">
        <v>206</v>
      </c>
      <c r="K24" s="71" t="s">
        <v>214</v>
      </c>
      <c r="L24" s="71" t="s">
        <v>196</v>
      </c>
      <c r="M24" s="71" t="s">
        <v>207</v>
      </c>
      <c r="N24" s="71" t="s">
        <v>213</v>
      </c>
      <c r="O24" s="71" t="s">
        <v>212</v>
      </c>
      <c r="P24" s="71" t="s">
        <v>204</v>
      </c>
      <c r="Q24" s="71" t="s">
        <v>221</v>
      </c>
      <c r="R24" s="71" t="s">
        <v>209</v>
      </c>
    </row>
    <row r="25" spans="1:18">
      <c r="A25" s="71" t="str">
        <f>VLOOKUP(C25,classifications!C:F,4,FALSE)</f>
        <v>L</v>
      </c>
      <c r="B25" s="71" t="s">
        <v>457</v>
      </c>
      <c r="C25" s="71" t="s">
        <v>203</v>
      </c>
      <c r="D25" s="71" t="s">
        <v>201</v>
      </c>
      <c r="E25" s="71" t="s">
        <v>216</v>
      </c>
      <c r="F25" s="71" t="s">
        <v>202</v>
      </c>
      <c r="G25" s="71" t="s">
        <v>210</v>
      </c>
      <c r="H25" s="71" t="s">
        <v>220</v>
      </c>
      <c r="I25" s="71" t="s">
        <v>198</v>
      </c>
      <c r="J25" s="71" t="s">
        <v>209</v>
      </c>
      <c r="K25" s="71" t="s">
        <v>196</v>
      </c>
      <c r="L25" s="71" t="s">
        <v>207</v>
      </c>
      <c r="M25" s="71" t="s">
        <v>206</v>
      </c>
      <c r="N25" s="71" t="s">
        <v>197</v>
      </c>
      <c r="O25" s="71" t="s">
        <v>204</v>
      </c>
      <c r="P25" s="71" t="s">
        <v>214</v>
      </c>
      <c r="Q25" s="71" t="s">
        <v>213</v>
      </c>
      <c r="R25" s="71" t="s">
        <v>218</v>
      </c>
    </row>
    <row r="26" spans="1:18">
      <c r="A26" s="71" t="str">
        <f>VLOOKUP(C26,classifications!C:F,4,FALSE)</f>
        <v>L</v>
      </c>
      <c r="B26" s="71" t="s">
        <v>458</v>
      </c>
      <c r="C26" s="71" t="s">
        <v>206</v>
      </c>
      <c r="D26" s="71" t="s">
        <v>198</v>
      </c>
      <c r="E26" s="71" t="s">
        <v>220</v>
      </c>
      <c r="F26" s="71" t="s">
        <v>202</v>
      </c>
      <c r="G26" s="71" t="s">
        <v>213</v>
      </c>
      <c r="H26" s="71" t="s">
        <v>212</v>
      </c>
      <c r="I26" s="71" t="s">
        <v>217</v>
      </c>
      <c r="J26" s="71" t="s">
        <v>210</v>
      </c>
      <c r="K26" s="71" t="s">
        <v>205</v>
      </c>
      <c r="L26" s="71" t="s">
        <v>215</v>
      </c>
      <c r="M26" s="71" t="s">
        <v>203</v>
      </c>
      <c r="N26" s="71" t="s">
        <v>204</v>
      </c>
      <c r="O26" s="71" t="s">
        <v>201</v>
      </c>
      <c r="P26" s="71" t="s">
        <v>219</v>
      </c>
      <c r="Q26" s="71" t="s">
        <v>211</v>
      </c>
      <c r="R26" s="71" t="s">
        <v>216</v>
      </c>
    </row>
    <row r="27" spans="1:18">
      <c r="A27" s="71" t="str">
        <f>VLOOKUP(C27,classifications!C:F,4,FALSE)</f>
        <v>L</v>
      </c>
      <c r="B27" s="71" t="s">
        <v>459</v>
      </c>
      <c r="C27" s="71" t="s">
        <v>207</v>
      </c>
      <c r="D27" s="71" t="s">
        <v>214</v>
      </c>
      <c r="E27" s="71" t="s">
        <v>391</v>
      </c>
      <c r="F27" s="71" t="s">
        <v>216</v>
      </c>
      <c r="G27" s="71" t="s">
        <v>196</v>
      </c>
      <c r="H27" s="71" t="s">
        <v>218</v>
      </c>
      <c r="I27" s="71" t="s">
        <v>202</v>
      </c>
      <c r="J27" s="71" t="s">
        <v>197</v>
      </c>
      <c r="K27" s="71" t="s">
        <v>203</v>
      </c>
      <c r="L27" s="71" t="s">
        <v>210</v>
      </c>
      <c r="M27" s="71" t="s">
        <v>209</v>
      </c>
      <c r="N27" s="71" t="s">
        <v>201</v>
      </c>
      <c r="O27" s="71" t="s">
        <v>392</v>
      </c>
      <c r="P27" s="71" t="s">
        <v>198</v>
      </c>
      <c r="Q27" s="71" t="s">
        <v>199</v>
      </c>
      <c r="R27" s="71" t="s">
        <v>208</v>
      </c>
    </row>
    <row r="28" spans="1:18">
      <c r="A28" s="71" t="str">
        <f>VLOOKUP(C28,classifications!C:F,4,FALSE)</f>
        <v>L</v>
      </c>
      <c r="B28" s="71" t="s">
        <v>460</v>
      </c>
      <c r="C28" s="71" t="s">
        <v>208</v>
      </c>
      <c r="D28" s="71" t="s">
        <v>197</v>
      </c>
      <c r="E28" s="71" t="s">
        <v>199</v>
      </c>
      <c r="F28" s="71" t="s">
        <v>218</v>
      </c>
      <c r="G28" s="71" t="s">
        <v>209</v>
      </c>
      <c r="H28" s="71" t="s">
        <v>391</v>
      </c>
      <c r="I28" s="71" t="s">
        <v>216</v>
      </c>
      <c r="J28" s="71" t="s">
        <v>207</v>
      </c>
      <c r="K28" s="71" t="s">
        <v>214</v>
      </c>
      <c r="L28" s="71" t="s">
        <v>201</v>
      </c>
      <c r="M28" s="71" t="s">
        <v>203</v>
      </c>
      <c r="N28" s="71" t="s">
        <v>210</v>
      </c>
      <c r="O28" s="71" t="s">
        <v>196</v>
      </c>
      <c r="P28" s="71" t="s">
        <v>392</v>
      </c>
      <c r="Q28" s="71" t="s">
        <v>220</v>
      </c>
      <c r="R28" s="71" t="s">
        <v>202</v>
      </c>
    </row>
    <row r="29" spans="1:18">
      <c r="A29" s="71" t="str">
        <f>VLOOKUP(C29,classifications!C:F,4,FALSE)</f>
        <v>L</v>
      </c>
      <c r="B29" s="71" t="s">
        <v>461</v>
      </c>
      <c r="C29" s="71" t="s">
        <v>209</v>
      </c>
      <c r="D29" s="71" t="s">
        <v>210</v>
      </c>
      <c r="E29" s="71" t="s">
        <v>203</v>
      </c>
      <c r="F29" s="71" t="s">
        <v>197</v>
      </c>
      <c r="G29" s="71" t="s">
        <v>201</v>
      </c>
      <c r="H29" s="71" t="s">
        <v>208</v>
      </c>
      <c r="I29" s="71" t="s">
        <v>199</v>
      </c>
      <c r="J29" s="71" t="s">
        <v>218</v>
      </c>
      <c r="K29" s="71" t="s">
        <v>216</v>
      </c>
      <c r="L29" s="71" t="s">
        <v>196</v>
      </c>
      <c r="M29" s="71" t="s">
        <v>214</v>
      </c>
      <c r="N29" s="71" t="s">
        <v>207</v>
      </c>
      <c r="O29" s="71" t="s">
        <v>202</v>
      </c>
      <c r="P29" s="71" t="s">
        <v>220</v>
      </c>
      <c r="Q29" s="71" t="s">
        <v>391</v>
      </c>
      <c r="R29" s="71" t="s">
        <v>204</v>
      </c>
    </row>
    <row r="30" spans="1:18">
      <c r="A30" s="71" t="str">
        <f>VLOOKUP(C30,classifications!C:F,4,FALSE)</f>
        <v>L</v>
      </c>
      <c r="B30" s="71" t="s">
        <v>462</v>
      </c>
      <c r="C30" s="71" t="s">
        <v>210</v>
      </c>
      <c r="D30" s="71" t="s">
        <v>202</v>
      </c>
      <c r="E30" s="71" t="s">
        <v>220</v>
      </c>
      <c r="F30" s="71" t="s">
        <v>203</v>
      </c>
      <c r="G30" s="71" t="s">
        <v>214</v>
      </c>
      <c r="H30" s="71" t="s">
        <v>209</v>
      </c>
      <c r="I30" s="71" t="s">
        <v>198</v>
      </c>
      <c r="J30" s="71" t="s">
        <v>216</v>
      </c>
      <c r="K30" s="71" t="s">
        <v>201</v>
      </c>
      <c r="L30" s="71" t="s">
        <v>204</v>
      </c>
      <c r="M30" s="71" t="s">
        <v>206</v>
      </c>
      <c r="N30" s="71" t="s">
        <v>213</v>
      </c>
      <c r="O30" s="71" t="s">
        <v>218</v>
      </c>
      <c r="P30" s="71" t="s">
        <v>207</v>
      </c>
      <c r="Q30" s="71" t="s">
        <v>212</v>
      </c>
      <c r="R30" s="71" t="s">
        <v>196</v>
      </c>
    </row>
    <row r="31" spans="1:18">
      <c r="A31" s="71" t="str">
        <f>VLOOKUP(C31,classifications!C:F,4,FALSE)</f>
        <v>L</v>
      </c>
      <c r="B31" s="71" t="s">
        <v>463</v>
      </c>
      <c r="C31" s="72" t="s">
        <v>391</v>
      </c>
      <c r="D31" s="71" t="s">
        <v>214</v>
      </c>
      <c r="E31" s="71" t="s">
        <v>218</v>
      </c>
      <c r="F31" s="71" t="s">
        <v>207</v>
      </c>
      <c r="G31" s="71" t="s">
        <v>392</v>
      </c>
      <c r="H31" s="71" t="s">
        <v>197</v>
      </c>
      <c r="I31" s="71" t="s">
        <v>216</v>
      </c>
      <c r="J31" s="71" t="s">
        <v>196</v>
      </c>
      <c r="K31" s="71" t="s">
        <v>210</v>
      </c>
      <c r="L31" s="71" t="s">
        <v>209</v>
      </c>
      <c r="M31" s="71" t="s">
        <v>199</v>
      </c>
      <c r="N31" s="71" t="s">
        <v>208</v>
      </c>
      <c r="O31" s="71" t="s">
        <v>221</v>
      </c>
      <c r="P31" s="71" t="s">
        <v>202</v>
      </c>
      <c r="Q31" s="71" t="s">
        <v>203</v>
      </c>
      <c r="R31" s="71" t="s">
        <v>201</v>
      </c>
    </row>
    <row r="32" spans="1:18">
      <c r="A32" s="71" t="str">
        <f>VLOOKUP(C32,classifications!C:F,4,FALSE)</f>
        <v>L</v>
      </c>
      <c r="B32" s="71" t="s">
        <v>464</v>
      </c>
      <c r="C32" s="71" t="s">
        <v>214</v>
      </c>
      <c r="D32" s="71" t="s">
        <v>218</v>
      </c>
      <c r="E32" s="71" t="s">
        <v>391</v>
      </c>
      <c r="F32" s="71" t="s">
        <v>207</v>
      </c>
      <c r="G32" s="71" t="s">
        <v>216</v>
      </c>
      <c r="H32" s="71" t="s">
        <v>210</v>
      </c>
      <c r="I32" s="71" t="s">
        <v>202</v>
      </c>
      <c r="J32" s="71" t="s">
        <v>197</v>
      </c>
      <c r="K32" s="71" t="s">
        <v>221</v>
      </c>
      <c r="L32" s="71" t="s">
        <v>209</v>
      </c>
      <c r="M32" s="71" t="s">
        <v>220</v>
      </c>
      <c r="N32" s="71" t="s">
        <v>196</v>
      </c>
      <c r="O32" s="71" t="s">
        <v>201</v>
      </c>
      <c r="P32" s="71" t="s">
        <v>203</v>
      </c>
      <c r="Q32" s="71" t="s">
        <v>198</v>
      </c>
      <c r="R32" s="71" t="s">
        <v>206</v>
      </c>
    </row>
    <row r="33" spans="1:18">
      <c r="A33" s="71" t="str">
        <f>VLOOKUP(C33,classifications!C:F,4,FALSE)</f>
        <v>L</v>
      </c>
      <c r="B33" s="71" t="s">
        <v>465</v>
      </c>
      <c r="C33" s="71" t="s">
        <v>215</v>
      </c>
      <c r="D33" s="71" t="s">
        <v>220</v>
      </c>
      <c r="E33" s="71" t="s">
        <v>206</v>
      </c>
      <c r="F33" s="71" t="s">
        <v>198</v>
      </c>
      <c r="G33" s="71" t="s">
        <v>213</v>
      </c>
      <c r="H33" s="71" t="s">
        <v>205</v>
      </c>
      <c r="I33" s="71" t="s">
        <v>338</v>
      </c>
      <c r="J33" s="71" t="s">
        <v>204</v>
      </c>
      <c r="K33" s="71" t="s">
        <v>219</v>
      </c>
      <c r="L33" s="71" t="s">
        <v>217</v>
      </c>
      <c r="M33" s="71" t="s">
        <v>212</v>
      </c>
      <c r="N33" s="71" t="s">
        <v>202</v>
      </c>
      <c r="O33" s="71" t="s">
        <v>210</v>
      </c>
      <c r="P33" s="71" t="s">
        <v>203</v>
      </c>
      <c r="Q33" s="71" t="s">
        <v>201</v>
      </c>
      <c r="R33" s="71" t="s">
        <v>216</v>
      </c>
    </row>
    <row r="34" spans="1:18">
      <c r="A34" s="71" t="str">
        <f>VLOOKUP(C34,classifications!C:F,4,FALSE)</f>
        <v>L</v>
      </c>
      <c r="B34" s="71" t="s">
        <v>466</v>
      </c>
      <c r="C34" s="71" t="s">
        <v>216</v>
      </c>
      <c r="D34" s="71" t="s">
        <v>201</v>
      </c>
      <c r="E34" s="71" t="s">
        <v>203</v>
      </c>
      <c r="F34" s="71" t="s">
        <v>202</v>
      </c>
      <c r="G34" s="71" t="s">
        <v>207</v>
      </c>
      <c r="H34" s="71" t="s">
        <v>214</v>
      </c>
      <c r="I34" s="71" t="s">
        <v>210</v>
      </c>
      <c r="J34" s="71" t="s">
        <v>218</v>
      </c>
      <c r="K34" s="71" t="s">
        <v>220</v>
      </c>
      <c r="L34" s="71" t="s">
        <v>197</v>
      </c>
      <c r="M34" s="71" t="s">
        <v>196</v>
      </c>
      <c r="N34" s="71" t="s">
        <v>198</v>
      </c>
      <c r="O34" s="71" t="s">
        <v>209</v>
      </c>
      <c r="P34" s="71" t="s">
        <v>391</v>
      </c>
      <c r="Q34" s="71" t="s">
        <v>206</v>
      </c>
      <c r="R34" s="71" t="s">
        <v>204</v>
      </c>
    </row>
    <row r="35" spans="1:18">
      <c r="A35" s="71" t="str">
        <f>VLOOKUP(C35,classifications!C:F,4,FALSE)</f>
        <v>L</v>
      </c>
      <c r="B35" s="71" t="s">
        <v>467</v>
      </c>
      <c r="C35" s="72" t="s">
        <v>392</v>
      </c>
      <c r="D35" s="71" t="s">
        <v>391</v>
      </c>
      <c r="E35" s="71" t="s">
        <v>199</v>
      </c>
      <c r="F35" s="71" t="s">
        <v>207</v>
      </c>
      <c r="G35" s="71" t="s">
        <v>218</v>
      </c>
      <c r="H35" s="71" t="s">
        <v>196</v>
      </c>
      <c r="I35" s="71" t="s">
        <v>214</v>
      </c>
      <c r="J35" s="71" t="s">
        <v>197</v>
      </c>
      <c r="K35" s="71" t="s">
        <v>209</v>
      </c>
      <c r="L35" s="71" t="s">
        <v>208</v>
      </c>
      <c r="M35" s="71" t="s">
        <v>216</v>
      </c>
      <c r="N35" s="71" t="s">
        <v>221</v>
      </c>
      <c r="O35" s="71" t="s">
        <v>210</v>
      </c>
      <c r="P35" s="71" t="s">
        <v>200</v>
      </c>
      <c r="Q35" s="71" t="s">
        <v>203</v>
      </c>
      <c r="R35" s="71" t="s">
        <v>201</v>
      </c>
    </row>
    <row r="36" spans="1:18">
      <c r="A36" s="71" t="str">
        <f>VLOOKUP(C36,classifications!C:F,4,FALSE)</f>
        <v>L</v>
      </c>
      <c r="B36" s="71" t="s">
        <v>468</v>
      </c>
      <c r="C36" s="71" t="s">
        <v>218</v>
      </c>
      <c r="D36" s="71" t="s">
        <v>197</v>
      </c>
      <c r="E36" s="71" t="s">
        <v>214</v>
      </c>
      <c r="F36" s="71" t="s">
        <v>391</v>
      </c>
      <c r="G36" s="71" t="s">
        <v>207</v>
      </c>
      <c r="H36" s="71" t="s">
        <v>216</v>
      </c>
      <c r="I36" s="71" t="s">
        <v>208</v>
      </c>
      <c r="J36" s="71" t="s">
        <v>209</v>
      </c>
      <c r="K36" s="71" t="s">
        <v>210</v>
      </c>
      <c r="L36" s="71" t="s">
        <v>201</v>
      </c>
      <c r="M36" s="71" t="s">
        <v>196</v>
      </c>
      <c r="N36" s="71" t="s">
        <v>199</v>
      </c>
      <c r="O36" s="71" t="s">
        <v>203</v>
      </c>
      <c r="P36" s="71" t="s">
        <v>392</v>
      </c>
      <c r="Q36" s="71" t="s">
        <v>202</v>
      </c>
      <c r="R36" s="71" t="s">
        <v>220</v>
      </c>
    </row>
    <row r="37" spans="1:18">
      <c r="A37" s="71" t="str">
        <f>VLOOKUP(C37,classifications!C:F,4,FALSE)</f>
        <v>L</v>
      </c>
      <c r="B37" s="71" t="s">
        <v>469</v>
      </c>
      <c r="C37" s="71" t="s">
        <v>220</v>
      </c>
      <c r="D37" s="71" t="s">
        <v>206</v>
      </c>
      <c r="E37" s="71" t="s">
        <v>210</v>
      </c>
      <c r="F37" s="71" t="s">
        <v>198</v>
      </c>
      <c r="G37" s="71" t="s">
        <v>203</v>
      </c>
      <c r="H37" s="71" t="s">
        <v>202</v>
      </c>
      <c r="I37" s="71" t="s">
        <v>213</v>
      </c>
      <c r="J37" s="71" t="s">
        <v>204</v>
      </c>
      <c r="K37" s="71" t="s">
        <v>201</v>
      </c>
      <c r="L37" s="71" t="s">
        <v>215</v>
      </c>
      <c r="M37" s="71" t="s">
        <v>216</v>
      </c>
      <c r="N37" s="71" t="s">
        <v>338</v>
      </c>
      <c r="O37" s="71" t="s">
        <v>214</v>
      </c>
      <c r="P37" s="71" t="s">
        <v>212</v>
      </c>
      <c r="Q37" s="71" t="s">
        <v>217</v>
      </c>
      <c r="R37" s="71" t="s">
        <v>209</v>
      </c>
    </row>
    <row r="39" spans="1:18">
      <c r="B39" s="70" t="s">
        <v>412</v>
      </c>
    </row>
    <row r="40" spans="1:18">
      <c r="A40" s="71" t="str">
        <f>VLOOKUP(C40,classifications!C:F,4,FALSE)</f>
        <v>MD</v>
      </c>
      <c r="B40" s="71" t="s">
        <v>470</v>
      </c>
      <c r="C40" s="71" t="s">
        <v>224</v>
      </c>
      <c r="D40" s="71" t="s">
        <v>240</v>
      </c>
      <c r="E40" s="71" t="s">
        <v>239</v>
      </c>
      <c r="F40" s="71" t="s">
        <v>251</v>
      </c>
      <c r="G40" s="71" t="s">
        <v>265</v>
      </c>
      <c r="H40" s="71" t="s">
        <v>226</v>
      </c>
      <c r="I40" s="71" t="s">
        <v>255</v>
      </c>
      <c r="J40" s="71" t="s">
        <v>273</v>
      </c>
      <c r="K40" s="71" t="s">
        <v>232</v>
      </c>
      <c r="L40" s="71" t="s">
        <v>814</v>
      </c>
      <c r="M40" s="71" t="s">
        <v>291</v>
      </c>
      <c r="N40" s="71" t="s">
        <v>227</v>
      </c>
      <c r="O40" s="71" t="s">
        <v>228</v>
      </c>
      <c r="P40" s="71" t="s">
        <v>242</v>
      </c>
      <c r="Q40" s="71" t="s">
        <v>241</v>
      </c>
      <c r="R40" s="71" t="s">
        <v>290</v>
      </c>
    </row>
    <row r="41" spans="1:18">
      <c r="A41" s="71" t="str">
        <f>VLOOKUP(C41,classifications!C:F,4,FALSE)</f>
        <v>MD</v>
      </c>
      <c r="B41" s="71" t="s">
        <v>471</v>
      </c>
      <c r="C41" s="71" t="s">
        <v>226</v>
      </c>
      <c r="D41" s="71" t="s">
        <v>227</v>
      </c>
      <c r="E41" s="71" t="s">
        <v>273</v>
      </c>
      <c r="F41" s="71" t="s">
        <v>224</v>
      </c>
      <c r="G41" s="71" t="s">
        <v>232</v>
      </c>
      <c r="H41" s="71" t="s">
        <v>255</v>
      </c>
      <c r="I41" s="71" t="s">
        <v>251</v>
      </c>
      <c r="J41" s="71" t="s">
        <v>264</v>
      </c>
      <c r="K41" s="71" t="s">
        <v>814</v>
      </c>
      <c r="L41" s="71" t="s">
        <v>290</v>
      </c>
      <c r="M41" s="71" t="s">
        <v>295</v>
      </c>
      <c r="N41" s="71" t="s">
        <v>265</v>
      </c>
      <c r="O41" s="71" t="s">
        <v>248</v>
      </c>
      <c r="P41" s="71" t="s">
        <v>241</v>
      </c>
      <c r="Q41" s="71" t="s">
        <v>240</v>
      </c>
      <c r="R41" s="71" t="s">
        <v>249</v>
      </c>
    </row>
    <row r="42" spans="1:18">
      <c r="A42" s="71" t="str">
        <f>VLOOKUP(C42,classifications!C:F,4,FALSE)</f>
        <v>MD</v>
      </c>
      <c r="B42" s="71" t="s">
        <v>472</v>
      </c>
      <c r="C42" s="71" t="s">
        <v>236</v>
      </c>
      <c r="D42" s="71" t="s">
        <v>279</v>
      </c>
      <c r="E42" s="71" t="s">
        <v>235</v>
      </c>
      <c r="F42" s="71" t="s">
        <v>271</v>
      </c>
      <c r="G42" s="71" t="s">
        <v>288</v>
      </c>
      <c r="H42" s="71" t="s">
        <v>816</v>
      </c>
      <c r="I42" s="71" t="s">
        <v>812</v>
      </c>
      <c r="J42" s="71" t="s">
        <v>237</v>
      </c>
      <c r="K42" s="71" t="s">
        <v>242</v>
      </c>
      <c r="L42" s="71" t="s">
        <v>818</v>
      </c>
      <c r="M42" s="71" t="s">
        <v>234</v>
      </c>
      <c r="N42" s="71" t="s">
        <v>283</v>
      </c>
      <c r="O42" s="71" t="s">
        <v>245</v>
      </c>
      <c r="P42" s="71" t="s">
        <v>284</v>
      </c>
      <c r="Q42" s="71" t="s">
        <v>223</v>
      </c>
      <c r="R42" s="71" t="s">
        <v>224</v>
      </c>
    </row>
    <row r="43" spans="1:18">
      <c r="A43" s="71" t="str">
        <f>VLOOKUP(C43,classifications!C:F,4,FALSE)</f>
        <v>MD</v>
      </c>
      <c r="B43" s="71" t="s">
        <v>473</v>
      </c>
      <c r="C43" s="71" t="s">
        <v>239</v>
      </c>
      <c r="D43" s="71" t="s">
        <v>240</v>
      </c>
      <c r="E43" s="71" t="s">
        <v>224</v>
      </c>
      <c r="F43" s="71" t="s">
        <v>260</v>
      </c>
      <c r="G43" s="71" t="s">
        <v>251</v>
      </c>
      <c r="H43" s="71" t="s">
        <v>254</v>
      </c>
      <c r="I43" s="71" t="s">
        <v>265</v>
      </c>
      <c r="J43" s="71" t="s">
        <v>243</v>
      </c>
      <c r="K43" s="71" t="s">
        <v>291</v>
      </c>
      <c r="L43" s="71" t="s">
        <v>814</v>
      </c>
      <c r="M43" s="71" t="s">
        <v>225</v>
      </c>
      <c r="N43" s="71" t="s">
        <v>255</v>
      </c>
      <c r="O43" s="71" t="s">
        <v>273</v>
      </c>
      <c r="P43" s="71" t="s">
        <v>241</v>
      </c>
      <c r="Q43" s="71" t="s">
        <v>228</v>
      </c>
      <c r="R43" s="71" t="s">
        <v>226</v>
      </c>
    </row>
    <row r="44" spans="1:18">
      <c r="A44" s="71" t="str">
        <f>VLOOKUP(C44,classifications!C:F,4,FALSE)</f>
        <v>MD</v>
      </c>
      <c r="B44" s="71" t="s">
        <v>474</v>
      </c>
      <c r="C44" s="71" t="s">
        <v>240</v>
      </c>
      <c r="D44" s="71" t="s">
        <v>239</v>
      </c>
      <c r="E44" s="71" t="s">
        <v>224</v>
      </c>
      <c r="F44" s="71" t="s">
        <v>251</v>
      </c>
      <c r="G44" s="71" t="s">
        <v>291</v>
      </c>
      <c r="H44" s="71" t="s">
        <v>254</v>
      </c>
      <c r="I44" s="71" t="s">
        <v>242</v>
      </c>
      <c r="J44" s="71" t="s">
        <v>268</v>
      </c>
      <c r="K44" s="71" t="s">
        <v>243</v>
      </c>
      <c r="L44" s="71" t="s">
        <v>265</v>
      </c>
      <c r="M44" s="71" t="s">
        <v>814</v>
      </c>
      <c r="N44" s="71" t="s">
        <v>260</v>
      </c>
      <c r="O44" s="71" t="s">
        <v>241</v>
      </c>
      <c r="P44" s="71" t="s">
        <v>255</v>
      </c>
      <c r="Q44" s="71" t="s">
        <v>274</v>
      </c>
      <c r="R44" s="71" t="s">
        <v>248</v>
      </c>
    </row>
    <row r="45" spans="1:18">
      <c r="A45" s="71" t="str">
        <f>VLOOKUP(C45,classifications!C:F,4,FALSE)</f>
        <v>MD</v>
      </c>
      <c r="B45" s="71" t="s">
        <v>475</v>
      </c>
      <c r="C45" s="71" t="s">
        <v>242</v>
      </c>
      <c r="D45" s="71" t="s">
        <v>240</v>
      </c>
      <c r="E45" s="71" t="s">
        <v>291</v>
      </c>
      <c r="F45" s="71" t="s">
        <v>251</v>
      </c>
      <c r="G45" s="71" t="s">
        <v>224</v>
      </c>
      <c r="H45" s="71" t="s">
        <v>237</v>
      </c>
      <c r="I45" s="71" t="s">
        <v>231</v>
      </c>
      <c r="J45" s="71" t="s">
        <v>268</v>
      </c>
      <c r="K45" s="71" t="s">
        <v>279</v>
      </c>
      <c r="L45" s="71" t="s">
        <v>818</v>
      </c>
      <c r="M45" s="71" t="s">
        <v>239</v>
      </c>
      <c r="N45" s="71" t="s">
        <v>243</v>
      </c>
      <c r="O45" s="71" t="s">
        <v>274</v>
      </c>
      <c r="P45" s="71" t="s">
        <v>235</v>
      </c>
      <c r="Q45" s="71" t="s">
        <v>257</v>
      </c>
      <c r="R45" s="71" t="s">
        <v>233</v>
      </c>
    </row>
    <row r="46" spans="1:18">
      <c r="A46" s="71" t="str">
        <f>VLOOKUP(C46,classifications!C:F,4,FALSE)</f>
        <v>MD</v>
      </c>
      <c r="B46" s="71" t="s">
        <v>476</v>
      </c>
      <c r="C46" s="71" t="s">
        <v>249</v>
      </c>
      <c r="D46" s="71" t="s">
        <v>246</v>
      </c>
      <c r="E46" s="71" t="s">
        <v>299</v>
      </c>
      <c r="F46" s="71" t="s">
        <v>813</v>
      </c>
      <c r="G46" s="71" t="s">
        <v>226</v>
      </c>
      <c r="H46" s="71" t="s">
        <v>295</v>
      </c>
      <c r="I46" s="71" t="s">
        <v>227</v>
      </c>
      <c r="J46" s="71" t="s">
        <v>230</v>
      </c>
      <c r="K46" s="71" t="s">
        <v>304</v>
      </c>
      <c r="L46" s="71" t="s">
        <v>258</v>
      </c>
      <c r="M46" s="71" t="s">
        <v>264</v>
      </c>
      <c r="N46" s="71" t="s">
        <v>292</v>
      </c>
      <c r="O46" s="71" t="s">
        <v>259</v>
      </c>
      <c r="P46" s="71" t="s">
        <v>232</v>
      </c>
      <c r="Q46" s="71" t="s">
        <v>273</v>
      </c>
      <c r="R46" s="71" t="s">
        <v>325</v>
      </c>
    </row>
    <row r="47" spans="1:18">
      <c r="A47" s="71" t="str">
        <f>VLOOKUP(C47,classifications!C:F,4,FALSE)</f>
        <v>MD</v>
      </c>
      <c r="B47" s="71" t="s">
        <v>477</v>
      </c>
      <c r="C47" s="71" t="s">
        <v>251</v>
      </c>
      <c r="D47" s="71" t="s">
        <v>255</v>
      </c>
      <c r="E47" s="71" t="s">
        <v>224</v>
      </c>
      <c r="F47" s="71" t="s">
        <v>240</v>
      </c>
      <c r="G47" s="71" t="s">
        <v>291</v>
      </c>
      <c r="H47" s="71" t="s">
        <v>248</v>
      </c>
      <c r="I47" s="71" t="s">
        <v>239</v>
      </c>
      <c r="J47" s="71" t="s">
        <v>241</v>
      </c>
      <c r="K47" s="71" t="s">
        <v>268</v>
      </c>
      <c r="L47" s="71" t="s">
        <v>226</v>
      </c>
      <c r="M47" s="71" t="s">
        <v>242</v>
      </c>
      <c r="N47" s="71" t="s">
        <v>229</v>
      </c>
      <c r="O47" s="71" t="s">
        <v>253</v>
      </c>
      <c r="P47" s="71" t="s">
        <v>222</v>
      </c>
      <c r="Q47" s="71" t="s">
        <v>814</v>
      </c>
      <c r="R47" s="71" t="s">
        <v>227</v>
      </c>
    </row>
    <row r="48" spans="1:18">
      <c r="A48" s="71" t="str">
        <f>VLOOKUP(C48,classifications!C:F,4,FALSE)</f>
        <v>MD</v>
      </c>
      <c r="B48" s="71" t="s">
        <v>478</v>
      </c>
      <c r="C48" s="71" t="s">
        <v>252</v>
      </c>
      <c r="D48" s="71" t="s">
        <v>292</v>
      </c>
      <c r="E48" s="71" t="s">
        <v>246</v>
      </c>
      <c r="F48" s="71" t="s">
        <v>295</v>
      </c>
      <c r="G48" s="71" t="s">
        <v>299</v>
      </c>
      <c r="H48" s="71" t="s">
        <v>249</v>
      </c>
      <c r="I48" s="71" t="s">
        <v>293</v>
      </c>
      <c r="J48" s="71" t="s">
        <v>259</v>
      </c>
      <c r="K48" s="71" t="s">
        <v>287</v>
      </c>
      <c r="L48" s="71" t="s">
        <v>813</v>
      </c>
      <c r="M48" s="71" t="s">
        <v>275</v>
      </c>
      <c r="N48" s="71" t="s">
        <v>258</v>
      </c>
      <c r="O48" s="71" t="s">
        <v>290</v>
      </c>
      <c r="P48" s="71" t="s">
        <v>284</v>
      </c>
      <c r="Q48" s="71" t="s">
        <v>280</v>
      </c>
      <c r="R48" s="71" t="s">
        <v>816</v>
      </c>
    </row>
    <row r="49" spans="1:18">
      <c r="A49" s="71" t="str">
        <f>VLOOKUP(C49,classifications!C:F,4,FALSE)</f>
        <v>MD</v>
      </c>
      <c r="B49" s="71" t="s">
        <v>479</v>
      </c>
      <c r="C49" s="71" t="s">
        <v>255</v>
      </c>
      <c r="D49" s="71" t="s">
        <v>251</v>
      </c>
      <c r="E49" s="71" t="s">
        <v>241</v>
      </c>
      <c r="F49" s="71" t="s">
        <v>248</v>
      </c>
      <c r="G49" s="71" t="s">
        <v>229</v>
      </c>
      <c r="H49" s="71" t="s">
        <v>224</v>
      </c>
      <c r="I49" s="71" t="s">
        <v>253</v>
      </c>
      <c r="J49" s="71" t="s">
        <v>222</v>
      </c>
      <c r="K49" s="71" t="s">
        <v>226</v>
      </c>
      <c r="L49" s="71" t="s">
        <v>232</v>
      </c>
      <c r="M49" s="71" t="s">
        <v>291</v>
      </c>
      <c r="N49" s="71" t="s">
        <v>240</v>
      </c>
      <c r="O49" s="71" t="s">
        <v>227</v>
      </c>
      <c r="P49" s="71" t="s">
        <v>268</v>
      </c>
      <c r="Q49" s="71" t="s">
        <v>290</v>
      </c>
      <c r="R49" s="71" t="s">
        <v>814</v>
      </c>
    </row>
    <row r="50" spans="1:18">
      <c r="A50" s="71" t="str">
        <f>VLOOKUP(C50,classifications!C:F,4,FALSE)</f>
        <v>MD</v>
      </c>
      <c r="B50" s="71" t="s">
        <v>480</v>
      </c>
      <c r="C50" s="71" t="s">
        <v>233</v>
      </c>
      <c r="D50" s="71" t="s">
        <v>274</v>
      </c>
      <c r="E50" s="71" t="s">
        <v>291</v>
      </c>
      <c r="F50" s="71" t="s">
        <v>268</v>
      </c>
      <c r="G50" s="71" t="s">
        <v>248</v>
      </c>
      <c r="H50" s="71" t="s">
        <v>254</v>
      </c>
      <c r="I50" s="71" t="s">
        <v>240</v>
      </c>
      <c r="J50" s="71" t="s">
        <v>231</v>
      </c>
      <c r="K50" s="71" t="s">
        <v>818</v>
      </c>
      <c r="L50" s="71" t="s">
        <v>241</v>
      </c>
      <c r="M50" s="71" t="s">
        <v>251</v>
      </c>
      <c r="N50" s="71" t="s">
        <v>250</v>
      </c>
      <c r="O50" s="71" t="s">
        <v>243</v>
      </c>
      <c r="P50" s="71" t="s">
        <v>257</v>
      </c>
      <c r="Q50" s="71" t="s">
        <v>242</v>
      </c>
      <c r="R50" s="71" t="s">
        <v>222</v>
      </c>
    </row>
    <row r="51" spans="1:18">
      <c r="A51" s="71" t="str">
        <f>VLOOKUP(C51,classifications!C:F,4,FALSE)</f>
        <v>MD</v>
      </c>
      <c r="B51" s="71" t="s">
        <v>481</v>
      </c>
      <c r="C51" s="71" t="s">
        <v>235</v>
      </c>
      <c r="D51" s="71" t="s">
        <v>279</v>
      </c>
      <c r="E51" s="71" t="s">
        <v>237</v>
      </c>
      <c r="F51" s="71" t="s">
        <v>818</v>
      </c>
      <c r="G51" s="71" t="s">
        <v>242</v>
      </c>
      <c r="H51" s="71" t="s">
        <v>245</v>
      </c>
      <c r="I51" s="71" t="s">
        <v>291</v>
      </c>
      <c r="J51" s="71" t="s">
        <v>231</v>
      </c>
      <c r="K51" s="71" t="s">
        <v>274</v>
      </c>
      <c r="L51" s="71" t="s">
        <v>250</v>
      </c>
      <c r="M51" s="71" t="s">
        <v>257</v>
      </c>
      <c r="N51" s="71" t="s">
        <v>243</v>
      </c>
      <c r="O51" s="71" t="s">
        <v>233</v>
      </c>
      <c r="P51" s="71" t="s">
        <v>240</v>
      </c>
      <c r="Q51" s="71" t="s">
        <v>251</v>
      </c>
      <c r="R51" s="71" t="s">
        <v>224</v>
      </c>
    </row>
    <row r="52" spans="1:18">
      <c r="A52" s="71" t="str">
        <f>VLOOKUP(C52,classifications!C:F,4,FALSE)</f>
        <v>MD</v>
      </c>
      <c r="B52" s="71" t="s">
        <v>482</v>
      </c>
      <c r="C52" s="71" t="s">
        <v>248</v>
      </c>
      <c r="D52" s="71" t="s">
        <v>241</v>
      </c>
      <c r="E52" s="71" t="s">
        <v>222</v>
      </c>
      <c r="F52" s="71" t="s">
        <v>229</v>
      </c>
      <c r="G52" s="71" t="s">
        <v>255</v>
      </c>
      <c r="H52" s="71" t="s">
        <v>253</v>
      </c>
      <c r="I52" s="71" t="s">
        <v>264</v>
      </c>
      <c r="J52" s="71" t="s">
        <v>290</v>
      </c>
      <c r="K52" s="71" t="s">
        <v>251</v>
      </c>
      <c r="L52" s="71" t="s">
        <v>230</v>
      </c>
      <c r="M52" s="71" t="s">
        <v>231</v>
      </c>
      <c r="N52" s="71" t="s">
        <v>291</v>
      </c>
      <c r="O52" s="71" t="s">
        <v>268</v>
      </c>
      <c r="P52" s="71" t="s">
        <v>227</v>
      </c>
      <c r="Q52" s="71" t="s">
        <v>224</v>
      </c>
      <c r="R52" s="71" t="s">
        <v>233</v>
      </c>
    </row>
    <row r="53" spans="1:18">
      <c r="A53" s="71" t="str">
        <f>VLOOKUP(C53,classifications!C:F,4,FALSE)</f>
        <v>MD</v>
      </c>
      <c r="B53" s="71" t="s">
        <v>483</v>
      </c>
      <c r="C53" s="71" t="s">
        <v>244</v>
      </c>
      <c r="D53" s="71" t="s">
        <v>256</v>
      </c>
      <c r="E53" s="71" t="s">
        <v>238</v>
      </c>
      <c r="F53" s="71" t="s">
        <v>322</v>
      </c>
      <c r="G53" s="71" t="s">
        <v>289</v>
      </c>
      <c r="H53" s="71" t="s">
        <v>294</v>
      </c>
      <c r="I53" s="71" t="s">
        <v>281</v>
      </c>
      <c r="J53" s="71" t="s">
        <v>808</v>
      </c>
      <c r="K53" s="71" t="s">
        <v>262</v>
      </c>
      <c r="L53" s="71" t="s">
        <v>264</v>
      </c>
      <c r="M53" s="71" t="s">
        <v>230</v>
      </c>
      <c r="N53" s="71" t="s">
        <v>267</v>
      </c>
      <c r="O53" s="71" t="s">
        <v>249</v>
      </c>
      <c r="P53" s="71" t="s">
        <v>270</v>
      </c>
      <c r="Q53" s="71" t="s">
        <v>276</v>
      </c>
      <c r="R53" s="71" t="s">
        <v>282</v>
      </c>
    </row>
    <row r="54" spans="1:18">
      <c r="A54" s="71" t="str">
        <f>VLOOKUP(C54,classifications!C:F,4,FALSE)</f>
        <v>MD</v>
      </c>
      <c r="B54" s="71" t="s">
        <v>484</v>
      </c>
      <c r="C54" s="71" t="s">
        <v>256</v>
      </c>
      <c r="D54" s="71" t="s">
        <v>244</v>
      </c>
      <c r="E54" s="71" t="s">
        <v>238</v>
      </c>
      <c r="F54" s="71" t="s">
        <v>281</v>
      </c>
      <c r="G54" s="71" t="s">
        <v>322</v>
      </c>
      <c r="H54" s="71" t="s">
        <v>289</v>
      </c>
      <c r="I54" s="71" t="s">
        <v>808</v>
      </c>
      <c r="J54" s="71" t="s">
        <v>264</v>
      </c>
      <c r="K54" s="71" t="s">
        <v>230</v>
      </c>
      <c r="L54" s="71" t="s">
        <v>276</v>
      </c>
      <c r="M54" s="71" t="s">
        <v>248</v>
      </c>
      <c r="N54" s="71" t="s">
        <v>241</v>
      </c>
      <c r="O54" s="71" t="s">
        <v>227</v>
      </c>
      <c r="P54" s="71" t="s">
        <v>250</v>
      </c>
      <c r="Q54" s="71" t="s">
        <v>222</v>
      </c>
      <c r="R54" s="71" t="s">
        <v>229</v>
      </c>
    </row>
    <row r="55" spans="1:18">
      <c r="A55" s="71" t="str">
        <f>VLOOKUP(C55,classifications!C:F,4,FALSE)</f>
        <v>MD</v>
      </c>
      <c r="B55" s="71" t="s">
        <v>485</v>
      </c>
      <c r="C55" s="71" t="s">
        <v>222</v>
      </c>
      <c r="D55" s="71" t="s">
        <v>241</v>
      </c>
      <c r="E55" s="71" t="s">
        <v>229</v>
      </c>
      <c r="F55" s="71" t="s">
        <v>248</v>
      </c>
      <c r="G55" s="71" t="s">
        <v>253</v>
      </c>
      <c r="H55" s="71" t="s">
        <v>255</v>
      </c>
      <c r="I55" s="71" t="s">
        <v>266</v>
      </c>
      <c r="J55" s="71" t="s">
        <v>290</v>
      </c>
      <c r="K55" s="71" t="s">
        <v>227</v>
      </c>
      <c r="L55" s="71" t="s">
        <v>230</v>
      </c>
      <c r="M55" s="71" t="s">
        <v>264</v>
      </c>
      <c r="N55" s="71" t="s">
        <v>251</v>
      </c>
      <c r="O55" s="71" t="s">
        <v>291</v>
      </c>
      <c r="P55" s="71" t="s">
        <v>254</v>
      </c>
      <c r="Q55" s="71" t="s">
        <v>814</v>
      </c>
      <c r="R55" s="71" t="s">
        <v>232</v>
      </c>
    </row>
    <row r="56" spans="1:18">
      <c r="A56" s="71" t="str">
        <f>VLOOKUP(C56,classifications!C:F,4,FALSE)</f>
        <v>MD</v>
      </c>
      <c r="B56" s="71" t="s">
        <v>486</v>
      </c>
      <c r="C56" s="71" t="s">
        <v>229</v>
      </c>
      <c r="D56" s="71" t="s">
        <v>241</v>
      </c>
      <c r="E56" s="71" t="s">
        <v>222</v>
      </c>
      <c r="F56" s="71" t="s">
        <v>253</v>
      </c>
      <c r="G56" s="71" t="s">
        <v>248</v>
      </c>
      <c r="H56" s="71" t="s">
        <v>255</v>
      </c>
      <c r="I56" s="71" t="s">
        <v>291</v>
      </c>
      <c r="J56" s="71" t="s">
        <v>290</v>
      </c>
      <c r="K56" s="71" t="s">
        <v>266</v>
      </c>
      <c r="L56" s="71" t="s">
        <v>251</v>
      </c>
      <c r="M56" s="71" t="s">
        <v>227</v>
      </c>
      <c r="N56" s="71" t="s">
        <v>232</v>
      </c>
      <c r="O56" s="71" t="s">
        <v>230</v>
      </c>
      <c r="P56" s="71" t="s">
        <v>264</v>
      </c>
      <c r="Q56" s="71" t="s">
        <v>224</v>
      </c>
      <c r="R56" s="71" t="s">
        <v>254</v>
      </c>
    </row>
    <row r="57" spans="1:18">
      <c r="A57" s="71" t="str">
        <f>VLOOKUP(C57,classifications!C:F,4,FALSE)</f>
        <v>MD</v>
      </c>
      <c r="B57" s="71" t="s">
        <v>487</v>
      </c>
      <c r="C57" s="71" t="s">
        <v>241</v>
      </c>
      <c r="D57" s="71" t="s">
        <v>222</v>
      </c>
      <c r="E57" s="71" t="s">
        <v>229</v>
      </c>
      <c r="F57" s="71" t="s">
        <v>248</v>
      </c>
      <c r="G57" s="71" t="s">
        <v>253</v>
      </c>
      <c r="H57" s="71" t="s">
        <v>255</v>
      </c>
      <c r="I57" s="71" t="s">
        <v>290</v>
      </c>
      <c r="J57" s="71" t="s">
        <v>251</v>
      </c>
      <c r="K57" s="71" t="s">
        <v>227</v>
      </c>
      <c r="L57" s="71" t="s">
        <v>291</v>
      </c>
      <c r="M57" s="71" t="s">
        <v>230</v>
      </c>
      <c r="N57" s="71" t="s">
        <v>264</v>
      </c>
      <c r="O57" s="71" t="s">
        <v>240</v>
      </c>
      <c r="P57" s="71" t="s">
        <v>814</v>
      </c>
      <c r="Q57" s="71" t="s">
        <v>224</v>
      </c>
      <c r="R57" s="71" t="s">
        <v>254</v>
      </c>
    </row>
    <row r="58" spans="1:18">
      <c r="A58" s="71" t="str">
        <f>VLOOKUP(C58,classifications!C:F,4,FALSE)</f>
        <v>MD</v>
      </c>
      <c r="B58" s="71" t="s">
        <v>488</v>
      </c>
      <c r="C58" s="71" t="s">
        <v>245</v>
      </c>
      <c r="D58" s="71" t="s">
        <v>234</v>
      </c>
      <c r="E58" s="71" t="s">
        <v>237</v>
      </c>
      <c r="F58" s="71" t="s">
        <v>265</v>
      </c>
      <c r="G58" s="71" t="s">
        <v>228</v>
      </c>
      <c r="H58" s="71" t="s">
        <v>230</v>
      </c>
      <c r="I58" s="71" t="s">
        <v>224</v>
      </c>
      <c r="J58" s="71" t="s">
        <v>232</v>
      </c>
      <c r="K58" s="71" t="s">
        <v>253</v>
      </c>
      <c r="L58" s="71" t="s">
        <v>281</v>
      </c>
      <c r="M58" s="71" t="s">
        <v>242</v>
      </c>
      <c r="N58" s="71" t="s">
        <v>231</v>
      </c>
      <c r="O58" s="71" t="s">
        <v>241</v>
      </c>
      <c r="P58" s="71" t="s">
        <v>816</v>
      </c>
      <c r="Q58" s="71" t="s">
        <v>279</v>
      </c>
      <c r="R58" s="71" t="s">
        <v>235</v>
      </c>
    </row>
    <row r="59" spans="1:18">
      <c r="A59" s="71" t="str">
        <f>VLOOKUP(C59,classifications!C:F,4,FALSE)</f>
        <v>MD</v>
      </c>
      <c r="B59" s="71" t="s">
        <v>489</v>
      </c>
      <c r="C59" s="71" t="s">
        <v>231</v>
      </c>
      <c r="D59" s="71" t="s">
        <v>291</v>
      </c>
      <c r="E59" s="71" t="s">
        <v>248</v>
      </c>
      <c r="F59" s="71" t="s">
        <v>253</v>
      </c>
      <c r="G59" s="71" t="s">
        <v>241</v>
      </c>
      <c r="H59" s="71" t="s">
        <v>242</v>
      </c>
      <c r="I59" s="71" t="s">
        <v>268</v>
      </c>
      <c r="J59" s="71" t="s">
        <v>233</v>
      </c>
      <c r="K59" s="71" t="s">
        <v>251</v>
      </c>
      <c r="L59" s="71" t="s">
        <v>237</v>
      </c>
      <c r="M59" s="71" t="s">
        <v>250</v>
      </c>
      <c r="N59" s="71" t="s">
        <v>229</v>
      </c>
      <c r="O59" s="71" t="s">
        <v>222</v>
      </c>
      <c r="P59" s="71" t="s">
        <v>240</v>
      </c>
      <c r="Q59" s="71" t="s">
        <v>264</v>
      </c>
      <c r="R59" s="71" t="s">
        <v>290</v>
      </c>
    </row>
    <row r="60" spans="1:18">
      <c r="A60" s="71" t="str">
        <f>VLOOKUP(C60,classifications!C:F,4,FALSE)</f>
        <v>MD</v>
      </c>
      <c r="B60" s="71" t="s">
        <v>490</v>
      </c>
      <c r="C60" s="72" t="s">
        <v>237</v>
      </c>
      <c r="D60" s="71" t="s">
        <v>279</v>
      </c>
      <c r="E60" s="71" t="s">
        <v>242</v>
      </c>
      <c r="F60" s="71" t="s">
        <v>235</v>
      </c>
      <c r="G60" s="71" t="s">
        <v>231</v>
      </c>
      <c r="H60" s="71" t="s">
        <v>245</v>
      </c>
      <c r="I60" s="71" t="s">
        <v>291</v>
      </c>
      <c r="J60" s="71" t="s">
        <v>288</v>
      </c>
      <c r="K60" s="71" t="s">
        <v>228</v>
      </c>
      <c r="L60" s="71" t="s">
        <v>224</v>
      </c>
      <c r="M60" s="71" t="s">
        <v>265</v>
      </c>
      <c r="N60" s="71" t="s">
        <v>818</v>
      </c>
      <c r="O60" s="71" t="s">
        <v>281</v>
      </c>
      <c r="P60" s="71" t="s">
        <v>240</v>
      </c>
      <c r="Q60" s="71" t="s">
        <v>268</v>
      </c>
      <c r="R60" s="71" t="s">
        <v>257</v>
      </c>
    </row>
    <row r="61" spans="1:18">
      <c r="A61" s="71" t="str">
        <f>VLOOKUP(C61,classifications!C:F,4,FALSE)</f>
        <v>MD</v>
      </c>
      <c r="B61" s="71" t="s">
        <v>491</v>
      </c>
      <c r="C61" s="71" t="s">
        <v>238</v>
      </c>
      <c r="D61" s="71" t="s">
        <v>281</v>
      </c>
      <c r="E61" s="71" t="s">
        <v>256</v>
      </c>
      <c r="F61" s="71" t="s">
        <v>808</v>
      </c>
      <c r="G61" s="71" t="s">
        <v>244</v>
      </c>
      <c r="H61" s="71" t="s">
        <v>250</v>
      </c>
      <c r="I61" s="71" t="s">
        <v>230</v>
      </c>
      <c r="J61" s="71" t="s">
        <v>248</v>
      </c>
      <c r="K61" s="71" t="s">
        <v>264</v>
      </c>
      <c r="L61" s="71" t="s">
        <v>322</v>
      </c>
      <c r="M61" s="71" t="s">
        <v>276</v>
      </c>
      <c r="N61" s="71" t="s">
        <v>241</v>
      </c>
      <c r="O61" s="71" t="s">
        <v>222</v>
      </c>
      <c r="P61" s="71" t="s">
        <v>290</v>
      </c>
      <c r="Q61" s="71" t="s">
        <v>231</v>
      </c>
      <c r="R61" s="71" t="s">
        <v>247</v>
      </c>
    </row>
    <row r="62" spans="1:18">
      <c r="A62" s="71" t="str">
        <f>VLOOKUP(C62,classifications!C:F,4,FALSE)</f>
        <v>MD</v>
      </c>
      <c r="B62" s="71" t="s">
        <v>492</v>
      </c>
      <c r="C62" s="71" t="s">
        <v>247</v>
      </c>
      <c r="D62" s="71" t="s">
        <v>250</v>
      </c>
      <c r="E62" s="71" t="s">
        <v>269</v>
      </c>
      <c r="F62" s="71" t="s">
        <v>808</v>
      </c>
      <c r="G62" s="71" t="s">
        <v>233</v>
      </c>
      <c r="H62" s="71" t="s">
        <v>238</v>
      </c>
      <c r="I62" s="71" t="s">
        <v>231</v>
      </c>
      <c r="J62" s="71" t="s">
        <v>248</v>
      </c>
      <c r="K62" s="71" t="s">
        <v>257</v>
      </c>
      <c r="L62" s="71" t="s">
        <v>276</v>
      </c>
      <c r="M62" s="71" t="s">
        <v>274</v>
      </c>
      <c r="N62" s="71" t="s">
        <v>281</v>
      </c>
      <c r="O62" s="71" t="s">
        <v>291</v>
      </c>
      <c r="P62" s="71" t="s">
        <v>256</v>
      </c>
      <c r="Q62" s="71" t="s">
        <v>818</v>
      </c>
      <c r="R62" s="71" t="s">
        <v>254</v>
      </c>
    </row>
    <row r="63" spans="1:18">
      <c r="A63" s="71" t="str">
        <f>VLOOKUP(C63,classifications!C:F,4,FALSE)</f>
        <v>MD</v>
      </c>
      <c r="B63" s="71" t="s">
        <v>493</v>
      </c>
      <c r="C63" s="71" t="s">
        <v>250</v>
      </c>
      <c r="D63" s="71" t="s">
        <v>247</v>
      </c>
      <c r="E63" s="71" t="s">
        <v>281</v>
      </c>
      <c r="F63" s="71" t="s">
        <v>238</v>
      </c>
      <c r="G63" s="71" t="s">
        <v>231</v>
      </c>
      <c r="H63" s="71" t="s">
        <v>808</v>
      </c>
      <c r="I63" s="71" t="s">
        <v>269</v>
      </c>
      <c r="J63" s="71" t="s">
        <v>291</v>
      </c>
      <c r="K63" s="71" t="s">
        <v>233</v>
      </c>
      <c r="L63" s="71" t="s">
        <v>248</v>
      </c>
      <c r="M63" s="71" t="s">
        <v>276</v>
      </c>
      <c r="N63" s="71" t="s">
        <v>251</v>
      </c>
      <c r="O63" s="71" t="s">
        <v>241</v>
      </c>
      <c r="P63" s="71" t="s">
        <v>268</v>
      </c>
      <c r="Q63" s="71" t="s">
        <v>242</v>
      </c>
      <c r="R63" s="71" t="s">
        <v>253</v>
      </c>
    </row>
    <row r="64" spans="1:18">
      <c r="A64" s="71" t="str">
        <f>VLOOKUP(C64,classifications!C:F,4,FALSE)</f>
        <v>MD</v>
      </c>
      <c r="B64" s="71" t="s">
        <v>494</v>
      </c>
      <c r="C64" s="71" t="s">
        <v>223</v>
      </c>
      <c r="D64" s="71" t="s">
        <v>234</v>
      </c>
      <c r="E64" s="71" t="s">
        <v>225</v>
      </c>
      <c r="F64" s="71" t="s">
        <v>245</v>
      </c>
      <c r="G64" s="71" t="s">
        <v>243</v>
      </c>
      <c r="H64" s="71" t="s">
        <v>271</v>
      </c>
      <c r="I64" s="71" t="s">
        <v>228</v>
      </c>
      <c r="J64" s="71" t="s">
        <v>235</v>
      </c>
      <c r="K64" s="71" t="s">
        <v>232</v>
      </c>
      <c r="L64" s="71" t="s">
        <v>279</v>
      </c>
      <c r="M64" s="71" t="s">
        <v>224</v>
      </c>
      <c r="N64" s="71" t="s">
        <v>254</v>
      </c>
      <c r="O64" s="71" t="s">
        <v>257</v>
      </c>
      <c r="P64" s="71" t="s">
        <v>239</v>
      </c>
      <c r="Q64" s="71" t="s">
        <v>265</v>
      </c>
      <c r="R64" s="71" t="s">
        <v>816</v>
      </c>
    </row>
    <row r="65" spans="1:18">
      <c r="A65" s="71" t="str">
        <f>VLOOKUP(C65,classifications!C:F,4,FALSE)</f>
        <v>MD</v>
      </c>
      <c r="B65" s="71" t="s">
        <v>495</v>
      </c>
      <c r="C65" s="71" t="s">
        <v>228</v>
      </c>
      <c r="D65" s="71" t="s">
        <v>265</v>
      </c>
      <c r="E65" s="71" t="s">
        <v>224</v>
      </c>
      <c r="F65" s="71" t="s">
        <v>273</v>
      </c>
      <c r="G65" s="71" t="s">
        <v>245</v>
      </c>
      <c r="H65" s="71" t="s">
        <v>239</v>
      </c>
      <c r="I65" s="71" t="s">
        <v>232</v>
      </c>
      <c r="J65" s="71" t="s">
        <v>240</v>
      </c>
      <c r="K65" s="71" t="s">
        <v>225</v>
      </c>
      <c r="L65" s="71" t="s">
        <v>280</v>
      </c>
      <c r="M65" s="71" t="s">
        <v>254</v>
      </c>
      <c r="N65" s="71" t="s">
        <v>290</v>
      </c>
      <c r="O65" s="71" t="s">
        <v>243</v>
      </c>
      <c r="P65" s="71" t="s">
        <v>230</v>
      </c>
      <c r="Q65" s="71" t="s">
        <v>257</v>
      </c>
      <c r="R65" s="71" t="s">
        <v>292</v>
      </c>
    </row>
    <row r="66" spans="1:18">
      <c r="A66" s="71" t="str">
        <f>VLOOKUP(C66,classifications!C:F,4,FALSE)</f>
        <v>MD</v>
      </c>
      <c r="B66" s="71" t="s">
        <v>496</v>
      </c>
      <c r="C66" s="71" t="s">
        <v>230</v>
      </c>
      <c r="D66" s="71" t="s">
        <v>265</v>
      </c>
      <c r="E66" s="71" t="s">
        <v>290</v>
      </c>
      <c r="F66" s="71" t="s">
        <v>248</v>
      </c>
      <c r="G66" s="71" t="s">
        <v>264</v>
      </c>
      <c r="H66" s="71" t="s">
        <v>241</v>
      </c>
      <c r="I66" s="71" t="s">
        <v>254</v>
      </c>
      <c r="J66" s="71" t="s">
        <v>253</v>
      </c>
      <c r="K66" s="71" t="s">
        <v>222</v>
      </c>
      <c r="L66" s="71" t="s">
        <v>229</v>
      </c>
      <c r="M66" s="71" t="s">
        <v>232</v>
      </c>
      <c r="N66" s="71" t="s">
        <v>227</v>
      </c>
      <c r="O66" s="71" t="s">
        <v>224</v>
      </c>
      <c r="P66" s="71" t="s">
        <v>238</v>
      </c>
      <c r="Q66" s="71" t="s">
        <v>255</v>
      </c>
      <c r="R66" s="71" t="s">
        <v>249</v>
      </c>
    </row>
    <row r="67" spans="1:18">
      <c r="A67" s="71" t="str">
        <f>VLOOKUP(C67,classifications!C:F,4,FALSE)</f>
        <v>MD</v>
      </c>
      <c r="B67" s="71" t="s">
        <v>497</v>
      </c>
      <c r="C67" s="71" t="s">
        <v>243</v>
      </c>
      <c r="D67" s="71" t="s">
        <v>257</v>
      </c>
      <c r="E67" s="71" t="s">
        <v>254</v>
      </c>
      <c r="F67" s="71" t="s">
        <v>240</v>
      </c>
      <c r="G67" s="71" t="s">
        <v>818</v>
      </c>
      <c r="H67" s="71" t="s">
        <v>291</v>
      </c>
      <c r="I67" s="71" t="s">
        <v>239</v>
      </c>
      <c r="J67" s="71" t="s">
        <v>274</v>
      </c>
      <c r="K67" s="71" t="s">
        <v>242</v>
      </c>
      <c r="L67" s="71" t="s">
        <v>224</v>
      </c>
      <c r="M67" s="71" t="s">
        <v>265</v>
      </c>
      <c r="N67" s="71" t="s">
        <v>233</v>
      </c>
      <c r="O67" s="71" t="s">
        <v>228</v>
      </c>
      <c r="P67" s="71" t="s">
        <v>260</v>
      </c>
      <c r="Q67" s="71" t="s">
        <v>251</v>
      </c>
      <c r="R67" s="71" t="s">
        <v>279</v>
      </c>
    </row>
    <row r="68" spans="1:18">
      <c r="A68" s="71" t="str">
        <f>VLOOKUP(C68,classifications!C:F,4,FALSE)</f>
        <v>MD</v>
      </c>
      <c r="B68" s="71" t="s">
        <v>498</v>
      </c>
      <c r="C68" s="71" t="s">
        <v>246</v>
      </c>
      <c r="D68" s="71" t="s">
        <v>304</v>
      </c>
      <c r="E68" s="71" t="s">
        <v>258</v>
      </c>
      <c r="F68" s="71" t="s">
        <v>249</v>
      </c>
      <c r="G68" s="71" t="s">
        <v>813</v>
      </c>
      <c r="H68" s="71" t="s">
        <v>259</v>
      </c>
      <c r="I68" s="71" t="s">
        <v>252</v>
      </c>
      <c r="J68" s="71" t="s">
        <v>282</v>
      </c>
      <c r="K68" s="71" t="s">
        <v>299</v>
      </c>
      <c r="L68" s="71" t="s">
        <v>295</v>
      </c>
      <c r="M68" s="71" t="s">
        <v>287</v>
      </c>
      <c r="N68" s="71" t="s">
        <v>278</v>
      </c>
      <c r="O68" s="71" t="s">
        <v>325</v>
      </c>
      <c r="P68" s="71" t="s">
        <v>297</v>
      </c>
      <c r="Q68" s="71" t="s">
        <v>817</v>
      </c>
      <c r="R68" s="71" t="s">
        <v>292</v>
      </c>
    </row>
    <row r="69" spans="1:18">
      <c r="A69" s="71" t="str">
        <f>VLOOKUP(C69,classifications!C:F,4,FALSE)</f>
        <v>MD</v>
      </c>
      <c r="B69" s="71" t="s">
        <v>499</v>
      </c>
      <c r="C69" s="71" t="s">
        <v>254</v>
      </c>
      <c r="D69" s="71" t="s">
        <v>257</v>
      </c>
      <c r="E69" s="71" t="s">
        <v>243</v>
      </c>
      <c r="F69" s="71" t="s">
        <v>240</v>
      </c>
      <c r="G69" s="71" t="s">
        <v>265</v>
      </c>
      <c r="H69" s="71" t="s">
        <v>239</v>
      </c>
      <c r="I69" s="71" t="s">
        <v>241</v>
      </c>
      <c r="J69" s="71" t="s">
        <v>230</v>
      </c>
      <c r="K69" s="71" t="s">
        <v>291</v>
      </c>
      <c r="L69" s="71" t="s">
        <v>224</v>
      </c>
      <c r="M69" s="71" t="s">
        <v>248</v>
      </c>
      <c r="N69" s="71" t="s">
        <v>233</v>
      </c>
      <c r="O69" s="71" t="s">
        <v>229</v>
      </c>
      <c r="P69" s="71" t="s">
        <v>290</v>
      </c>
      <c r="Q69" s="71" t="s">
        <v>222</v>
      </c>
      <c r="R69" s="71" t="s">
        <v>251</v>
      </c>
    </row>
    <row r="70" spans="1:18">
      <c r="A70" s="71" t="str">
        <f>VLOOKUP(C70,classifications!C:F,4,FALSE)</f>
        <v>MD</v>
      </c>
      <c r="B70" s="71" t="s">
        <v>500</v>
      </c>
      <c r="C70" s="71" t="s">
        <v>257</v>
      </c>
      <c r="D70" s="71" t="s">
        <v>243</v>
      </c>
      <c r="E70" s="71" t="s">
        <v>254</v>
      </c>
      <c r="F70" s="71" t="s">
        <v>818</v>
      </c>
      <c r="G70" s="71" t="s">
        <v>240</v>
      </c>
      <c r="H70" s="71" t="s">
        <v>274</v>
      </c>
      <c r="I70" s="71" t="s">
        <v>291</v>
      </c>
      <c r="J70" s="71" t="s">
        <v>265</v>
      </c>
      <c r="K70" s="71" t="s">
        <v>242</v>
      </c>
      <c r="L70" s="71" t="s">
        <v>233</v>
      </c>
      <c r="M70" s="71" t="s">
        <v>239</v>
      </c>
      <c r="N70" s="71" t="s">
        <v>228</v>
      </c>
      <c r="O70" s="71" t="s">
        <v>224</v>
      </c>
      <c r="P70" s="71" t="s">
        <v>279</v>
      </c>
      <c r="Q70" s="71" t="s">
        <v>231</v>
      </c>
      <c r="R70" s="71" t="s">
        <v>241</v>
      </c>
    </row>
    <row r="71" spans="1:18">
      <c r="A71" s="71" t="str">
        <f>VLOOKUP(C71,classifications!C:F,4,FALSE)</f>
        <v>MD</v>
      </c>
      <c r="B71" s="71" t="s">
        <v>501</v>
      </c>
      <c r="C71" s="71" t="s">
        <v>225</v>
      </c>
      <c r="D71" s="71" t="s">
        <v>239</v>
      </c>
      <c r="E71" s="71" t="s">
        <v>232</v>
      </c>
      <c r="F71" s="71" t="s">
        <v>224</v>
      </c>
      <c r="G71" s="71" t="s">
        <v>228</v>
      </c>
      <c r="H71" s="71" t="s">
        <v>273</v>
      </c>
      <c r="I71" s="71" t="s">
        <v>265</v>
      </c>
      <c r="J71" s="71" t="s">
        <v>260</v>
      </c>
      <c r="K71" s="71" t="s">
        <v>240</v>
      </c>
      <c r="L71" s="71" t="s">
        <v>272</v>
      </c>
      <c r="M71" s="71" t="s">
        <v>243</v>
      </c>
      <c r="N71" s="71" t="s">
        <v>254</v>
      </c>
      <c r="O71" s="71" t="s">
        <v>226</v>
      </c>
      <c r="P71" s="71" t="s">
        <v>227</v>
      </c>
      <c r="Q71" s="71" t="s">
        <v>245</v>
      </c>
      <c r="R71" s="71" t="s">
        <v>251</v>
      </c>
    </row>
    <row r="72" spans="1:18">
      <c r="A72" s="71" t="str">
        <f>VLOOKUP(C72,classifications!C:F,4,FALSE)</f>
        <v>MD</v>
      </c>
      <c r="B72" s="71" t="s">
        <v>502</v>
      </c>
      <c r="C72" s="71" t="s">
        <v>227</v>
      </c>
      <c r="D72" s="71" t="s">
        <v>226</v>
      </c>
      <c r="E72" s="71" t="s">
        <v>232</v>
      </c>
      <c r="F72" s="71" t="s">
        <v>264</v>
      </c>
      <c r="G72" s="71" t="s">
        <v>290</v>
      </c>
      <c r="H72" s="71" t="s">
        <v>241</v>
      </c>
      <c r="I72" s="71" t="s">
        <v>273</v>
      </c>
      <c r="J72" s="71" t="s">
        <v>224</v>
      </c>
      <c r="K72" s="71" t="s">
        <v>265</v>
      </c>
      <c r="L72" s="71" t="s">
        <v>814</v>
      </c>
      <c r="M72" s="71" t="s">
        <v>255</v>
      </c>
      <c r="N72" s="71" t="s">
        <v>222</v>
      </c>
      <c r="O72" s="71" t="s">
        <v>229</v>
      </c>
      <c r="P72" s="71" t="s">
        <v>248</v>
      </c>
      <c r="Q72" s="71" t="s">
        <v>253</v>
      </c>
      <c r="R72" s="71" t="s">
        <v>295</v>
      </c>
    </row>
    <row r="73" spans="1:18">
      <c r="A73" s="71" t="str">
        <f>VLOOKUP(C73,classifications!C:F,4,FALSE)</f>
        <v>MD</v>
      </c>
      <c r="B73" s="71" t="s">
        <v>503</v>
      </c>
      <c r="C73" s="71" t="s">
        <v>232</v>
      </c>
      <c r="D73" s="71" t="s">
        <v>227</v>
      </c>
      <c r="E73" s="71" t="s">
        <v>273</v>
      </c>
      <c r="F73" s="71" t="s">
        <v>224</v>
      </c>
      <c r="G73" s="71" t="s">
        <v>226</v>
      </c>
      <c r="H73" s="71" t="s">
        <v>255</v>
      </c>
      <c r="I73" s="71" t="s">
        <v>265</v>
      </c>
      <c r="J73" s="71" t="s">
        <v>241</v>
      </c>
      <c r="K73" s="71" t="s">
        <v>290</v>
      </c>
      <c r="L73" s="71" t="s">
        <v>229</v>
      </c>
      <c r="M73" s="71" t="s">
        <v>230</v>
      </c>
      <c r="N73" s="71" t="s">
        <v>253</v>
      </c>
      <c r="O73" s="71" t="s">
        <v>814</v>
      </c>
      <c r="P73" s="71" t="s">
        <v>225</v>
      </c>
      <c r="Q73" s="71" t="s">
        <v>222</v>
      </c>
      <c r="R73" s="71" t="s">
        <v>228</v>
      </c>
    </row>
    <row r="74" spans="1:18">
      <c r="A74" s="71" t="str">
        <f>VLOOKUP(C74,classifications!C:F,4,FALSE)</f>
        <v>MD</v>
      </c>
      <c r="B74" s="71" t="s">
        <v>504</v>
      </c>
      <c r="C74" s="71" t="s">
        <v>234</v>
      </c>
      <c r="D74" s="71" t="s">
        <v>245</v>
      </c>
      <c r="E74" s="71" t="s">
        <v>232</v>
      </c>
      <c r="F74" s="71" t="s">
        <v>816</v>
      </c>
      <c r="G74" s="71" t="s">
        <v>237</v>
      </c>
      <c r="H74" s="71" t="s">
        <v>228</v>
      </c>
      <c r="I74" s="71" t="s">
        <v>224</v>
      </c>
      <c r="J74" s="71" t="s">
        <v>253</v>
      </c>
      <c r="K74" s="71" t="s">
        <v>265</v>
      </c>
      <c r="L74" s="71" t="s">
        <v>225</v>
      </c>
      <c r="M74" s="71" t="s">
        <v>230</v>
      </c>
      <c r="N74" s="71" t="s">
        <v>273</v>
      </c>
      <c r="O74" s="71" t="s">
        <v>235</v>
      </c>
      <c r="P74" s="71" t="s">
        <v>292</v>
      </c>
      <c r="Q74" s="71" t="s">
        <v>266</v>
      </c>
      <c r="R74" s="71" t="s">
        <v>295</v>
      </c>
    </row>
    <row r="75" spans="1:18">
      <c r="A75" s="71" t="str">
        <f>VLOOKUP(C75,classifications!C:F,4,FALSE)</f>
        <v>MD</v>
      </c>
      <c r="B75" s="71" t="s">
        <v>505</v>
      </c>
      <c r="C75" s="71" t="s">
        <v>253</v>
      </c>
      <c r="D75" s="71" t="s">
        <v>241</v>
      </c>
      <c r="E75" s="71" t="s">
        <v>229</v>
      </c>
      <c r="F75" s="71" t="s">
        <v>222</v>
      </c>
      <c r="G75" s="71" t="s">
        <v>248</v>
      </c>
      <c r="H75" s="71" t="s">
        <v>255</v>
      </c>
      <c r="I75" s="71" t="s">
        <v>290</v>
      </c>
      <c r="J75" s="71" t="s">
        <v>266</v>
      </c>
      <c r="K75" s="71" t="s">
        <v>230</v>
      </c>
      <c r="L75" s="71" t="s">
        <v>231</v>
      </c>
      <c r="M75" s="71" t="s">
        <v>291</v>
      </c>
      <c r="N75" s="71" t="s">
        <v>227</v>
      </c>
      <c r="O75" s="71" t="s">
        <v>814</v>
      </c>
      <c r="P75" s="71" t="s">
        <v>251</v>
      </c>
      <c r="Q75" s="71" t="s">
        <v>277</v>
      </c>
      <c r="R75" s="71" t="s">
        <v>224</v>
      </c>
    </row>
    <row r="77" spans="1:18">
      <c r="B77" s="70" t="s">
        <v>506</v>
      </c>
    </row>
    <row r="78" spans="1:18">
      <c r="A78" s="71" t="str">
        <f>VLOOKUP(C78,classifications!C:F,4,FALSE)</f>
        <v>UA</v>
      </c>
      <c r="B78" s="71" t="s">
        <v>507</v>
      </c>
      <c r="C78" s="72" t="s">
        <v>258</v>
      </c>
      <c r="D78" s="71" t="s">
        <v>304</v>
      </c>
      <c r="E78" s="71" t="s">
        <v>246</v>
      </c>
      <c r="F78" s="71" t="s">
        <v>813</v>
      </c>
      <c r="G78" s="71" t="s">
        <v>325</v>
      </c>
      <c r="H78" s="71" t="s">
        <v>817</v>
      </c>
      <c r="I78" s="71" t="s">
        <v>299</v>
      </c>
      <c r="J78" s="71" t="s">
        <v>249</v>
      </c>
      <c r="K78" s="71" t="s">
        <v>278</v>
      </c>
      <c r="L78" s="71" t="s">
        <v>297</v>
      </c>
      <c r="M78" s="71" t="s">
        <v>303</v>
      </c>
      <c r="N78" s="71" t="s">
        <v>259</v>
      </c>
      <c r="O78" s="71" t="s">
        <v>282</v>
      </c>
      <c r="P78" s="71" t="s">
        <v>287</v>
      </c>
      <c r="Q78" s="71" t="s">
        <v>267</v>
      </c>
      <c r="R78" s="71" t="s">
        <v>296</v>
      </c>
    </row>
    <row r="79" spans="1:18">
      <c r="A79" s="71" t="str">
        <f>VLOOKUP(C79,classifications!C:F,4,FALSE)</f>
        <v>UA</v>
      </c>
      <c r="B79" s="71" t="s">
        <v>508</v>
      </c>
      <c r="C79" s="72" t="s">
        <v>259</v>
      </c>
      <c r="D79" s="71" t="s">
        <v>292</v>
      </c>
      <c r="E79" s="71" t="s">
        <v>303</v>
      </c>
      <c r="F79" s="71" t="s">
        <v>246</v>
      </c>
      <c r="G79" s="71" t="s">
        <v>249</v>
      </c>
      <c r="H79" s="71" t="s">
        <v>258</v>
      </c>
      <c r="I79" s="71" t="s">
        <v>295</v>
      </c>
      <c r="J79" s="71" t="s">
        <v>813</v>
      </c>
      <c r="K79" s="71" t="s">
        <v>227</v>
      </c>
      <c r="L79" s="71" t="s">
        <v>280</v>
      </c>
      <c r="M79" s="71" t="s">
        <v>299</v>
      </c>
      <c r="N79" s="71" t="s">
        <v>275</v>
      </c>
      <c r="O79" s="71" t="s">
        <v>252</v>
      </c>
      <c r="P79" s="71" t="s">
        <v>273</v>
      </c>
      <c r="Q79" s="71" t="s">
        <v>287</v>
      </c>
      <c r="R79" s="71" t="s">
        <v>297</v>
      </c>
    </row>
    <row r="80" spans="1:18">
      <c r="A80" s="71" t="str">
        <f>VLOOKUP(C80,classifications!C:F,4,FALSE)</f>
        <v>UA</v>
      </c>
      <c r="B80" s="71" t="s">
        <v>509</v>
      </c>
      <c r="C80" s="72" t="s">
        <v>260</v>
      </c>
      <c r="D80" s="71" t="s">
        <v>239</v>
      </c>
      <c r="E80" s="71" t="s">
        <v>240</v>
      </c>
      <c r="F80" s="71" t="s">
        <v>224</v>
      </c>
      <c r="G80" s="71" t="s">
        <v>251</v>
      </c>
      <c r="H80" s="71" t="s">
        <v>225</v>
      </c>
      <c r="I80" s="71" t="s">
        <v>291</v>
      </c>
      <c r="J80" s="71" t="s">
        <v>265</v>
      </c>
      <c r="K80" s="71" t="s">
        <v>814</v>
      </c>
      <c r="L80" s="71" t="s">
        <v>243</v>
      </c>
      <c r="M80" s="71" t="s">
        <v>273</v>
      </c>
      <c r="N80" s="71" t="s">
        <v>272</v>
      </c>
      <c r="O80" s="71" t="s">
        <v>268</v>
      </c>
      <c r="P80" s="71" t="s">
        <v>228</v>
      </c>
      <c r="Q80" s="71" t="s">
        <v>226</v>
      </c>
      <c r="R80" s="71" t="s">
        <v>254</v>
      </c>
    </row>
    <row r="81" spans="1:18">
      <c r="A81" s="71" t="str">
        <f>VLOOKUP(C81,classifications!C:F,4,FALSE)</f>
        <v>UA</v>
      </c>
      <c r="B81" s="71" t="s">
        <v>510</v>
      </c>
      <c r="C81" s="72" t="s">
        <v>261</v>
      </c>
      <c r="D81" s="71" t="s">
        <v>276</v>
      </c>
      <c r="E81" s="71" t="s">
        <v>269</v>
      </c>
      <c r="F81" s="71" t="s">
        <v>808</v>
      </c>
      <c r="G81" s="71" t="s">
        <v>250</v>
      </c>
      <c r="H81" s="71" t="s">
        <v>256</v>
      </c>
      <c r="I81" s="71" t="s">
        <v>281</v>
      </c>
      <c r="J81" s="71" t="s">
        <v>247</v>
      </c>
      <c r="K81" s="71" t="s">
        <v>274</v>
      </c>
      <c r="L81" s="71" t="s">
        <v>264</v>
      </c>
      <c r="M81" s="71" t="s">
        <v>238</v>
      </c>
      <c r="N81" s="71" t="s">
        <v>244</v>
      </c>
      <c r="O81" s="71" t="s">
        <v>291</v>
      </c>
      <c r="P81" s="71" t="s">
        <v>248</v>
      </c>
      <c r="Q81" s="71" t="s">
        <v>231</v>
      </c>
      <c r="R81" s="71" t="s">
        <v>251</v>
      </c>
    </row>
    <row r="82" spans="1:18">
      <c r="A82" s="71" t="e">
        <f>VLOOKUP(C82,classifications!C:F,4,FALSE)</f>
        <v>#N/A</v>
      </c>
      <c r="B82" s="71" t="s">
        <v>511</v>
      </c>
      <c r="C82" s="72" t="s">
        <v>262</v>
      </c>
      <c r="D82" s="71" t="s">
        <v>289</v>
      </c>
      <c r="E82" s="71" t="s">
        <v>294</v>
      </c>
      <c r="F82" s="71" t="s">
        <v>244</v>
      </c>
      <c r="G82" s="71" t="s">
        <v>282</v>
      </c>
      <c r="H82" s="71" t="s">
        <v>281</v>
      </c>
      <c r="I82" s="71" t="s">
        <v>256</v>
      </c>
      <c r="J82" s="71" t="s">
        <v>299</v>
      </c>
      <c r="K82" s="71" t="s">
        <v>238</v>
      </c>
      <c r="L82" s="71" t="s">
        <v>812</v>
      </c>
      <c r="M82" s="71" t="s">
        <v>249</v>
      </c>
      <c r="N82" s="71" t="s">
        <v>278</v>
      </c>
      <c r="O82" s="71" t="s">
        <v>322</v>
      </c>
      <c r="P82" s="71" t="s">
        <v>264</v>
      </c>
      <c r="Q82" s="71" t="s">
        <v>816</v>
      </c>
      <c r="R82" s="71" t="s">
        <v>270</v>
      </c>
    </row>
    <row r="83" spans="1:18">
      <c r="A83" s="71" t="str">
        <f>VLOOKUP(C83,classifications!C:F,4,FALSE)</f>
        <v>UA</v>
      </c>
      <c r="B83" s="71" t="s">
        <v>512</v>
      </c>
      <c r="C83" s="72" t="s">
        <v>263</v>
      </c>
      <c r="D83" s="71" t="s">
        <v>296</v>
      </c>
      <c r="E83" s="71" t="s">
        <v>275</v>
      </c>
      <c r="F83" s="71" t="s">
        <v>259</v>
      </c>
      <c r="G83" s="71" t="s">
        <v>298</v>
      </c>
      <c r="H83" s="71" t="s">
        <v>284</v>
      </c>
      <c r="I83" s="71" t="s">
        <v>815</v>
      </c>
      <c r="J83" s="71" t="s">
        <v>303</v>
      </c>
      <c r="K83" s="71" t="s">
        <v>292</v>
      </c>
      <c r="L83" s="71" t="s">
        <v>293</v>
      </c>
      <c r="M83" s="71" t="s">
        <v>252</v>
      </c>
      <c r="N83" s="71" t="s">
        <v>287</v>
      </c>
      <c r="O83" s="71" t="s">
        <v>246</v>
      </c>
      <c r="P83" s="71" t="s">
        <v>258</v>
      </c>
      <c r="Q83" s="71" t="s">
        <v>295</v>
      </c>
      <c r="R83" s="71" t="s">
        <v>249</v>
      </c>
    </row>
    <row r="84" spans="1:18">
      <c r="A84" s="71" t="str">
        <f>VLOOKUP(C84,classifications!C:F,4,FALSE)</f>
        <v>UA</v>
      </c>
      <c r="B84" s="71" t="s">
        <v>513</v>
      </c>
      <c r="C84" s="72" t="s">
        <v>812</v>
      </c>
      <c r="D84" s="71" t="s">
        <v>283</v>
      </c>
      <c r="E84" s="71" t="s">
        <v>816</v>
      </c>
      <c r="F84" s="71" t="s">
        <v>288</v>
      </c>
      <c r="G84" s="71" t="s">
        <v>262</v>
      </c>
      <c r="H84" s="71" t="s">
        <v>289</v>
      </c>
      <c r="I84" s="71" t="s">
        <v>281</v>
      </c>
      <c r="J84" s="71" t="s">
        <v>299</v>
      </c>
      <c r="K84" s="71" t="s">
        <v>238</v>
      </c>
      <c r="L84" s="71" t="s">
        <v>245</v>
      </c>
      <c r="M84" s="71" t="s">
        <v>273</v>
      </c>
      <c r="N84" s="71" t="s">
        <v>237</v>
      </c>
      <c r="O84" s="71" t="s">
        <v>228</v>
      </c>
      <c r="P84" s="71" t="s">
        <v>292</v>
      </c>
      <c r="Q84" s="71" t="s">
        <v>284</v>
      </c>
      <c r="R84" s="71" t="s">
        <v>249</v>
      </c>
    </row>
    <row r="85" spans="1:18">
      <c r="A85" s="71" t="str">
        <f>VLOOKUP(C85,classifications!C:F,4,FALSE)</f>
        <v>UA</v>
      </c>
      <c r="B85" s="71" t="s">
        <v>514</v>
      </c>
      <c r="C85" s="72" t="s">
        <v>816</v>
      </c>
      <c r="D85" s="71" t="s">
        <v>288</v>
      </c>
      <c r="E85" s="71" t="s">
        <v>281</v>
      </c>
      <c r="F85" s="71" t="s">
        <v>283</v>
      </c>
      <c r="G85" s="71" t="s">
        <v>245</v>
      </c>
      <c r="H85" s="71" t="s">
        <v>812</v>
      </c>
      <c r="I85" s="71" t="s">
        <v>228</v>
      </c>
      <c r="J85" s="71" t="s">
        <v>234</v>
      </c>
      <c r="K85" s="71" t="s">
        <v>292</v>
      </c>
      <c r="L85" s="71" t="s">
        <v>237</v>
      </c>
      <c r="M85" s="71" t="s">
        <v>265</v>
      </c>
      <c r="N85" s="71" t="s">
        <v>224</v>
      </c>
      <c r="O85" s="71" t="s">
        <v>238</v>
      </c>
      <c r="P85" s="71" t="s">
        <v>273</v>
      </c>
      <c r="Q85" s="71" t="s">
        <v>289</v>
      </c>
      <c r="R85" s="71" t="s">
        <v>232</v>
      </c>
    </row>
    <row r="86" spans="1:18">
      <c r="A86" s="71" t="str">
        <f>VLOOKUP(C86,classifications!C:F,4,FALSE)</f>
        <v>UA</v>
      </c>
      <c r="B86" s="71" t="s">
        <v>515</v>
      </c>
      <c r="C86" s="72" t="s">
        <v>303</v>
      </c>
      <c r="D86" s="71" t="s">
        <v>297</v>
      </c>
      <c r="E86" s="71" t="s">
        <v>259</v>
      </c>
      <c r="F86" s="71" t="s">
        <v>304</v>
      </c>
      <c r="G86" s="71" t="s">
        <v>258</v>
      </c>
      <c r="H86" s="71" t="s">
        <v>296</v>
      </c>
      <c r="I86" s="71" t="s">
        <v>813</v>
      </c>
      <c r="J86" s="71" t="s">
        <v>325</v>
      </c>
      <c r="K86" s="71" t="s">
        <v>287</v>
      </c>
      <c r="L86" s="71" t="s">
        <v>817</v>
      </c>
      <c r="M86" s="71" t="s">
        <v>249</v>
      </c>
      <c r="N86" s="71" t="s">
        <v>295</v>
      </c>
      <c r="O86" s="71" t="s">
        <v>246</v>
      </c>
      <c r="P86" s="71" t="s">
        <v>292</v>
      </c>
      <c r="Q86" s="71" t="s">
        <v>278</v>
      </c>
      <c r="R86" s="71" t="s">
        <v>227</v>
      </c>
    </row>
    <row r="87" spans="1:18">
      <c r="A87" s="71" t="str">
        <f>VLOOKUP(C87,classifications!C:F,4,FALSE)</f>
        <v>UA</v>
      </c>
      <c r="B87" s="71" t="s">
        <v>516</v>
      </c>
      <c r="C87" s="72" t="s">
        <v>305</v>
      </c>
      <c r="D87" s="71" t="s">
        <v>267</v>
      </c>
      <c r="E87" s="71" t="s">
        <v>322</v>
      </c>
      <c r="F87" s="71" t="s">
        <v>325</v>
      </c>
      <c r="G87" s="71" t="s">
        <v>278</v>
      </c>
      <c r="H87" s="71" t="s">
        <v>270</v>
      </c>
      <c r="I87" s="71" t="s">
        <v>813</v>
      </c>
      <c r="J87" s="71" t="s">
        <v>817</v>
      </c>
      <c r="K87" s="71" t="s">
        <v>304</v>
      </c>
      <c r="L87" s="71" t="s">
        <v>297</v>
      </c>
      <c r="M87" s="71" t="s">
        <v>244</v>
      </c>
      <c r="N87" s="71" t="s">
        <v>266</v>
      </c>
      <c r="O87" s="71" t="s">
        <v>256</v>
      </c>
      <c r="P87" s="71" t="s">
        <v>258</v>
      </c>
      <c r="Q87" s="71" t="s">
        <v>282</v>
      </c>
      <c r="R87" s="71" t="s">
        <v>287</v>
      </c>
    </row>
    <row r="88" spans="1:18">
      <c r="A88" s="71" t="str">
        <f>VLOOKUP(C88,classifications!C:F,4,FALSE)</f>
        <v>UA</v>
      </c>
      <c r="B88" s="71" t="s">
        <v>517</v>
      </c>
      <c r="C88" s="72" t="s">
        <v>264</v>
      </c>
      <c r="D88" s="71" t="s">
        <v>248</v>
      </c>
      <c r="E88" s="71" t="s">
        <v>227</v>
      </c>
      <c r="F88" s="71" t="s">
        <v>290</v>
      </c>
      <c r="G88" s="71" t="s">
        <v>230</v>
      </c>
      <c r="H88" s="71" t="s">
        <v>226</v>
      </c>
      <c r="I88" s="71" t="s">
        <v>265</v>
      </c>
      <c r="J88" s="71" t="s">
        <v>241</v>
      </c>
      <c r="K88" s="71" t="s">
        <v>222</v>
      </c>
      <c r="L88" s="71" t="s">
        <v>229</v>
      </c>
      <c r="M88" s="71" t="s">
        <v>224</v>
      </c>
      <c r="N88" s="71" t="s">
        <v>253</v>
      </c>
      <c r="O88" s="71" t="s">
        <v>251</v>
      </c>
      <c r="P88" s="71" t="s">
        <v>273</v>
      </c>
      <c r="Q88" s="71" t="s">
        <v>238</v>
      </c>
      <c r="R88" s="71" t="s">
        <v>814</v>
      </c>
    </row>
    <row r="89" spans="1:18">
      <c r="A89" s="71" t="str">
        <f>VLOOKUP(C89,classifications!C:F,4,FALSE)</f>
        <v>UA</v>
      </c>
      <c r="B89" s="71" t="s">
        <v>518</v>
      </c>
      <c r="C89" s="72" t="s">
        <v>265</v>
      </c>
      <c r="D89" s="71" t="s">
        <v>228</v>
      </c>
      <c r="E89" s="71" t="s">
        <v>224</v>
      </c>
      <c r="F89" s="71" t="s">
        <v>230</v>
      </c>
      <c r="G89" s="71" t="s">
        <v>290</v>
      </c>
      <c r="H89" s="71" t="s">
        <v>254</v>
      </c>
      <c r="I89" s="71" t="s">
        <v>240</v>
      </c>
      <c r="J89" s="71" t="s">
        <v>264</v>
      </c>
      <c r="K89" s="71" t="s">
        <v>239</v>
      </c>
      <c r="L89" s="71" t="s">
        <v>232</v>
      </c>
      <c r="M89" s="71" t="s">
        <v>273</v>
      </c>
      <c r="N89" s="71" t="s">
        <v>227</v>
      </c>
      <c r="O89" s="71" t="s">
        <v>241</v>
      </c>
      <c r="P89" s="71" t="s">
        <v>226</v>
      </c>
      <c r="Q89" s="71" t="s">
        <v>814</v>
      </c>
      <c r="R89" s="71" t="s">
        <v>251</v>
      </c>
    </row>
    <row r="90" spans="1:18">
      <c r="A90" s="71" t="str">
        <f>VLOOKUP(C90,classifications!C:F,4,FALSE)</f>
        <v>UA</v>
      </c>
      <c r="B90" s="71" t="s">
        <v>519</v>
      </c>
      <c r="C90" s="72" t="s">
        <v>266</v>
      </c>
      <c r="D90" s="72" t="s">
        <v>222</v>
      </c>
      <c r="E90" s="71" t="s">
        <v>253</v>
      </c>
      <c r="F90" s="71" t="s">
        <v>229</v>
      </c>
      <c r="G90" s="71" t="s">
        <v>241</v>
      </c>
      <c r="H90" s="71" t="s">
        <v>255</v>
      </c>
      <c r="I90" s="71" t="s">
        <v>248</v>
      </c>
      <c r="J90" s="71" t="s">
        <v>232</v>
      </c>
      <c r="K90" s="71" t="s">
        <v>230</v>
      </c>
      <c r="L90" s="71" t="s">
        <v>227</v>
      </c>
      <c r="M90" s="71" t="s">
        <v>322</v>
      </c>
      <c r="N90" s="71" t="s">
        <v>251</v>
      </c>
      <c r="O90" s="71" t="s">
        <v>290</v>
      </c>
      <c r="P90" s="71" t="s">
        <v>245</v>
      </c>
      <c r="Q90" s="71" t="s">
        <v>231</v>
      </c>
      <c r="R90" s="71" t="s">
        <v>256</v>
      </c>
    </row>
    <row r="91" spans="1:18">
      <c r="A91" s="71" t="e">
        <f>VLOOKUP(C91,classifications!C:F,4,FALSE)</f>
        <v>#N/A</v>
      </c>
      <c r="B91" s="71" t="s">
        <v>519</v>
      </c>
      <c r="C91" t="s">
        <v>807</v>
      </c>
      <c r="D91" s="71" t="s">
        <v>222</v>
      </c>
      <c r="E91" s="71" t="s">
        <v>253</v>
      </c>
      <c r="F91" s="71" t="s">
        <v>229</v>
      </c>
      <c r="G91" s="71" t="s">
        <v>241</v>
      </c>
      <c r="H91" s="71" t="s">
        <v>255</v>
      </c>
      <c r="I91" s="71" t="s">
        <v>248</v>
      </c>
      <c r="J91" s="71" t="s">
        <v>232</v>
      </c>
      <c r="K91" s="71" t="s">
        <v>230</v>
      </c>
      <c r="L91" s="71" t="s">
        <v>227</v>
      </c>
      <c r="M91" s="71" t="s">
        <v>322</v>
      </c>
      <c r="N91" s="71" t="s">
        <v>251</v>
      </c>
      <c r="O91" s="71" t="s">
        <v>290</v>
      </c>
      <c r="P91" s="71" t="s">
        <v>245</v>
      </c>
      <c r="Q91" s="71" t="s">
        <v>231</v>
      </c>
      <c r="R91" s="71" t="s">
        <v>256</v>
      </c>
    </row>
    <row r="92" spans="1:18">
      <c r="A92" s="71" t="str">
        <f>VLOOKUP(C92,classifications!C:F,4,FALSE)</f>
        <v>UA</v>
      </c>
      <c r="B92" s="71" t="s">
        <v>520</v>
      </c>
      <c r="C92" s="72" t="s">
        <v>304</v>
      </c>
      <c r="D92" s="71" t="s">
        <v>813</v>
      </c>
      <c r="E92" s="71" t="s">
        <v>325</v>
      </c>
      <c r="F92" s="71" t="s">
        <v>297</v>
      </c>
      <c r="G92" s="71" t="s">
        <v>258</v>
      </c>
      <c r="H92" s="71" t="s">
        <v>817</v>
      </c>
      <c r="I92" s="71" t="s">
        <v>246</v>
      </c>
      <c r="J92" s="71" t="s">
        <v>249</v>
      </c>
      <c r="K92" s="71" t="s">
        <v>303</v>
      </c>
      <c r="L92" s="71" t="s">
        <v>278</v>
      </c>
      <c r="M92" s="71" t="s">
        <v>267</v>
      </c>
      <c r="N92" s="71" t="s">
        <v>299</v>
      </c>
      <c r="O92" s="71" t="s">
        <v>282</v>
      </c>
      <c r="P92" s="71" t="s">
        <v>259</v>
      </c>
      <c r="Q92" s="71" t="s">
        <v>287</v>
      </c>
      <c r="R92" s="71" t="s">
        <v>295</v>
      </c>
    </row>
    <row r="93" spans="1:18">
      <c r="A93" s="71" t="str">
        <f>VLOOKUP(C93,classifications!C:F,4,FALSE)</f>
        <v>UA</v>
      </c>
      <c r="B93" s="71" t="s">
        <v>521</v>
      </c>
      <c r="C93" s="72" t="s">
        <v>267</v>
      </c>
      <c r="D93" s="71" t="s">
        <v>322</v>
      </c>
      <c r="E93" s="71" t="s">
        <v>305</v>
      </c>
      <c r="F93" s="71" t="s">
        <v>325</v>
      </c>
      <c r="G93" s="71" t="s">
        <v>278</v>
      </c>
      <c r="H93" s="71" t="s">
        <v>270</v>
      </c>
      <c r="I93" s="71" t="s">
        <v>817</v>
      </c>
      <c r="J93" s="71" t="s">
        <v>813</v>
      </c>
      <c r="K93" s="71" t="s">
        <v>304</v>
      </c>
      <c r="L93" s="71" t="s">
        <v>244</v>
      </c>
      <c r="M93" s="71" t="s">
        <v>282</v>
      </c>
      <c r="N93" s="71" t="s">
        <v>287</v>
      </c>
      <c r="O93" s="71" t="s">
        <v>256</v>
      </c>
      <c r="P93" s="71" t="s">
        <v>249</v>
      </c>
      <c r="Q93" s="71" t="s">
        <v>297</v>
      </c>
      <c r="R93" s="71" t="s">
        <v>258</v>
      </c>
    </row>
    <row r="94" spans="1:18">
      <c r="A94" s="71" t="str">
        <f>VLOOKUP(C94,classifications!C:F,4,FALSE)</f>
        <v>UA</v>
      </c>
      <c r="B94" s="71" t="s">
        <v>522</v>
      </c>
      <c r="C94" s="72" t="s">
        <v>268</v>
      </c>
      <c r="D94" s="71" t="s">
        <v>291</v>
      </c>
      <c r="E94" s="71" t="s">
        <v>240</v>
      </c>
      <c r="F94" s="71" t="s">
        <v>251</v>
      </c>
      <c r="G94" s="71" t="s">
        <v>814</v>
      </c>
      <c r="H94" s="71" t="s">
        <v>248</v>
      </c>
      <c r="I94" s="71" t="s">
        <v>233</v>
      </c>
      <c r="J94" s="71" t="s">
        <v>241</v>
      </c>
      <c r="K94" s="71" t="s">
        <v>231</v>
      </c>
      <c r="L94" s="71" t="s">
        <v>255</v>
      </c>
      <c r="M94" s="71" t="s">
        <v>242</v>
      </c>
      <c r="N94" s="71" t="s">
        <v>224</v>
      </c>
      <c r="O94" s="71" t="s">
        <v>253</v>
      </c>
      <c r="P94" s="71" t="s">
        <v>290</v>
      </c>
      <c r="Q94" s="71" t="s">
        <v>274</v>
      </c>
      <c r="R94" s="71" t="s">
        <v>239</v>
      </c>
    </row>
    <row r="95" spans="1:18">
      <c r="A95" s="71" t="str">
        <f>VLOOKUP(C95,classifications!C:F,4,FALSE)</f>
        <v>UA</v>
      </c>
      <c r="B95" s="71" t="s">
        <v>523</v>
      </c>
      <c r="C95" s="72" t="s">
        <v>269</v>
      </c>
      <c r="D95" s="71" t="s">
        <v>808</v>
      </c>
      <c r="E95" s="71" t="s">
        <v>276</v>
      </c>
      <c r="F95" s="71" t="s">
        <v>250</v>
      </c>
      <c r="G95" s="71" t="s">
        <v>247</v>
      </c>
      <c r="H95" s="71" t="s">
        <v>274</v>
      </c>
      <c r="I95" s="71" t="s">
        <v>233</v>
      </c>
      <c r="J95" s="71" t="s">
        <v>254</v>
      </c>
      <c r="K95" s="71" t="s">
        <v>257</v>
      </c>
      <c r="L95" s="71" t="s">
        <v>818</v>
      </c>
      <c r="M95" s="71" t="s">
        <v>291</v>
      </c>
      <c r="N95" s="71" t="s">
        <v>231</v>
      </c>
      <c r="O95" s="71" t="s">
        <v>238</v>
      </c>
      <c r="P95" s="71" t="s">
        <v>248</v>
      </c>
      <c r="Q95" s="71" t="s">
        <v>268</v>
      </c>
      <c r="R95" s="71" t="s">
        <v>261</v>
      </c>
    </row>
    <row r="96" spans="1:18">
      <c r="A96" s="71" t="str">
        <f>VLOOKUP(C96,classifications!C:F,4,FALSE)</f>
        <v>UA</v>
      </c>
      <c r="B96" s="71" t="s">
        <v>524</v>
      </c>
      <c r="C96" s="72" t="s">
        <v>817</v>
      </c>
      <c r="D96" s="71" t="s">
        <v>325</v>
      </c>
      <c r="E96" s="71" t="s">
        <v>304</v>
      </c>
      <c r="F96" s="71" t="s">
        <v>258</v>
      </c>
      <c r="G96" s="71" t="s">
        <v>297</v>
      </c>
      <c r="H96" s="71" t="s">
        <v>285</v>
      </c>
      <c r="I96" s="71" t="s">
        <v>813</v>
      </c>
      <c r="J96" s="71" t="s">
        <v>278</v>
      </c>
      <c r="K96" s="71" t="s">
        <v>267</v>
      </c>
      <c r="L96" s="71" t="s">
        <v>303</v>
      </c>
      <c r="M96" s="71" t="s">
        <v>305</v>
      </c>
      <c r="N96" s="71" t="s">
        <v>246</v>
      </c>
      <c r="O96" s="71" t="s">
        <v>270</v>
      </c>
      <c r="P96" s="71" t="s">
        <v>322</v>
      </c>
      <c r="Q96" s="71" t="s">
        <v>249</v>
      </c>
      <c r="R96" s="71" t="s">
        <v>282</v>
      </c>
    </row>
    <row r="97" spans="1:18">
      <c r="A97" s="71" t="str">
        <f>VLOOKUP(C97,classifications!C:F,4,FALSE)</f>
        <v>UA</v>
      </c>
      <c r="B97" s="71" t="s">
        <v>525</v>
      </c>
      <c r="C97" s="72" t="s">
        <v>270</v>
      </c>
      <c r="D97" s="71" t="s">
        <v>278</v>
      </c>
      <c r="E97" s="71" t="s">
        <v>294</v>
      </c>
      <c r="F97" s="71" t="s">
        <v>267</v>
      </c>
      <c r="G97" s="71" t="s">
        <v>322</v>
      </c>
      <c r="H97" s="71" t="s">
        <v>305</v>
      </c>
      <c r="I97" s="71" t="s">
        <v>244</v>
      </c>
      <c r="J97" s="71" t="s">
        <v>282</v>
      </c>
      <c r="K97" s="71" t="s">
        <v>817</v>
      </c>
      <c r="L97" s="71" t="s">
        <v>325</v>
      </c>
      <c r="M97" s="71" t="s">
        <v>256</v>
      </c>
      <c r="N97" s="71" t="s">
        <v>262</v>
      </c>
      <c r="O97" s="71" t="s">
        <v>258</v>
      </c>
      <c r="P97" s="71" t="s">
        <v>289</v>
      </c>
      <c r="Q97" s="71" t="s">
        <v>813</v>
      </c>
      <c r="R97" s="71" t="s">
        <v>304</v>
      </c>
    </row>
    <row r="98" spans="1:18">
      <c r="A98" s="71" t="str">
        <f>VLOOKUP(C98,classifications!C:F,4,FALSE)</f>
        <v>UA</v>
      </c>
      <c r="B98" s="71" t="s">
        <v>526</v>
      </c>
      <c r="C98" s="72" t="s">
        <v>818</v>
      </c>
      <c r="D98" s="71" t="s">
        <v>274</v>
      </c>
      <c r="E98" s="71" t="s">
        <v>243</v>
      </c>
      <c r="F98" s="71" t="s">
        <v>291</v>
      </c>
      <c r="G98" s="71" t="s">
        <v>257</v>
      </c>
      <c r="H98" s="71" t="s">
        <v>233</v>
      </c>
      <c r="I98" s="71" t="s">
        <v>242</v>
      </c>
      <c r="J98" s="71" t="s">
        <v>235</v>
      </c>
      <c r="K98" s="71" t="s">
        <v>279</v>
      </c>
      <c r="L98" s="71" t="s">
        <v>240</v>
      </c>
      <c r="M98" s="71" t="s">
        <v>254</v>
      </c>
      <c r="N98" s="71" t="s">
        <v>231</v>
      </c>
      <c r="O98" s="71" t="s">
        <v>268</v>
      </c>
      <c r="P98" s="71" t="s">
        <v>250</v>
      </c>
      <c r="Q98" s="71" t="s">
        <v>269</v>
      </c>
      <c r="R98" s="71" t="s">
        <v>251</v>
      </c>
    </row>
    <row r="99" spans="1:18">
      <c r="A99" s="71" t="str">
        <f>VLOOKUP(C99,classifications!C:F,4,FALSE)</f>
        <v>UA</v>
      </c>
      <c r="B99" s="71" t="s">
        <v>527</v>
      </c>
      <c r="C99" s="72" t="s">
        <v>271</v>
      </c>
      <c r="D99" s="71" t="s">
        <v>272</v>
      </c>
      <c r="E99" s="71" t="s">
        <v>279</v>
      </c>
      <c r="F99" s="71" t="s">
        <v>228</v>
      </c>
      <c r="G99" s="71" t="s">
        <v>243</v>
      </c>
      <c r="H99" s="71" t="s">
        <v>260</v>
      </c>
      <c r="I99" s="71" t="s">
        <v>239</v>
      </c>
      <c r="J99" s="71" t="s">
        <v>225</v>
      </c>
      <c r="K99" s="71" t="s">
        <v>257</v>
      </c>
      <c r="L99" s="71" t="s">
        <v>265</v>
      </c>
      <c r="M99" s="71" t="s">
        <v>242</v>
      </c>
      <c r="N99" s="71" t="s">
        <v>240</v>
      </c>
      <c r="O99" s="71" t="s">
        <v>224</v>
      </c>
      <c r="P99" s="71" t="s">
        <v>818</v>
      </c>
      <c r="Q99" s="71" t="s">
        <v>288</v>
      </c>
      <c r="R99" s="71" t="s">
        <v>280</v>
      </c>
    </row>
    <row r="100" spans="1:18">
      <c r="A100" s="71" t="str">
        <f>VLOOKUP(C100,classifications!C:F,4,FALSE)</f>
        <v>UA</v>
      </c>
      <c r="B100" s="71" t="s">
        <v>528</v>
      </c>
      <c r="C100" s="72" t="s">
        <v>272</v>
      </c>
      <c r="D100" s="71" t="s">
        <v>271</v>
      </c>
      <c r="E100" s="71" t="s">
        <v>228</v>
      </c>
      <c r="F100" s="71" t="s">
        <v>280</v>
      </c>
      <c r="G100" s="71" t="s">
        <v>260</v>
      </c>
      <c r="H100" s="71" t="s">
        <v>225</v>
      </c>
      <c r="I100" s="71" t="s">
        <v>239</v>
      </c>
      <c r="J100" s="71" t="s">
        <v>224</v>
      </c>
      <c r="K100" s="71" t="s">
        <v>240</v>
      </c>
      <c r="L100" s="71" t="s">
        <v>273</v>
      </c>
      <c r="M100" s="71" t="s">
        <v>265</v>
      </c>
      <c r="N100" s="71" t="s">
        <v>243</v>
      </c>
      <c r="O100" s="71" t="s">
        <v>275</v>
      </c>
      <c r="P100" s="71" t="s">
        <v>242</v>
      </c>
      <c r="Q100" s="71" t="s">
        <v>279</v>
      </c>
      <c r="R100" s="71" t="s">
        <v>293</v>
      </c>
    </row>
    <row r="101" spans="1:18">
      <c r="A101" s="71" t="str">
        <f>VLOOKUP(C101,classifications!C:F,4,FALSE)</f>
        <v>UA</v>
      </c>
      <c r="B101" s="71" t="s">
        <v>529</v>
      </c>
      <c r="C101" s="72" t="s">
        <v>273</v>
      </c>
      <c r="D101" s="71" t="s">
        <v>226</v>
      </c>
      <c r="E101" s="71" t="s">
        <v>224</v>
      </c>
      <c r="F101" s="71" t="s">
        <v>232</v>
      </c>
      <c r="G101" s="71" t="s">
        <v>227</v>
      </c>
      <c r="H101" s="71" t="s">
        <v>292</v>
      </c>
      <c r="I101" s="71" t="s">
        <v>290</v>
      </c>
      <c r="J101" s="71" t="s">
        <v>265</v>
      </c>
      <c r="K101" s="71" t="s">
        <v>814</v>
      </c>
      <c r="L101" s="71" t="s">
        <v>228</v>
      </c>
      <c r="M101" s="71" t="s">
        <v>295</v>
      </c>
      <c r="N101" s="71" t="s">
        <v>255</v>
      </c>
      <c r="O101" s="71" t="s">
        <v>239</v>
      </c>
      <c r="P101" s="71" t="s">
        <v>264</v>
      </c>
      <c r="Q101" s="71" t="s">
        <v>240</v>
      </c>
      <c r="R101" s="71" t="s">
        <v>251</v>
      </c>
    </row>
    <row r="102" spans="1:18">
      <c r="A102" s="71" t="str">
        <f>VLOOKUP(C102,classifications!C:F,4,FALSE)</f>
        <v>UA</v>
      </c>
      <c r="B102" s="71" t="s">
        <v>530</v>
      </c>
      <c r="C102" s="72" t="s">
        <v>274</v>
      </c>
      <c r="D102" s="71" t="s">
        <v>818</v>
      </c>
      <c r="E102" s="71" t="s">
        <v>233</v>
      </c>
      <c r="F102" s="71" t="s">
        <v>291</v>
      </c>
      <c r="G102" s="71" t="s">
        <v>240</v>
      </c>
      <c r="H102" s="71" t="s">
        <v>243</v>
      </c>
      <c r="I102" s="71" t="s">
        <v>257</v>
      </c>
      <c r="J102" s="71" t="s">
        <v>268</v>
      </c>
      <c r="K102" s="71" t="s">
        <v>242</v>
      </c>
      <c r="L102" s="71" t="s">
        <v>254</v>
      </c>
      <c r="M102" s="71" t="s">
        <v>251</v>
      </c>
      <c r="N102" s="71" t="s">
        <v>239</v>
      </c>
      <c r="O102" s="71" t="s">
        <v>269</v>
      </c>
      <c r="P102" s="71" t="s">
        <v>231</v>
      </c>
      <c r="Q102" s="71" t="s">
        <v>248</v>
      </c>
      <c r="R102" s="71" t="s">
        <v>250</v>
      </c>
    </row>
    <row r="103" spans="1:18">
      <c r="A103" s="71" t="str">
        <f>VLOOKUP(C103,classifications!C:F,4,FALSE)</f>
        <v>UA</v>
      </c>
      <c r="B103" s="71" t="s">
        <v>531</v>
      </c>
      <c r="C103" s="72" t="s">
        <v>275</v>
      </c>
      <c r="D103" s="71" t="s">
        <v>293</v>
      </c>
      <c r="E103" s="71" t="s">
        <v>280</v>
      </c>
      <c r="F103" s="71" t="s">
        <v>292</v>
      </c>
      <c r="G103" s="71" t="s">
        <v>284</v>
      </c>
      <c r="H103" s="71" t="s">
        <v>259</v>
      </c>
      <c r="I103" s="71" t="s">
        <v>295</v>
      </c>
      <c r="J103" s="71" t="s">
        <v>273</v>
      </c>
      <c r="K103" s="71" t="s">
        <v>814</v>
      </c>
      <c r="L103" s="71" t="s">
        <v>224</v>
      </c>
      <c r="M103" s="71" t="s">
        <v>252</v>
      </c>
      <c r="N103" s="71" t="s">
        <v>263</v>
      </c>
      <c r="O103" s="71" t="s">
        <v>226</v>
      </c>
      <c r="P103" s="71" t="s">
        <v>228</v>
      </c>
      <c r="Q103" s="71" t="s">
        <v>232</v>
      </c>
      <c r="R103" s="71" t="s">
        <v>272</v>
      </c>
    </row>
    <row r="104" spans="1:18">
      <c r="A104" s="71" t="str">
        <f>VLOOKUP(C104,classifications!C:F,4,FALSE)</f>
        <v>UA</v>
      </c>
      <c r="B104" s="71" t="s">
        <v>532</v>
      </c>
      <c r="C104" s="72" t="s">
        <v>276</v>
      </c>
      <c r="D104" s="71" t="s">
        <v>808</v>
      </c>
      <c r="E104" s="71" t="s">
        <v>269</v>
      </c>
      <c r="F104" s="71" t="s">
        <v>250</v>
      </c>
      <c r="G104" s="71" t="s">
        <v>238</v>
      </c>
      <c r="H104" s="71" t="s">
        <v>229</v>
      </c>
      <c r="I104" s="71" t="s">
        <v>281</v>
      </c>
      <c r="J104" s="71" t="s">
        <v>264</v>
      </c>
      <c r="K104" s="71" t="s">
        <v>256</v>
      </c>
      <c r="L104" s="71" t="s">
        <v>248</v>
      </c>
      <c r="M104" s="71" t="s">
        <v>290</v>
      </c>
      <c r="N104" s="71" t="s">
        <v>241</v>
      </c>
      <c r="O104" s="71" t="s">
        <v>261</v>
      </c>
      <c r="P104" s="71" t="s">
        <v>291</v>
      </c>
      <c r="Q104" s="71" t="s">
        <v>253</v>
      </c>
      <c r="R104" s="71" t="s">
        <v>230</v>
      </c>
    </row>
    <row r="105" spans="1:18">
      <c r="A105" s="71" t="str">
        <f>VLOOKUP(C105,classifications!C:F,4,FALSE)</f>
        <v>UA</v>
      </c>
      <c r="B105" s="71" t="s">
        <v>533</v>
      </c>
      <c r="C105" s="72" t="s">
        <v>277</v>
      </c>
      <c r="D105" s="71" t="s">
        <v>290</v>
      </c>
      <c r="E105" s="71" t="s">
        <v>253</v>
      </c>
      <c r="F105" s="71" t="s">
        <v>229</v>
      </c>
      <c r="G105" s="71" t="s">
        <v>241</v>
      </c>
      <c r="H105" s="71" t="s">
        <v>227</v>
      </c>
      <c r="I105" s="71" t="s">
        <v>295</v>
      </c>
      <c r="J105" s="71" t="s">
        <v>264</v>
      </c>
      <c r="K105" s="71" t="s">
        <v>222</v>
      </c>
      <c r="L105" s="71" t="s">
        <v>814</v>
      </c>
      <c r="M105" s="71" t="s">
        <v>248</v>
      </c>
      <c r="N105" s="71" t="s">
        <v>230</v>
      </c>
      <c r="O105" s="71" t="s">
        <v>813</v>
      </c>
      <c r="P105" s="71" t="s">
        <v>265</v>
      </c>
      <c r="Q105" s="71" t="s">
        <v>292</v>
      </c>
      <c r="R105" s="71" t="s">
        <v>276</v>
      </c>
    </row>
    <row r="106" spans="1:18">
      <c r="A106" s="71" t="str">
        <f>VLOOKUP(C106,classifications!C:F,4,FALSE)</f>
        <v>UA</v>
      </c>
      <c r="B106" s="71" t="s">
        <v>534</v>
      </c>
      <c r="C106" s="72" t="s">
        <v>278</v>
      </c>
      <c r="D106" s="71" t="s">
        <v>282</v>
      </c>
      <c r="E106" s="71" t="s">
        <v>267</v>
      </c>
      <c r="F106" s="71" t="s">
        <v>270</v>
      </c>
      <c r="G106" s="71" t="s">
        <v>258</v>
      </c>
      <c r="H106" s="71" t="s">
        <v>304</v>
      </c>
      <c r="I106" s="71" t="s">
        <v>817</v>
      </c>
      <c r="J106" s="71" t="s">
        <v>325</v>
      </c>
      <c r="K106" s="71" t="s">
        <v>322</v>
      </c>
      <c r="L106" s="71" t="s">
        <v>287</v>
      </c>
      <c r="M106" s="71" t="s">
        <v>305</v>
      </c>
      <c r="N106" s="71" t="s">
        <v>297</v>
      </c>
      <c r="O106" s="71" t="s">
        <v>813</v>
      </c>
      <c r="P106" s="71" t="s">
        <v>249</v>
      </c>
      <c r="Q106" s="71" t="s">
        <v>246</v>
      </c>
      <c r="R106" s="71" t="s">
        <v>244</v>
      </c>
    </row>
    <row r="107" spans="1:18">
      <c r="A107" s="71" t="str">
        <f>VLOOKUP(C107,classifications!C:F,4,FALSE)</f>
        <v>UA</v>
      </c>
      <c r="B107" s="71" t="s">
        <v>535</v>
      </c>
      <c r="C107" s="72" t="s">
        <v>322</v>
      </c>
      <c r="D107" s="71" t="s">
        <v>267</v>
      </c>
      <c r="E107" s="71" t="s">
        <v>244</v>
      </c>
      <c r="F107" s="71" t="s">
        <v>256</v>
      </c>
      <c r="G107" s="71" t="s">
        <v>305</v>
      </c>
      <c r="H107" s="71" t="s">
        <v>238</v>
      </c>
      <c r="I107" s="71" t="s">
        <v>325</v>
      </c>
      <c r="J107" s="71" t="s">
        <v>266</v>
      </c>
      <c r="K107" s="71" t="s">
        <v>813</v>
      </c>
      <c r="L107" s="71" t="s">
        <v>278</v>
      </c>
      <c r="M107" s="71" t="s">
        <v>270</v>
      </c>
      <c r="N107" s="71" t="s">
        <v>222</v>
      </c>
      <c r="O107" s="71" t="s">
        <v>808</v>
      </c>
      <c r="P107" s="71" t="s">
        <v>227</v>
      </c>
      <c r="Q107" s="71" t="s">
        <v>253</v>
      </c>
      <c r="R107" s="71" t="s">
        <v>249</v>
      </c>
    </row>
    <row r="108" spans="1:18">
      <c r="A108" s="71" t="str">
        <f>VLOOKUP(C108,classifications!C:F,4,FALSE)</f>
        <v>UA</v>
      </c>
      <c r="B108" s="71" t="s">
        <v>536</v>
      </c>
      <c r="C108" s="72" t="s">
        <v>279</v>
      </c>
      <c r="D108" s="71" t="s">
        <v>237</v>
      </c>
      <c r="E108" s="71" t="s">
        <v>235</v>
      </c>
      <c r="F108" s="71" t="s">
        <v>242</v>
      </c>
      <c r="G108" s="71" t="s">
        <v>818</v>
      </c>
      <c r="H108" s="71" t="s">
        <v>271</v>
      </c>
      <c r="I108" s="71" t="s">
        <v>243</v>
      </c>
      <c r="J108" s="71" t="s">
        <v>257</v>
      </c>
      <c r="K108" s="71" t="s">
        <v>228</v>
      </c>
      <c r="L108" s="71" t="s">
        <v>245</v>
      </c>
      <c r="M108" s="71" t="s">
        <v>291</v>
      </c>
      <c r="N108" s="71" t="s">
        <v>288</v>
      </c>
      <c r="O108" s="71" t="s">
        <v>240</v>
      </c>
      <c r="P108" s="71" t="s">
        <v>224</v>
      </c>
      <c r="Q108" s="71" t="s">
        <v>265</v>
      </c>
      <c r="R108" s="71" t="s">
        <v>231</v>
      </c>
    </row>
    <row r="109" spans="1:18">
      <c r="A109" s="71" t="str">
        <f>VLOOKUP(C109,classifications!C:F,4,FALSE)</f>
        <v>UA</v>
      </c>
      <c r="B109" s="71" t="s">
        <v>537</v>
      </c>
      <c r="C109" s="72" t="s">
        <v>280</v>
      </c>
      <c r="D109" s="71" t="s">
        <v>293</v>
      </c>
      <c r="E109" s="71" t="s">
        <v>292</v>
      </c>
      <c r="F109" s="71" t="s">
        <v>275</v>
      </c>
      <c r="G109" s="71" t="s">
        <v>228</v>
      </c>
      <c r="H109" s="71" t="s">
        <v>224</v>
      </c>
      <c r="I109" s="71" t="s">
        <v>265</v>
      </c>
      <c r="J109" s="71" t="s">
        <v>814</v>
      </c>
      <c r="K109" s="71" t="s">
        <v>240</v>
      </c>
      <c r="L109" s="71" t="s">
        <v>273</v>
      </c>
      <c r="M109" s="71" t="s">
        <v>272</v>
      </c>
      <c r="N109" s="71" t="s">
        <v>239</v>
      </c>
      <c r="O109" s="71" t="s">
        <v>259</v>
      </c>
      <c r="P109" s="71" t="s">
        <v>227</v>
      </c>
      <c r="Q109" s="71" t="s">
        <v>290</v>
      </c>
      <c r="R109" s="71" t="s">
        <v>226</v>
      </c>
    </row>
    <row r="110" spans="1:18">
      <c r="A110" s="71" t="str">
        <f>VLOOKUP(C110,classifications!C:F,4,FALSE)</f>
        <v>UA</v>
      </c>
      <c r="B110" s="71" t="s">
        <v>538</v>
      </c>
      <c r="C110" s="72" t="s">
        <v>281</v>
      </c>
      <c r="D110" s="71" t="s">
        <v>238</v>
      </c>
      <c r="E110" s="71" t="s">
        <v>256</v>
      </c>
      <c r="F110" s="71" t="s">
        <v>250</v>
      </c>
      <c r="G110" s="71" t="s">
        <v>288</v>
      </c>
      <c r="H110" s="71" t="s">
        <v>816</v>
      </c>
      <c r="I110" s="71" t="s">
        <v>808</v>
      </c>
      <c r="J110" s="71" t="s">
        <v>265</v>
      </c>
      <c r="K110" s="71" t="s">
        <v>264</v>
      </c>
      <c r="L110" s="71" t="s">
        <v>248</v>
      </c>
      <c r="M110" s="71" t="s">
        <v>276</v>
      </c>
      <c r="N110" s="71" t="s">
        <v>244</v>
      </c>
      <c r="O110" s="71" t="s">
        <v>230</v>
      </c>
      <c r="P110" s="71" t="s">
        <v>231</v>
      </c>
      <c r="Q110" s="71" t="s">
        <v>224</v>
      </c>
      <c r="R110" s="71" t="s">
        <v>251</v>
      </c>
    </row>
    <row r="111" spans="1:18">
      <c r="A111" s="71" t="e">
        <f>VLOOKUP(C111,classifications!C:F,4,FALSE)</f>
        <v>#N/A</v>
      </c>
      <c r="B111" s="71" t="s">
        <v>539</v>
      </c>
      <c r="C111" s="72" t="s">
        <v>282</v>
      </c>
      <c r="D111" s="71" t="s">
        <v>278</v>
      </c>
      <c r="E111" s="71" t="s">
        <v>246</v>
      </c>
      <c r="F111" s="71" t="s">
        <v>262</v>
      </c>
      <c r="G111" s="71" t="s">
        <v>289</v>
      </c>
      <c r="H111" s="71" t="s">
        <v>258</v>
      </c>
      <c r="I111" s="71" t="s">
        <v>294</v>
      </c>
      <c r="J111" s="71" t="s">
        <v>249</v>
      </c>
      <c r="K111" s="71" t="s">
        <v>304</v>
      </c>
      <c r="L111" s="71" t="s">
        <v>244</v>
      </c>
      <c r="M111" s="71" t="s">
        <v>267</v>
      </c>
      <c r="N111" s="71" t="s">
        <v>270</v>
      </c>
      <c r="O111" s="71" t="s">
        <v>299</v>
      </c>
      <c r="P111" s="71" t="s">
        <v>287</v>
      </c>
      <c r="Q111" s="71" t="s">
        <v>322</v>
      </c>
      <c r="R111" s="71" t="s">
        <v>813</v>
      </c>
    </row>
    <row r="112" spans="1:18">
      <c r="A112" s="71" t="str">
        <f>VLOOKUP(C112,classifications!C:F,4,FALSE)</f>
        <v>UA</v>
      </c>
      <c r="B112" s="71" t="s">
        <v>540</v>
      </c>
      <c r="C112" s="72" t="s">
        <v>283</v>
      </c>
      <c r="D112" s="71" t="s">
        <v>288</v>
      </c>
      <c r="E112" s="71" t="s">
        <v>816</v>
      </c>
      <c r="F112" s="71" t="s">
        <v>812</v>
      </c>
      <c r="G112" s="71" t="s">
        <v>281</v>
      </c>
      <c r="H112" s="71" t="s">
        <v>228</v>
      </c>
      <c r="I112" s="71" t="s">
        <v>289</v>
      </c>
      <c r="J112" s="71" t="s">
        <v>238</v>
      </c>
      <c r="K112" s="71" t="s">
        <v>237</v>
      </c>
      <c r="L112" s="71" t="s">
        <v>224</v>
      </c>
      <c r="M112" s="71" t="s">
        <v>265</v>
      </c>
      <c r="N112" s="71" t="s">
        <v>242</v>
      </c>
      <c r="O112" s="71" t="s">
        <v>273</v>
      </c>
      <c r="P112" s="71" t="s">
        <v>279</v>
      </c>
      <c r="Q112" s="71" t="s">
        <v>245</v>
      </c>
      <c r="R112" s="71" t="s">
        <v>292</v>
      </c>
    </row>
    <row r="113" spans="1:18">
      <c r="A113" s="71" t="str">
        <f>VLOOKUP(C113,classifications!C:F,4,FALSE)</f>
        <v>UA</v>
      </c>
      <c r="B113" s="71" t="s">
        <v>541</v>
      </c>
      <c r="C113" s="72" t="s">
        <v>284</v>
      </c>
      <c r="D113" s="71" t="s">
        <v>275</v>
      </c>
      <c r="E113" s="71" t="s">
        <v>293</v>
      </c>
      <c r="F113" s="71" t="s">
        <v>280</v>
      </c>
      <c r="G113" s="71" t="s">
        <v>292</v>
      </c>
      <c r="H113" s="71" t="s">
        <v>286</v>
      </c>
      <c r="I113" s="71" t="s">
        <v>816</v>
      </c>
      <c r="J113" s="71" t="s">
        <v>252</v>
      </c>
      <c r="K113" s="71" t="s">
        <v>288</v>
      </c>
      <c r="L113" s="71" t="s">
        <v>263</v>
      </c>
      <c r="M113" s="71" t="s">
        <v>259</v>
      </c>
      <c r="N113" s="71" t="s">
        <v>295</v>
      </c>
      <c r="O113" s="71" t="s">
        <v>272</v>
      </c>
      <c r="P113" s="71" t="s">
        <v>228</v>
      </c>
      <c r="Q113" s="71" t="s">
        <v>273</v>
      </c>
      <c r="R113" s="71" t="s">
        <v>283</v>
      </c>
    </row>
    <row r="114" spans="1:18">
      <c r="A114" s="71" t="str">
        <f>VLOOKUP(C114,classifications!C:F,4,FALSE)</f>
        <v>UA</v>
      </c>
      <c r="B114" s="71" t="s">
        <v>542</v>
      </c>
      <c r="C114" s="72" t="s">
        <v>808</v>
      </c>
      <c r="D114" s="71" t="s">
        <v>276</v>
      </c>
      <c r="E114" s="71" t="s">
        <v>269</v>
      </c>
      <c r="F114" s="71" t="s">
        <v>238</v>
      </c>
      <c r="G114" s="71" t="s">
        <v>250</v>
      </c>
      <c r="H114" s="71" t="s">
        <v>256</v>
      </c>
      <c r="I114" s="71" t="s">
        <v>248</v>
      </c>
      <c r="J114" s="71" t="s">
        <v>281</v>
      </c>
      <c r="K114" s="71" t="s">
        <v>264</v>
      </c>
      <c r="L114" s="71" t="s">
        <v>290</v>
      </c>
      <c r="M114" s="71" t="s">
        <v>247</v>
      </c>
      <c r="N114" s="71" t="s">
        <v>244</v>
      </c>
      <c r="O114" s="71" t="s">
        <v>230</v>
      </c>
      <c r="P114" s="71" t="s">
        <v>241</v>
      </c>
      <c r="Q114" s="71" t="s">
        <v>222</v>
      </c>
      <c r="R114" s="71" t="s">
        <v>229</v>
      </c>
    </row>
    <row r="115" spans="1:18">
      <c r="A115" s="71" t="str">
        <f>VLOOKUP(C115,classifications!C:F,4,FALSE)</f>
        <v>UA</v>
      </c>
      <c r="B115" s="71" t="s">
        <v>543</v>
      </c>
      <c r="C115" s="72" t="s">
        <v>285</v>
      </c>
      <c r="D115" s="71" t="s">
        <v>817</v>
      </c>
      <c r="E115" s="71" t="s">
        <v>325</v>
      </c>
      <c r="F115" s="71" t="s">
        <v>297</v>
      </c>
      <c r="G115" s="71" t="s">
        <v>304</v>
      </c>
      <c r="H115" s="71" t="s">
        <v>258</v>
      </c>
      <c r="I115" s="71" t="s">
        <v>303</v>
      </c>
      <c r="J115" s="71" t="s">
        <v>278</v>
      </c>
      <c r="K115" s="71" t="s">
        <v>813</v>
      </c>
      <c r="L115" s="71" t="s">
        <v>267</v>
      </c>
      <c r="M115" s="71" t="s">
        <v>296</v>
      </c>
      <c r="N115" s="71" t="s">
        <v>246</v>
      </c>
      <c r="O115" s="71" t="s">
        <v>259</v>
      </c>
      <c r="P115" s="71" t="s">
        <v>270</v>
      </c>
      <c r="Q115" s="71" t="s">
        <v>305</v>
      </c>
      <c r="R115" s="71" t="s">
        <v>282</v>
      </c>
    </row>
    <row r="116" spans="1:18">
      <c r="A116" s="71" t="str">
        <f>VLOOKUP(C116,classifications!C:F,4,FALSE)</f>
        <v>UA</v>
      </c>
      <c r="B116" s="71" t="s">
        <v>544</v>
      </c>
      <c r="C116" s="72" t="s">
        <v>325</v>
      </c>
      <c r="D116" s="71" t="s">
        <v>817</v>
      </c>
      <c r="E116" s="71" t="s">
        <v>304</v>
      </c>
      <c r="F116" s="71" t="s">
        <v>813</v>
      </c>
      <c r="G116" s="71" t="s">
        <v>297</v>
      </c>
      <c r="H116" s="71" t="s">
        <v>267</v>
      </c>
      <c r="I116" s="71" t="s">
        <v>258</v>
      </c>
      <c r="J116" s="71" t="s">
        <v>278</v>
      </c>
      <c r="K116" s="71" t="s">
        <v>322</v>
      </c>
      <c r="L116" s="71" t="s">
        <v>305</v>
      </c>
      <c r="M116" s="71" t="s">
        <v>249</v>
      </c>
      <c r="N116" s="71" t="s">
        <v>303</v>
      </c>
      <c r="O116" s="71" t="s">
        <v>299</v>
      </c>
      <c r="P116" s="71" t="s">
        <v>246</v>
      </c>
      <c r="Q116" s="71" t="s">
        <v>285</v>
      </c>
      <c r="R116" s="71" t="s">
        <v>270</v>
      </c>
    </row>
    <row r="117" spans="1:18">
      <c r="A117" s="71" t="str">
        <f>VLOOKUP(C117,classifications!C:F,4,FALSE)</f>
        <v>UA</v>
      </c>
      <c r="B117" s="71" t="s">
        <v>545</v>
      </c>
      <c r="C117" s="72" t="s">
        <v>286</v>
      </c>
      <c r="D117" s="71" t="s">
        <v>284</v>
      </c>
      <c r="E117" s="71" t="s">
        <v>272</v>
      </c>
      <c r="F117" s="71" t="s">
        <v>275</v>
      </c>
      <c r="G117" s="71" t="s">
        <v>280</v>
      </c>
      <c r="H117" s="71" t="s">
        <v>293</v>
      </c>
      <c r="I117" s="71" t="s">
        <v>271</v>
      </c>
      <c r="J117" s="71" t="s">
        <v>292</v>
      </c>
      <c r="K117" s="71" t="s">
        <v>263</v>
      </c>
      <c r="L117" s="71" t="s">
        <v>288</v>
      </c>
      <c r="M117" s="71" t="s">
        <v>228</v>
      </c>
      <c r="N117" s="71" t="s">
        <v>816</v>
      </c>
      <c r="O117" s="71" t="s">
        <v>259</v>
      </c>
      <c r="P117" s="71" t="s">
        <v>225</v>
      </c>
      <c r="Q117" s="71" t="s">
        <v>260</v>
      </c>
      <c r="R117" s="71" t="s">
        <v>224</v>
      </c>
    </row>
    <row r="118" spans="1:18">
      <c r="A118" s="71" t="str">
        <f>VLOOKUP(C118,classifications!C:F,4,FALSE)</f>
        <v>UA</v>
      </c>
      <c r="B118" s="71" t="s">
        <v>546</v>
      </c>
      <c r="C118" s="72" t="s">
        <v>287</v>
      </c>
      <c r="D118" s="71" t="s">
        <v>278</v>
      </c>
      <c r="E118" s="71" t="s">
        <v>249</v>
      </c>
      <c r="F118" s="71" t="s">
        <v>303</v>
      </c>
      <c r="G118" s="71" t="s">
        <v>299</v>
      </c>
      <c r="H118" s="71" t="s">
        <v>813</v>
      </c>
      <c r="I118" s="71" t="s">
        <v>258</v>
      </c>
      <c r="J118" s="71" t="s">
        <v>295</v>
      </c>
      <c r="K118" s="71" t="s">
        <v>246</v>
      </c>
      <c r="L118" s="71" t="s">
        <v>292</v>
      </c>
      <c r="M118" s="71" t="s">
        <v>259</v>
      </c>
      <c r="N118" s="71" t="s">
        <v>304</v>
      </c>
      <c r="O118" s="71" t="s">
        <v>252</v>
      </c>
      <c r="P118" s="71" t="s">
        <v>267</v>
      </c>
      <c r="Q118" s="71" t="s">
        <v>282</v>
      </c>
      <c r="R118" s="71" t="s">
        <v>297</v>
      </c>
    </row>
    <row r="119" spans="1:18">
      <c r="A119" s="71" t="str">
        <f>VLOOKUP(C119,classifications!C:F,4,FALSE)</f>
        <v>UA</v>
      </c>
      <c r="B119" s="71" t="s">
        <v>547</v>
      </c>
      <c r="C119" s="72" t="s">
        <v>288</v>
      </c>
      <c r="D119" s="71" t="s">
        <v>816</v>
      </c>
      <c r="E119" s="71" t="s">
        <v>283</v>
      </c>
      <c r="F119" s="71" t="s">
        <v>281</v>
      </c>
      <c r="G119" s="71" t="s">
        <v>237</v>
      </c>
      <c r="H119" s="71" t="s">
        <v>228</v>
      </c>
      <c r="I119" s="71" t="s">
        <v>279</v>
      </c>
      <c r="J119" s="71" t="s">
        <v>812</v>
      </c>
      <c r="K119" s="71" t="s">
        <v>242</v>
      </c>
      <c r="L119" s="71" t="s">
        <v>245</v>
      </c>
      <c r="M119" s="71" t="s">
        <v>265</v>
      </c>
      <c r="N119" s="71" t="s">
        <v>238</v>
      </c>
      <c r="O119" s="71" t="s">
        <v>224</v>
      </c>
      <c r="P119" s="71" t="s">
        <v>292</v>
      </c>
      <c r="Q119" s="71" t="s">
        <v>280</v>
      </c>
      <c r="R119" s="71" t="s">
        <v>273</v>
      </c>
    </row>
    <row r="120" spans="1:18">
      <c r="A120" s="71" t="str">
        <f>VLOOKUP(C120,classifications!C:F,4,FALSE)</f>
        <v>UA</v>
      </c>
      <c r="B120" s="71" t="s">
        <v>548</v>
      </c>
      <c r="C120" s="72" t="s">
        <v>289</v>
      </c>
      <c r="D120" s="71" t="s">
        <v>262</v>
      </c>
      <c r="E120" s="71" t="s">
        <v>256</v>
      </c>
      <c r="F120" s="71" t="s">
        <v>244</v>
      </c>
      <c r="G120" s="71" t="s">
        <v>238</v>
      </c>
      <c r="H120" s="71" t="s">
        <v>281</v>
      </c>
      <c r="I120" s="71" t="s">
        <v>294</v>
      </c>
      <c r="J120" s="71" t="s">
        <v>264</v>
      </c>
      <c r="K120" s="71" t="s">
        <v>249</v>
      </c>
      <c r="L120" s="71" t="s">
        <v>282</v>
      </c>
      <c r="M120" s="71" t="s">
        <v>227</v>
      </c>
      <c r="N120" s="71" t="s">
        <v>265</v>
      </c>
      <c r="O120" s="71" t="s">
        <v>278</v>
      </c>
      <c r="P120" s="71" t="s">
        <v>230</v>
      </c>
      <c r="Q120" s="71" t="s">
        <v>322</v>
      </c>
      <c r="R120" s="71" t="s">
        <v>808</v>
      </c>
    </row>
    <row r="121" spans="1:18">
      <c r="A121" s="71" t="str">
        <f>VLOOKUP(C121,classifications!C:F,4,FALSE)</f>
        <v>UA</v>
      </c>
      <c r="B121" s="71" t="s">
        <v>549</v>
      </c>
      <c r="C121" s="72" t="s">
        <v>290</v>
      </c>
      <c r="D121" s="71" t="s">
        <v>814</v>
      </c>
      <c r="E121" s="71" t="s">
        <v>264</v>
      </c>
      <c r="F121" s="71" t="s">
        <v>248</v>
      </c>
      <c r="G121" s="71" t="s">
        <v>241</v>
      </c>
      <c r="H121" s="71" t="s">
        <v>227</v>
      </c>
      <c r="I121" s="71" t="s">
        <v>230</v>
      </c>
      <c r="J121" s="71" t="s">
        <v>265</v>
      </c>
      <c r="K121" s="71" t="s">
        <v>253</v>
      </c>
      <c r="L121" s="71" t="s">
        <v>273</v>
      </c>
      <c r="M121" s="71" t="s">
        <v>229</v>
      </c>
      <c r="N121" s="71" t="s">
        <v>222</v>
      </c>
      <c r="O121" s="71" t="s">
        <v>224</v>
      </c>
      <c r="P121" s="71" t="s">
        <v>226</v>
      </c>
      <c r="Q121" s="71" t="s">
        <v>295</v>
      </c>
      <c r="R121" s="71" t="s">
        <v>277</v>
      </c>
    </row>
    <row r="122" spans="1:18">
      <c r="A122" s="71" t="str">
        <f>VLOOKUP(C122,classifications!C:F,4,FALSE)</f>
        <v>UA</v>
      </c>
      <c r="B122" s="71" t="s">
        <v>550</v>
      </c>
      <c r="C122" s="72" t="s">
        <v>291</v>
      </c>
      <c r="D122" s="71" t="s">
        <v>251</v>
      </c>
      <c r="E122" s="71" t="s">
        <v>240</v>
      </c>
      <c r="F122" s="71" t="s">
        <v>268</v>
      </c>
      <c r="G122" s="71" t="s">
        <v>231</v>
      </c>
      <c r="H122" s="71" t="s">
        <v>241</v>
      </c>
      <c r="I122" s="71" t="s">
        <v>224</v>
      </c>
      <c r="J122" s="71" t="s">
        <v>233</v>
      </c>
      <c r="K122" s="71" t="s">
        <v>242</v>
      </c>
      <c r="L122" s="71" t="s">
        <v>248</v>
      </c>
      <c r="M122" s="71" t="s">
        <v>229</v>
      </c>
      <c r="N122" s="71" t="s">
        <v>255</v>
      </c>
      <c r="O122" s="71" t="s">
        <v>243</v>
      </c>
      <c r="P122" s="71" t="s">
        <v>818</v>
      </c>
      <c r="Q122" s="71" t="s">
        <v>239</v>
      </c>
      <c r="R122" s="71" t="s">
        <v>274</v>
      </c>
    </row>
    <row r="123" spans="1:18">
      <c r="A123" s="71" t="str">
        <f>VLOOKUP(C123,classifications!C:F,4,FALSE)</f>
        <v>UA</v>
      </c>
      <c r="B123" s="71" t="s">
        <v>551</v>
      </c>
      <c r="C123" s="72" t="s">
        <v>292</v>
      </c>
      <c r="D123" s="71" t="s">
        <v>295</v>
      </c>
      <c r="E123" s="71" t="s">
        <v>273</v>
      </c>
      <c r="F123" s="71" t="s">
        <v>293</v>
      </c>
      <c r="G123" s="71" t="s">
        <v>280</v>
      </c>
      <c r="H123" s="71" t="s">
        <v>259</v>
      </c>
      <c r="I123" s="71" t="s">
        <v>290</v>
      </c>
      <c r="J123" s="71" t="s">
        <v>226</v>
      </c>
      <c r="K123" s="71" t="s">
        <v>275</v>
      </c>
      <c r="L123" s="71" t="s">
        <v>814</v>
      </c>
      <c r="M123" s="71" t="s">
        <v>265</v>
      </c>
      <c r="N123" s="71" t="s">
        <v>227</v>
      </c>
      <c r="O123" s="71" t="s">
        <v>252</v>
      </c>
      <c r="P123" s="71" t="s">
        <v>249</v>
      </c>
      <c r="Q123" s="71" t="s">
        <v>224</v>
      </c>
      <c r="R123" s="71" t="s">
        <v>232</v>
      </c>
    </row>
    <row r="124" spans="1:18">
      <c r="A124" s="71" t="str">
        <f>VLOOKUP(C124,classifications!C:F,4,FALSE)</f>
        <v>UA</v>
      </c>
      <c r="B124" s="71" t="s">
        <v>552</v>
      </c>
      <c r="C124" s="72" t="s">
        <v>293</v>
      </c>
      <c r="D124" s="71" t="s">
        <v>275</v>
      </c>
      <c r="E124" s="71" t="s">
        <v>292</v>
      </c>
      <c r="F124" s="71" t="s">
        <v>280</v>
      </c>
      <c r="G124" s="71" t="s">
        <v>284</v>
      </c>
      <c r="H124" s="71" t="s">
        <v>295</v>
      </c>
      <c r="I124" s="71" t="s">
        <v>252</v>
      </c>
      <c r="J124" s="71" t="s">
        <v>814</v>
      </c>
      <c r="K124" s="71" t="s">
        <v>273</v>
      </c>
      <c r="L124" s="71" t="s">
        <v>224</v>
      </c>
      <c r="M124" s="71" t="s">
        <v>290</v>
      </c>
      <c r="N124" s="71" t="s">
        <v>259</v>
      </c>
      <c r="O124" s="71" t="s">
        <v>265</v>
      </c>
      <c r="P124" s="71" t="s">
        <v>228</v>
      </c>
      <c r="Q124" s="71" t="s">
        <v>240</v>
      </c>
      <c r="R124" s="71" t="s">
        <v>227</v>
      </c>
    </row>
    <row r="125" spans="1:18">
      <c r="A125" s="71" t="str">
        <f>VLOOKUP(C125,classifications!C:F,4,FALSE)</f>
        <v>UA</v>
      </c>
      <c r="B125" s="71" t="s">
        <v>553</v>
      </c>
      <c r="C125" s="72" t="s">
        <v>294</v>
      </c>
      <c r="D125" s="71" t="s">
        <v>244</v>
      </c>
      <c r="E125" s="71" t="s">
        <v>270</v>
      </c>
      <c r="F125" s="71" t="s">
        <v>262</v>
      </c>
      <c r="G125" s="71" t="s">
        <v>289</v>
      </c>
      <c r="H125" s="71" t="s">
        <v>282</v>
      </c>
      <c r="I125" s="71" t="s">
        <v>256</v>
      </c>
      <c r="J125" s="71" t="s">
        <v>278</v>
      </c>
      <c r="K125" s="71" t="s">
        <v>322</v>
      </c>
      <c r="L125" s="71" t="s">
        <v>238</v>
      </c>
      <c r="M125" s="71" t="s">
        <v>264</v>
      </c>
      <c r="N125" s="71" t="s">
        <v>267</v>
      </c>
      <c r="O125" s="71" t="s">
        <v>808</v>
      </c>
      <c r="P125" s="71" t="s">
        <v>261</v>
      </c>
      <c r="Q125" s="71" t="s">
        <v>276</v>
      </c>
      <c r="R125" s="71" t="s">
        <v>305</v>
      </c>
    </row>
    <row r="126" spans="1:18">
      <c r="A126" s="71" t="str">
        <f>VLOOKUP(C126,classifications!C:F,4,FALSE)</f>
        <v>UA</v>
      </c>
      <c r="B126" s="71" t="s">
        <v>554</v>
      </c>
      <c r="C126" s="72" t="s">
        <v>295</v>
      </c>
      <c r="D126" s="71" t="s">
        <v>292</v>
      </c>
      <c r="E126" s="71" t="s">
        <v>290</v>
      </c>
      <c r="F126" s="71" t="s">
        <v>227</v>
      </c>
      <c r="G126" s="71" t="s">
        <v>226</v>
      </c>
      <c r="H126" s="71" t="s">
        <v>814</v>
      </c>
      <c r="I126" s="71" t="s">
        <v>273</v>
      </c>
      <c r="J126" s="71" t="s">
        <v>813</v>
      </c>
      <c r="K126" s="71" t="s">
        <v>299</v>
      </c>
      <c r="L126" s="71" t="s">
        <v>249</v>
      </c>
      <c r="M126" s="71" t="s">
        <v>277</v>
      </c>
      <c r="N126" s="71" t="s">
        <v>264</v>
      </c>
      <c r="O126" s="71" t="s">
        <v>252</v>
      </c>
      <c r="P126" s="71" t="s">
        <v>232</v>
      </c>
      <c r="Q126" s="71" t="s">
        <v>253</v>
      </c>
      <c r="R126" s="71" t="s">
        <v>224</v>
      </c>
    </row>
    <row r="127" spans="1:18">
      <c r="A127" s="71" t="str">
        <f>VLOOKUP(C127,classifications!C:F,4,FALSE)</f>
        <v>UA</v>
      </c>
      <c r="B127" s="71" t="s">
        <v>555</v>
      </c>
      <c r="C127" s="72" t="s">
        <v>296</v>
      </c>
      <c r="D127" s="71" t="s">
        <v>303</v>
      </c>
      <c r="E127" s="71" t="s">
        <v>263</v>
      </c>
      <c r="F127" s="71" t="s">
        <v>298</v>
      </c>
      <c r="G127" s="71" t="s">
        <v>815</v>
      </c>
      <c r="H127" s="71" t="s">
        <v>259</v>
      </c>
      <c r="I127" s="71" t="s">
        <v>258</v>
      </c>
      <c r="J127" s="71" t="s">
        <v>297</v>
      </c>
      <c r="K127" s="71" t="s">
        <v>246</v>
      </c>
      <c r="L127" s="71" t="s">
        <v>287</v>
      </c>
      <c r="M127" s="71" t="s">
        <v>304</v>
      </c>
      <c r="N127" s="71" t="s">
        <v>813</v>
      </c>
      <c r="O127" s="71" t="s">
        <v>275</v>
      </c>
      <c r="P127" s="71" t="s">
        <v>252</v>
      </c>
      <c r="Q127" s="71" t="s">
        <v>292</v>
      </c>
      <c r="R127" s="71" t="s">
        <v>295</v>
      </c>
    </row>
    <row r="128" spans="1:18">
      <c r="A128" s="71" t="str">
        <f>VLOOKUP(C128,classifications!C:F,4,FALSE)</f>
        <v>UA</v>
      </c>
      <c r="B128" s="71" t="s">
        <v>556</v>
      </c>
      <c r="C128" s="72" t="s">
        <v>813</v>
      </c>
      <c r="D128" s="71" t="s">
        <v>304</v>
      </c>
      <c r="E128" s="71" t="s">
        <v>325</v>
      </c>
      <c r="F128" s="71" t="s">
        <v>299</v>
      </c>
      <c r="G128" s="71" t="s">
        <v>295</v>
      </c>
      <c r="H128" s="71" t="s">
        <v>258</v>
      </c>
      <c r="I128" s="71" t="s">
        <v>249</v>
      </c>
      <c r="J128" s="71" t="s">
        <v>246</v>
      </c>
      <c r="K128" s="71" t="s">
        <v>297</v>
      </c>
      <c r="L128" s="71" t="s">
        <v>817</v>
      </c>
      <c r="M128" s="71" t="s">
        <v>303</v>
      </c>
      <c r="N128" s="71" t="s">
        <v>267</v>
      </c>
      <c r="O128" s="71" t="s">
        <v>277</v>
      </c>
      <c r="P128" s="71" t="s">
        <v>259</v>
      </c>
      <c r="Q128" s="71" t="s">
        <v>322</v>
      </c>
      <c r="R128" s="71" t="s">
        <v>227</v>
      </c>
    </row>
    <row r="129" spans="1:18">
      <c r="A129" s="71" t="str">
        <f>VLOOKUP(C129,classifications!C:F,4,FALSE)</f>
        <v>UA</v>
      </c>
      <c r="B129" s="71" t="s">
        <v>557</v>
      </c>
      <c r="C129" s="72" t="s">
        <v>297</v>
      </c>
      <c r="D129" s="71" t="s">
        <v>304</v>
      </c>
      <c r="E129" s="71" t="s">
        <v>303</v>
      </c>
      <c r="F129" s="71" t="s">
        <v>325</v>
      </c>
      <c r="G129" s="71" t="s">
        <v>817</v>
      </c>
      <c r="H129" s="71" t="s">
        <v>813</v>
      </c>
      <c r="I129" s="71" t="s">
        <v>258</v>
      </c>
      <c r="J129" s="71" t="s">
        <v>278</v>
      </c>
      <c r="K129" s="71" t="s">
        <v>259</v>
      </c>
      <c r="L129" s="71" t="s">
        <v>246</v>
      </c>
      <c r="M129" s="71" t="s">
        <v>249</v>
      </c>
      <c r="N129" s="71" t="s">
        <v>267</v>
      </c>
      <c r="O129" s="71" t="s">
        <v>285</v>
      </c>
      <c r="P129" s="71" t="s">
        <v>305</v>
      </c>
      <c r="Q129" s="71" t="s">
        <v>296</v>
      </c>
      <c r="R129" s="71" t="s">
        <v>287</v>
      </c>
    </row>
    <row r="130" spans="1:18">
      <c r="A130" s="71" t="str">
        <f>VLOOKUP(C130,classifications!C:F,4,FALSE)</f>
        <v>UA</v>
      </c>
      <c r="B130" s="71" t="s">
        <v>558</v>
      </c>
      <c r="C130" s="72" t="s">
        <v>815</v>
      </c>
      <c r="D130" s="71" t="s">
        <v>298</v>
      </c>
      <c r="E130" s="71" t="s">
        <v>296</v>
      </c>
      <c r="F130" s="71" t="s">
        <v>263</v>
      </c>
      <c r="G130" s="71" t="s">
        <v>303</v>
      </c>
      <c r="H130" s="71" t="s">
        <v>258</v>
      </c>
      <c r="I130" s="71" t="s">
        <v>246</v>
      </c>
      <c r="J130" s="71" t="s">
        <v>259</v>
      </c>
      <c r="K130" s="71" t="s">
        <v>297</v>
      </c>
      <c r="L130" s="71" t="s">
        <v>304</v>
      </c>
      <c r="M130" s="71" t="s">
        <v>285</v>
      </c>
      <c r="N130" s="71" t="s">
        <v>278</v>
      </c>
      <c r="O130" s="71" t="s">
        <v>813</v>
      </c>
      <c r="P130" s="71" t="s">
        <v>287</v>
      </c>
      <c r="Q130" s="71" t="s">
        <v>252</v>
      </c>
      <c r="R130" s="71" t="s">
        <v>817</v>
      </c>
    </row>
    <row r="131" spans="1:18">
      <c r="A131" s="71" t="str">
        <f>VLOOKUP(C131,classifications!C:F,4,FALSE)</f>
        <v>UA</v>
      </c>
      <c r="B131" s="71" t="s">
        <v>559</v>
      </c>
      <c r="C131" s="72" t="s">
        <v>298</v>
      </c>
      <c r="D131" s="71" t="s">
        <v>815</v>
      </c>
      <c r="E131" s="71" t="s">
        <v>296</v>
      </c>
      <c r="F131" s="71" t="s">
        <v>263</v>
      </c>
      <c r="G131" s="71" t="s">
        <v>303</v>
      </c>
      <c r="H131" s="71" t="s">
        <v>258</v>
      </c>
      <c r="I131" s="71" t="s">
        <v>297</v>
      </c>
      <c r="J131" s="71" t="s">
        <v>304</v>
      </c>
      <c r="K131" s="71" t="s">
        <v>246</v>
      </c>
      <c r="L131" s="71" t="s">
        <v>259</v>
      </c>
      <c r="M131" s="71" t="s">
        <v>287</v>
      </c>
      <c r="N131" s="71" t="s">
        <v>285</v>
      </c>
      <c r="O131" s="71" t="s">
        <v>278</v>
      </c>
      <c r="P131" s="71" t="s">
        <v>249</v>
      </c>
      <c r="Q131" s="71" t="s">
        <v>813</v>
      </c>
      <c r="R131" s="71" t="s">
        <v>817</v>
      </c>
    </row>
    <row r="132" spans="1:18">
      <c r="A132" s="71" t="str">
        <f>VLOOKUP(C132,classifications!C:F,4,FALSE)</f>
        <v>UA</v>
      </c>
      <c r="B132" s="71" t="s">
        <v>560</v>
      </c>
      <c r="C132" s="72" t="s">
        <v>814</v>
      </c>
      <c r="D132" s="71" t="s">
        <v>290</v>
      </c>
      <c r="E132" s="71" t="s">
        <v>224</v>
      </c>
      <c r="F132" s="71" t="s">
        <v>268</v>
      </c>
      <c r="G132" s="71" t="s">
        <v>240</v>
      </c>
      <c r="H132" s="71" t="s">
        <v>241</v>
      </c>
      <c r="I132" s="71" t="s">
        <v>227</v>
      </c>
      <c r="J132" s="71" t="s">
        <v>273</v>
      </c>
      <c r="K132" s="71" t="s">
        <v>253</v>
      </c>
      <c r="L132" s="71" t="s">
        <v>226</v>
      </c>
      <c r="M132" s="71" t="s">
        <v>255</v>
      </c>
      <c r="N132" s="71" t="s">
        <v>265</v>
      </c>
      <c r="O132" s="71" t="s">
        <v>295</v>
      </c>
      <c r="P132" s="71" t="s">
        <v>248</v>
      </c>
      <c r="Q132" s="71" t="s">
        <v>251</v>
      </c>
      <c r="R132" s="71" t="s">
        <v>232</v>
      </c>
    </row>
    <row r="133" spans="1:18">
      <c r="A133" s="71" t="str">
        <f>VLOOKUP(C133,classifications!C:F,4,FALSE)</f>
        <v>UA</v>
      </c>
      <c r="B133" s="71" t="s">
        <v>561</v>
      </c>
      <c r="C133" s="72" t="s">
        <v>299</v>
      </c>
      <c r="D133" s="71" t="s">
        <v>813</v>
      </c>
      <c r="E133" s="71" t="s">
        <v>249</v>
      </c>
      <c r="F133" s="71" t="s">
        <v>295</v>
      </c>
      <c r="G133" s="71" t="s">
        <v>258</v>
      </c>
      <c r="H133" s="71" t="s">
        <v>246</v>
      </c>
      <c r="I133" s="71" t="s">
        <v>292</v>
      </c>
      <c r="J133" s="71" t="s">
        <v>304</v>
      </c>
      <c r="K133" s="71" t="s">
        <v>252</v>
      </c>
      <c r="L133" s="71" t="s">
        <v>287</v>
      </c>
      <c r="M133" s="71" t="s">
        <v>325</v>
      </c>
      <c r="N133" s="71" t="s">
        <v>259</v>
      </c>
      <c r="O133" s="71" t="s">
        <v>227</v>
      </c>
      <c r="P133" s="71" t="s">
        <v>277</v>
      </c>
      <c r="Q133" s="71" t="s">
        <v>264</v>
      </c>
      <c r="R133" s="71" t="s">
        <v>282</v>
      </c>
    </row>
    <row r="135" spans="1:18">
      <c r="B135" s="70" t="s">
        <v>414</v>
      </c>
    </row>
    <row r="136" spans="1:18">
      <c r="A136" s="71" t="str">
        <f>VLOOKUP(C136,classifications!C:F,4,FALSE)</f>
        <v>UA</v>
      </c>
      <c r="B136" s="71" t="s">
        <v>562</v>
      </c>
      <c r="C136" s="71" t="s">
        <v>300</v>
      </c>
      <c r="D136" s="71" t="s">
        <v>324</v>
      </c>
      <c r="E136" s="71" t="s">
        <v>329</v>
      </c>
      <c r="F136" s="71" t="s">
        <v>302</v>
      </c>
      <c r="G136" s="71" t="s">
        <v>313</v>
      </c>
      <c r="H136" s="71" t="s">
        <v>312</v>
      </c>
      <c r="I136" s="71" t="s">
        <v>330</v>
      </c>
      <c r="J136" s="71" t="s">
        <v>314</v>
      </c>
      <c r="K136" s="71" t="s">
        <v>317</v>
      </c>
      <c r="L136" s="71" t="s">
        <v>331</v>
      </c>
      <c r="M136" s="71" t="s">
        <v>320</v>
      </c>
      <c r="N136" s="71" t="s">
        <v>332</v>
      </c>
      <c r="O136" s="71" t="s">
        <v>326</v>
      </c>
      <c r="P136" s="71" t="s">
        <v>311</v>
      </c>
      <c r="Q136" s="71" t="s">
        <v>328</v>
      </c>
      <c r="R136" s="71" t="s">
        <v>321</v>
      </c>
    </row>
    <row r="137" spans="1:18">
      <c r="A137" s="71" t="str">
        <f>VLOOKUP(C137,classifications!C:F,4,FALSE)</f>
        <v>SC</v>
      </c>
      <c r="B137" s="71" t="s">
        <v>563</v>
      </c>
      <c r="C137" s="71" t="s">
        <v>302</v>
      </c>
      <c r="D137" s="71" t="s">
        <v>324</v>
      </c>
      <c r="E137" s="71" t="s">
        <v>330</v>
      </c>
      <c r="F137" s="71" t="s">
        <v>312</v>
      </c>
      <c r="G137" s="71" t="s">
        <v>317</v>
      </c>
      <c r="H137" s="71" t="s">
        <v>328</v>
      </c>
      <c r="I137" s="71" t="s">
        <v>332</v>
      </c>
      <c r="J137" s="71" t="s">
        <v>300</v>
      </c>
      <c r="K137" s="71" t="s">
        <v>313</v>
      </c>
      <c r="L137" s="71" t="s">
        <v>321</v>
      </c>
      <c r="M137" s="71" t="s">
        <v>326</v>
      </c>
      <c r="N137" s="71" t="s">
        <v>327</v>
      </c>
      <c r="O137" s="71" t="s">
        <v>311</v>
      </c>
      <c r="P137" s="71" t="s">
        <v>320</v>
      </c>
      <c r="Q137" s="71" t="s">
        <v>314</v>
      </c>
      <c r="R137" s="71" t="s">
        <v>331</v>
      </c>
    </row>
    <row r="138" spans="1:18">
      <c r="A138" s="71" t="str">
        <f>VLOOKUP(C138,classifications!C:F,4,FALSE)</f>
        <v>SC</v>
      </c>
      <c r="B138" s="71" t="s">
        <v>564</v>
      </c>
      <c r="C138" s="71" t="s">
        <v>306</v>
      </c>
      <c r="D138" s="71" t="s">
        <v>307</v>
      </c>
      <c r="E138" s="71" t="s">
        <v>320</v>
      </c>
      <c r="F138" s="71" t="s">
        <v>318</v>
      </c>
      <c r="G138" s="71" t="s">
        <v>327</v>
      </c>
      <c r="H138" s="71" t="s">
        <v>323</v>
      </c>
      <c r="I138" s="71" t="s">
        <v>328</v>
      </c>
      <c r="J138" s="71" t="s">
        <v>332</v>
      </c>
      <c r="K138" s="71" t="s">
        <v>319</v>
      </c>
      <c r="L138" s="71" t="s">
        <v>326</v>
      </c>
      <c r="M138" s="71" t="s">
        <v>330</v>
      </c>
      <c r="N138" s="71" t="s">
        <v>312</v>
      </c>
      <c r="O138" s="71" t="s">
        <v>308</v>
      </c>
      <c r="P138" s="71" t="s">
        <v>316</v>
      </c>
      <c r="Q138" s="71" t="s">
        <v>317</v>
      </c>
      <c r="R138" s="71" t="s">
        <v>309</v>
      </c>
    </row>
    <row r="139" spans="1:18">
      <c r="A139" s="71" t="str">
        <f>VLOOKUP(C139,classifications!C:F,4,FALSE)</f>
        <v>SC</v>
      </c>
      <c r="B139" s="71" t="s">
        <v>565</v>
      </c>
      <c r="C139" s="72" t="s">
        <v>307</v>
      </c>
      <c r="D139" s="71" t="s">
        <v>323</v>
      </c>
      <c r="E139" s="71" t="s">
        <v>327</v>
      </c>
      <c r="F139" s="71" t="s">
        <v>332</v>
      </c>
      <c r="G139" s="71" t="s">
        <v>328</v>
      </c>
      <c r="H139" s="71" t="s">
        <v>306</v>
      </c>
      <c r="I139" s="71" t="s">
        <v>318</v>
      </c>
      <c r="J139" s="71" t="s">
        <v>330</v>
      </c>
      <c r="K139" s="71" t="s">
        <v>319</v>
      </c>
      <c r="L139" s="71" t="s">
        <v>316</v>
      </c>
      <c r="M139" s="71" t="s">
        <v>312</v>
      </c>
      <c r="N139" s="71" t="s">
        <v>321</v>
      </c>
      <c r="O139" s="71" t="s">
        <v>326</v>
      </c>
      <c r="P139" s="71" t="s">
        <v>317</v>
      </c>
      <c r="Q139" s="71" t="s">
        <v>320</v>
      </c>
      <c r="R139" s="71" t="s">
        <v>311</v>
      </c>
    </row>
    <row r="140" spans="1:18">
      <c r="A140" s="71" t="str">
        <f>VLOOKUP(C140,classifications!C:F,4,FALSE)</f>
        <v>SC</v>
      </c>
      <c r="B140" s="71" t="s">
        <v>566</v>
      </c>
      <c r="C140" s="71" t="s">
        <v>308</v>
      </c>
      <c r="D140" s="71" t="s">
        <v>320</v>
      </c>
      <c r="E140" s="71" t="s">
        <v>310</v>
      </c>
      <c r="F140" s="71" t="s">
        <v>309</v>
      </c>
      <c r="G140" s="71" t="s">
        <v>326</v>
      </c>
      <c r="H140" s="71" t="s">
        <v>312</v>
      </c>
      <c r="I140" s="71" t="s">
        <v>331</v>
      </c>
      <c r="J140" s="71" t="s">
        <v>306</v>
      </c>
      <c r="K140" s="71" t="s">
        <v>332</v>
      </c>
      <c r="L140" s="71" t="s">
        <v>328</v>
      </c>
      <c r="M140" s="71" t="s">
        <v>330</v>
      </c>
      <c r="N140" s="71" t="s">
        <v>318</v>
      </c>
      <c r="O140" s="71" t="s">
        <v>319</v>
      </c>
      <c r="P140" s="71" t="s">
        <v>311</v>
      </c>
      <c r="Q140" s="71" t="s">
        <v>317</v>
      </c>
      <c r="R140" s="71" t="s">
        <v>313</v>
      </c>
    </row>
    <row r="141" spans="1:18">
      <c r="A141" s="71" t="str">
        <f>VLOOKUP(C141,classifications!C:F,4,FALSE)</f>
        <v>UA</v>
      </c>
      <c r="B141" s="71" t="s">
        <v>567</v>
      </c>
      <c r="C141" s="71" t="s">
        <v>309</v>
      </c>
      <c r="D141" s="71" t="s">
        <v>308</v>
      </c>
      <c r="E141" s="71" t="s">
        <v>326</v>
      </c>
      <c r="F141" s="71" t="s">
        <v>320</v>
      </c>
      <c r="G141" s="71" t="s">
        <v>312</v>
      </c>
      <c r="H141" s="71" t="s">
        <v>310</v>
      </c>
      <c r="I141" s="71" t="s">
        <v>328</v>
      </c>
      <c r="J141" s="71" t="s">
        <v>331</v>
      </c>
      <c r="K141" s="71" t="s">
        <v>332</v>
      </c>
      <c r="L141" s="71" t="s">
        <v>319</v>
      </c>
      <c r="M141" s="71" t="s">
        <v>306</v>
      </c>
      <c r="N141" s="71" t="s">
        <v>330</v>
      </c>
      <c r="O141" s="71" t="s">
        <v>317</v>
      </c>
      <c r="P141" s="71" t="s">
        <v>313</v>
      </c>
      <c r="Q141" s="71" t="s">
        <v>318</v>
      </c>
      <c r="R141" s="71" t="s">
        <v>300</v>
      </c>
    </row>
    <row r="142" spans="1:18">
      <c r="A142" s="71" t="str">
        <f>VLOOKUP(C142,classifications!C:F,4,FALSE)</f>
        <v>SC</v>
      </c>
      <c r="B142" s="71" t="s">
        <v>568</v>
      </c>
      <c r="C142" s="71" t="s">
        <v>310</v>
      </c>
      <c r="D142" s="71" t="s">
        <v>331</v>
      </c>
      <c r="E142" s="71" t="s">
        <v>308</v>
      </c>
      <c r="F142" s="71" t="s">
        <v>312</v>
      </c>
      <c r="G142" s="71" t="s">
        <v>332</v>
      </c>
      <c r="H142" s="71" t="s">
        <v>326</v>
      </c>
      <c r="I142" s="71" t="s">
        <v>309</v>
      </c>
      <c r="J142" s="71" t="s">
        <v>328</v>
      </c>
      <c r="K142" s="71" t="s">
        <v>315</v>
      </c>
      <c r="L142" s="71" t="s">
        <v>311</v>
      </c>
      <c r="M142" s="71" t="s">
        <v>330</v>
      </c>
      <c r="N142" s="71" t="s">
        <v>320</v>
      </c>
      <c r="O142" s="71" t="s">
        <v>319</v>
      </c>
      <c r="P142" s="71" t="s">
        <v>313</v>
      </c>
      <c r="Q142" s="71" t="s">
        <v>318</v>
      </c>
      <c r="R142" s="71" t="s">
        <v>306</v>
      </c>
    </row>
    <row r="143" spans="1:18">
      <c r="A143" s="71" t="str">
        <f>VLOOKUP(C143,classifications!C:F,4,FALSE)</f>
        <v>SC</v>
      </c>
      <c r="B143" s="71" t="s">
        <v>569</v>
      </c>
      <c r="C143" s="71" t="s">
        <v>311</v>
      </c>
      <c r="D143" s="71" t="s">
        <v>315</v>
      </c>
      <c r="E143" s="71" t="s">
        <v>313</v>
      </c>
      <c r="F143" s="71" t="s">
        <v>331</v>
      </c>
      <c r="G143" s="71" t="s">
        <v>330</v>
      </c>
      <c r="H143" s="71" t="s">
        <v>332</v>
      </c>
      <c r="I143" s="71" t="s">
        <v>312</v>
      </c>
      <c r="J143" s="71" t="s">
        <v>327</v>
      </c>
      <c r="K143" s="71" t="s">
        <v>328</v>
      </c>
      <c r="L143" s="71" t="s">
        <v>321</v>
      </c>
      <c r="M143" s="71" t="s">
        <v>323</v>
      </c>
      <c r="N143" s="71" t="s">
        <v>316</v>
      </c>
      <c r="O143" s="71" t="s">
        <v>307</v>
      </c>
      <c r="P143" s="71" t="s">
        <v>314</v>
      </c>
      <c r="Q143" s="71" t="s">
        <v>310</v>
      </c>
      <c r="R143" s="71" t="s">
        <v>308</v>
      </c>
    </row>
    <row r="144" spans="1:18">
      <c r="A144" s="71" t="str">
        <f>VLOOKUP(C144,classifications!C:F,4,FALSE)</f>
        <v>SC</v>
      </c>
      <c r="B144" s="71" t="s">
        <v>570</v>
      </c>
      <c r="C144" s="71" t="s">
        <v>312</v>
      </c>
      <c r="D144" s="71" t="s">
        <v>330</v>
      </c>
      <c r="E144" s="71" t="s">
        <v>332</v>
      </c>
      <c r="F144" s="71" t="s">
        <v>328</v>
      </c>
      <c r="G144" s="71" t="s">
        <v>326</v>
      </c>
      <c r="H144" s="71" t="s">
        <v>320</v>
      </c>
      <c r="I144" s="71" t="s">
        <v>317</v>
      </c>
      <c r="J144" s="71" t="s">
        <v>327</v>
      </c>
      <c r="K144" s="71" t="s">
        <v>300</v>
      </c>
      <c r="L144" s="71" t="s">
        <v>331</v>
      </c>
      <c r="M144" s="71" t="s">
        <v>324</v>
      </c>
      <c r="N144" s="71" t="s">
        <v>308</v>
      </c>
      <c r="O144" s="71" t="s">
        <v>323</v>
      </c>
      <c r="P144" s="71" t="s">
        <v>311</v>
      </c>
      <c r="Q144" s="71" t="s">
        <v>307</v>
      </c>
      <c r="R144" s="71" t="s">
        <v>313</v>
      </c>
    </row>
    <row r="145" spans="1:18">
      <c r="A145" s="71" t="str">
        <f>VLOOKUP(C145,classifications!C:F,4,FALSE)</f>
        <v>SC</v>
      </c>
      <c r="B145" s="71" t="s">
        <v>571</v>
      </c>
      <c r="C145" s="71" t="s">
        <v>313</v>
      </c>
      <c r="D145" s="71" t="s">
        <v>311</v>
      </c>
      <c r="E145" s="71" t="s">
        <v>331</v>
      </c>
      <c r="F145" s="71" t="s">
        <v>315</v>
      </c>
      <c r="G145" s="71" t="s">
        <v>312</v>
      </c>
      <c r="H145" s="71" t="s">
        <v>330</v>
      </c>
      <c r="I145" s="71" t="s">
        <v>324</v>
      </c>
      <c r="J145" s="71" t="s">
        <v>300</v>
      </c>
      <c r="K145" s="71" t="s">
        <v>332</v>
      </c>
      <c r="L145" s="71" t="s">
        <v>317</v>
      </c>
      <c r="M145" s="71" t="s">
        <v>314</v>
      </c>
      <c r="N145" s="71" t="s">
        <v>327</v>
      </c>
      <c r="O145" s="71" t="s">
        <v>328</v>
      </c>
      <c r="P145" s="71" t="s">
        <v>308</v>
      </c>
      <c r="Q145" s="71" t="s">
        <v>302</v>
      </c>
      <c r="R145" s="71" t="s">
        <v>329</v>
      </c>
    </row>
    <row r="146" spans="1:18">
      <c r="A146" s="71" t="str">
        <f>VLOOKUP(C146,classifications!C:F,4,FALSE)</f>
        <v>SC</v>
      </c>
      <c r="B146" s="71" t="s">
        <v>572</v>
      </c>
      <c r="C146" s="71" t="s">
        <v>332</v>
      </c>
      <c r="D146" s="71" t="s">
        <v>330</v>
      </c>
      <c r="E146" s="71" t="s">
        <v>312</v>
      </c>
      <c r="F146" s="71" t="s">
        <v>328</v>
      </c>
      <c r="G146" s="71" t="s">
        <v>327</v>
      </c>
      <c r="H146" s="71" t="s">
        <v>307</v>
      </c>
      <c r="I146" s="71" t="s">
        <v>323</v>
      </c>
      <c r="J146" s="71" t="s">
        <v>326</v>
      </c>
      <c r="K146" s="71" t="s">
        <v>319</v>
      </c>
      <c r="L146" s="71" t="s">
        <v>320</v>
      </c>
      <c r="M146" s="71" t="s">
        <v>306</v>
      </c>
      <c r="N146" s="71" t="s">
        <v>317</v>
      </c>
      <c r="O146" s="71" t="s">
        <v>311</v>
      </c>
      <c r="P146" s="71" t="s">
        <v>321</v>
      </c>
      <c r="Q146" s="71" t="s">
        <v>318</v>
      </c>
      <c r="R146" s="71" t="s">
        <v>300</v>
      </c>
    </row>
    <row r="147" spans="1:18">
      <c r="A147" s="71" t="str">
        <f>VLOOKUP(C147,classifications!C:F,4,FALSE)</f>
        <v>SC</v>
      </c>
      <c r="B147" s="71" t="s">
        <v>573</v>
      </c>
      <c r="C147" s="71" t="s">
        <v>314</v>
      </c>
      <c r="D147" s="71" t="s">
        <v>324</v>
      </c>
      <c r="E147" s="71" t="s">
        <v>313</v>
      </c>
      <c r="F147" s="71" t="s">
        <v>311</v>
      </c>
      <c r="G147" s="71" t="s">
        <v>315</v>
      </c>
      <c r="H147" s="71" t="s">
        <v>329</v>
      </c>
      <c r="I147" s="71" t="s">
        <v>331</v>
      </c>
      <c r="J147" s="71" t="s">
        <v>300</v>
      </c>
      <c r="K147" s="71" t="s">
        <v>321</v>
      </c>
      <c r="L147" s="71" t="s">
        <v>330</v>
      </c>
      <c r="M147" s="71" t="s">
        <v>302</v>
      </c>
      <c r="N147" s="71" t="s">
        <v>312</v>
      </c>
      <c r="O147" s="71" t="s">
        <v>332</v>
      </c>
      <c r="P147" s="71" t="s">
        <v>327</v>
      </c>
      <c r="Q147" s="71" t="s">
        <v>328</v>
      </c>
      <c r="R147" s="71" t="s">
        <v>323</v>
      </c>
    </row>
    <row r="148" spans="1:18">
      <c r="A148" s="71" t="str">
        <f>VLOOKUP(C148,classifications!C:F,4,FALSE)</f>
        <v>SC</v>
      </c>
      <c r="B148" s="71" t="s">
        <v>574</v>
      </c>
      <c r="C148" s="71" t="s">
        <v>315</v>
      </c>
      <c r="D148" s="71" t="s">
        <v>311</v>
      </c>
      <c r="E148" s="71" t="s">
        <v>313</v>
      </c>
      <c r="F148" s="71" t="s">
        <v>331</v>
      </c>
      <c r="G148" s="71" t="s">
        <v>312</v>
      </c>
      <c r="H148" s="71" t="s">
        <v>332</v>
      </c>
      <c r="I148" s="71" t="s">
        <v>330</v>
      </c>
      <c r="J148" s="71" t="s">
        <v>321</v>
      </c>
      <c r="K148" s="71" t="s">
        <v>316</v>
      </c>
      <c r="L148" s="71" t="s">
        <v>328</v>
      </c>
      <c r="M148" s="71" t="s">
        <v>327</v>
      </c>
      <c r="N148" s="71" t="s">
        <v>323</v>
      </c>
      <c r="O148" s="71" t="s">
        <v>310</v>
      </c>
      <c r="P148" s="71" t="s">
        <v>314</v>
      </c>
      <c r="Q148" s="71" t="s">
        <v>307</v>
      </c>
      <c r="R148" s="71" t="s">
        <v>318</v>
      </c>
    </row>
    <row r="149" spans="1:18">
      <c r="A149" s="71" t="str">
        <f>VLOOKUP(C149,classifications!C:F,4,FALSE)</f>
        <v>SC</v>
      </c>
      <c r="B149" s="71" t="s">
        <v>575</v>
      </c>
      <c r="C149" s="71" t="s">
        <v>316</v>
      </c>
      <c r="D149" s="71" t="s">
        <v>323</v>
      </c>
      <c r="E149" s="71" t="s">
        <v>327</v>
      </c>
      <c r="F149" s="71" t="s">
        <v>307</v>
      </c>
      <c r="G149" s="71" t="s">
        <v>306</v>
      </c>
      <c r="H149" s="71" t="s">
        <v>321</v>
      </c>
      <c r="I149" s="71" t="s">
        <v>315</v>
      </c>
      <c r="J149" s="71" t="s">
        <v>330</v>
      </c>
      <c r="K149" s="71" t="s">
        <v>332</v>
      </c>
      <c r="L149" s="71" t="s">
        <v>312</v>
      </c>
      <c r="M149" s="71" t="s">
        <v>311</v>
      </c>
      <c r="N149" s="71" t="s">
        <v>328</v>
      </c>
      <c r="O149" s="71" t="s">
        <v>318</v>
      </c>
      <c r="P149" s="71" t="s">
        <v>319</v>
      </c>
      <c r="Q149" s="71" t="s">
        <v>317</v>
      </c>
      <c r="R149" s="71" t="s">
        <v>320</v>
      </c>
    </row>
    <row r="150" spans="1:18">
      <c r="A150" s="71" t="str">
        <f>VLOOKUP(C150,classifications!C:F,4,FALSE)</f>
        <v>SC</v>
      </c>
      <c r="B150" s="71" t="s">
        <v>576</v>
      </c>
      <c r="C150" s="72" t="s">
        <v>317</v>
      </c>
      <c r="D150" s="71" t="s">
        <v>330</v>
      </c>
      <c r="E150" s="71" t="s">
        <v>312</v>
      </c>
      <c r="F150" s="71" t="s">
        <v>327</v>
      </c>
      <c r="G150" s="71" t="s">
        <v>320</v>
      </c>
      <c r="H150" s="71" t="s">
        <v>332</v>
      </c>
      <c r="I150" s="71" t="s">
        <v>323</v>
      </c>
      <c r="J150" s="71" t="s">
        <v>328</v>
      </c>
      <c r="K150" s="71" t="s">
        <v>300</v>
      </c>
      <c r="L150" s="71" t="s">
        <v>326</v>
      </c>
      <c r="M150" s="71" t="s">
        <v>307</v>
      </c>
      <c r="N150" s="71" t="s">
        <v>324</v>
      </c>
      <c r="O150" s="71" t="s">
        <v>313</v>
      </c>
      <c r="P150" s="71" t="s">
        <v>321</v>
      </c>
      <c r="Q150" s="71" t="s">
        <v>306</v>
      </c>
      <c r="R150" s="71" t="s">
        <v>308</v>
      </c>
    </row>
    <row r="151" spans="1:18">
      <c r="A151" s="71" t="str">
        <f>VLOOKUP(C151,classifications!C:F,4,FALSE)</f>
        <v>SC</v>
      </c>
      <c r="B151" s="71" t="s">
        <v>577</v>
      </c>
      <c r="C151" s="71" t="s">
        <v>318</v>
      </c>
      <c r="D151" s="71" t="s">
        <v>319</v>
      </c>
      <c r="E151" s="71" t="s">
        <v>307</v>
      </c>
      <c r="F151" s="71" t="s">
        <v>328</v>
      </c>
      <c r="G151" s="71" t="s">
        <v>306</v>
      </c>
      <c r="H151" s="71" t="s">
        <v>323</v>
      </c>
      <c r="I151" s="71" t="s">
        <v>332</v>
      </c>
      <c r="J151" s="71" t="s">
        <v>327</v>
      </c>
      <c r="K151" s="71" t="s">
        <v>326</v>
      </c>
      <c r="L151" s="71" t="s">
        <v>330</v>
      </c>
      <c r="M151" s="71" t="s">
        <v>312</v>
      </c>
      <c r="N151" s="71" t="s">
        <v>308</v>
      </c>
      <c r="O151" s="71" t="s">
        <v>320</v>
      </c>
      <c r="P151" s="71" t="s">
        <v>316</v>
      </c>
      <c r="Q151" s="71" t="s">
        <v>317</v>
      </c>
      <c r="R151" s="71" t="s">
        <v>311</v>
      </c>
    </row>
    <row r="152" spans="1:18">
      <c r="A152" s="71" t="str">
        <f>VLOOKUP(C152,classifications!C:F,4,FALSE)</f>
        <v>SC</v>
      </c>
      <c r="B152" s="71" t="s">
        <v>578</v>
      </c>
      <c r="C152" s="71" t="s">
        <v>319</v>
      </c>
      <c r="D152" s="71" t="s">
        <v>328</v>
      </c>
      <c r="E152" s="71" t="s">
        <v>318</v>
      </c>
      <c r="F152" s="71" t="s">
        <v>326</v>
      </c>
      <c r="G152" s="71" t="s">
        <v>307</v>
      </c>
      <c r="H152" s="71" t="s">
        <v>332</v>
      </c>
      <c r="I152" s="71" t="s">
        <v>306</v>
      </c>
      <c r="J152" s="71" t="s">
        <v>312</v>
      </c>
      <c r="K152" s="71" t="s">
        <v>323</v>
      </c>
      <c r="L152" s="71" t="s">
        <v>330</v>
      </c>
      <c r="M152" s="71" t="s">
        <v>327</v>
      </c>
      <c r="N152" s="71" t="s">
        <v>320</v>
      </c>
      <c r="O152" s="71" t="s">
        <v>308</v>
      </c>
      <c r="P152" s="71" t="s">
        <v>317</v>
      </c>
      <c r="Q152" s="71" t="s">
        <v>316</v>
      </c>
      <c r="R152" s="71" t="s">
        <v>310</v>
      </c>
    </row>
    <row r="153" spans="1:18">
      <c r="A153" s="71" t="str">
        <f>VLOOKUP(C153,classifications!C:F,4,FALSE)</f>
        <v>SC</v>
      </c>
      <c r="B153" s="71" t="s">
        <v>579</v>
      </c>
      <c r="C153" s="72" t="s">
        <v>320</v>
      </c>
      <c r="D153" s="71" t="s">
        <v>326</v>
      </c>
      <c r="E153" s="71" t="s">
        <v>312</v>
      </c>
      <c r="F153" s="71" t="s">
        <v>308</v>
      </c>
      <c r="G153" s="71" t="s">
        <v>306</v>
      </c>
      <c r="H153" s="71" t="s">
        <v>330</v>
      </c>
      <c r="I153" s="71" t="s">
        <v>332</v>
      </c>
      <c r="J153" s="71" t="s">
        <v>317</v>
      </c>
      <c r="K153" s="71" t="s">
        <v>309</v>
      </c>
      <c r="L153" s="71" t="s">
        <v>328</v>
      </c>
      <c r="M153" s="71" t="s">
        <v>319</v>
      </c>
      <c r="N153" s="71" t="s">
        <v>327</v>
      </c>
      <c r="O153" s="71" t="s">
        <v>307</v>
      </c>
      <c r="P153" s="71" t="s">
        <v>318</v>
      </c>
      <c r="Q153" s="71" t="s">
        <v>331</v>
      </c>
      <c r="R153" s="71" t="s">
        <v>310</v>
      </c>
    </row>
    <row r="154" spans="1:18">
      <c r="A154" s="71" t="e">
        <f>VLOOKUP(C154,classifications!C:F,4,FALSE)</f>
        <v>#N/A</v>
      </c>
      <c r="B154" s="71" t="s">
        <v>580</v>
      </c>
      <c r="C154" s="71" t="s">
        <v>321</v>
      </c>
      <c r="D154" s="71" t="s">
        <v>323</v>
      </c>
      <c r="E154" s="71" t="s">
        <v>330</v>
      </c>
      <c r="F154" s="71" t="s">
        <v>327</v>
      </c>
      <c r="G154" s="71" t="s">
        <v>332</v>
      </c>
      <c r="H154" s="71" t="s">
        <v>307</v>
      </c>
      <c r="I154" s="71" t="s">
        <v>328</v>
      </c>
      <c r="J154" s="71" t="s">
        <v>312</v>
      </c>
      <c r="K154" s="71" t="s">
        <v>315</v>
      </c>
      <c r="L154" s="71" t="s">
        <v>311</v>
      </c>
      <c r="M154" s="71" t="s">
        <v>316</v>
      </c>
      <c r="N154" s="71" t="s">
        <v>300</v>
      </c>
      <c r="O154" s="71" t="s">
        <v>317</v>
      </c>
      <c r="P154" s="71" t="s">
        <v>324</v>
      </c>
      <c r="Q154" s="71" t="s">
        <v>313</v>
      </c>
      <c r="R154" s="71" t="s">
        <v>314</v>
      </c>
    </row>
    <row r="155" spans="1:18">
      <c r="A155" s="71" t="str">
        <f>VLOOKUP(C155,classifications!C:F,4,FALSE)</f>
        <v>SC</v>
      </c>
      <c r="B155" s="71" t="s">
        <v>581</v>
      </c>
      <c r="C155" s="71" t="s">
        <v>323</v>
      </c>
      <c r="D155" s="71" t="s">
        <v>327</v>
      </c>
      <c r="E155" s="71" t="s">
        <v>307</v>
      </c>
      <c r="F155" s="71" t="s">
        <v>330</v>
      </c>
      <c r="G155" s="71" t="s">
        <v>316</v>
      </c>
      <c r="H155" s="71" t="s">
        <v>332</v>
      </c>
      <c r="I155" s="71" t="s">
        <v>321</v>
      </c>
      <c r="J155" s="71" t="s">
        <v>328</v>
      </c>
      <c r="K155" s="71" t="s">
        <v>306</v>
      </c>
      <c r="L155" s="71" t="s">
        <v>318</v>
      </c>
      <c r="M155" s="71" t="s">
        <v>312</v>
      </c>
      <c r="N155" s="71" t="s">
        <v>317</v>
      </c>
      <c r="O155" s="71" t="s">
        <v>319</v>
      </c>
      <c r="P155" s="71" t="s">
        <v>311</v>
      </c>
      <c r="Q155" s="71" t="s">
        <v>315</v>
      </c>
      <c r="R155" s="71" t="s">
        <v>326</v>
      </c>
    </row>
    <row r="156" spans="1:18">
      <c r="A156" s="71" t="str">
        <f>VLOOKUP(C156,classifications!C:F,4,FALSE)</f>
        <v>SC</v>
      </c>
      <c r="B156" s="71" t="s">
        <v>582</v>
      </c>
      <c r="C156" s="71" t="s">
        <v>324</v>
      </c>
      <c r="D156" s="71" t="s">
        <v>300</v>
      </c>
      <c r="E156" s="71" t="s">
        <v>302</v>
      </c>
      <c r="F156" s="71" t="s">
        <v>330</v>
      </c>
      <c r="G156" s="71" t="s">
        <v>312</v>
      </c>
      <c r="H156" s="71" t="s">
        <v>313</v>
      </c>
      <c r="I156" s="71" t="s">
        <v>314</v>
      </c>
      <c r="J156" s="71" t="s">
        <v>317</v>
      </c>
      <c r="K156" s="71" t="s">
        <v>332</v>
      </c>
      <c r="L156" s="71" t="s">
        <v>329</v>
      </c>
      <c r="M156" s="71" t="s">
        <v>321</v>
      </c>
      <c r="N156" s="71" t="s">
        <v>331</v>
      </c>
      <c r="O156" s="71" t="s">
        <v>311</v>
      </c>
      <c r="P156" s="71" t="s">
        <v>328</v>
      </c>
      <c r="Q156" s="71" t="s">
        <v>320</v>
      </c>
      <c r="R156" s="71" t="s">
        <v>326</v>
      </c>
    </row>
    <row r="157" spans="1:18">
      <c r="A157" s="71" t="str">
        <f>VLOOKUP(C157,classifications!C:F,4,FALSE)</f>
        <v>SC</v>
      </c>
      <c r="B157" s="71" t="s">
        <v>583</v>
      </c>
      <c r="C157" s="71" t="s">
        <v>326</v>
      </c>
      <c r="D157" s="71" t="s">
        <v>328</v>
      </c>
      <c r="E157" s="71" t="s">
        <v>320</v>
      </c>
      <c r="F157" s="71" t="s">
        <v>312</v>
      </c>
      <c r="G157" s="71" t="s">
        <v>319</v>
      </c>
      <c r="H157" s="71" t="s">
        <v>332</v>
      </c>
      <c r="I157" s="71" t="s">
        <v>330</v>
      </c>
      <c r="J157" s="71" t="s">
        <v>308</v>
      </c>
      <c r="K157" s="71" t="s">
        <v>309</v>
      </c>
      <c r="L157" s="71" t="s">
        <v>306</v>
      </c>
      <c r="M157" s="71" t="s">
        <v>317</v>
      </c>
      <c r="N157" s="71" t="s">
        <v>307</v>
      </c>
      <c r="O157" s="71" t="s">
        <v>318</v>
      </c>
      <c r="P157" s="71" t="s">
        <v>327</v>
      </c>
      <c r="Q157" s="71" t="s">
        <v>300</v>
      </c>
      <c r="R157" s="71" t="s">
        <v>310</v>
      </c>
    </row>
    <row r="158" spans="1:18">
      <c r="A158" s="71" t="str">
        <f>VLOOKUP(C158,classifications!C:F,4,FALSE)</f>
        <v>SC</v>
      </c>
      <c r="B158" s="71" t="s">
        <v>584</v>
      </c>
      <c r="C158" s="71" t="s">
        <v>327</v>
      </c>
      <c r="D158" s="71" t="s">
        <v>323</v>
      </c>
      <c r="E158" s="71" t="s">
        <v>307</v>
      </c>
      <c r="F158" s="71" t="s">
        <v>332</v>
      </c>
      <c r="G158" s="71" t="s">
        <v>330</v>
      </c>
      <c r="H158" s="71" t="s">
        <v>328</v>
      </c>
      <c r="I158" s="71" t="s">
        <v>312</v>
      </c>
      <c r="J158" s="71" t="s">
        <v>321</v>
      </c>
      <c r="K158" s="71" t="s">
        <v>306</v>
      </c>
      <c r="L158" s="71" t="s">
        <v>317</v>
      </c>
      <c r="M158" s="71" t="s">
        <v>316</v>
      </c>
      <c r="N158" s="71" t="s">
        <v>311</v>
      </c>
      <c r="O158" s="71" t="s">
        <v>318</v>
      </c>
      <c r="P158" s="71" t="s">
        <v>319</v>
      </c>
      <c r="Q158" s="71" t="s">
        <v>315</v>
      </c>
      <c r="R158" s="71" t="s">
        <v>326</v>
      </c>
    </row>
    <row r="159" spans="1:18">
      <c r="A159" s="71" t="str">
        <f>VLOOKUP(C159,classifications!C:F,4,FALSE)</f>
        <v>SC</v>
      </c>
      <c r="B159" s="71" t="s">
        <v>585</v>
      </c>
      <c r="C159" s="71" t="s">
        <v>328</v>
      </c>
      <c r="D159" s="71" t="s">
        <v>332</v>
      </c>
      <c r="E159" s="71" t="s">
        <v>319</v>
      </c>
      <c r="F159" s="71" t="s">
        <v>312</v>
      </c>
      <c r="G159" s="71" t="s">
        <v>330</v>
      </c>
      <c r="H159" s="71" t="s">
        <v>326</v>
      </c>
      <c r="I159" s="71" t="s">
        <v>307</v>
      </c>
      <c r="J159" s="71" t="s">
        <v>327</v>
      </c>
      <c r="K159" s="71" t="s">
        <v>323</v>
      </c>
      <c r="L159" s="71" t="s">
        <v>318</v>
      </c>
      <c r="M159" s="71" t="s">
        <v>306</v>
      </c>
      <c r="N159" s="71" t="s">
        <v>320</v>
      </c>
      <c r="O159" s="71" t="s">
        <v>317</v>
      </c>
      <c r="P159" s="71" t="s">
        <v>321</v>
      </c>
      <c r="Q159" s="71" t="s">
        <v>311</v>
      </c>
      <c r="R159" s="71" t="s">
        <v>300</v>
      </c>
    </row>
    <row r="160" spans="1:18">
      <c r="A160" s="71" t="str">
        <f>VLOOKUP(C160,classifications!C:F,4,FALSE)</f>
        <v>SC</v>
      </c>
      <c r="B160" s="71" t="s">
        <v>586</v>
      </c>
      <c r="C160" s="71" t="s">
        <v>329</v>
      </c>
      <c r="D160" s="71" t="s">
        <v>302</v>
      </c>
      <c r="E160" s="71" t="s">
        <v>324</v>
      </c>
      <c r="F160" s="71" t="s">
        <v>313</v>
      </c>
      <c r="G160" s="71" t="s">
        <v>314</v>
      </c>
      <c r="H160" s="71" t="s">
        <v>331</v>
      </c>
      <c r="I160" s="71" t="s">
        <v>300</v>
      </c>
      <c r="J160" s="71" t="s">
        <v>312</v>
      </c>
      <c r="K160" s="71" t="s">
        <v>311</v>
      </c>
      <c r="L160" s="71" t="s">
        <v>330</v>
      </c>
      <c r="M160" s="71" t="s">
        <v>320</v>
      </c>
      <c r="N160" s="71" t="s">
        <v>315</v>
      </c>
      <c r="O160" s="71" t="s">
        <v>317</v>
      </c>
      <c r="P160" s="71" t="s">
        <v>332</v>
      </c>
      <c r="Q160" s="71" t="s">
        <v>308</v>
      </c>
      <c r="R160" s="71" t="s">
        <v>310</v>
      </c>
    </row>
    <row r="161" spans="1:18">
      <c r="A161" s="71" t="str">
        <f>VLOOKUP(C161,classifications!C:F,4,FALSE)</f>
        <v>SC</v>
      </c>
      <c r="B161" s="71" t="s">
        <v>587</v>
      </c>
      <c r="C161" s="71" t="s">
        <v>330</v>
      </c>
      <c r="D161" s="71" t="s">
        <v>312</v>
      </c>
      <c r="E161" s="71" t="s">
        <v>332</v>
      </c>
      <c r="F161" s="71" t="s">
        <v>327</v>
      </c>
      <c r="G161" s="71" t="s">
        <v>328</v>
      </c>
      <c r="H161" s="71" t="s">
        <v>317</v>
      </c>
      <c r="I161" s="71" t="s">
        <v>323</v>
      </c>
      <c r="J161" s="71" t="s">
        <v>307</v>
      </c>
      <c r="K161" s="71" t="s">
        <v>321</v>
      </c>
      <c r="L161" s="71" t="s">
        <v>300</v>
      </c>
      <c r="M161" s="71" t="s">
        <v>326</v>
      </c>
      <c r="N161" s="71" t="s">
        <v>320</v>
      </c>
      <c r="O161" s="71" t="s">
        <v>324</v>
      </c>
      <c r="P161" s="71" t="s">
        <v>311</v>
      </c>
      <c r="Q161" s="71" t="s">
        <v>306</v>
      </c>
      <c r="R161" s="71" t="s">
        <v>313</v>
      </c>
    </row>
    <row r="162" spans="1:18">
      <c r="A162" s="71" t="str">
        <f>VLOOKUP(C162,classifications!C:F,4,FALSE)</f>
        <v>SC</v>
      </c>
      <c r="B162" s="71" t="s">
        <v>588</v>
      </c>
      <c r="C162" s="71" t="s">
        <v>331</v>
      </c>
      <c r="D162" s="71" t="s">
        <v>310</v>
      </c>
      <c r="E162" s="71" t="s">
        <v>313</v>
      </c>
      <c r="F162" s="71" t="s">
        <v>311</v>
      </c>
      <c r="G162" s="71" t="s">
        <v>312</v>
      </c>
      <c r="H162" s="71" t="s">
        <v>308</v>
      </c>
      <c r="I162" s="71" t="s">
        <v>315</v>
      </c>
      <c r="J162" s="71" t="s">
        <v>330</v>
      </c>
      <c r="K162" s="71" t="s">
        <v>332</v>
      </c>
      <c r="L162" s="71" t="s">
        <v>328</v>
      </c>
      <c r="M162" s="71" t="s">
        <v>324</v>
      </c>
      <c r="N162" s="71" t="s">
        <v>320</v>
      </c>
      <c r="O162" s="71" t="s">
        <v>326</v>
      </c>
      <c r="P162" s="71" t="s">
        <v>327</v>
      </c>
      <c r="Q162" s="71" t="s">
        <v>314</v>
      </c>
      <c r="R162" s="71" t="s">
        <v>309</v>
      </c>
    </row>
    <row r="164" spans="1:18">
      <c r="B164" s="70" t="s">
        <v>589</v>
      </c>
    </row>
    <row r="165" spans="1:18">
      <c r="A165" s="71" t="e">
        <f>VLOOKUP(C165,classifications!C:F,4,FALSE)</f>
        <v>#N/A</v>
      </c>
      <c r="B165" s="71" t="s">
        <v>590</v>
      </c>
      <c r="C165" s="71" t="s">
        <v>11</v>
      </c>
      <c r="D165" s="71" t="s">
        <v>88</v>
      </c>
      <c r="E165" s="71" t="s">
        <v>193</v>
      </c>
      <c r="F165" s="71" t="s">
        <v>342</v>
      </c>
      <c r="G165" s="71" t="s">
        <v>146</v>
      </c>
      <c r="H165" s="71" t="s">
        <v>35</v>
      </c>
      <c r="I165" s="71" t="s">
        <v>56</v>
      </c>
      <c r="J165" s="71" t="s">
        <v>96</v>
      </c>
      <c r="K165" s="71" t="s">
        <v>166</v>
      </c>
      <c r="L165" s="71" t="s">
        <v>173</v>
      </c>
      <c r="M165" s="71" t="s">
        <v>136</v>
      </c>
      <c r="N165" s="71" t="s">
        <v>185</v>
      </c>
      <c r="O165" s="71" t="s">
        <v>55</v>
      </c>
      <c r="P165" s="71" t="s">
        <v>33</v>
      </c>
      <c r="Q165" s="71" t="s">
        <v>138</v>
      </c>
      <c r="R165" s="71" t="s">
        <v>64</v>
      </c>
    </row>
    <row r="166" spans="1:18">
      <c r="A166" s="71" t="e">
        <f>VLOOKUP(C166,classifications!C:F,4,FALSE)</f>
        <v>#N/A</v>
      </c>
      <c r="B166" s="71" t="s">
        <v>591</v>
      </c>
      <c r="C166" s="71" t="s">
        <v>38</v>
      </c>
      <c r="D166" s="71" t="s">
        <v>137</v>
      </c>
      <c r="E166" s="71" t="s">
        <v>82</v>
      </c>
      <c r="F166" s="71" t="s">
        <v>136</v>
      </c>
      <c r="G166" s="71" t="s">
        <v>87</v>
      </c>
      <c r="H166" s="71" t="s">
        <v>188</v>
      </c>
      <c r="I166" s="71" t="s">
        <v>169</v>
      </c>
      <c r="J166" s="71" t="s">
        <v>151</v>
      </c>
      <c r="K166" s="71" t="s">
        <v>172</v>
      </c>
      <c r="L166" s="71" t="s">
        <v>55</v>
      </c>
      <c r="M166" s="71" t="s">
        <v>177</v>
      </c>
      <c r="N166" s="71" t="s">
        <v>104</v>
      </c>
      <c r="O166" s="71" t="s">
        <v>21</v>
      </c>
      <c r="P166" s="71" t="s">
        <v>146</v>
      </c>
      <c r="Q166" s="71" t="s">
        <v>56</v>
      </c>
      <c r="R166" s="71" t="s">
        <v>105</v>
      </c>
    </row>
    <row r="167" spans="1:18">
      <c r="A167" s="71" t="e">
        <f>VLOOKUP(C167,classifications!C:F,4,FALSE)</f>
        <v>#N/A</v>
      </c>
      <c r="B167" s="71" t="s">
        <v>592</v>
      </c>
      <c r="C167" s="71" t="s">
        <v>137</v>
      </c>
      <c r="D167" s="71" t="s">
        <v>38</v>
      </c>
      <c r="E167" s="71" t="s">
        <v>21</v>
      </c>
      <c r="F167" s="71" t="s">
        <v>136</v>
      </c>
      <c r="G167" s="71" t="s">
        <v>172</v>
      </c>
      <c r="H167" s="71" t="s">
        <v>87</v>
      </c>
      <c r="I167" s="71" t="s">
        <v>169</v>
      </c>
      <c r="J167" s="71" t="s">
        <v>188</v>
      </c>
      <c r="K167" s="71" t="s">
        <v>105</v>
      </c>
      <c r="L167" s="71" t="s">
        <v>55</v>
      </c>
      <c r="M167" s="71" t="s">
        <v>82</v>
      </c>
      <c r="N167" s="71" t="s">
        <v>44</v>
      </c>
      <c r="O167" s="71" t="s">
        <v>162</v>
      </c>
      <c r="P167" s="71" t="s">
        <v>156</v>
      </c>
      <c r="Q167" s="71" t="s">
        <v>146</v>
      </c>
      <c r="R167" s="71" t="s">
        <v>177</v>
      </c>
    </row>
    <row r="168" spans="1:18">
      <c r="A168" s="71" t="e">
        <f>VLOOKUP(C168,classifications!C:F,4,FALSE)</f>
        <v>#N/A</v>
      </c>
      <c r="B168" s="71" t="s">
        <v>593</v>
      </c>
      <c r="C168" s="71" t="s">
        <v>193</v>
      </c>
      <c r="D168" s="71" t="s">
        <v>11</v>
      </c>
      <c r="E168" s="71" t="s">
        <v>342</v>
      </c>
      <c r="F168" s="71" t="s">
        <v>56</v>
      </c>
      <c r="G168" s="71" t="s">
        <v>348</v>
      </c>
      <c r="H168" s="71" t="s">
        <v>96</v>
      </c>
      <c r="I168" s="71" t="s">
        <v>173</v>
      </c>
      <c r="J168" s="71" t="s">
        <v>33</v>
      </c>
      <c r="K168" s="71" t="s">
        <v>64</v>
      </c>
      <c r="L168" s="71" t="s">
        <v>35</v>
      </c>
      <c r="M168" s="71" t="s">
        <v>151</v>
      </c>
      <c r="N168" s="71" t="s">
        <v>88</v>
      </c>
      <c r="O168" s="71" t="s">
        <v>77</v>
      </c>
      <c r="P168" s="71" t="s">
        <v>146</v>
      </c>
      <c r="Q168" s="71" t="s">
        <v>47</v>
      </c>
      <c r="R168" s="71" t="s">
        <v>104</v>
      </c>
    </row>
    <row r="169" spans="1:18">
      <c r="A169" s="71" t="str">
        <f>VLOOKUP(C169,classifications!C:F,4,FALSE)</f>
        <v>SD</v>
      </c>
      <c r="B169" s="71" t="s">
        <v>594</v>
      </c>
      <c r="C169" s="71" t="s">
        <v>27</v>
      </c>
      <c r="D169" s="71" t="s">
        <v>118</v>
      </c>
      <c r="E169" s="71" t="s">
        <v>175</v>
      </c>
      <c r="F169" s="71" t="s">
        <v>66</v>
      </c>
      <c r="G169" s="71" t="s">
        <v>180</v>
      </c>
      <c r="H169" s="71" t="s">
        <v>34</v>
      </c>
      <c r="I169" s="71" t="s">
        <v>131</v>
      </c>
      <c r="J169" s="71" t="s">
        <v>46</v>
      </c>
      <c r="K169" s="71" t="s">
        <v>174</v>
      </c>
      <c r="L169" s="71" t="s">
        <v>48</v>
      </c>
      <c r="M169" s="71" t="s">
        <v>129</v>
      </c>
      <c r="N169" s="71" t="s">
        <v>85</v>
      </c>
      <c r="O169" s="71" t="s">
        <v>189</v>
      </c>
      <c r="P169" s="71" t="s">
        <v>47</v>
      </c>
      <c r="Q169" s="71" t="s">
        <v>120</v>
      </c>
      <c r="R169" s="71" t="s">
        <v>117</v>
      </c>
    </row>
    <row r="170" spans="1:18">
      <c r="A170" s="71" t="str">
        <f>VLOOKUP(C170,classifications!C:F,4,FALSE)</f>
        <v>SD</v>
      </c>
      <c r="B170" s="71" t="s">
        <v>595</v>
      </c>
      <c r="C170" s="71" t="s">
        <v>52</v>
      </c>
      <c r="D170" s="71" t="s">
        <v>103</v>
      </c>
      <c r="E170" s="71" t="s">
        <v>145</v>
      </c>
      <c r="F170" s="71" t="s">
        <v>102</v>
      </c>
      <c r="G170" s="71" t="s">
        <v>12</v>
      </c>
      <c r="H170" s="71" t="s">
        <v>100</v>
      </c>
      <c r="I170" s="71" t="s">
        <v>185</v>
      </c>
      <c r="J170" s="71" t="s">
        <v>144</v>
      </c>
      <c r="K170" s="71" t="s">
        <v>109</v>
      </c>
      <c r="L170" s="71" t="s">
        <v>58</v>
      </c>
      <c r="M170" s="71" t="s">
        <v>166</v>
      </c>
      <c r="N170" s="71" t="s">
        <v>167</v>
      </c>
      <c r="O170" s="71" t="s">
        <v>10</v>
      </c>
      <c r="P170" s="71" t="s">
        <v>70</v>
      </c>
      <c r="Q170" s="71" t="s">
        <v>152</v>
      </c>
      <c r="R170" s="71" t="s">
        <v>130</v>
      </c>
    </row>
    <row r="171" spans="1:18">
      <c r="A171" s="71" t="str">
        <f>VLOOKUP(C171,classifications!C:F,4,FALSE)</f>
        <v>SD</v>
      </c>
      <c r="B171" s="71" t="s">
        <v>596</v>
      </c>
      <c r="C171" s="71" t="s">
        <v>68</v>
      </c>
      <c r="D171" s="71" t="s">
        <v>141</v>
      </c>
      <c r="E171" s="71" t="s">
        <v>20</v>
      </c>
      <c r="F171" s="71" t="s">
        <v>15</v>
      </c>
      <c r="G171" s="71" t="s">
        <v>195</v>
      </c>
      <c r="H171" s="71" t="s">
        <v>7</v>
      </c>
      <c r="I171" s="71" t="s">
        <v>65</v>
      </c>
      <c r="J171" s="71" t="s">
        <v>345</v>
      </c>
      <c r="K171" s="71" t="s">
        <v>30</v>
      </c>
      <c r="L171" s="71" t="s">
        <v>375</v>
      </c>
      <c r="M171" s="71" t="s">
        <v>18</v>
      </c>
      <c r="N171" s="71" t="s">
        <v>91</v>
      </c>
      <c r="O171" s="71" t="s">
        <v>99</v>
      </c>
      <c r="P171" s="71" t="s">
        <v>183</v>
      </c>
      <c r="Q171" s="71" t="s">
        <v>59</v>
      </c>
      <c r="R171" s="71" t="s">
        <v>142</v>
      </c>
    </row>
    <row r="172" spans="1:18">
      <c r="A172" s="71" t="str">
        <f>VLOOKUP(C172,classifications!C:F,4,FALSE)</f>
        <v>SD</v>
      </c>
      <c r="B172" s="71" t="s">
        <v>597</v>
      </c>
      <c r="C172" s="71" t="s">
        <v>88</v>
      </c>
      <c r="D172" s="71" t="s">
        <v>35</v>
      </c>
      <c r="E172" s="71" t="s">
        <v>96</v>
      </c>
      <c r="F172" s="71" t="s">
        <v>342</v>
      </c>
      <c r="G172" s="71" t="s">
        <v>11</v>
      </c>
      <c r="H172" s="71" t="s">
        <v>32</v>
      </c>
      <c r="I172" s="71" t="s">
        <v>41</v>
      </c>
      <c r="J172" s="71" t="s">
        <v>19</v>
      </c>
      <c r="K172" s="71" t="s">
        <v>33</v>
      </c>
      <c r="L172" s="71" t="s">
        <v>166</v>
      </c>
      <c r="M172" s="71" t="s">
        <v>153</v>
      </c>
      <c r="N172" s="71" t="s">
        <v>128</v>
      </c>
      <c r="O172" s="71" t="s">
        <v>10</v>
      </c>
      <c r="P172" s="71" t="s">
        <v>142</v>
      </c>
      <c r="Q172" s="71" t="s">
        <v>344</v>
      </c>
      <c r="R172" s="71" t="s">
        <v>152</v>
      </c>
    </row>
    <row r="173" spans="1:18">
      <c r="A173" s="71" t="str">
        <f>VLOOKUP(C173,classifications!C:F,4,FALSE)</f>
        <v>SD</v>
      </c>
      <c r="B173" s="71" t="s">
        <v>598</v>
      </c>
      <c r="C173" s="71" t="s">
        <v>138</v>
      </c>
      <c r="D173" s="71" t="s">
        <v>173</v>
      </c>
      <c r="E173" s="71" t="s">
        <v>146</v>
      </c>
      <c r="F173" s="71" t="s">
        <v>172</v>
      </c>
      <c r="G173" s="71" t="s">
        <v>166</v>
      </c>
      <c r="H173" s="71" t="s">
        <v>188</v>
      </c>
      <c r="I173" s="71" t="s">
        <v>11</v>
      </c>
      <c r="J173" s="71" t="s">
        <v>136</v>
      </c>
      <c r="K173" s="71" t="s">
        <v>349</v>
      </c>
      <c r="L173" s="71" t="s">
        <v>145</v>
      </c>
      <c r="M173" s="71" t="s">
        <v>185</v>
      </c>
      <c r="N173" s="71" t="s">
        <v>55</v>
      </c>
      <c r="O173" s="71" t="s">
        <v>56</v>
      </c>
      <c r="P173" s="71" t="s">
        <v>79</v>
      </c>
      <c r="Q173" s="71" t="s">
        <v>52</v>
      </c>
      <c r="R173" s="71" t="s">
        <v>88</v>
      </c>
    </row>
    <row r="174" spans="1:18">
      <c r="A174" s="71" t="str">
        <f>VLOOKUP(C174,classifications!C:F,4,FALSE)</f>
        <v>SD</v>
      </c>
      <c r="B174" s="71" t="s">
        <v>599</v>
      </c>
      <c r="C174" s="71" t="s">
        <v>6</v>
      </c>
      <c r="D174" s="71" t="s">
        <v>51</v>
      </c>
      <c r="E174" s="71" t="s">
        <v>30</v>
      </c>
      <c r="F174" s="71" t="s">
        <v>176</v>
      </c>
      <c r="G174" s="71" t="s">
        <v>15</v>
      </c>
      <c r="H174" s="71" t="s">
        <v>108</v>
      </c>
      <c r="I174" s="71" t="s">
        <v>134</v>
      </c>
      <c r="J174" s="71" t="s">
        <v>170</v>
      </c>
      <c r="K174" s="71" t="s">
        <v>345</v>
      </c>
      <c r="L174" s="71" t="s">
        <v>7</v>
      </c>
      <c r="M174" s="71" t="s">
        <v>42</v>
      </c>
      <c r="N174" s="71" t="s">
        <v>107</v>
      </c>
      <c r="O174" s="71" t="s">
        <v>195</v>
      </c>
      <c r="P174" s="71" t="s">
        <v>110</v>
      </c>
      <c r="Q174" s="71" t="s">
        <v>17</v>
      </c>
      <c r="R174" s="71" t="s">
        <v>194</v>
      </c>
    </row>
    <row r="175" spans="1:18">
      <c r="A175" s="71" t="str">
        <f>VLOOKUP(C175,classifications!C:F,4,FALSE)</f>
        <v>SD</v>
      </c>
      <c r="B175" s="71" t="s">
        <v>600</v>
      </c>
      <c r="C175" s="71" t="s">
        <v>13</v>
      </c>
      <c r="D175" s="71" t="s">
        <v>119</v>
      </c>
      <c r="E175" s="71" t="s">
        <v>76</v>
      </c>
      <c r="F175" s="71" t="s">
        <v>28</v>
      </c>
      <c r="G175" s="71" t="s">
        <v>99</v>
      </c>
      <c r="H175" s="71" t="s">
        <v>65</v>
      </c>
      <c r="I175" s="71" t="s">
        <v>30</v>
      </c>
      <c r="J175" s="71" t="s">
        <v>176</v>
      </c>
      <c r="K175" s="71" t="s">
        <v>89</v>
      </c>
      <c r="L175" s="71" t="s">
        <v>51</v>
      </c>
      <c r="M175" s="71" t="s">
        <v>92</v>
      </c>
      <c r="N175" s="71" t="s">
        <v>6</v>
      </c>
      <c r="O175" s="71" t="s">
        <v>74</v>
      </c>
      <c r="P175" s="71" t="s">
        <v>9</v>
      </c>
      <c r="Q175" s="71" t="s">
        <v>195</v>
      </c>
      <c r="R175" s="71" t="s">
        <v>346</v>
      </c>
    </row>
    <row r="176" spans="1:18">
      <c r="A176" s="71" t="str">
        <f>VLOOKUP(C176,classifications!C:F,4,FALSE)</f>
        <v>SD</v>
      </c>
      <c r="B176" s="71" t="s">
        <v>601</v>
      </c>
      <c r="C176" s="71" t="s">
        <v>30</v>
      </c>
      <c r="D176" s="71" t="s">
        <v>15</v>
      </c>
      <c r="E176" s="71" t="s">
        <v>107</v>
      </c>
      <c r="F176" s="71" t="s">
        <v>195</v>
      </c>
      <c r="G176" s="71" t="s">
        <v>7</v>
      </c>
      <c r="H176" s="71" t="s">
        <v>99</v>
      </c>
      <c r="I176" s="71" t="s">
        <v>86</v>
      </c>
      <c r="J176" s="71" t="s">
        <v>65</v>
      </c>
      <c r="K176" s="71" t="s">
        <v>28</v>
      </c>
      <c r="L176" s="71" t="s">
        <v>59</v>
      </c>
      <c r="M176" s="71" t="s">
        <v>345</v>
      </c>
      <c r="N176" s="71" t="s">
        <v>36</v>
      </c>
      <c r="O176" s="71" t="s">
        <v>39</v>
      </c>
      <c r="P176" s="71" t="s">
        <v>142</v>
      </c>
      <c r="Q176" s="71" t="s">
        <v>190</v>
      </c>
      <c r="R176" s="71" t="s">
        <v>42</v>
      </c>
    </row>
    <row r="177" spans="1:18">
      <c r="A177" s="71" t="str">
        <f>VLOOKUP(C177,classifications!C:F,4,FALSE)</f>
        <v>SD</v>
      </c>
      <c r="B177" s="71" t="s">
        <v>602</v>
      </c>
      <c r="C177" s="71" t="s">
        <v>42</v>
      </c>
      <c r="D177" s="71" t="s">
        <v>15</v>
      </c>
      <c r="E177" s="71" t="s">
        <v>114</v>
      </c>
      <c r="F177" s="71" t="s">
        <v>17</v>
      </c>
      <c r="G177" s="71" t="s">
        <v>30</v>
      </c>
      <c r="H177" s="71" t="s">
        <v>115</v>
      </c>
      <c r="I177" s="71" t="s">
        <v>345</v>
      </c>
      <c r="J177" s="71" t="s">
        <v>195</v>
      </c>
      <c r="K177" s="71" t="s">
        <v>183</v>
      </c>
      <c r="L177" s="71" t="s">
        <v>107</v>
      </c>
      <c r="M177" s="71" t="s">
        <v>99</v>
      </c>
      <c r="N177" s="71" t="s">
        <v>7</v>
      </c>
      <c r="O177" s="71" t="s">
        <v>6</v>
      </c>
      <c r="P177" s="71" t="s">
        <v>135</v>
      </c>
      <c r="Q177" s="71" t="s">
        <v>59</v>
      </c>
      <c r="R177" s="71" t="s">
        <v>28</v>
      </c>
    </row>
    <row r="178" spans="1:18">
      <c r="A178" s="71" t="str">
        <f>VLOOKUP(C178,classifications!C:F,4,FALSE)</f>
        <v>SD</v>
      </c>
      <c r="B178" s="71" t="s">
        <v>603</v>
      </c>
      <c r="C178" s="71" t="s">
        <v>62</v>
      </c>
      <c r="D178" s="71" t="s">
        <v>132</v>
      </c>
      <c r="E178" s="71" t="s">
        <v>45</v>
      </c>
      <c r="F178" s="71" t="s">
        <v>50</v>
      </c>
      <c r="G178" s="71" t="s">
        <v>181</v>
      </c>
      <c r="H178" s="71" t="s">
        <v>78</v>
      </c>
      <c r="I178" s="71" t="s">
        <v>123</v>
      </c>
      <c r="J178" s="71" t="s">
        <v>12</v>
      </c>
      <c r="K178" s="71" t="s">
        <v>109</v>
      </c>
      <c r="L178" s="71" t="s">
        <v>100</v>
      </c>
      <c r="M178" s="71" t="s">
        <v>154</v>
      </c>
      <c r="N178" s="71" t="s">
        <v>124</v>
      </c>
      <c r="O178" s="71" t="s">
        <v>97</v>
      </c>
      <c r="P178" s="71" t="s">
        <v>44</v>
      </c>
      <c r="Q178" s="71" t="s">
        <v>102</v>
      </c>
      <c r="R178" s="71" t="s">
        <v>167</v>
      </c>
    </row>
    <row r="179" spans="1:18">
      <c r="A179" s="71" t="str">
        <f>VLOOKUP(C179,classifications!C:F,4,FALSE)</f>
        <v>SD</v>
      </c>
      <c r="B179" s="71" t="s">
        <v>604</v>
      </c>
      <c r="C179" s="71" t="s">
        <v>143</v>
      </c>
      <c r="D179" s="71" t="s">
        <v>140</v>
      </c>
      <c r="E179" s="71" t="s">
        <v>182</v>
      </c>
      <c r="F179" s="71" t="s">
        <v>45</v>
      </c>
      <c r="G179" s="71" t="s">
        <v>71</v>
      </c>
      <c r="H179" s="71" t="s">
        <v>37</v>
      </c>
      <c r="I179" s="71" t="s">
        <v>53</v>
      </c>
      <c r="J179" s="71" t="s">
        <v>108</v>
      </c>
      <c r="K179" s="71" t="s">
        <v>44</v>
      </c>
      <c r="L179" s="71" t="s">
        <v>50</v>
      </c>
      <c r="M179" s="71" t="s">
        <v>158</v>
      </c>
      <c r="N179" s="71" t="s">
        <v>121</v>
      </c>
      <c r="O179" s="71" t="s">
        <v>132</v>
      </c>
      <c r="P179" s="71" t="s">
        <v>164</v>
      </c>
      <c r="Q179" s="71" t="s">
        <v>113</v>
      </c>
      <c r="R179" s="71" t="s">
        <v>62</v>
      </c>
    </row>
    <row r="180" spans="1:18">
      <c r="A180" s="71" t="str">
        <f>VLOOKUP(C180,classifications!C:F,4,FALSE)</f>
        <v>SD</v>
      </c>
      <c r="B180" s="71" t="s">
        <v>605</v>
      </c>
      <c r="C180" s="71" t="s">
        <v>7</v>
      </c>
      <c r="D180" s="71" t="s">
        <v>345</v>
      </c>
      <c r="E180" s="71" t="s">
        <v>65</v>
      </c>
      <c r="F180" s="71" t="s">
        <v>142</v>
      </c>
      <c r="G180" s="71" t="s">
        <v>344</v>
      </c>
      <c r="H180" s="71" t="s">
        <v>183</v>
      </c>
      <c r="I180" s="71" t="s">
        <v>15</v>
      </c>
      <c r="J180" s="71" t="s">
        <v>39</v>
      </c>
      <c r="K180" s="71" t="s">
        <v>86</v>
      </c>
      <c r="L180" s="71" t="s">
        <v>195</v>
      </c>
      <c r="M180" s="71" t="s">
        <v>147</v>
      </c>
      <c r="N180" s="71" t="s">
        <v>107</v>
      </c>
      <c r="O180" s="71" t="s">
        <v>72</v>
      </c>
      <c r="P180" s="71" t="s">
        <v>154</v>
      </c>
      <c r="Q180" s="71" t="s">
        <v>30</v>
      </c>
      <c r="R180" s="71" t="s">
        <v>153</v>
      </c>
    </row>
    <row r="181" spans="1:18">
      <c r="A181" s="71" t="str">
        <f>VLOOKUP(C181,classifications!C:F,4,FALSE)</f>
        <v>SD</v>
      </c>
      <c r="B181" s="71" t="s">
        <v>606</v>
      </c>
      <c r="C181" s="71" t="s">
        <v>17</v>
      </c>
      <c r="D181" s="71" t="s">
        <v>9</v>
      </c>
      <c r="E181" s="71" t="s">
        <v>99</v>
      </c>
      <c r="F181" s="71" t="s">
        <v>42</v>
      </c>
      <c r="G181" s="71" t="s">
        <v>15</v>
      </c>
      <c r="H181" s="71" t="s">
        <v>126</v>
      </c>
      <c r="I181" s="71" t="s">
        <v>30</v>
      </c>
      <c r="J181" s="71" t="s">
        <v>346</v>
      </c>
      <c r="K181" s="71" t="s">
        <v>107</v>
      </c>
      <c r="L181" s="71" t="s">
        <v>28</v>
      </c>
      <c r="M181" s="71" t="s">
        <v>345</v>
      </c>
      <c r="N181" s="71" t="s">
        <v>36</v>
      </c>
      <c r="O181" s="71" t="s">
        <v>110</v>
      </c>
      <c r="P181" s="71" t="s">
        <v>65</v>
      </c>
      <c r="Q181" s="71" t="s">
        <v>7</v>
      </c>
      <c r="R181" s="71" t="s">
        <v>6</v>
      </c>
    </row>
    <row r="182" spans="1:18">
      <c r="A182" s="71" t="str">
        <f>VLOOKUP(C182,classifications!C:F,4,FALSE)</f>
        <v>SD</v>
      </c>
      <c r="B182" s="71" t="s">
        <v>607</v>
      </c>
      <c r="C182" s="71" t="s">
        <v>36</v>
      </c>
      <c r="D182" s="71" t="s">
        <v>99</v>
      </c>
      <c r="E182" s="71" t="s">
        <v>28</v>
      </c>
      <c r="F182" s="71" t="s">
        <v>30</v>
      </c>
      <c r="G182" s="71" t="s">
        <v>107</v>
      </c>
      <c r="H182" s="71" t="s">
        <v>195</v>
      </c>
      <c r="I182" s="71" t="s">
        <v>9</v>
      </c>
      <c r="J182" s="71" t="s">
        <v>190</v>
      </c>
      <c r="K182" s="71" t="s">
        <v>65</v>
      </c>
      <c r="L182" s="71" t="s">
        <v>15</v>
      </c>
      <c r="M182" s="71" t="s">
        <v>346</v>
      </c>
      <c r="N182" s="71" t="s">
        <v>95</v>
      </c>
      <c r="O182" s="71" t="s">
        <v>17</v>
      </c>
      <c r="P182" s="71" t="s">
        <v>90</v>
      </c>
      <c r="Q182" s="71" t="s">
        <v>161</v>
      </c>
      <c r="R182" s="71" t="s">
        <v>42</v>
      </c>
    </row>
    <row r="183" spans="1:18">
      <c r="A183" s="71" t="str">
        <f>VLOOKUP(C183,classifications!C:F,4,FALSE)</f>
        <v>SD</v>
      </c>
      <c r="B183" s="71" t="s">
        <v>608</v>
      </c>
      <c r="C183" s="71" t="s">
        <v>50</v>
      </c>
      <c r="D183" s="71" t="s">
        <v>132</v>
      </c>
      <c r="E183" s="71" t="s">
        <v>78</v>
      </c>
      <c r="F183" s="71" t="s">
        <v>45</v>
      </c>
      <c r="G183" s="71" t="s">
        <v>44</v>
      </c>
      <c r="H183" s="71" t="s">
        <v>62</v>
      </c>
      <c r="I183" s="71" t="s">
        <v>109</v>
      </c>
      <c r="J183" s="71" t="s">
        <v>123</v>
      </c>
      <c r="K183" s="71" t="s">
        <v>181</v>
      </c>
      <c r="L183" s="71" t="s">
        <v>98</v>
      </c>
      <c r="M183" s="71" t="s">
        <v>192</v>
      </c>
      <c r="N183" s="71" t="s">
        <v>97</v>
      </c>
      <c r="O183" s="71" t="s">
        <v>156</v>
      </c>
      <c r="P183" s="71" t="s">
        <v>12</v>
      </c>
      <c r="Q183" s="71" t="s">
        <v>140</v>
      </c>
      <c r="R183" s="71" t="s">
        <v>101</v>
      </c>
    </row>
    <row r="184" spans="1:18">
      <c r="A184" s="71" t="str">
        <f>VLOOKUP(C184,classifications!C:F,4,FALSE)</f>
        <v>SD</v>
      </c>
      <c r="B184" s="71" t="s">
        <v>609</v>
      </c>
      <c r="C184" s="71" t="s">
        <v>65</v>
      </c>
      <c r="D184" s="71" t="s">
        <v>7</v>
      </c>
      <c r="E184" s="71" t="s">
        <v>195</v>
      </c>
      <c r="F184" s="71" t="s">
        <v>72</v>
      </c>
      <c r="G184" s="71" t="s">
        <v>346</v>
      </c>
      <c r="H184" s="71" t="s">
        <v>107</v>
      </c>
      <c r="I184" s="71" t="s">
        <v>28</v>
      </c>
      <c r="J184" s="71" t="s">
        <v>91</v>
      </c>
      <c r="K184" s="71" t="s">
        <v>99</v>
      </c>
      <c r="L184" s="71" t="s">
        <v>86</v>
      </c>
      <c r="M184" s="71" t="s">
        <v>30</v>
      </c>
      <c r="N184" s="71" t="s">
        <v>25</v>
      </c>
      <c r="O184" s="71" t="s">
        <v>39</v>
      </c>
      <c r="P184" s="71" t="s">
        <v>9</v>
      </c>
      <c r="Q184" s="71" t="s">
        <v>142</v>
      </c>
      <c r="R184" s="71" t="s">
        <v>147</v>
      </c>
    </row>
    <row r="185" spans="1:18">
      <c r="A185" s="71" t="str">
        <f>VLOOKUP(C185,classifications!C:F,4,FALSE)</f>
        <v>SD</v>
      </c>
      <c r="B185" s="71" t="s">
        <v>610</v>
      </c>
      <c r="C185" s="71" t="s">
        <v>86</v>
      </c>
      <c r="D185" s="71" t="s">
        <v>39</v>
      </c>
      <c r="E185" s="71" t="s">
        <v>126</v>
      </c>
      <c r="F185" s="71" t="s">
        <v>7</v>
      </c>
      <c r="G185" s="71" t="s">
        <v>345</v>
      </c>
      <c r="H185" s="71" t="s">
        <v>147</v>
      </c>
      <c r="I185" s="71" t="s">
        <v>183</v>
      </c>
      <c r="J185" s="71" t="s">
        <v>195</v>
      </c>
      <c r="K185" s="71" t="s">
        <v>142</v>
      </c>
      <c r="L185" s="71" t="s">
        <v>30</v>
      </c>
      <c r="M185" s="71" t="s">
        <v>65</v>
      </c>
      <c r="N185" s="71" t="s">
        <v>94</v>
      </c>
      <c r="O185" s="71" t="s">
        <v>91</v>
      </c>
      <c r="P185" s="71" t="s">
        <v>344</v>
      </c>
      <c r="Q185" s="71" t="s">
        <v>101</v>
      </c>
      <c r="R185" s="71" t="s">
        <v>58</v>
      </c>
    </row>
    <row r="186" spans="1:18">
      <c r="A186" s="71" t="str">
        <f>VLOOKUP(C186,classifications!C:F,4,FALSE)</f>
        <v>SD</v>
      </c>
      <c r="B186" s="71" t="s">
        <v>611</v>
      </c>
      <c r="C186" s="71" t="s">
        <v>110</v>
      </c>
      <c r="D186" s="71" t="s">
        <v>107</v>
      </c>
      <c r="E186" s="71" t="s">
        <v>149</v>
      </c>
      <c r="F186" s="71" t="s">
        <v>183</v>
      </c>
      <c r="G186" s="71" t="s">
        <v>345</v>
      </c>
      <c r="H186" s="71" t="s">
        <v>184</v>
      </c>
      <c r="I186" s="71" t="s">
        <v>7</v>
      </c>
      <c r="J186" s="71" t="s">
        <v>195</v>
      </c>
      <c r="K186" s="71" t="s">
        <v>20</v>
      </c>
      <c r="L186" s="71" t="s">
        <v>15</v>
      </c>
      <c r="M186" s="71" t="s">
        <v>65</v>
      </c>
      <c r="N186" s="71" t="s">
        <v>70</v>
      </c>
      <c r="O186" s="71" t="s">
        <v>112</v>
      </c>
      <c r="P186" s="71" t="s">
        <v>344</v>
      </c>
      <c r="Q186" s="71" t="s">
        <v>39</v>
      </c>
      <c r="R186" s="71" t="s">
        <v>94</v>
      </c>
    </row>
    <row r="187" spans="1:18">
      <c r="A187" s="71" t="str">
        <f>VLOOKUP(C187,classifications!C:F,4,FALSE)</f>
        <v>SD</v>
      </c>
      <c r="B187" s="71" t="s">
        <v>612</v>
      </c>
      <c r="C187" s="71" t="s">
        <v>139</v>
      </c>
      <c r="D187" s="71" t="s">
        <v>58</v>
      </c>
      <c r="E187" s="71" t="s">
        <v>344</v>
      </c>
      <c r="F187" s="71" t="s">
        <v>39</v>
      </c>
      <c r="G187" s="71" t="s">
        <v>135</v>
      </c>
      <c r="H187" s="71" t="s">
        <v>345</v>
      </c>
      <c r="I187" s="71" t="s">
        <v>112</v>
      </c>
      <c r="J187" s="71" t="s">
        <v>100</v>
      </c>
      <c r="K187" s="71" t="s">
        <v>115</v>
      </c>
      <c r="L187" s="71" t="s">
        <v>147</v>
      </c>
      <c r="M187" s="71" t="s">
        <v>49</v>
      </c>
      <c r="N187" s="71" t="s">
        <v>184</v>
      </c>
      <c r="O187" s="71" t="s">
        <v>183</v>
      </c>
      <c r="P187" s="71" t="s">
        <v>157</v>
      </c>
      <c r="Q187" s="71" t="s">
        <v>154</v>
      </c>
      <c r="R187" s="71" t="s">
        <v>94</v>
      </c>
    </row>
    <row r="188" spans="1:18">
      <c r="A188" s="71" t="str">
        <f>VLOOKUP(C188,classifications!C:F,4,FALSE)</f>
        <v>SD</v>
      </c>
      <c r="B188" s="71" t="s">
        <v>613</v>
      </c>
      <c r="C188" s="71" t="s">
        <v>53</v>
      </c>
      <c r="D188" s="71" t="s">
        <v>182</v>
      </c>
      <c r="E188" s="71" t="s">
        <v>127</v>
      </c>
      <c r="F188" s="71" t="s">
        <v>106</v>
      </c>
      <c r="G188" s="71" t="s">
        <v>164</v>
      </c>
      <c r="H188" s="71" t="s">
        <v>37</v>
      </c>
      <c r="I188" s="71" t="s">
        <v>8</v>
      </c>
      <c r="J188" s="71" t="s">
        <v>113</v>
      </c>
      <c r="K188" s="71" t="s">
        <v>140</v>
      </c>
      <c r="L188" s="71" t="s">
        <v>71</v>
      </c>
      <c r="M188" s="71" t="s">
        <v>178</v>
      </c>
      <c r="N188" s="71" t="s">
        <v>158</v>
      </c>
      <c r="O188" s="71" t="s">
        <v>143</v>
      </c>
      <c r="P188" s="71" t="s">
        <v>93</v>
      </c>
      <c r="Q188" s="71" t="s">
        <v>54</v>
      </c>
      <c r="R188" s="71" t="s">
        <v>194</v>
      </c>
    </row>
    <row r="189" spans="1:18">
      <c r="A189" s="71" t="str">
        <f>VLOOKUP(C189,classifications!C:F,4,FALSE)</f>
        <v>SD</v>
      </c>
      <c r="B189" s="71" t="s">
        <v>614</v>
      </c>
      <c r="C189" s="71" t="s">
        <v>66</v>
      </c>
      <c r="D189" s="71" t="s">
        <v>34</v>
      </c>
      <c r="E189" s="71" t="s">
        <v>190</v>
      </c>
      <c r="F189" s="71" t="s">
        <v>174</v>
      </c>
      <c r="G189" s="71" t="s">
        <v>73</v>
      </c>
      <c r="H189" s="71" t="s">
        <v>92</v>
      </c>
      <c r="I189" s="71" t="s">
        <v>131</v>
      </c>
      <c r="J189" s="71" t="s">
        <v>120</v>
      </c>
      <c r="K189" s="71" t="s">
        <v>95</v>
      </c>
      <c r="L189" s="71" t="s">
        <v>30</v>
      </c>
      <c r="M189" s="71" t="s">
        <v>90</v>
      </c>
      <c r="N189" s="71" t="s">
        <v>41</v>
      </c>
      <c r="O189" s="71" t="s">
        <v>29</v>
      </c>
      <c r="P189" s="71" t="s">
        <v>59</v>
      </c>
      <c r="Q189" s="71" t="s">
        <v>60</v>
      </c>
      <c r="R189" s="71" t="s">
        <v>180</v>
      </c>
    </row>
    <row r="190" spans="1:18">
      <c r="A190" s="71" t="str">
        <f>VLOOKUP(C190,classifications!C:F,4,FALSE)</f>
        <v>SD</v>
      </c>
      <c r="B190" s="71" t="s">
        <v>615</v>
      </c>
      <c r="C190" s="71" t="s">
        <v>102</v>
      </c>
      <c r="D190" s="71" t="s">
        <v>12</v>
      </c>
      <c r="E190" s="71" t="s">
        <v>109</v>
      </c>
      <c r="F190" s="71" t="s">
        <v>101</v>
      </c>
      <c r="G190" s="71" t="s">
        <v>100</v>
      </c>
      <c r="H190" s="71" t="s">
        <v>157</v>
      </c>
      <c r="I190" s="71" t="s">
        <v>78</v>
      </c>
      <c r="J190" s="71" t="s">
        <v>58</v>
      </c>
      <c r="K190" s="71" t="s">
        <v>97</v>
      </c>
      <c r="L190" s="71" t="s">
        <v>344</v>
      </c>
      <c r="M190" s="71" t="s">
        <v>167</v>
      </c>
      <c r="N190" s="71" t="s">
        <v>94</v>
      </c>
      <c r="O190" s="71" t="s">
        <v>103</v>
      </c>
      <c r="P190" s="71" t="s">
        <v>163</v>
      </c>
      <c r="Q190" s="71" t="s">
        <v>152</v>
      </c>
      <c r="R190" s="71" t="s">
        <v>144</v>
      </c>
    </row>
    <row r="191" spans="1:18">
      <c r="A191" s="71" t="str">
        <f>VLOOKUP(C191,classifications!C:F,4,FALSE)</f>
        <v>SD</v>
      </c>
      <c r="B191" s="71" t="s">
        <v>616</v>
      </c>
      <c r="C191" s="71" t="s">
        <v>108</v>
      </c>
      <c r="D191" s="71" t="s">
        <v>194</v>
      </c>
      <c r="E191" s="71" t="s">
        <v>170</v>
      </c>
      <c r="F191" s="71" t="s">
        <v>71</v>
      </c>
      <c r="G191" s="71" t="s">
        <v>164</v>
      </c>
      <c r="H191" s="71" t="s">
        <v>134</v>
      </c>
      <c r="I191" s="71" t="s">
        <v>133</v>
      </c>
      <c r="J191" s="71" t="s">
        <v>893</v>
      </c>
      <c r="K191" s="71" t="s">
        <v>6</v>
      </c>
      <c r="L191" s="71" t="s">
        <v>51</v>
      </c>
      <c r="M191" s="71" t="s">
        <v>93</v>
      </c>
      <c r="N191" s="71" t="s">
        <v>176</v>
      </c>
      <c r="O191" s="71" t="s">
        <v>4</v>
      </c>
      <c r="P191" s="71" t="s">
        <v>140</v>
      </c>
      <c r="Q191" s="71" t="s">
        <v>101</v>
      </c>
      <c r="R191" s="71" t="s">
        <v>92</v>
      </c>
    </row>
    <row r="192" spans="1:18">
      <c r="A192" s="71" t="str">
        <f>VLOOKUP(C192,classifications!C:F,4,FALSE)</f>
        <v>SD</v>
      </c>
      <c r="B192" s="71" t="s">
        <v>617</v>
      </c>
      <c r="C192" s="71" t="s">
        <v>140</v>
      </c>
      <c r="D192" s="71" t="s">
        <v>182</v>
      </c>
      <c r="E192" s="71" t="s">
        <v>37</v>
      </c>
      <c r="F192" s="71" t="s">
        <v>143</v>
      </c>
      <c r="G192" s="71" t="s">
        <v>121</v>
      </c>
      <c r="H192" s="71" t="s">
        <v>158</v>
      </c>
      <c r="I192" s="71" t="s">
        <v>71</v>
      </c>
      <c r="J192" s="71" t="s">
        <v>44</v>
      </c>
      <c r="K192" s="71" t="s">
        <v>164</v>
      </c>
      <c r="L192" s="71" t="s">
        <v>45</v>
      </c>
      <c r="M192" s="71" t="s">
        <v>50</v>
      </c>
      <c r="N192" s="71" t="s">
        <v>156</v>
      </c>
      <c r="O192" s="71" t="s">
        <v>78</v>
      </c>
      <c r="P192" s="71" t="s">
        <v>93</v>
      </c>
      <c r="Q192" s="71" t="s">
        <v>53</v>
      </c>
      <c r="R192" s="71" t="s">
        <v>132</v>
      </c>
    </row>
    <row r="193" spans="1:18">
      <c r="A193" s="71" t="str">
        <f>VLOOKUP(C193,classifications!C:F,4,FALSE)</f>
        <v>SD</v>
      </c>
      <c r="B193" s="71" t="s">
        <v>618</v>
      </c>
      <c r="C193" s="71" t="s">
        <v>164</v>
      </c>
      <c r="D193" s="71" t="s">
        <v>93</v>
      </c>
      <c r="E193" s="71" t="s">
        <v>71</v>
      </c>
      <c r="F193" s="71" t="s">
        <v>158</v>
      </c>
      <c r="G193" s="71" t="s">
        <v>8</v>
      </c>
      <c r="H193" s="71" t="s">
        <v>53</v>
      </c>
      <c r="I193" s="71" t="s">
        <v>134</v>
      </c>
      <c r="J193" s="71" t="s">
        <v>170</v>
      </c>
      <c r="K193" s="71" t="s">
        <v>108</v>
      </c>
      <c r="L193" s="71" t="s">
        <v>182</v>
      </c>
      <c r="M193" s="71" t="s">
        <v>194</v>
      </c>
      <c r="N193" s="71" t="s">
        <v>178</v>
      </c>
      <c r="O193" s="71" t="s">
        <v>106</v>
      </c>
      <c r="P193" s="71" t="s">
        <v>140</v>
      </c>
      <c r="Q193" s="71" t="s">
        <v>37</v>
      </c>
      <c r="R193" s="71" t="s">
        <v>163</v>
      </c>
    </row>
    <row r="194" spans="1:18">
      <c r="A194" s="71" t="str">
        <f>VLOOKUP(C194,classifications!C:F,4,FALSE)</f>
        <v>SD</v>
      </c>
      <c r="B194" s="71" t="s">
        <v>619</v>
      </c>
      <c r="C194" s="71" t="s">
        <v>170</v>
      </c>
      <c r="D194" s="71" t="s">
        <v>108</v>
      </c>
      <c r="E194" s="71" t="s">
        <v>164</v>
      </c>
      <c r="F194" s="71" t="s">
        <v>194</v>
      </c>
      <c r="G194" s="71" t="s">
        <v>134</v>
      </c>
      <c r="H194" s="71" t="s">
        <v>71</v>
      </c>
      <c r="I194" s="71" t="s">
        <v>181</v>
      </c>
      <c r="J194" s="71" t="s">
        <v>4</v>
      </c>
      <c r="K194" s="71" t="s">
        <v>6</v>
      </c>
      <c r="L194" s="71" t="s">
        <v>93</v>
      </c>
      <c r="M194" s="71" t="s">
        <v>154</v>
      </c>
      <c r="N194" s="71" t="s">
        <v>176</v>
      </c>
      <c r="O194" s="71" t="s">
        <v>184</v>
      </c>
      <c r="P194" s="71" t="s">
        <v>51</v>
      </c>
      <c r="Q194" s="71" t="s">
        <v>132</v>
      </c>
      <c r="R194" s="71" t="s">
        <v>113</v>
      </c>
    </row>
    <row r="195" spans="1:18">
      <c r="A195" s="71" t="str">
        <f>VLOOKUP(C195,classifications!C:F,4,FALSE)</f>
        <v>SD</v>
      </c>
      <c r="B195" s="71" t="s">
        <v>620</v>
      </c>
      <c r="C195" s="71" t="s">
        <v>181</v>
      </c>
      <c r="D195" s="71" t="s">
        <v>132</v>
      </c>
      <c r="E195" s="71" t="s">
        <v>45</v>
      </c>
      <c r="F195" s="71" t="s">
        <v>62</v>
      </c>
      <c r="G195" s="71" t="s">
        <v>50</v>
      </c>
      <c r="H195" s="71" t="s">
        <v>97</v>
      </c>
      <c r="I195" s="71" t="s">
        <v>98</v>
      </c>
      <c r="J195" s="71" t="s">
        <v>109</v>
      </c>
      <c r="K195" s="71" t="s">
        <v>78</v>
      </c>
      <c r="L195" s="71" t="s">
        <v>102</v>
      </c>
      <c r="M195" s="71" t="s">
        <v>12</v>
      </c>
      <c r="N195" s="71" t="s">
        <v>154</v>
      </c>
      <c r="O195" s="71" t="s">
        <v>170</v>
      </c>
      <c r="P195" s="71" t="s">
        <v>23</v>
      </c>
      <c r="Q195" s="71" t="s">
        <v>157</v>
      </c>
      <c r="R195" s="71" t="s">
        <v>101</v>
      </c>
    </row>
    <row r="196" spans="1:18">
      <c r="A196" s="71" t="e">
        <f>VLOOKUP(C196,classifications!C:F,4,FALSE)</f>
        <v>#N/A</v>
      </c>
      <c r="B196" s="71" t="s">
        <v>621</v>
      </c>
      <c r="C196" s="71" t="s">
        <v>40</v>
      </c>
      <c r="D196" s="71" t="s">
        <v>182</v>
      </c>
      <c r="E196" s="71" t="s">
        <v>127</v>
      </c>
      <c r="F196" s="71" t="s">
        <v>53</v>
      </c>
      <c r="G196" s="71" t="s">
        <v>93</v>
      </c>
      <c r="H196" s="71" t="s">
        <v>121</v>
      </c>
      <c r="I196" s="71" t="s">
        <v>37</v>
      </c>
      <c r="J196" s="71" t="s">
        <v>186</v>
      </c>
      <c r="K196" s="71" t="s">
        <v>71</v>
      </c>
      <c r="L196" s="71" t="s">
        <v>140</v>
      </c>
      <c r="M196" s="71" t="s">
        <v>8</v>
      </c>
      <c r="N196" s="71" t="s">
        <v>54</v>
      </c>
      <c r="O196" s="71" t="s">
        <v>113</v>
      </c>
      <c r="P196" s="71" t="s">
        <v>164</v>
      </c>
      <c r="Q196" s="71" t="s">
        <v>45</v>
      </c>
      <c r="R196" s="71" t="s">
        <v>158</v>
      </c>
    </row>
    <row r="197" spans="1:18">
      <c r="A197" s="71" t="e">
        <f>VLOOKUP(C197,classifications!C:F,4,FALSE)</f>
        <v>#N/A</v>
      </c>
      <c r="B197" s="71" t="s">
        <v>622</v>
      </c>
      <c r="C197" s="71" t="s">
        <v>54</v>
      </c>
      <c r="D197" s="71" t="s">
        <v>44</v>
      </c>
      <c r="E197" s="71" t="s">
        <v>53</v>
      </c>
      <c r="F197" s="71" t="s">
        <v>98</v>
      </c>
      <c r="G197" s="71" t="s">
        <v>78</v>
      </c>
      <c r="H197" s="71" t="s">
        <v>156</v>
      </c>
      <c r="I197" s="71" t="s">
        <v>37</v>
      </c>
      <c r="J197" s="71" t="s">
        <v>182</v>
      </c>
      <c r="K197" s="71" t="s">
        <v>178</v>
      </c>
      <c r="L197" s="71" t="s">
        <v>109</v>
      </c>
      <c r="M197" s="71" t="s">
        <v>181</v>
      </c>
      <c r="N197" s="71" t="s">
        <v>121</v>
      </c>
      <c r="O197" s="71" t="s">
        <v>45</v>
      </c>
      <c r="P197" s="71" t="s">
        <v>127</v>
      </c>
      <c r="Q197" s="71" t="s">
        <v>50</v>
      </c>
      <c r="R197" s="71" t="s">
        <v>192</v>
      </c>
    </row>
    <row r="198" spans="1:18">
      <c r="A198" s="71" t="e">
        <f>VLOOKUP(C198,classifications!C:F,4,FALSE)</f>
        <v>#N/A</v>
      </c>
      <c r="B198" s="71" t="s">
        <v>623</v>
      </c>
      <c r="C198" s="71" t="s">
        <v>109</v>
      </c>
      <c r="D198" s="71" t="s">
        <v>12</v>
      </c>
      <c r="E198" s="71" t="s">
        <v>78</v>
      </c>
      <c r="F198" s="71" t="s">
        <v>102</v>
      </c>
      <c r="G198" s="71" t="s">
        <v>192</v>
      </c>
      <c r="H198" s="71" t="s">
        <v>100</v>
      </c>
      <c r="I198" s="71" t="s">
        <v>98</v>
      </c>
      <c r="J198" s="71" t="s">
        <v>97</v>
      </c>
      <c r="K198" s="71" t="s">
        <v>167</v>
      </c>
      <c r="L198" s="71" t="s">
        <v>103</v>
      </c>
      <c r="M198" s="71" t="s">
        <v>101</v>
      </c>
      <c r="N198" s="71" t="s">
        <v>50</v>
      </c>
      <c r="O198" s="71" t="s">
        <v>157</v>
      </c>
      <c r="P198" s="71" t="s">
        <v>123</v>
      </c>
      <c r="Q198" s="71" t="s">
        <v>144</v>
      </c>
      <c r="R198" s="71" t="s">
        <v>181</v>
      </c>
    </row>
    <row r="199" spans="1:18">
      <c r="A199" s="71" t="e">
        <f>VLOOKUP(C199,classifications!C:F,4,FALSE)</f>
        <v>#N/A</v>
      </c>
      <c r="B199" s="71" t="s">
        <v>624</v>
      </c>
      <c r="C199" s="71" t="s">
        <v>121</v>
      </c>
      <c r="D199" s="71" t="s">
        <v>140</v>
      </c>
      <c r="E199" s="71" t="s">
        <v>182</v>
      </c>
      <c r="F199" s="71" t="s">
        <v>158</v>
      </c>
      <c r="G199" s="71" t="s">
        <v>37</v>
      </c>
      <c r="H199" s="71" t="s">
        <v>93</v>
      </c>
      <c r="I199" s="71" t="s">
        <v>44</v>
      </c>
      <c r="J199" s="71" t="s">
        <v>78</v>
      </c>
      <c r="K199" s="71" t="s">
        <v>109</v>
      </c>
      <c r="L199" s="71" t="s">
        <v>62</v>
      </c>
      <c r="M199" s="71" t="s">
        <v>12</v>
      </c>
      <c r="N199" s="71" t="s">
        <v>50</v>
      </c>
      <c r="O199" s="71" t="s">
        <v>45</v>
      </c>
      <c r="P199" s="71" t="s">
        <v>170</v>
      </c>
      <c r="Q199" s="71" t="s">
        <v>156</v>
      </c>
      <c r="R199" s="71" t="s">
        <v>71</v>
      </c>
    </row>
    <row r="200" spans="1:18">
      <c r="A200" s="71" t="e">
        <f>VLOOKUP(C200,classifications!C:F,4,FALSE)</f>
        <v>#N/A</v>
      </c>
      <c r="B200" s="71" t="s">
        <v>625</v>
      </c>
      <c r="C200" s="71" t="s">
        <v>182</v>
      </c>
      <c r="D200" s="71" t="s">
        <v>140</v>
      </c>
      <c r="E200" s="71" t="s">
        <v>37</v>
      </c>
      <c r="F200" s="71" t="s">
        <v>53</v>
      </c>
      <c r="G200" s="71" t="s">
        <v>127</v>
      </c>
      <c r="H200" s="71" t="s">
        <v>143</v>
      </c>
      <c r="I200" s="71" t="s">
        <v>164</v>
      </c>
      <c r="J200" s="71" t="s">
        <v>113</v>
      </c>
      <c r="K200" s="71" t="s">
        <v>71</v>
      </c>
      <c r="L200" s="71" t="s">
        <v>121</v>
      </c>
      <c r="M200" s="71" t="s">
        <v>158</v>
      </c>
      <c r="N200" s="71" t="s">
        <v>93</v>
      </c>
      <c r="O200" s="71" t="s">
        <v>106</v>
      </c>
      <c r="P200" s="71" t="s">
        <v>44</v>
      </c>
      <c r="Q200" s="71" t="s">
        <v>108</v>
      </c>
      <c r="R200" s="71" t="s">
        <v>50</v>
      </c>
    </row>
    <row r="201" spans="1:18">
      <c r="A201" s="71" t="e">
        <f>VLOOKUP(C201,classifications!C:F,4,FALSE)</f>
        <v>#N/A</v>
      </c>
      <c r="B201" s="71" t="s">
        <v>626</v>
      </c>
      <c r="C201" s="71" t="s">
        <v>350</v>
      </c>
      <c r="D201" s="71" t="s">
        <v>108</v>
      </c>
      <c r="E201" s="71" t="s">
        <v>4</v>
      </c>
      <c r="F201" s="71" t="s">
        <v>170</v>
      </c>
      <c r="G201" s="71" t="s">
        <v>164</v>
      </c>
      <c r="H201" s="71" t="s">
        <v>71</v>
      </c>
      <c r="I201" s="71" t="s">
        <v>194</v>
      </c>
      <c r="J201" s="71" t="s">
        <v>163</v>
      </c>
      <c r="K201" s="71" t="s">
        <v>191</v>
      </c>
      <c r="L201" s="71" t="s">
        <v>6</v>
      </c>
      <c r="M201" s="71" t="s">
        <v>134</v>
      </c>
      <c r="N201" s="71" t="s">
        <v>93</v>
      </c>
      <c r="O201" s="71" t="s">
        <v>30</v>
      </c>
      <c r="P201" s="71" t="s">
        <v>101</v>
      </c>
      <c r="Q201" s="71" t="s">
        <v>92</v>
      </c>
      <c r="R201" s="71" t="s">
        <v>182</v>
      </c>
    </row>
    <row r="202" spans="1:18">
      <c r="A202" s="71" t="str">
        <f>VLOOKUP(C202,classifications!C:F,4,FALSE)</f>
        <v>SD</v>
      </c>
      <c r="B202" s="71" t="s">
        <v>627</v>
      </c>
      <c r="C202" s="71" t="s">
        <v>60</v>
      </c>
      <c r="D202" s="71" t="s">
        <v>191</v>
      </c>
      <c r="E202" s="71" t="s">
        <v>893</v>
      </c>
      <c r="F202" s="71" t="s">
        <v>34</v>
      </c>
      <c r="G202" s="71" t="s">
        <v>168</v>
      </c>
      <c r="H202" s="71" t="s">
        <v>66</v>
      </c>
      <c r="I202" s="71" t="s">
        <v>8</v>
      </c>
      <c r="J202" s="71" t="s">
        <v>4</v>
      </c>
      <c r="K202" s="71" t="s">
        <v>195</v>
      </c>
      <c r="L202" s="71" t="s">
        <v>83</v>
      </c>
      <c r="M202" s="71" t="s">
        <v>163</v>
      </c>
      <c r="N202" s="71" t="s">
        <v>133</v>
      </c>
      <c r="O202" s="71" t="s">
        <v>190</v>
      </c>
      <c r="P202" s="71" t="s">
        <v>93</v>
      </c>
      <c r="Q202" s="71" t="s">
        <v>29</v>
      </c>
      <c r="R202" s="71" t="s">
        <v>90</v>
      </c>
    </row>
    <row r="203" spans="1:18">
      <c r="A203" s="71" t="str">
        <f>VLOOKUP(C203,classifications!C:F,4,FALSE)</f>
        <v>SD</v>
      </c>
      <c r="B203" s="71" t="s">
        <v>628</v>
      </c>
      <c r="C203" s="71" t="s">
        <v>83</v>
      </c>
      <c r="D203" s="71" t="s">
        <v>168</v>
      </c>
      <c r="E203" s="71" t="s">
        <v>76</v>
      </c>
      <c r="F203" s="71" t="s">
        <v>893</v>
      </c>
      <c r="G203" s="71" t="s">
        <v>74</v>
      </c>
      <c r="H203" s="71" t="s">
        <v>95</v>
      </c>
      <c r="I203" s="71" t="s">
        <v>90</v>
      </c>
      <c r="J203" s="71" t="s">
        <v>190</v>
      </c>
      <c r="K203" s="71" t="s">
        <v>191</v>
      </c>
      <c r="L203" s="71" t="s">
        <v>60</v>
      </c>
      <c r="M203" s="71" t="s">
        <v>13</v>
      </c>
      <c r="N203" s="71" t="s">
        <v>120</v>
      </c>
      <c r="O203" s="71" t="s">
        <v>89</v>
      </c>
      <c r="P203" s="71" t="s">
        <v>51</v>
      </c>
      <c r="Q203" s="71" t="s">
        <v>119</v>
      </c>
      <c r="R203" s="71" t="s">
        <v>36</v>
      </c>
    </row>
    <row r="204" spans="1:18">
      <c r="A204" s="71" t="str">
        <f>VLOOKUP(C204,classifications!C:F,4,FALSE)</f>
        <v>SD</v>
      </c>
      <c r="B204" s="71" t="s">
        <v>629</v>
      </c>
      <c r="C204" s="71" t="s">
        <v>93</v>
      </c>
      <c r="D204" s="71" t="s">
        <v>164</v>
      </c>
      <c r="E204" s="71" t="s">
        <v>134</v>
      </c>
      <c r="F204" s="71" t="s">
        <v>125</v>
      </c>
      <c r="G204" s="71" t="s">
        <v>158</v>
      </c>
      <c r="H204" s="71" t="s">
        <v>4</v>
      </c>
      <c r="I204" s="71" t="s">
        <v>8</v>
      </c>
      <c r="J204" s="71" t="s">
        <v>71</v>
      </c>
      <c r="K204" s="71" t="s">
        <v>37</v>
      </c>
      <c r="L204" s="71" t="s">
        <v>893</v>
      </c>
      <c r="M204" s="71" t="s">
        <v>182</v>
      </c>
      <c r="N204" s="71" t="s">
        <v>170</v>
      </c>
      <c r="O204" s="71" t="s">
        <v>67</v>
      </c>
      <c r="P204" s="71" t="s">
        <v>108</v>
      </c>
      <c r="Q204" s="71" t="s">
        <v>178</v>
      </c>
      <c r="R204" s="71" t="s">
        <v>140</v>
      </c>
    </row>
    <row r="205" spans="1:18">
      <c r="A205" s="71" t="str">
        <f>VLOOKUP(C205,classifications!C:F,4,FALSE)</f>
        <v>SD</v>
      </c>
      <c r="B205" s="71" t="s">
        <v>630</v>
      </c>
      <c r="C205" s="71" t="s">
        <v>127</v>
      </c>
      <c r="D205" s="71" t="s">
        <v>53</v>
      </c>
      <c r="E205" s="71" t="s">
        <v>182</v>
      </c>
      <c r="F205" s="71" t="s">
        <v>113</v>
      </c>
      <c r="G205" s="71" t="s">
        <v>37</v>
      </c>
      <c r="H205" s="71" t="s">
        <v>71</v>
      </c>
      <c r="I205" s="71" t="s">
        <v>164</v>
      </c>
      <c r="J205" s="71" t="s">
        <v>140</v>
      </c>
      <c r="K205" s="71" t="s">
        <v>93</v>
      </c>
      <c r="L205" s="71" t="s">
        <v>8</v>
      </c>
      <c r="M205" s="71" t="s">
        <v>98</v>
      </c>
      <c r="N205" s="71" t="s">
        <v>40</v>
      </c>
      <c r="O205" s="71" t="s">
        <v>106</v>
      </c>
      <c r="P205" s="71" t="s">
        <v>121</v>
      </c>
      <c r="Q205" s="71" t="s">
        <v>186</v>
      </c>
      <c r="R205" s="71" t="s">
        <v>158</v>
      </c>
    </row>
    <row r="206" spans="1:18">
      <c r="A206" s="71" t="str">
        <f>VLOOKUP(C206,classifications!C:F,4,FALSE)</f>
        <v>SD</v>
      </c>
      <c r="B206" s="71" t="s">
        <v>631</v>
      </c>
      <c r="C206" s="71" t="s">
        <v>178</v>
      </c>
      <c r="D206" s="71" t="s">
        <v>106</v>
      </c>
      <c r="E206" s="71" t="s">
        <v>164</v>
      </c>
      <c r="F206" s="71" t="s">
        <v>158</v>
      </c>
      <c r="G206" s="71" t="s">
        <v>37</v>
      </c>
      <c r="H206" s="71" t="s">
        <v>87</v>
      </c>
      <c r="I206" s="71" t="s">
        <v>93</v>
      </c>
      <c r="J206" s="71" t="s">
        <v>53</v>
      </c>
      <c r="K206" s="71" t="s">
        <v>67</v>
      </c>
      <c r="L206" s="71" t="s">
        <v>140</v>
      </c>
      <c r="M206" s="71" t="s">
        <v>156</v>
      </c>
      <c r="N206" s="71" t="s">
        <v>55</v>
      </c>
      <c r="O206" s="71" t="s">
        <v>81</v>
      </c>
      <c r="P206" s="71" t="s">
        <v>182</v>
      </c>
      <c r="Q206" s="71" t="s">
        <v>104</v>
      </c>
      <c r="R206" s="71" t="s">
        <v>78</v>
      </c>
    </row>
    <row r="207" spans="1:18">
      <c r="A207" s="71" t="str">
        <f>VLOOKUP(C207,classifications!C:F,4,FALSE)</f>
        <v>SD</v>
      </c>
      <c r="B207" s="71" t="s">
        <v>632</v>
      </c>
      <c r="C207" s="71" t="s">
        <v>14</v>
      </c>
      <c r="D207" s="71" t="s">
        <v>47</v>
      </c>
      <c r="E207" s="71" t="s">
        <v>41</v>
      </c>
      <c r="F207" s="71" t="s">
        <v>19</v>
      </c>
      <c r="G207" s="71" t="s">
        <v>73</v>
      </c>
      <c r="H207" s="71" t="s">
        <v>111</v>
      </c>
      <c r="I207" s="71" t="s">
        <v>342</v>
      </c>
      <c r="J207" s="71" t="s">
        <v>116</v>
      </c>
      <c r="K207" s="71" t="s">
        <v>155</v>
      </c>
      <c r="L207" s="71" t="s">
        <v>90</v>
      </c>
      <c r="M207" s="71" t="s">
        <v>122</v>
      </c>
      <c r="N207" s="71" t="s">
        <v>346</v>
      </c>
      <c r="O207" s="71" t="s">
        <v>96</v>
      </c>
      <c r="P207" s="71" t="s">
        <v>75</v>
      </c>
      <c r="Q207" s="71" t="s">
        <v>33</v>
      </c>
      <c r="R207" s="71" t="s">
        <v>160</v>
      </c>
    </row>
    <row r="208" spans="1:18">
      <c r="A208" s="71" t="str">
        <f>VLOOKUP(C208,classifications!C:F,4,FALSE)</f>
        <v>SD</v>
      </c>
      <c r="B208" s="71" t="s">
        <v>633</v>
      </c>
      <c r="C208" s="71" t="s">
        <v>19</v>
      </c>
      <c r="D208" s="71" t="s">
        <v>96</v>
      </c>
      <c r="E208" s="71" t="s">
        <v>142</v>
      </c>
      <c r="F208" s="71" t="s">
        <v>111</v>
      </c>
      <c r="G208" s="71" t="s">
        <v>41</v>
      </c>
      <c r="H208" s="71" t="s">
        <v>345</v>
      </c>
      <c r="I208" s="71" t="s">
        <v>39</v>
      </c>
      <c r="J208" s="71" t="s">
        <v>183</v>
      </c>
      <c r="K208" s="71" t="s">
        <v>88</v>
      </c>
      <c r="L208" s="71" t="s">
        <v>157</v>
      </c>
      <c r="M208" s="71" t="s">
        <v>152</v>
      </c>
      <c r="N208" s="71" t="s">
        <v>128</v>
      </c>
      <c r="O208" s="71" t="s">
        <v>58</v>
      </c>
      <c r="P208" s="71" t="s">
        <v>153</v>
      </c>
      <c r="Q208" s="71" t="s">
        <v>10</v>
      </c>
      <c r="R208" s="71" t="s">
        <v>32</v>
      </c>
    </row>
    <row r="209" spans="1:18">
      <c r="A209" s="71" t="str">
        <f>VLOOKUP(C209,classifications!C:F,4,FALSE)</f>
        <v>SD</v>
      </c>
      <c r="B209" s="71" t="s">
        <v>634</v>
      </c>
      <c r="C209" s="71" t="s">
        <v>21</v>
      </c>
      <c r="D209" s="71" t="s">
        <v>64</v>
      </c>
      <c r="E209" s="71" t="s">
        <v>188</v>
      </c>
      <c r="F209" s="71" t="s">
        <v>55</v>
      </c>
      <c r="G209" s="71" t="s">
        <v>136</v>
      </c>
      <c r="H209" s="71" t="s">
        <v>169</v>
      </c>
      <c r="I209" s="71" t="s">
        <v>87</v>
      </c>
      <c r="J209" s="71" t="s">
        <v>159</v>
      </c>
      <c r="K209" s="71" t="s">
        <v>173</v>
      </c>
      <c r="L209" s="71" t="s">
        <v>150</v>
      </c>
      <c r="M209" s="71" t="s">
        <v>105</v>
      </c>
      <c r="N209" s="71" t="s">
        <v>166</v>
      </c>
      <c r="O209" s="71" t="s">
        <v>162</v>
      </c>
      <c r="P209" s="71" t="s">
        <v>348</v>
      </c>
      <c r="Q209" s="71" t="s">
        <v>104</v>
      </c>
      <c r="R209" s="71" t="s">
        <v>185</v>
      </c>
    </row>
    <row r="210" spans="1:18">
      <c r="A210" s="71" t="str">
        <f>VLOOKUP(C210,classifications!C:F,4,FALSE)</f>
        <v>SD</v>
      </c>
      <c r="B210" s="71" t="s">
        <v>635</v>
      </c>
      <c r="C210" s="71" t="s">
        <v>31</v>
      </c>
      <c r="D210" s="71" t="s">
        <v>72</v>
      </c>
      <c r="E210" s="71" t="s">
        <v>154</v>
      </c>
      <c r="F210" s="71" t="s">
        <v>147</v>
      </c>
      <c r="G210" s="71" t="s">
        <v>25</v>
      </c>
      <c r="H210" s="71" t="s">
        <v>344</v>
      </c>
      <c r="I210" s="71" t="s">
        <v>94</v>
      </c>
      <c r="J210" s="71" t="s">
        <v>149</v>
      </c>
      <c r="K210" s="71" t="s">
        <v>347</v>
      </c>
      <c r="L210" s="71" t="s">
        <v>195</v>
      </c>
      <c r="M210" s="71" t="s">
        <v>86</v>
      </c>
      <c r="N210" s="71" t="s">
        <v>65</v>
      </c>
      <c r="O210" s="71" t="s">
        <v>39</v>
      </c>
      <c r="P210" s="71" t="s">
        <v>7</v>
      </c>
      <c r="Q210" s="71" t="s">
        <v>23</v>
      </c>
      <c r="R210" s="71" t="s">
        <v>157</v>
      </c>
    </row>
    <row r="211" spans="1:18">
      <c r="A211" s="71" t="str">
        <f>VLOOKUP(C211,classifications!C:F,4,FALSE)</f>
        <v>SD</v>
      </c>
      <c r="B211" s="71" t="s">
        <v>636</v>
      </c>
      <c r="C211" s="71" t="s">
        <v>33</v>
      </c>
      <c r="D211" s="71" t="s">
        <v>96</v>
      </c>
      <c r="E211" s="71" t="s">
        <v>41</v>
      </c>
      <c r="F211" s="71" t="s">
        <v>174</v>
      </c>
      <c r="G211" s="71" t="s">
        <v>342</v>
      </c>
      <c r="H211" s="71" t="s">
        <v>88</v>
      </c>
      <c r="I211" s="71" t="s">
        <v>47</v>
      </c>
      <c r="J211" s="71" t="s">
        <v>32</v>
      </c>
      <c r="K211" s="71" t="s">
        <v>56</v>
      </c>
      <c r="L211" s="71" t="s">
        <v>153</v>
      </c>
      <c r="M211" s="71" t="s">
        <v>81</v>
      </c>
      <c r="N211" s="71" t="s">
        <v>19</v>
      </c>
      <c r="O211" s="71" t="s">
        <v>111</v>
      </c>
      <c r="P211" s="71" t="s">
        <v>104</v>
      </c>
      <c r="Q211" s="71" t="s">
        <v>166</v>
      </c>
      <c r="R211" s="71" t="s">
        <v>193</v>
      </c>
    </row>
    <row r="212" spans="1:18">
      <c r="A212" s="71" t="str">
        <f>VLOOKUP(C212,classifications!C:F,4,FALSE)</f>
        <v>SD</v>
      </c>
      <c r="B212" s="71" t="s">
        <v>637</v>
      </c>
      <c r="C212" s="71" t="s">
        <v>41</v>
      </c>
      <c r="D212" s="71" t="s">
        <v>96</v>
      </c>
      <c r="E212" s="71" t="s">
        <v>32</v>
      </c>
      <c r="F212" s="71" t="s">
        <v>33</v>
      </c>
      <c r="G212" s="71" t="s">
        <v>19</v>
      </c>
      <c r="H212" s="71" t="s">
        <v>88</v>
      </c>
      <c r="I212" s="71" t="s">
        <v>111</v>
      </c>
      <c r="J212" s="71" t="s">
        <v>342</v>
      </c>
      <c r="K212" s="71" t="s">
        <v>153</v>
      </c>
      <c r="L212" s="71" t="s">
        <v>174</v>
      </c>
      <c r="M212" s="71" t="s">
        <v>128</v>
      </c>
      <c r="N212" s="71" t="s">
        <v>142</v>
      </c>
      <c r="O212" s="71" t="s">
        <v>47</v>
      </c>
      <c r="P212" s="71" t="s">
        <v>35</v>
      </c>
      <c r="Q212" s="71" t="s">
        <v>152</v>
      </c>
      <c r="R212" s="71" t="s">
        <v>59</v>
      </c>
    </row>
    <row r="213" spans="1:18">
      <c r="A213" s="71" t="str">
        <f>VLOOKUP(C213,classifications!C:F,4,FALSE)</f>
        <v>SD</v>
      </c>
      <c r="B213" s="71" t="s">
        <v>638</v>
      </c>
      <c r="C213" s="71" t="s">
        <v>64</v>
      </c>
      <c r="D213" s="71" t="s">
        <v>136</v>
      </c>
      <c r="E213" s="71" t="s">
        <v>55</v>
      </c>
      <c r="F213" s="71" t="s">
        <v>111</v>
      </c>
      <c r="G213" s="71" t="s">
        <v>87</v>
      </c>
      <c r="H213" s="71" t="s">
        <v>56</v>
      </c>
      <c r="I213" s="71" t="s">
        <v>21</v>
      </c>
      <c r="J213" s="71" t="s">
        <v>166</v>
      </c>
      <c r="K213" s="71" t="s">
        <v>188</v>
      </c>
      <c r="L213" s="71" t="s">
        <v>146</v>
      </c>
      <c r="M213" s="71" t="s">
        <v>169</v>
      </c>
      <c r="N213" s="71" t="s">
        <v>104</v>
      </c>
      <c r="O213" s="71" t="s">
        <v>348</v>
      </c>
      <c r="P213" s="71" t="s">
        <v>173</v>
      </c>
      <c r="Q213" s="71" t="s">
        <v>185</v>
      </c>
      <c r="R213" s="71" t="s">
        <v>96</v>
      </c>
    </row>
    <row r="214" spans="1:18">
      <c r="A214" s="71" t="str">
        <f>VLOOKUP(C214,classifications!C:F,4,FALSE)</f>
        <v>SD</v>
      </c>
      <c r="B214" s="71" t="s">
        <v>639</v>
      </c>
      <c r="C214" s="71" t="s">
        <v>80</v>
      </c>
      <c r="D214" s="71" t="s">
        <v>155</v>
      </c>
      <c r="E214" s="71" t="s">
        <v>90</v>
      </c>
      <c r="F214" s="71" t="s">
        <v>122</v>
      </c>
      <c r="G214" s="71" t="s">
        <v>14</v>
      </c>
      <c r="H214" s="71" t="s">
        <v>43</v>
      </c>
      <c r="I214" s="71" t="s">
        <v>161</v>
      </c>
      <c r="J214" s="71" t="s">
        <v>131</v>
      </c>
      <c r="K214" s="71" t="s">
        <v>75</v>
      </c>
      <c r="L214" s="71" t="s">
        <v>180</v>
      </c>
      <c r="M214" s="71" t="s">
        <v>46</v>
      </c>
      <c r="N214" s="71" t="s">
        <v>36</v>
      </c>
      <c r="O214" s="71" t="s">
        <v>120</v>
      </c>
      <c r="P214" s="71" t="s">
        <v>95</v>
      </c>
      <c r="Q214" s="71" t="s">
        <v>179</v>
      </c>
      <c r="R214" s="71" t="s">
        <v>73</v>
      </c>
    </row>
    <row r="215" spans="1:18">
      <c r="A215" s="71" t="str">
        <f>VLOOKUP(C215,classifications!C:F,4,FALSE)</f>
        <v>SD</v>
      </c>
      <c r="B215" s="71" t="s">
        <v>640</v>
      </c>
      <c r="C215" s="71" t="s">
        <v>97</v>
      </c>
      <c r="D215" s="71" t="s">
        <v>100</v>
      </c>
      <c r="E215" s="71" t="s">
        <v>124</v>
      </c>
      <c r="F215" s="71" t="s">
        <v>167</v>
      </c>
      <c r="G215" s="71" t="s">
        <v>157</v>
      </c>
      <c r="H215" s="71" t="s">
        <v>23</v>
      </c>
      <c r="I215" s="71" t="s">
        <v>109</v>
      </c>
      <c r="J215" s="71" t="s">
        <v>94</v>
      </c>
      <c r="K215" s="71" t="s">
        <v>123</v>
      </c>
      <c r="L215" s="71" t="s">
        <v>78</v>
      </c>
      <c r="M215" s="71" t="s">
        <v>12</v>
      </c>
      <c r="N215" s="71" t="s">
        <v>102</v>
      </c>
      <c r="O215" s="71" t="s">
        <v>79</v>
      </c>
      <c r="P215" s="71" t="s">
        <v>181</v>
      </c>
      <c r="Q215" s="71" t="s">
        <v>70</v>
      </c>
      <c r="R215" s="71" t="s">
        <v>149</v>
      </c>
    </row>
    <row r="216" spans="1:18">
      <c r="A216" s="71" t="str">
        <f>VLOOKUP(C216,classifications!C:F,4,FALSE)</f>
        <v>SD</v>
      </c>
      <c r="B216" s="71" t="s">
        <v>641</v>
      </c>
      <c r="C216" s="71" t="s">
        <v>125</v>
      </c>
      <c r="D216" s="71" t="s">
        <v>67</v>
      </c>
      <c r="E216" s="71" t="s">
        <v>93</v>
      </c>
      <c r="F216" s="71" t="s">
        <v>61</v>
      </c>
      <c r="G216" s="71" t="s">
        <v>130</v>
      </c>
      <c r="H216" s="71" t="s">
        <v>94</v>
      </c>
      <c r="I216" s="71" t="s">
        <v>16</v>
      </c>
      <c r="J216" s="71" t="s">
        <v>102</v>
      </c>
      <c r="K216" s="71" t="s">
        <v>164</v>
      </c>
      <c r="L216" s="71" t="s">
        <v>344</v>
      </c>
      <c r="M216" s="71" t="s">
        <v>31</v>
      </c>
      <c r="N216" s="71" t="s">
        <v>4</v>
      </c>
      <c r="O216" s="71" t="s">
        <v>134</v>
      </c>
      <c r="P216" s="71" t="s">
        <v>147</v>
      </c>
      <c r="Q216" s="71" t="s">
        <v>170</v>
      </c>
      <c r="R216" s="71" t="s">
        <v>178</v>
      </c>
    </row>
    <row r="217" spans="1:18">
      <c r="A217" s="71" t="str">
        <f>VLOOKUP(C217,classifications!C:F,4,FALSE)</f>
        <v>SD</v>
      </c>
      <c r="B217" s="71" t="s">
        <v>642</v>
      </c>
      <c r="C217" s="71" t="s">
        <v>165</v>
      </c>
      <c r="D217" s="71" t="s">
        <v>176</v>
      </c>
      <c r="E217" s="71" t="s">
        <v>194</v>
      </c>
      <c r="F217" s="71" t="s">
        <v>893</v>
      </c>
      <c r="G217" s="71" t="s">
        <v>8</v>
      </c>
      <c r="H217" s="71" t="s">
        <v>57</v>
      </c>
      <c r="I217" s="71" t="s">
        <v>51</v>
      </c>
      <c r="J217" s="71" t="s">
        <v>133</v>
      </c>
      <c r="K217" s="71" t="s">
        <v>164</v>
      </c>
      <c r="L217" s="71" t="s">
        <v>170</v>
      </c>
      <c r="M217" s="71" t="s">
        <v>113</v>
      </c>
      <c r="N217" s="71" t="s">
        <v>108</v>
      </c>
      <c r="O217" s="71" t="s">
        <v>134</v>
      </c>
      <c r="P217" s="71" t="s">
        <v>168</v>
      </c>
      <c r="Q217" s="71" t="s">
        <v>71</v>
      </c>
      <c r="R217" s="71" t="s">
        <v>76</v>
      </c>
    </row>
    <row r="218" spans="1:18">
      <c r="A218" s="71" t="str">
        <f>VLOOKUP(C218,classifications!C:F,4,FALSE)</f>
        <v>SD</v>
      </c>
      <c r="B218" s="71" t="s">
        <v>643</v>
      </c>
      <c r="C218" s="71" t="s">
        <v>172</v>
      </c>
      <c r="D218" s="71" t="s">
        <v>79</v>
      </c>
      <c r="E218" s="71" t="s">
        <v>145</v>
      </c>
      <c r="F218" s="71" t="s">
        <v>188</v>
      </c>
      <c r="G218" s="71" t="s">
        <v>136</v>
      </c>
      <c r="H218" s="71" t="s">
        <v>138</v>
      </c>
      <c r="I218" s="71" t="s">
        <v>349</v>
      </c>
      <c r="J218" s="71" t="s">
        <v>166</v>
      </c>
      <c r="K218" s="71" t="s">
        <v>173</v>
      </c>
      <c r="L218" s="71" t="s">
        <v>146</v>
      </c>
      <c r="M218" s="71" t="s">
        <v>82</v>
      </c>
      <c r="N218" s="71" t="s">
        <v>167</v>
      </c>
      <c r="O218" s="71" t="s">
        <v>55</v>
      </c>
      <c r="P218" s="71" t="s">
        <v>156</v>
      </c>
      <c r="Q218" s="71" t="s">
        <v>87</v>
      </c>
      <c r="R218" s="71" t="s">
        <v>185</v>
      </c>
    </row>
    <row r="219" spans="1:18">
      <c r="A219" s="71" t="str">
        <f>VLOOKUP(C219,classifications!C:F,4,FALSE)</f>
        <v>SD</v>
      </c>
      <c r="B219" s="71" t="s">
        <v>644</v>
      </c>
      <c r="C219" s="71" t="s">
        <v>34</v>
      </c>
      <c r="D219" s="71" t="s">
        <v>174</v>
      </c>
      <c r="E219" s="71" t="s">
        <v>66</v>
      </c>
      <c r="F219" s="71" t="s">
        <v>190</v>
      </c>
      <c r="G219" s="71" t="s">
        <v>24</v>
      </c>
      <c r="H219" s="71" t="s">
        <v>73</v>
      </c>
      <c r="I219" s="71" t="s">
        <v>33</v>
      </c>
      <c r="J219" s="71" t="s">
        <v>41</v>
      </c>
      <c r="K219" s="71" t="s">
        <v>128</v>
      </c>
      <c r="L219" s="71" t="s">
        <v>29</v>
      </c>
      <c r="M219" s="71" t="s">
        <v>163</v>
      </c>
      <c r="N219" s="71" t="s">
        <v>171</v>
      </c>
      <c r="O219" s="71" t="s">
        <v>131</v>
      </c>
      <c r="P219" s="71" t="s">
        <v>96</v>
      </c>
      <c r="Q219" s="71" t="s">
        <v>191</v>
      </c>
      <c r="R219" s="71" t="s">
        <v>111</v>
      </c>
    </row>
    <row r="220" spans="1:18">
      <c r="A220" s="71" t="str">
        <f>VLOOKUP(C220,classifications!C:F,4,FALSE)</f>
        <v>SD</v>
      </c>
      <c r="B220" s="71" t="s">
        <v>645</v>
      </c>
      <c r="C220" s="71" t="s">
        <v>44</v>
      </c>
      <c r="D220" s="71" t="s">
        <v>156</v>
      </c>
      <c r="E220" s="71" t="s">
        <v>78</v>
      </c>
      <c r="F220" s="71" t="s">
        <v>50</v>
      </c>
      <c r="G220" s="71" t="s">
        <v>45</v>
      </c>
      <c r="H220" s="71" t="s">
        <v>192</v>
      </c>
      <c r="I220" s="71" t="s">
        <v>140</v>
      </c>
      <c r="J220" s="71" t="s">
        <v>109</v>
      </c>
      <c r="K220" s="71" t="s">
        <v>132</v>
      </c>
      <c r="L220" s="71" t="s">
        <v>37</v>
      </c>
      <c r="M220" s="71" t="s">
        <v>98</v>
      </c>
      <c r="N220" s="71" t="s">
        <v>62</v>
      </c>
      <c r="O220" s="71" t="s">
        <v>182</v>
      </c>
      <c r="P220" s="71" t="s">
        <v>181</v>
      </c>
      <c r="Q220" s="71" t="s">
        <v>121</v>
      </c>
      <c r="R220" s="71" t="s">
        <v>12</v>
      </c>
    </row>
    <row r="221" spans="1:18">
      <c r="A221" s="71" t="str">
        <f>VLOOKUP(C221,classifications!C:F,4,FALSE)</f>
        <v>SD</v>
      </c>
      <c r="B221" s="71" t="s">
        <v>646</v>
      </c>
      <c r="C221" s="71" t="s">
        <v>70</v>
      </c>
      <c r="D221" s="71" t="s">
        <v>184</v>
      </c>
      <c r="E221" s="71" t="s">
        <v>100</v>
      </c>
      <c r="F221" s="71" t="s">
        <v>12</v>
      </c>
      <c r="G221" s="71" t="s">
        <v>345</v>
      </c>
      <c r="H221" s="71" t="s">
        <v>97</v>
      </c>
      <c r="I221" s="71" t="s">
        <v>112</v>
      </c>
      <c r="J221" s="71" t="s">
        <v>183</v>
      </c>
      <c r="K221" s="71" t="s">
        <v>144</v>
      </c>
      <c r="L221" s="71" t="s">
        <v>103</v>
      </c>
      <c r="M221" s="71" t="s">
        <v>109</v>
      </c>
      <c r="N221" s="71" t="s">
        <v>157</v>
      </c>
      <c r="O221" s="71" t="s">
        <v>154</v>
      </c>
      <c r="P221" s="71" t="s">
        <v>344</v>
      </c>
      <c r="Q221" s="71" t="s">
        <v>20</v>
      </c>
      <c r="R221" s="71" t="s">
        <v>102</v>
      </c>
    </row>
    <row r="222" spans="1:18">
      <c r="A222" s="71" t="str">
        <f>VLOOKUP(C222,classifications!C:F,4,FALSE)</f>
        <v>SD</v>
      </c>
      <c r="B222" s="71" t="s">
        <v>647</v>
      </c>
      <c r="C222" s="71" t="s">
        <v>73</v>
      </c>
      <c r="D222" s="71" t="s">
        <v>190</v>
      </c>
      <c r="E222" s="71" t="s">
        <v>91</v>
      </c>
      <c r="F222" s="71" t="s">
        <v>346</v>
      </c>
      <c r="G222" s="71" t="s">
        <v>131</v>
      </c>
      <c r="H222" s="71" t="s">
        <v>59</v>
      </c>
      <c r="I222" s="71" t="s">
        <v>75</v>
      </c>
      <c r="J222" s="71" t="s">
        <v>28</v>
      </c>
      <c r="K222" s="71" t="s">
        <v>90</v>
      </c>
      <c r="L222" s="71" t="s">
        <v>128</v>
      </c>
      <c r="M222" s="71" t="s">
        <v>122</v>
      </c>
      <c r="N222" s="71" t="s">
        <v>119</v>
      </c>
      <c r="O222" s="71" t="s">
        <v>161</v>
      </c>
      <c r="P222" s="71" t="s">
        <v>65</v>
      </c>
      <c r="Q222" s="71" t="s">
        <v>99</v>
      </c>
      <c r="R222" s="71" t="s">
        <v>41</v>
      </c>
    </row>
    <row r="223" spans="1:18">
      <c r="A223" s="71" t="str">
        <f>VLOOKUP(C223,classifications!C:F,4,FALSE)</f>
        <v>SD</v>
      </c>
      <c r="B223" s="71" t="s">
        <v>648</v>
      </c>
      <c r="C223" s="71" t="s">
        <v>157</v>
      </c>
      <c r="D223" s="71" t="s">
        <v>94</v>
      </c>
      <c r="E223" s="71" t="s">
        <v>101</v>
      </c>
      <c r="F223" s="71" t="s">
        <v>23</v>
      </c>
      <c r="G223" s="71" t="s">
        <v>344</v>
      </c>
      <c r="H223" s="71" t="s">
        <v>149</v>
      </c>
      <c r="I223" s="71" t="s">
        <v>167</v>
      </c>
      <c r="J223" s="71" t="s">
        <v>97</v>
      </c>
      <c r="K223" s="71" t="s">
        <v>153</v>
      </c>
      <c r="L223" s="71" t="s">
        <v>163</v>
      </c>
      <c r="M223" s="71" t="s">
        <v>185</v>
      </c>
      <c r="N223" s="71" t="s">
        <v>55</v>
      </c>
      <c r="O223" s="71" t="s">
        <v>102</v>
      </c>
      <c r="P223" s="71" t="s">
        <v>12</v>
      </c>
      <c r="Q223" s="71" t="s">
        <v>166</v>
      </c>
      <c r="R223" s="71" t="s">
        <v>345</v>
      </c>
    </row>
    <row r="224" spans="1:18">
      <c r="A224" s="71" t="str">
        <f>VLOOKUP(C224,classifications!C:F,4,FALSE)</f>
        <v>SD</v>
      </c>
      <c r="B224" s="71" t="s">
        <v>649</v>
      </c>
      <c r="C224" s="71" t="s">
        <v>167</v>
      </c>
      <c r="D224" s="71" t="s">
        <v>166</v>
      </c>
      <c r="E224" s="71" t="s">
        <v>12</v>
      </c>
      <c r="F224" s="71" t="s">
        <v>97</v>
      </c>
      <c r="G224" s="71" t="s">
        <v>157</v>
      </c>
      <c r="H224" s="71" t="s">
        <v>79</v>
      </c>
      <c r="I224" s="71" t="s">
        <v>100</v>
      </c>
      <c r="J224" s="71" t="s">
        <v>94</v>
      </c>
      <c r="K224" s="71" t="s">
        <v>185</v>
      </c>
      <c r="L224" s="71" t="s">
        <v>109</v>
      </c>
      <c r="M224" s="71" t="s">
        <v>192</v>
      </c>
      <c r="N224" s="71" t="s">
        <v>78</v>
      </c>
      <c r="O224" s="71" t="s">
        <v>23</v>
      </c>
      <c r="P224" s="71" t="s">
        <v>130</v>
      </c>
      <c r="Q224" s="71" t="s">
        <v>49</v>
      </c>
      <c r="R224" s="71" t="s">
        <v>344</v>
      </c>
    </row>
    <row r="225" spans="1:18">
      <c r="A225" s="71" t="str">
        <f>VLOOKUP(C225,classifications!C:F,4,FALSE)</f>
        <v>SD</v>
      </c>
      <c r="B225" s="71" t="s">
        <v>650</v>
      </c>
      <c r="C225" s="71" t="s">
        <v>342</v>
      </c>
      <c r="D225" s="71" t="s">
        <v>88</v>
      </c>
      <c r="E225" s="71" t="s">
        <v>47</v>
      </c>
      <c r="F225" s="71" t="s">
        <v>33</v>
      </c>
      <c r="G225" s="71" t="s">
        <v>96</v>
      </c>
      <c r="H225" s="71" t="s">
        <v>193</v>
      </c>
      <c r="I225" s="71" t="s">
        <v>11</v>
      </c>
      <c r="J225" s="71" t="s">
        <v>35</v>
      </c>
      <c r="K225" s="71" t="s">
        <v>41</v>
      </c>
      <c r="L225" s="71" t="s">
        <v>349</v>
      </c>
      <c r="M225" s="71" t="s">
        <v>56</v>
      </c>
      <c r="N225" s="71" t="s">
        <v>19</v>
      </c>
      <c r="O225" s="71" t="s">
        <v>111</v>
      </c>
      <c r="P225" s="71" t="s">
        <v>166</v>
      </c>
      <c r="Q225" s="71" t="s">
        <v>173</v>
      </c>
      <c r="R225" s="71" t="s">
        <v>10</v>
      </c>
    </row>
    <row r="226" spans="1:18">
      <c r="A226" s="71" t="str">
        <f>VLOOKUP(C226,classifications!C:F,4,FALSE)</f>
        <v>SD</v>
      </c>
      <c r="B226" s="71" t="s">
        <v>651</v>
      </c>
      <c r="C226" s="71" t="s">
        <v>55</v>
      </c>
      <c r="D226" s="71" t="s">
        <v>146</v>
      </c>
      <c r="E226" s="71" t="s">
        <v>136</v>
      </c>
      <c r="F226" s="71" t="s">
        <v>185</v>
      </c>
      <c r="G226" s="71" t="s">
        <v>87</v>
      </c>
      <c r="H226" s="71" t="s">
        <v>166</v>
      </c>
      <c r="I226" s="71" t="s">
        <v>64</v>
      </c>
      <c r="J226" s="71" t="s">
        <v>104</v>
      </c>
      <c r="K226" s="71" t="s">
        <v>157</v>
      </c>
      <c r="L226" s="71" t="s">
        <v>56</v>
      </c>
      <c r="M226" s="71" t="s">
        <v>173</v>
      </c>
      <c r="N226" s="71" t="s">
        <v>188</v>
      </c>
      <c r="O226" s="71" t="s">
        <v>130</v>
      </c>
      <c r="P226" s="71" t="s">
        <v>79</v>
      </c>
      <c r="Q226" s="71" t="s">
        <v>23</v>
      </c>
      <c r="R226" s="71" t="s">
        <v>167</v>
      </c>
    </row>
    <row r="227" spans="1:18">
      <c r="A227" s="71" t="str">
        <f>VLOOKUP(C227,classifications!C:F,4,FALSE)</f>
        <v>SD</v>
      </c>
      <c r="B227" s="71" t="s">
        <v>652</v>
      </c>
      <c r="C227" s="71" t="s">
        <v>61</v>
      </c>
      <c r="D227" s="71" t="s">
        <v>67</v>
      </c>
      <c r="E227" s="71" t="s">
        <v>125</v>
      </c>
      <c r="F227" s="71" t="s">
        <v>33</v>
      </c>
      <c r="G227" s="71" t="s">
        <v>128</v>
      </c>
      <c r="H227" s="71" t="s">
        <v>88</v>
      </c>
      <c r="I227" s="71" t="s">
        <v>96</v>
      </c>
      <c r="J227" s="71" t="s">
        <v>84</v>
      </c>
      <c r="K227" s="71" t="s">
        <v>16</v>
      </c>
      <c r="L227" s="71" t="s">
        <v>35</v>
      </c>
      <c r="M227" s="71" t="s">
        <v>166</v>
      </c>
      <c r="N227" s="71" t="s">
        <v>342</v>
      </c>
      <c r="O227" s="71" t="s">
        <v>147</v>
      </c>
      <c r="P227" s="71" t="s">
        <v>29</v>
      </c>
      <c r="Q227" s="71" t="s">
        <v>153</v>
      </c>
      <c r="R227" s="71" t="s">
        <v>160</v>
      </c>
    </row>
    <row r="228" spans="1:18">
      <c r="A228" s="71" t="str">
        <f>VLOOKUP(C228,classifications!C:F,4,FALSE)</f>
        <v>SD</v>
      </c>
      <c r="B228" s="71" t="s">
        <v>653</v>
      </c>
      <c r="C228" s="71" t="s">
        <v>67</v>
      </c>
      <c r="D228" s="71" t="s">
        <v>125</v>
      </c>
      <c r="E228" s="71" t="s">
        <v>61</v>
      </c>
      <c r="F228" s="71" t="s">
        <v>93</v>
      </c>
      <c r="G228" s="71" t="s">
        <v>130</v>
      </c>
      <c r="H228" s="71" t="s">
        <v>158</v>
      </c>
      <c r="I228" s="71" t="s">
        <v>164</v>
      </c>
      <c r="J228" s="71" t="s">
        <v>178</v>
      </c>
      <c r="K228" s="71" t="s">
        <v>94</v>
      </c>
      <c r="L228" s="71" t="s">
        <v>16</v>
      </c>
      <c r="M228" s="71" t="s">
        <v>23</v>
      </c>
      <c r="N228" s="71" t="s">
        <v>153</v>
      </c>
      <c r="O228" s="71" t="s">
        <v>185</v>
      </c>
      <c r="P228" s="71" t="s">
        <v>167</v>
      </c>
      <c r="Q228" s="71" t="s">
        <v>166</v>
      </c>
      <c r="R228" s="71" t="s">
        <v>147</v>
      </c>
    </row>
    <row r="229" spans="1:18">
      <c r="A229" s="71" t="str">
        <f>VLOOKUP(C229,classifications!C:F,4,FALSE)</f>
        <v>SD</v>
      </c>
      <c r="B229" s="71" t="s">
        <v>654</v>
      </c>
      <c r="C229" s="71" t="s">
        <v>74</v>
      </c>
      <c r="D229" s="71" t="s">
        <v>84</v>
      </c>
      <c r="E229" s="71" t="s">
        <v>4</v>
      </c>
      <c r="F229" s="71" t="s">
        <v>160</v>
      </c>
      <c r="G229" s="71" t="s">
        <v>75</v>
      </c>
      <c r="H229" s="71" t="s">
        <v>73</v>
      </c>
      <c r="I229" s="71" t="s">
        <v>51</v>
      </c>
      <c r="J229" s="71" t="s">
        <v>893</v>
      </c>
      <c r="K229" s="71" t="s">
        <v>346</v>
      </c>
      <c r="L229" s="71" t="s">
        <v>28</v>
      </c>
      <c r="M229" s="71" t="s">
        <v>91</v>
      </c>
      <c r="N229" s="71" t="s">
        <v>13</v>
      </c>
      <c r="O229" s="71" t="s">
        <v>190</v>
      </c>
      <c r="P229" s="71" t="s">
        <v>99</v>
      </c>
      <c r="Q229" s="71" t="s">
        <v>161</v>
      </c>
      <c r="R229" s="71" t="s">
        <v>122</v>
      </c>
    </row>
    <row r="230" spans="1:18">
      <c r="A230" s="71" t="str">
        <f>VLOOKUP(C230,classifications!C:F,4,FALSE)</f>
        <v>SD</v>
      </c>
      <c r="B230" s="71" t="s">
        <v>655</v>
      </c>
      <c r="C230" s="71" t="s">
        <v>82</v>
      </c>
      <c r="D230" s="71" t="s">
        <v>136</v>
      </c>
      <c r="E230" s="71" t="s">
        <v>38</v>
      </c>
      <c r="F230" s="71" t="s">
        <v>146</v>
      </c>
      <c r="G230" s="71" t="s">
        <v>55</v>
      </c>
      <c r="H230" s="71" t="s">
        <v>104</v>
      </c>
      <c r="I230" s="71" t="s">
        <v>169</v>
      </c>
      <c r="J230" s="71" t="s">
        <v>56</v>
      </c>
      <c r="K230" s="71" t="s">
        <v>87</v>
      </c>
      <c r="L230" s="71" t="s">
        <v>172</v>
      </c>
      <c r="M230" s="71" t="s">
        <v>188</v>
      </c>
      <c r="N230" s="71" t="s">
        <v>151</v>
      </c>
      <c r="O230" s="71" t="s">
        <v>145</v>
      </c>
      <c r="P230" s="71" t="s">
        <v>159</v>
      </c>
      <c r="Q230" s="71" t="s">
        <v>79</v>
      </c>
      <c r="R230" s="71" t="s">
        <v>173</v>
      </c>
    </row>
    <row r="231" spans="1:18">
      <c r="A231" s="71" t="str">
        <f>VLOOKUP(C231,classifications!C:F,4,FALSE)</f>
        <v>SD</v>
      </c>
      <c r="B231" s="71" t="s">
        <v>656</v>
      </c>
      <c r="C231" s="71" t="s">
        <v>84</v>
      </c>
      <c r="D231" s="71" t="s">
        <v>4</v>
      </c>
      <c r="E231" s="71" t="s">
        <v>51</v>
      </c>
      <c r="F231" s="71" t="s">
        <v>29</v>
      </c>
      <c r="G231" s="71" t="s">
        <v>61</v>
      </c>
      <c r="H231" s="71" t="s">
        <v>74</v>
      </c>
      <c r="I231" s="71" t="s">
        <v>893</v>
      </c>
      <c r="J231" s="71" t="s">
        <v>134</v>
      </c>
      <c r="K231" s="71" t="s">
        <v>107</v>
      </c>
      <c r="L231" s="71" t="s">
        <v>195</v>
      </c>
      <c r="M231" s="71" t="s">
        <v>93</v>
      </c>
      <c r="N231" s="71" t="s">
        <v>160</v>
      </c>
      <c r="O231" s="71" t="s">
        <v>176</v>
      </c>
      <c r="P231" s="71" t="s">
        <v>65</v>
      </c>
      <c r="Q231" s="71" t="s">
        <v>153</v>
      </c>
      <c r="R231" s="71" t="s">
        <v>67</v>
      </c>
    </row>
    <row r="232" spans="1:18">
      <c r="A232" s="71" t="str">
        <f>VLOOKUP(C232,classifications!C:F,4,FALSE)</f>
        <v>SD</v>
      </c>
      <c r="B232" s="71" t="s">
        <v>657</v>
      </c>
      <c r="C232" s="71" t="s">
        <v>106</v>
      </c>
      <c r="D232" s="71" t="s">
        <v>53</v>
      </c>
      <c r="E232" s="71" t="s">
        <v>178</v>
      </c>
      <c r="F232" s="71" t="s">
        <v>158</v>
      </c>
      <c r="G232" s="71" t="s">
        <v>164</v>
      </c>
      <c r="H232" s="71" t="s">
        <v>37</v>
      </c>
      <c r="I232" s="71" t="s">
        <v>182</v>
      </c>
      <c r="J232" s="71" t="s">
        <v>8</v>
      </c>
      <c r="K232" s="71" t="s">
        <v>93</v>
      </c>
      <c r="L232" s="71" t="s">
        <v>140</v>
      </c>
      <c r="M232" s="71" t="s">
        <v>156</v>
      </c>
      <c r="N232" s="71" t="s">
        <v>148</v>
      </c>
      <c r="O232" s="71" t="s">
        <v>67</v>
      </c>
      <c r="P232" s="71" t="s">
        <v>127</v>
      </c>
      <c r="Q232" s="71" t="s">
        <v>81</v>
      </c>
      <c r="R232" s="71" t="s">
        <v>143</v>
      </c>
    </row>
    <row r="233" spans="1:18">
      <c r="A233" s="71" t="str">
        <f>VLOOKUP(C233,classifications!C:F,4,FALSE)</f>
        <v>SD</v>
      </c>
      <c r="B233" s="71" t="s">
        <v>658</v>
      </c>
      <c r="C233" s="71" t="s">
        <v>131</v>
      </c>
      <c r="D233" s="71" t="s">
        <v>73</v>
      </c>
      <c r="E233" s="71" t="s">
        <v>190</v>
      </c>
      <c r="F233" s="71" t="s">
        <v>24</v>
      </c>
      <c r="G233" s="71" t="s">
        <v>122</v>
      </c>
      <c r="H233" s="71" t="s">
        <v>128</v>
      </c>
      <c r="I233" s="71" t="s">
        <v>75</v>
      </c>
      <c r="J233" s="71" t="s">
        <v>91</v>
      </c>
      <c r="K233" s="71" t="s">
        <v>155</v>
      </c>
      <c r="L233" s="71" t="s">
        <v>48</v>
      </c>
      <c r="M233" s="71" t="s">
        <v>34</v>
      </c>
      <c r="N233" s="71" t="s">
        <v>179</v>
      </c>
      <c r="O233" s="71" t="s">
        <v>59</v>
      </c>
      <c r="P233" s="71" t="s">
        <v>175</v>
      </c>
      <c r="Q233" s="71" t="s">
        <v>90</v>
      </c>
      <c r="R233" s="71" t="s">
        <v>161</v>
      </c>
    </row>
    <row r="234" spans="1:18">
      <c r="A234" s="71" t="str">
        <f>VLOOKUP(C234,classifications!C:F,4,FALSE)</f>
        <v>SD</v>
      </c>
      <c r="B234" s="71" t="s">
        <v>659</v>
      </c>
      <c r="C234" s="71" t="s">
        <v>166</v>
      </c>
      <c r="D234" s="71" t="s">
        <v>173</v>
      </c>
      <c r="E234" s="71" t="s">
        <v>185</v>
      </c>
      <c r="F234" s="71" t="s">
        <v>146</v>
      </c>
      <c r="G234" s="71" t="s">
        <v>55</v>
      </c>
      <c r="H234" s="71" t="s">
        <v>167</v>
      </c>
      <c r="I234" s="71" t="s">
        <v>349</v>
      </c>
      <c r="J234" s="71" t="s">
        <v>136</v>
      </c>
      <c r="K234" s="71" t="s">
        <v>188</v>
      </c>
      <c r="L234" s="71" t="s">
        <v>157</v>
      </c>
      <c r="M234" s="71" t="s">
        <v>56</v>
      </c>
      <c r="N234" s="71" t="s">
        <v>96</v>
      </c>
      <c r="O234" s="71" t="s">
        <v>64</v>
      </c>
      <c r="P234" s="71" t="s">
        <v>10</v>
      </c>
      <c r="Q234" s="71" t="s">
        <v>87</v>
      </c>
      <c r="R234" s="71" t="s">
        <v>79</v>
      </c>
    </row>
    <row r="235" spans="1:18">
      <c r="A235" s="71" t="str">
        <f>VLOOKUP(C235,classifications!C:F,4,FALSE)</f>
        <v>SD</v>
      </c>
      <c r="B235" s="71" t="s">
        <v>660</v>
      </c>
      <c r="C235" s="71" t="s">
        <v>188</v>
      </c>
      <c r="D235" s="71" t="s">
        <v>173</v>
      </c>
      <c r="E235" s="71" t="s">
        <v>136</v>
      </c>
      <c r="F235" s="71" t="s">
        <v>166</v>
      </c>
      <c r="G235" s="71" t="s">
        <v>87</v>
      </c>
      <c r="H235" s="71" t="s">
        <v>55</v>
      </c>
      <c r="I235" s="71" t="s">
        <v>146</v>
      </c>
      <c r="J235" s="71" t="s">
        <v>64</v>
      </c>
      <c r="K235" s="71" t="s">
        <v>104</v>
      </c>
      <c r="L235" s="71" t="s">
        <v>21</v>
      </c>
      <c r="M235" s="71" t="s">
        <v>156</v>
      </c>
      <c r="N235" s="71" t="s">
        <v>56</v>
      </c>
      <c r="O235" s="71" t="s">
        <v>349</v>
      </c>
      <c r="P235" s="71" t="s">
        <v>185</v>
      </c>
      <c r="Q235" s="71" t="s">
        <v>172</v>
      </c>
      <c r="R235" s="71" t="s">
        <v>169</v>
      </c>
    </row>
    <row r="236" spans="1:18">
      <c r="A236" s="71" t="str">
        <f>VLOOKUP(C236,classifications!C:F,4,FALSE)</f>
        <v>SD</v>
      </c>
      <c r="B236" s="71" t="s">
        <v>661</v>
      </c>
      <c r="C236" s="71" t="s">
        <v>23</v>
      </c>
      <c r="D236" s="71" t="s">
        <v>157</v>
      </c>
      <c r="E236" s="71" t="s">
        <v>94</v>
      </c>
      <c r="F236" s="71" t="s">
        <v>97</v>
      </c>
      <c r="G236" s="71" t="s">
        <v>149</v>
      </c>
      <c r="H236" s="71" t="s">
        <v>167</v>
      </c>
      <c r="I236" s="71" t="s">
        <v>130</v>
      </c>
      <c r="J236" s="71" t="s">
        <v>55</v>
      </c>
      <c r="K236" s="71" t="s">
        <v>79</v>
      </c>
      <c r="L236" s="71" t="s">
        <v>154</v>
      </c>
      <c r="M236" s="71" t="s">
        <v>344</v>
      </c>
      <c r="N236" s="71" t="s">
        <v>98</v>
      </c>
      <c r="O236" s="71" t="s">
        <v>153</v>
      </c>
      <c r="P236" s="71" t="s">
        <v>181</v>
      </c>
      <c r="Q236" s="71" t="s">
        <v>78</v>
      </c>
      <c r="R236" s="71" t="s">
        <v>123</v>
      </c>
    </row>
    <row r="237" spans="1:18">
      <c r="A237" s="71" t="str">
        <f>VLOOKUP(C237,classifications!C:F,4,FALSE)</f>
        <v>SD</v>
      </c>
      <c r="B237" s="71" t="s">
        <v>662</v>
      </c>
      <c r="C237" s="71" t="s">
        <v>122</v>
      </c>
      <c r="D237" s="71" t="s">
        <v>161</v>
      </c>
      <c r="E237" s="71" t="s">
        <v>28</v>
      </c>
      <c r="F237" s="71" t="s">
        <v>155</v>
      </c>
      <c r="G237" s="71" t="s">
        <v>190</v>
      </c>
      <c r="H237" s="71" t="s">
        <v>75</v>
      </c>
      <c r="I237" s="71" t="s">
        <v>179</v>
      </c>
      <c r="J237" s="71" t="s">
        <v>91</v>
      </c>
      <c r="K237" s="71" t="s">
        <v>73</v>
      </c>
      <c r="L237" s="71" t="s">
        <v>131</v>
      </c>
      <c r="M237" s="71" t="s">
        <v>346</v>
      </c>
      <c r="N237" s="71" t="s">
        <v>90</v>
      </c>
      <c r="O237" s="71" t="s">
        <v>128</v>
      </c>
      <c r="P237" s="71" t="s">
        <v>99</v>
      </c>
      <c r="Q237" s="71" t="s">
        <v>59</v>
      </c>
      <c r="R237" s="71" t="s">
        <v>107</v>
      </c>
    </row>
    <row r="238" spans="1:18">
      <c r="A238" s="71" t="str">
        <f>VLOOKUP(C238,classifications!C:F,4,FALSE)</f>
        <v>SD</v>
      </c>
      <c r="B238" s="71" t="s">
        <v>663</v>
      </c>
      <c r="C238" s="71" t="s">
        <v>190</v>
      </c>
      <c r="D238" s="71" t="s">
        <v>73</v>
      </c>
      <c r="E238" s="71" t="s">
        <v>28</v>
      </c>
      <c r="F238" s="71" t="s">
        <v>91</v>
      </c>
      <c r="G238" s="71" t="s">
        <v>59</v>
      </c>
      <c r="H238" s="71" t="s">
        <v>30</v>
      </c>
      <c r="I238" s="71" t="s">
        <v>131</v>
      </c>
      <c r="J238" s="71" t="s">
        <v>122</v>
      </c>
      <c r="K238" s="71" t="s">
        <v>86</v>
      </c>
      <c r="L238" s="71" t="s">
        <v>120</v>
      </c>
      <c r="M238" s="71" t="s">
        <v>346</v>
      </c>
      <c r="N238" s="71" t="s">
        <v>34</v>
      </c>
      <c r="O238" s="71" t="s">
        <v>161</v>
      </c>
      <c r="P238" s="71" t="s">
        <v>99</v>
      </c>
      <c r="Q238" s="71" t="s">
        <v>90</v>
      </c>
      <c r="R238" s="71" t="s">
        <v>75</v>
      </c>
    </row>
    <row r="239" spans="1:18">
      <c r="A239" s="71" t="str">
        <f>VLOOKUP(C239,classifications!C:F,4,FALSE)</f>
        <v>SD</v>
      </c>
      <c r="B239" s="71" t="s">
        <v>664</v>
      </c>
      <c r="C239" s="71" t="s">
        <v>192</v>
      </c>
      <c r="D239" s="71" t="s">
        <v>156</v>
      </c>
      <c r="E239" s="71" t="s">
        <v>78</v>
      </c>
      <c r="F239" s="71" t="s">
        <v>12</v>
      </c>
      <c r="G239" s="71" t="s">
        <v>109</v>
      </c>
      <c r="H239" s="71" t="s">
        <v>167</v>
      </c>
      <c r="I239" s="71" t="s">
        <v>148</v>
      </c>
      <c r="J239" s="71" t="s">
        <v>98</v>
      </c>
      <c r="K239" s="71" t="s">
        <v>144</v>
      </c>
      <c r="L239" s="71" t="s">
        <v>157</v>
      </c>
      <c r="M239" s="71" t="s">
        <v>101</v>
      </c>
      <c r="N239" s="71" t="s">
        <v>103</v>
      </c>
      <c r="O239" s="71" t="s">
        <v>50</v>
      </c>
      <c r="P239" s="71" t="s">
        <v>163</v>
      </c>
      <c r="Q239" s="71" t="s">
        <v>97</v>
      </c>
      <c r="R239" s="71" t="s">
        <v>153</v>
      </c>
    </row>
    <row r="240" spans="1:18">
      <c r="A240" s="71" t="str">
        <f>VLOOKUP(C240,classifications!C:F,4,FALSE)</f>
        <v>SD</v>
      </c>
      <c r="B240" s="71" t="s">
        <v>665</v>
      </c>
      <c r="C240" s="71" t="s">
        <v>195</v>
      </c>
      <c r="D240" s="71" t="s">
        <v>65</v>
      </c>
      <c r="E240" s="71" t="s">
        <v>7</v>
      </c>
      <c r="F240" s="71" t="s">
        <v>107</v>
      </c>
      <c r="G240" s="71" t="s">
        <v>30</v>
      </c>
      <c r="H240" s="71" t="s">
        <v>86</v>
      </c>
      <c r="I240" s="71" t="s">
        <v>183</v>
      </c>
      <c r="J240" s="71" t="s">
        <v>15</v>
      </c>
      <c r="K240" s="71" t="s">
        <v>72</v>
      </c>
      <c r="L240" s="71" t="s">
        <v>345</v>
      </c>
      <c r="M240" s="71" t="s">
        <v>142</v>
      </c>
      <c r="N240" s="71" t="s">
        <v>68</v>
      </c>
      <c r="O240" s="71" t="s">
        <v>28</v>
      </c>
      <c r="P240" s="71" t="s">
        <v>91</v>
      </c>
      <c r="Q240" s="71" t="s">
        <v>163</v>
      </c>
      <c r="R240" s="71" t="s">
        <v>99</v>
      </c>
    </row>
    <row r="241" spans="1:18">
      <c r="A241" s="71" t="str">
        <f>VLOOKUP(C241,classifications!C:F,4,FALSE)</f>
        <v>SD</v>
      </c>
      <c r="B241" s="71" t="s">
        <v>666</v>
      </c>
      <c r="C241" s="71" t="s">
        <v>98</v>
      </c>
      <c r="D241" s="71" t="s">
        <v>109</v>
      </c>
      <c r="E241" s="71" t="s">
        <v>192</v>
      </c>
      <c r="F241" s="71" t="s">
        <v>12</v>
      </c>
      <c r="G241" s="71" t="s">
        <v>181</v>
      </c>
      <c r="H241" s="71" t="s">
        <v>78</v>
      </c>
      <c r="I241" s="71" t="s">
        <v>50</v>
      </c>
      <c r="J241" s="71" t="s">
        <v>97</v>
      </c>
      <c r="K241" s="71" t="s">
        <v>70</v>
      </c>
      <c r="L241" s="71" t="s">
        <v>167</v>
      </c>
      <c r="M241" s="71" t="s">
        <v>156</v>
      </c>
      <c r="N241" s="71" t="s">
        <v>23</v>
      </c>
      <c r="O241" s="71" t="s">
        <v>157</v>
      </c>
      <c r="P241" s="71" t="s">
        <v>132</v>
      </c>
      <c r="Q241" s="71" t="s">
        <v>44</v>
      </c>
      <c r="R241" s="71" t="s">
        <v>102</v>
      </c>
    </row>
    <row r="242" spans="1:18">
      <c r="A242" s="71" t="str">
        <f>VLOOKUP(C242,classifications!C:F,4,FALSE)</f>
        <v>SD</v>
      </c>
      <c r="B242" s="71" t="s">
        <v>667</v>
      </c>
      <c r="C242" s="71" t="s">
        <v>24</v>
      </c>
      <c r="D242" s="71" t="s">
        <v>128</v>
      </c>
      <c r="E242" s="71" t="s">
        <v>85</v>
      </c>
      <c r="F242" s="71" t="s">
        <v>75</v>
      </c>
      <c r="G242" s="71" t="s">
        <v>96</v>
      </c>
      <c r="H242" s="71" t="s">
        <v>47</v>
      </c>
      <c r="I242" s="71" t="s">
        <v>131</v>
      </c>
      <c r="J242" s="71" t="s">
        <v>111</v>
      </c>
      <c r="K242" s="71" t="s">
        <v>10</v>
      </c>
      <c r="L242" s="71" t="s">
        <v>171</v>
      </c>
      <c r="M242" s="71" t="s">
        <v>91</v>
      </c>
      <c r="N242" s="71" t="s">
        <v>73</v>
      </c>
      <c r="O242" s="71" t="s">
        <v>34</v>
      </c>
      <c r="P242" s="71" t="s">
        <v>33</v>
      </c>
      <c r="Q242" s="71" t="s">
        <v>190</v>
      </c>
      <c r="R242" s="71" t="s">
        <v>169</v>
      </c>
    </row>
    <row r="243" spans="1:18">
      <c r="A243" s="71" t="str">
        <f>VLOOKUP(C243,classifications!C:F,4,FALSE)</f>
        <v>SD</v>
      </c>
      <c r="B243" s="71" t="s">
        <v>668</v>
      </c>
      <c r="C243" s="71" t="s">
        <v>47</v>
      </c>
      <c r="D243" s="71" t="s">
        <v>111</v>
      </c>
      <c r="E243" s="71" t="s">
        <v>342</v>
      </c>
      <c r="F243" s="71" t="s">
        <v>33</v>
      </c>
      <c r="G243" s="71" t="s">
        <v>96</v>
      </c>
      <c r="H243" s="71" t="s">
        <v>180</v>
      </c>
      <c r="I243" s="71" t="s">
        <v>85</v>
      </c>
      <c r="J243" s="71" t="s">
        <v>171</v>
      </c>
      <c r="K243" s="71" t="s">
        <v>19</v>
      </c>
      <c r="L243" s="71" t="s">
        <v>349</v>
      </c>
      <c r="M243" s="71" t="s">
        <v>24</v>
      </c>
      <c r="N243" s="71" t="s">
        <v>41</v>
      </c>
      <c r="O243" s="71" t="s">
        <v>56</v>
      </c>
      <c r="P243" s="71" t="s">
        <v>64</v>
      </c>
      <c r="Q243" s="71" t="s">
        <v>10</v>
      </c>
      <c r="R243" s="71" t="s">
        <v>128</v>
      </c>
    </row>
    <row r="244" spans="1:18">
      <c r="A244" s="71" t="str">
        <f>VLOOKUP(C244,classifications!C:F,4,FALSE)</f>
        <v>SD</v>
      </c>
      <c r="B244" s="71" t="s">
        <v>669</v>
      </c>
      <c r="C244" s="71" t="s">
        <v>56</v>
      </c>
      <c r="D244" s="71" t="s">
        <v>104</v>
      </c>
      <c r="E244" s="71" t="s">
        <v>87</v>
      </c>
      <c r="F244" s="71" t="s">
        <v>55</v>
      </c>
      <c r="G244" s="71" t="s">
        <v>96</v>
      </c>
      <c r="H244" s="71" t="s">
        <v>349</v>
      </c>
      <c r="I244" s="71" t="s">
        <v>166</v>
      </c>
      <c r="J244" s="71" t="s">
        <v>136</v>
      </c>
      <c r="K244" s="71" t="s">
        <v>64</v>
      </c>
      <c r="L244" s="71" t="s">
        <v>146</v>
      </c>
      <c r="M244" s="71" t="s">
        <v>33</v>
      </c>
      <c r="N244" s="71" t="s">
        <v>193</v>
      </c>
      <c r="O244" s="71" t="s">
        <v>11</v>
      </c>
      <c r="P244" s="71" t="s">
        <v>169</v>
      </c>
      <c r="Q244" s="71" t="s">
        <v>173</v>
      </c>
      <c r="R244" s="71" t="s">
        <v>188</v>
      </c>
    </row>
    <row r="245" spans="1:18">
      <c r="A245" s="71" t="str">
        <f>VLOOKUP(C245,classifications!C:F,4,FALSE)</f>
        <v>SD</v>
      </c>
      <c r="B245" s="71" t="s">
        <v>670</v>
      </c>
      <c r="C245" s="71" t="s">
        <v>85</v>
      </c>
      <c r="D245" s="71" t="s">
        <v>169</v>
      </c>
      <c r="E245" s="71" t="s">
        <v>24</v>
      </c>
      <c r="F245" s="71" t="s">
        <v>47</v>
      </c>
      <c r="G245" s="71" t="s">
        <v>171</v>
      </c>
      <c r="H245" s="71" t="s">
        <v>111</v>
      </c>
      <c r="I245" s="71" t="s">
        <v>64</v>
      </c>
      <c r="J245" s="71" t="s">
        <v>180</v>
      </c>
      <c r="K245" s="71" t="s">
        <v>56</v>
      </c>
      <c r="L245" s="71" t="s">
        <v>151</v>
      </c>
      <c r="M245" s="71" t="s">
        <v>193</v>
      </c>
      <c r="N245" s="71" t="s">
        <v>128</v>
      </c>
      <c r="O245" s="71" t="s">
        <v>96</v>
      </c>
      <c r="P245" s="71" t="s">
        <v>188</v>
      </c>
      <c r="Q245" s="71" t="s">
        <v>349</v>
      </c>
      <c r="R245" s="71" t="s">
        <v>21</v>
      </c>
    </row>
    <row r="246" spans="1:18">
      <c r="A246" s="71" t="str">
        <f>VLOOKUP(C246,classifications!C:F,4,FALSE)</f>
        <v>SD</v>
      </c>
      <c r="B246" s="71" t="s">
        <v>671</v>
      </c>
      <c r="C246" s="71" t="s">
        <v>111</v>
      </c>
      <c r="D246" s="71" t="s">
        <v>47</v>
      </c>
      <c r="E246" s="71" t="s">
        <v>19</v>
      </c>
      <c r="F246" s="71" t="s">
        <v>96</v>
      </c>
      <c r="G246" s="71" t="s">
        <v>64</v>
      </c>
      <c r="H246" s="71" t="s">
        <v>128</v>
      </c>
      <c r="I246" s="71" t="s">
        <v>163</v>
      </c>
      <c r="J246" s="71" t="s">
        <v>166</v>
      </c>
      <c r="K246" s="71" t="s">
        <v>41</v>
      </c>
      <c r="L246" s="71" t="s">
        <v>33</v>
      </c>
      <c r="M246" s="71" t="s">
        <v>157</v>
      </c>
      <c r="N246" s="71" t="s">
        <v>56</v>
      </c>
      <c r="O246" s="71" t="s">
        <v>10</v>
      </c>
      <c r="P246" s="71" t="s">
        <v>342</v>
      </c>
      <c r="Q246" s="71" t="s">
        <v>85</v>
      </c>
      <c r="R246" s="71" t="s">
        <v>152</v>
      </c>
    </row>
    <row r="247" spans="1:18">
      <c r="A247" s="71" t="str">
        <f>VLOOKUP(C247,classifications!C:F,4,FALSE)</f>
        <v>SD</v>
      </c>
      <c r="B247" s="71" t="s">
        <v>672</v>
      </c>
      <c r="C247" s="71" t="s">
        <v>151</v>
      </c>
      <c r="D247" s="71" t="s">
        <v>104</v>
      </c>
      <c r="E247" s="71" t="s">
        <v>56</v>
      </c>
      <c r="F247" s="71" t="s">
        <v>169</v>
      </c>
      <c r="G247" s="71" t="s">
        <v>193</v>
      </c>
      <c r="H247" s="71" t="s">
        <v>82</v>
      </c>
      <c r="I247" s="71" t="s">
        <v>188</v>
      </c>
      <c r="J247" s="71" t="s">
        <v>87</v>
      </c>
      <c r="K247" s="71" t="s">
        <v>85</v>
      </c>
      <c r="L247" s="71" t="s">
        <v>171</v>
      </c>
      <c r="M247" s="71" t="s">
        <v>349</v>
      </c>
      <c r="N247" s="71" t="s">
        <v>38</v>
      </c>
      <c r="O247" s="71" t="s">
        <v>136</v>
      </c>
      <c r="P247" s="71" t="s">
        <v>173</v>
      </c>
      <c r="Q247" s="71" t="s">
        <v>348</v>
      </c>
      <c r="R247" s="71" t="s">
        <v>63</v>
      </c>
    </row>
    <row r="248" spans="1:18">
      <c r="A248" s="71" t="str">
        <f>VLOOKUP(C248,classifications!C:F,4,FALSE)</f>
        <v>SD</v>
      </c>
      <c r="B248" s="71" t="s">
        <v>673</v>
      </c>
      <c r="C248" s="71" t="s">
        <v>155</v>
      </c>
      <c r="D248" s="71" t="s">
        <v>80</v>
      </c>
      <c r="E248" s="71" t="s">
        <v>122</v>
      </c>
      <c r="F248" s="71" t="s">
        <v>90</v>
      </c>
      <c r="G248" s="71" t="s">
        <v>131</v>
      </c>
      <c r="H248" s="71" t="s">
        <v>14</v>
      </c>
      <c r="I248" s="71" t="s">
        <v>161</v>
      </c>
      <c r="J248" s="71" t="s">
        <v>180</v>
      </c>
      <c r="K248" s="71" t="s">
        <v>75</v>
      </c>
      <c r="L248" s="71" t="s">
        <v>190</v>
      </c>
      <c r="M248" s="71" t="s">
        <v>73</v>
      </c>
      <c r="N248" s="71" t="s">
        <v>43</v>
      </c>
      <c r="O248" s="71" t="s">
        <v>120</v>
      </c>
      <c r="P248" s="71" t="s">
        <v>28</v>
      </c>
      <c r="Q248" s="71" t="s">
        <v>36</v>
      </c>
      <c r="R248" s="71" t="s">
        <v>179</v>
      </c>
    </row>
    <row r="249" spans="1:18">
      <c r="A249" s="71" t="str">
        <f>VLOOKUP(C249,classifications!C:F,4,FALSE)</f>
        <v>SD</v>
      </c>
      <c r="B249" s="71" t="s">
        <v>674</v>
      </c>
      <c r="C249" s="71" t="s">
        <v>169</v>
      </c>
      <c r="D249" s="71" t="s">
        <v>85</v>
      </c>
      <c r="E249" s="71" t="s">
        <v>87</v>
      </c>
      <c r="F249" s="71" t="s">
        <v>56</v>
      </c>
      <c r="G249" s="71" t="s">
        <v>64</v>
      </c>
      <c r="H249" s="71" t="s">
        <v>55</v>
      </c>
      <c r="I249" s="71" t="s">
        <v>104</v>
      </c>
      <c r="J249" s="71" t="s">
        <v>21</v>
      </c>
      <c r="K249" s="71" t="s">
        <v>188</v>
      </c>
      <c r="L249" s="71" t="s">
        <v>151</v>
      </c>
      <c r="M249" s="71" t="s">
        <v>166</v>
      </c>
      <c r="N249" s="71" t="s">
        <v>136</v>
      </c>
      <c r="O249" s="71" t="s">
        <v>82</v>
      </c>
      <c r="P249" s="71" t="s">
        <v>349</v>
      </c>
      <c r="Q249" s="71" t="s">
        <v>173</v>
      </c>
      <c r="R249" s="71" t="s">
        <v>24</v>
      </c>
    </row>
    <row r="250" spans="1:18">
      <c r="A250" s="71" t="str">
        <f>VLOOKUP(C250,classifications!C:F,4,FALSE)</f>
        <v>SD</v>
      </c>
      <c r="B250" s="71" t="s">
        <v>675</v>
      </c>
      <c r="C250" s="71" t="s">
        <v>175</v>
      </c>
      <c r="D250" s="71" t="s">
        <v>48</v>
      </c>
      <c r="E250" s="71" t="s">
        <v>131</v>
      </c>
      <c r="F250" s="71" t="s">
        <v>118</v>
      </c>
      <c r="G250" s="71" t="s">
        <v>120</v>
      </c>
      <c r="H250" s="71" t="s">
        <v>66</v>
      </c>
      <c r="I250" s="71" t="s">
        <v>24</v>
      </c>
      <c r="J250" s="71" t="s">
        <v>34</v>
      </c>
      <c r="K250" s="71" t="s">
        <v>190</v>
      </c>
      <c r="L250" s="71" t="s">
        <v>155</v>
      </c>
      <c r="M250" s="71" t="s">
        <v>27</v>
      </c>
      <c r="N250" s="71" t="s">
        <v>73</v>
      </c>
      <c r="O250" s="71" t="s">
        <v>85</v>
      </c>
      <c r="P250" s="71" t="s">
        <v>116</v>
      </c>
      <c r="Q250" s="71" t="s">
        <v>46</v>
      </c>
      <c r="R250" s="71" t="s">
        <v>180</v>
      </c>
    </row>
    <row r="251" spans="1:18">
      <c r="A251" s="71" t="str">
        <f>VLOOKUP(C251,classifications!C:F,4,FALSE)</f>
        <v>SD</v>
      </c>
      <c r="B251" s="71" t="s">
        <v>676</v>
      </c>
      <c r="C251" s="71" t="s">
        <v>180</v>
      </c>
      <c r="D251" s="71" t="s">
        <v>47</v>
      </c>
      <c r="E251" s="71" t="s">
        <v>85</v>
      </c>
      <c r="F251" s="71" t="s">
        <v>111</v>
      </c>
      <c r="G251" s="71" t="s">
        <v>24</v>
      </c>
      <c r="H251" s="71" t="s">
        <v>155</v>
      </c>
      <c r="I251" s="71" t="s">
        <v>342</v>
      </c>
      <c r="J251" s="71" t="s">
        <v>128</v>
      </c>
      <c r="K251" s="71" t="s">
        <v>122</v>
      </c>
      <c r="L251" s="71" t="s">
        <v>174</v>
      </c>
      <c r="M251" s="71" t="s">
        <v>131</v>
      </c>
      <c r="N251" s="71" t="s">
        <v>41</v>
      </c>
      <c r="O251" s="71" t="s">
        <v>171</v>
      </c>
      <c r="P251" s="71" t="s">
        <v>33</v>
      </c>
      <c r="Q251" s="71" t="s">
        <v>14</v>
      </c>
      <c r="R251" s="71" t="s">
        <v>96</v>
      </c>
    </row>
    <row r="252" spans="1:18">
      <c r="A252" s="71" t="str">
        <f>VLOOKUP(C252,classifications!C:F,4,FALSE)</f>
        <v>SD</v>
      </c>
      <c r="B252" s="71" t="s">
        <v>677</v>
      </c>
      <c r="C252" s="71" t="s">
        <v>10</v>
      </c>
      <c r="D252" s="71" t="s">
        <v>349</v>
      </c>
      <c r="E252" s="71" t="s">
        <v>96</v>
      </c>
      <c r="F252" s="71" t="s">
        <v>128</v>
      </c>
      <c r="G252" s="71" t="s">
        <v>58</v>
      </c>
      <c r="H252" s="71" t="s">
        <v>101</v>
      </c>
      <c r="I252" s="71" t="s">
        <v>152</v>
      </c>
      <c r="J252" s="71" t="s">
        <v>19</v>
      </c>
      <c r="K252" s="71" t="s">
        <v>166</v>
      </c>
      <c r="L252" s="71" t="s">
        <v>142</v>
      </c>
      <c r="M252" s="71" t="s">
        <v>59</v>
      </c>
      <c r="N252" s="71" t="s">
        <v>35</v>
      </c>
      <c r="O252" s="71" t="s">
        <v>88</v>
      </c>
      <c r="P252" s="71" t="s">
        <v>163</v>
      </c>
      <c r="Q252" s="71" t="s">
        <v>94</v>
      </c>
      <c r="R252" s="71" t="s">
        <v>111</v>
      </c>
    </row>
    <row r="253" spans="1:18">
      <c r="A253" s="71" t="str">
        <f>VLOOKUP(C253,classifications!C:F,4,FALSE)</f>
        <v>SD</v>
      </c>
      <c r="B253" s="71" t="s">
        <v>678</v>
      </c>
      <c r="C253" s="71" t="s">
        <v>29</v>
      </c>
      <c r="D253" s="71" t="s">
        <v>893</v>
      </c>
      <c r="E253" s="71" t="s">
        <v>92</v>
      </c>
      <c r="F253" s="71" t="s">
        <v>51</v>
      </c>
      <c r="G253" s="71" t="s">
        <v>41</v>
      </c>
      <c r="H253" s="71" t="s">
        <v>32</v>
      </c>
      <c r="I253" s="71" t="s">
        <v>84</v>
      </c>
      <c r="J253" s="71" t="s">
        <v>174</v>
      </c>
      <c r="K253" s="71" t="s">
        <v>134</v>
      </c>
      <c r="L253" s="71" t="s">
        <v>93</v>
      </c>
      <c r="M253" s="71" t="s">
        <v>34</v>
      </c>
      <c r="N253" s="71" t="s">
        <v>153</v>
      </c>
      <c r="O253" s="71" t="s">
        <v>164</v>
      </c>
      <c r="P253" s="71" t="s">
        <v>61</v>
      </c>
      <c r="Q253" s="71" t="s">
        <v>96</v>
      </c>
      <c r="R253" s="71" t="s">
        <v>33</v>
      </c>
    </row>
    <row r="254" spans="1:18">
      <c r="A254" s="71" t="str">
        <f>VLOOKUP(C254,classifications!C:F,4,FALSE)</f>
        <v>SD</v>
      </c>
      <c r="B254" s="71" t="s">
        <v>679</v>
      </c>
      <c r="C254" s="71" t="s">
        <v>48</v>
      </c>
      <c r="D254" s="71" t="s">
        <v>131</v>
      </c>
      <c r="E254" s="71" t="s">
        <v>175</v>
      </c>
      <c r="F254" s="71" t="s">
        <v>190</v>
      </c>
      <c r="G254" s="71" t="s">
        <v>73</v>
      </c>
      <c r="H254" s="71" t="s">
        <v>24</v>
      </c>
      <c r="I254" s="71" t="s">
        <v>59</v>
      </c>
      <c r="J254" s="71" t="s">
        <v>120</v>
      </c>
      <c r="K254" s="71" t="s">
        <v>128</v>
      </c>
      <c r="L254" s="71" t="s">
        <v>34</v>
      </c>
      <c r="M254" s="71" t="s">
        <v>155</v>
      </c>
      <c r="N254" s="71" t="s">
        <v>35</v>
      </c>
      <c r="O254" s="71" t="s">
        <v>66</v>
      </c>
      <c r="P254" s="71" t="s">
        <v>46</v>
      </c>
      <c r="Q254" s="71" t="s">
        <v>14</v>
      </c>
      <c r="R254" s="71" t="s">
        <v>91</v>
      </c>
    </row>
    <row r="255" spans="1:18">
      <c r="A255" s="71" t="str">
        <f>VLOOKUP(C255,classifications!C:F,4,FALSE)</f>
        <v>SD</v>
      </c>
      <c r="B255" s="71" t="s">
        <v>680</v>
      </c>
      <c r="C255" s="71" t="s">
        <v>51</v>
      </c>
      <c r="D255" s="71" t="s">
        <v>134</v>
      </c>
      <c r="E255" s="71" t="s">
        <v>893</v>
      </c>
      <c r="F255" s="71" t="s">
        <v>160</v>
      </c>
      <c r="G255" s="71" t="s">
        <v>176</v>
      </c>
      <c r="H255" s="71" t="s">
        <v>195</v>
      </c>
      <c r="I255" s="71" t="s">
        <v>29</v>
      </c>
      <c r="J255" s="71" t="s">
        <v>6</v>
      </c>
      <c r="K255" s="71" t="s">
        <v>84</v>
      </c>
      <c r="L255" s="71" t="s">
        <v>108</v>
      </c>
      <c r="M255" s="71" t="s">
        <v>183</v>
      </c>
      <c r="N255" s="71" t="s">
        <v>4</v>
      </c>
      <c r="O255" s="71" t="s">
        <v>15</v>
      </c>
      <c r="P255" s="71" t="s">
        <v>345</v>
      </c>
      <c r="Q255" s="71" t="s">
        <v>68</v>
      </c>
      <c r="R255" s="71" t="s">
        <v>92</v>
      </c>
    </row>
    <row r="256" spans="1:18">
      <c r="A256" s="71" t="str">
        <f>VLOOKUP(C256,classifications!C:F,4,FALSE)</f>
        <v>SD</v>
      </c>
      <c r="B256" s="71" t="s">
        <v>681</v>
      </c>
      <c r="C256" s="71" t="s">
        <v>75</v>
      </c>
      <c r="D256" s="71" t="s">
        <v>73</v>
      </c>
      <c r="E256" s="71" t="s">
        <v>24</v>
      </c>
      <c r="F256" s="71" t="s">
        <v>179</v>
      </c>
      <c r="G256" s="71" t="s">
        <v>122</v>
      </c>
      <c r="H256" s="71" t="s">
        <v>91</v>
      </c>
      <c r="I256" s="71" t="s">
        <v>90</v>
      </c>
      <c r="J256" s="71" t="s">
        <v>190</v>
      </c>
      <c r="K256" s="71" t="s">
        <v>128</v>
      </c>
      <c r="L256" s="71" t="s">
        <v>131</v>
      </c>
      <c r="M256" s="71" t="s">
        <v>346</v>
      </c>
      <c r="N256" s="71" t="s">
        <v>119</v>
      </c>
      <c r="O256" s="71" t="s">
        <v>161</v>
      </c>
      <c r="P256" s="71" t="s">
        <v>59</v>
      </c>
      <c r="Q256" s="71" t="s">
        <v>74</v>
      </c>
      <c r="R256" s="71" t="s">
        <v>160</v>
      </c>
    </row>
    <row r="257" spans="1:18">
      <c r="A257" s="71" t="str">
        <f>VLOOKUP(C257,classifications!C:F,4,FALSE)</f>
        <v>SD</v>
      </c>
      <c r="B257" s="71" t="s">
        <v>682</v>
      </c>
      <c r="C257" s="71" t="s">
        <v>96</v>
      </c>
      <c r="D257" s="71" t="s">
        <v>33</v>
      </c>
      <c r="E257" s="71" t="s">
        <v>41</v>
      </c>
      <c r="F257" s="71" t="s">
        <v>19</v>
      </c>
      <c r="G257" s="71" t="s">
        <v>88</v>
      </c>
      <c r="H257" s="71" t="s">
        <v>10</v>
      </c>
      <c r="I257" s="71" t="s">
        <v>111</v>
      </c>
      <c r="J257" s="71" t="s">
        <v>32</v>
      </c>
      <c r="K257" s="71" t="s">
        <v>56</v>
      </c>
      <c r="L257" s="71" t="s">
        <v>128</v>
      </c>
      <c r="M257" s="71" t="s">
        <v>342</v>
      </c>
      <c r="N257" s="71" t="s">
        <v>81</v>
      </c>
      <c r="O257" s="71" t="s">
        <v>35</v>
      </c>
      <c r="P257" s="71" t="s">
        <v>166</v>
      </c>
      <c r="Q257" s="71" t="s">
        <v>153</v>
      </c>
      <c r="R257" s="71" t="s">
        <v>47</v>
      </c>
    </row>
    <row r="258" spans="1:18">
      <c r="A258" s="71" t="str">
        <f>VLOOKUP(C258,classifications!C:F,4,FALSE)</f>
        <v>SD</v>
      </c>
      <c r="B258" s="71" t="s">
        <v>683</v>
      </c>
      <c r="C258" s="71" t="s">
        <v>136</v>
      </c>
      <c r="D258" s="71" t="s">
        <v>146</v>
      </c>
      <c r="E258" s="71" t="s">
        <v>55</v>
      </c>
      <c r="F258" s="71" t="s">
        <v>188</v>
      </c>
      <c r="G258" s="71" t="s">
        <v>64</v>
      </c>
      <c r="H258" s="71" t="s">
        <v>166</v>
      </c>
      <c r="I258" s="71" t="s">
        <v>185</v>
      </c>
      <c r="J258" s="71" t="s">
        <v>87</v>
      </c>
      <c r="K258" s="71" t="s">
        <v>173</v>
      </c>
      <c r="L258" s="71" t="s">
        <v>56</v>
      </c>
      <c r="M258" s="71" t="s">
        <v>177</v>
      </c>
      <c r="N258" s="71" t="s">
        <v>21</v>
      </c>
      <c r="O258" s="71" t="s">
        <v>104</v>
      </c>
      <c r="P258" s="71" t="s">
        <v>162</v>
      </c>
      <c r="Q258" s="71" t="s">
        <v>156</v>
      </c>
      <c r="R258" s="71" t="s">
        <v>172</v>
      </c>
    </row>
    <row r="259" spans="1:18">
      <c r="A259" s="71" t="str">
        <f>VLOOKUP(C259,classifications!C:F,4,FALSE)</f>
        <v>SD</v>
      </c>
      <c r="B259" s="71" t="s">
        <v>684</v>
      </c>
      <c r="C259" s="71" t="s">
        <v>893</v>
      </c>
      <c r="D259" s="71" t="s">
        <v>51</v>
      </c>
      <c r="E259" s="71" t="s">
        <v>29</v>
      </c>
      <c r="F259" s="71" t="s">
        <v>176</v>
      </c>
      <c r="G259" s="71" t="s">
        <v>191</v>
      </c>
      <c r="H259" s="71" t="s">
        <v>4</v>
      </c>
      <c r="I259" s="71" t="s">
        <v>134</v>
      </c>
      <c r="J259" s="71" t="s">
        <v>108</v>
      </c>
      <c r="K259" s="71" t="s">
        <v>168</v>
      </c>
      <c r="L259" s="71" t="s">
        <v>93</v>
      </c>
      <c r="M259" s="71" t="s">
        <v>133</v>
      </c>
      <c r="N259" s="71" t="s">
        <v>195</v>
      </c>
      <c r="O259" s="71" t="s">
        <v>92</v>
      </c>
      <c r="P259" s="71" t="s">
        <v>84</v>
      </c>
      <c r="Q259" s="71" t="s">
        <v>160</v>
      </c>
      <c r="R259" s="71" t="s">
        <v>165</v>
      </c>
    </row>
    <row r="260" spans="1:18">
      <c r="A260" s="71" t="str">
        <f>VLOOKUP(C260,classifications!C:F,4,FALSE)</f>
        <v>SD</v>
      </c>
      <c r="B260" s="71" t="s">
        <v>685</v>
      </c>
      <c r="C260" s="71" t="s">
        <v>160</v>
      </c>
      <c r="D260" s="71" t="s">
        <v>51</v>
      </c>
      <c r="E260" s="71" t="s">
        <v>134</v>
      </c>
      <c r="F260" s="71" t="s">
        <v>91</v>
      </c>
      <c r="G260" s="71" t="s">
        <v>346</v>
      </c>
      <c r="H260" s="71" t="s">
        <v>19</v>
      </c>
      <c r="I260" s="71" t="s">
        <v>65</v>
      </c>
      <c r="J260" s="71" t="s">
        <v>59</v>
      </c>
      <c r="K260" s="71" t="s">
        <v>73</v>
      </c>
      <c r="L260" s="71" t="s">
        <v>183</v>
      </c>
      <c r="M260" s="71" t="s">
        <v>893</v>
      </c>
      <c r="N260" s="71" t="s">
        <v>74</v>
      </c>
      <c r="O260" s="71" t="s">
        <v>61</v>
      </c>
      <c r="P260" s="71" t="s">
        <v>84</v>
      </c>
      <c r="Q260" s="71" t="s">
        <v>128</v>
      </c>
      <c r="R260" s="71" t="s">
        <v>195</v>
      </c>
    </row>
    <row r="261" spans="1:18">
      <c r="A261" s="71" t="str">
        <f>VLOOKUP(C261,classifications!C:F,4,FALSE)</f>
        <v>SD</v>
      </c>
      <c r="B261" s="71" t="s">
        <v>686</v>
      </c>
      <c r="C261" s="71" t="s">
        <v>168</v>
      </c>
      <c r="D261" s="71" t="s">
        <v>83</v>
      </c>
      <c r="E261" s="71" t="s">
        <v>76</v>
      </c>
      <c r="F261" s="71" t="s">
        <v>893</v>
      </c>
      <c r="G261" s="71" t="s">
        <v>176</v>
      </c>
      <c r="H261" s="71" t="s">
        <v>51</v>
      </c>
      <c r="I261" s="71" t="s">
        <v>133</v>
      </c>
      <c r="J261" s="71" t="s">
        <v>165</v>
      </c>
      <c r="K261" s="71" t="s">
        <v>60</v>
      </c>
      <c r="L261" s="71" t="s">
        <v>191</v>
      </c>
      <c r="M261" s="71" t="s">
        <v>74</v>
      </c>
      <c r="N261" s="71" t="s">
        <v>90</v>
      </c>
      <c r="O261" s="71" t="s">
        <v>13</v>
      </c>
      <c r="P261" s="71" t="s">
        <v>92</v>
      </c>
      <c r="Q261" s="71" t="s">
        <v>160</v>
      </c>
      <c r="R261" s="71" t="s">
        <v>119</v>
      </c>
    </row>
    <row r="262" spans="1:18">
      <c r="A262" s="71" t="str">
        <f>VLOOKUP(C262,classifications!C:F,4,FALSE)</f>
        <v>SD</v>
      </c>
      <c r="B262" s="71" t="s">
        <v>687</v>
      </c>
      <c r="C262" s="71" t="s">
        <v>349</v>
      </c>
      <c r="D262" s="71" t="s">
        <v>10</v>
      </c>
      <c r="E262" s="71" t="s">
        <v>166</v>
      </c>
      <c r="F262" s="71" t="s">
        <v>56</v>
      </c>
      <c r="G262" s="71" t="s">
        <v>96</v>
      </c>
      <c r="H262" s="71" t="s">
        <v>173</v>
      </c>
      <c r="I262" s="71" t="s">
        <v>188</v>
      </c>
      <c r="J262" s="71" t="s">
        <v>342</v>
      </c>
      <c r="K262" s="71" t="s">
        <v>172</v>
      </c>
      <c r="L262" s="71" t="s">
        <v>47</v>
      </c>
      <c r="M262" s="71" t="s">
        <v>33</v>
      </c>
      <c r="N262" s="71" t="s">
        <v>87</v>
      </c>
      <c r="O262" s="71" t="s">
        <v>136</v>
      </c>
      <c r="P262" s="71" t="s">
        <v>104</v>
      </c>
      <c r="Q262" s="71" t="s">
        <v>167</v>
      </c>
      <c r="R262" s="71" t="s">
        <v>146</v>
      </c>
    </row>
    <row r="263" spans="1:18">
      <c r="A263" s="71" t="str">
        <f>VLOOKUP(C263,classifications!C:F,4,FALSE)</f>
        <v>SD</v>
      </c>
      <c r="B263" s="71" t="s">
        <v>688</v>
      </c>
      <c r="C263" s="71" t="s">
        <v>171</v>
      </c>
      <c r="D263" s="71" t="s">
        <v>56</v>
      </c>
      <c r="E263" s="71" t="s">
        <v>47</v>
      </c>
      <c r="F263" s="71" t="s">
        <v>85</v>
      </c>
      <c r="G263" s="71" t="s">
        <v>104</v>
      </c>
      <c r="H263" s="71" t="s">
        <v>174</v>
      </c>
      <c r="I263" s="71" t="s">
        <v>111</v>
      </c>
      <c r="J263" s="71" t="s">
        <v>10</v>
      </c>
      <c r="K263" s="71" t="s">
        <v>349</v>
      </c>
      <c r="L263" s="71" t="s">
        <v>188</v>
      </c>
      <c r="M263" s="71" t="s">
        <v>24</v>
      </c>
      <c r="N263" s="71" t="s">
        <v>64</v>
      </c>
      <c r="O263" s="71" t="s">
        <v>96</v>
      </c>
      <c r="P263" s="71" t="s">
        <v>81</v>
      </c>
      <c r="Q263" s="71" t="s">
        <v>33</v>
      </c>
      <c r="R263" s="71" t="s">
        <v>87</v>
      </c>
    </row>
    <row r="264" spans="1:18">
      <c r="A264" s="71" t="str">
        <f>VLOOKUP(C264,classifications!C:F,4,FALSE)</f>
        <v>SD</v>
      </c>
      <c r="B264" s="71" t="s">
        <v>689</v>
      </c>
      <c r="C264" s="71" t="s">
        <v>26</v>
      </c>
      <c r="D264" s="71" t="s">
        <v>89</v>
      </c>
      <c r="E264" s="71" t="s">
        <v>119</v>
      </c>
      <c r="F264" s="71" t="s">
        <v>99</v>
      </c>
      <c r="G264" s="71" t="s">
        <v>9</v>
      </c>
      <c r="H264" s="71" t="s">
        <v>120</v>
      </c>
      <c r="I264" s="71" t="s">
        <v>28</v>
      </c>
      <c r="J264" s="71" t="s">
        <v>95</v>
      </c>
      <c r="K264" s="71" t="s">
        <v>346</v>
      </c>
      <c r="L264" s="71" t="s">
        <v>13</v>
      </c>
      <c r="M264" s="71" t="s">
        <v>17</v>
      </c>
      <c r="N264" s="71" t="s">
        <v>36</v>
      </c>
      <c r="O264" s="71" t="s">
        <v>190</v>
      </c>
      <c r="P264" s="71" t="s">
        <v>76</v>
      </c>
      <c r="Q264" s="71" t="s">
        <v>30</v>
      </c>
      <c r="R264" s="71" t="s">
        <v>126</v>
      </c>
    </row>
    <row r="265" spans="1:18">
      <c r="A265" s="71" t="str">
        <f>VLOOKUP(C265,classifications!C:F,4,FALSE)</f>
        <v>SD</v>
      </c>
      <c r="B265" s="71" t="s">
        <v>690</v>
      </c>
      <c r="C265" s="71" t="s">
        <v>39</v>
      </c>
      <c r="D265" s="71" t="s">
        <v>86</v>
      </c>
      <c r="E265" s="71" t="s">
        <v>147</v>
      </c>
      <c r="F265" s="71" t="s">
        <v>344</v>
      </c>
      <c r="G265" s="71" t="s">
        <v>345</v>
      </c>
      <c r="H265" s="71" t="s">
        <v>7</v>
      </c>
      <c r="I265" s="71" t="s">
        <v>58</v>
      </c>
      <c r="J265" s="71" t="s">
        <v>142</v>
      </c>
      <c r="K265" s="71" t="s">
        <v>72</v>
      </c>
      <c r="L265" s="71" t="s">
        <v>94</v>
      </c>
      <c r="M265" s="71" t="s">
        <v>19</v>
      </c>
      <c r="N265" s="71" t="s">
        <v>91</v>
      </c>
      <c r="O265" s="71" t="s">
        <v>183</v>
      </c>
      <c r="P265" s="71" t="s">
        <v>107</v>
      </c>
      <c r="Q265" s="71" t="s">
        <v>126</v>
      </c>
      <c r="R265" s="71" t="s">
        <v>139</v>
      </c>
    </row>
    <row r="266" spans="1:18">
      <c r="A266" s="71" t="str">
        <f>VLOOKUP(C266,classifications!C:F,4,FALSE)</f>
        <v>SD</v>
      </c>
      <c r="B266" s="71" t="s">
        <v>691</v>
      </c>
      <c r="C266" s="71" t="s">
        <v>71</v>
      </c>
      <c r="D266" s="71" t="s">
        <v>194</v>
      </c>
      <c r="E266" s="71" t="s">
        <v>164</v>
      </c>
      <c r="F266" s="71" t="s">
        <v>108</v>
      </c>
      <c r="G266" s="71" t="s">
        <v>140</v>
      </c>
      <c r="H266" s="71" t="s">
        <v>182</v>
      </c>
      <c r="I266" s="71" t="s">
        <v>170</v>
      </c>
      <c r="J266" s="71" t="s">
        <v>93</v>
      </c>
      <c r="K266" s="71" t="s">
        <v>53</v>
      </c>
      <c r="L266" s="71" t="s">
        <v>4</v>
      </c>
      <c r="M266" s="71" t="s">
        <v>181</v>
      </c>
      <c r="N266" s="71" t="s">
        <v>127</v>
      </c>
      <c r="O266" s="71" t="s">
        <v>8</v>
      </c>
      <c r="P266" s="71" t="s">
        <v>45</v>
      </c>
      <c r="Q266" s="71" t="s">
        <v>143</v>
      </c>
      <c r="R266" s="71" t="s">
        <v>158</v>
      </c>
    </row>
    <row r="267" spans="1:18">
      <c r="A267" s="71" t="str">
        <f>VLOOKUP(C267,classifications!C:F,4,FALSE)</f>
        <v>SD</v>
      </c>
      <c r="B267" s="71" t="s">
        <v>692</v>
      </c>
      <c r="C267" s="71" t="s">
        <v>89</v>
      </c>
      <c r="D267" s="71" t="s">
        <v>119</v>
      </c>
      <c r="E267" s="71" t="s">
        <v>26</v>
      </c>
      <c r="F267" s="71" t="s">
        <v>99</v>
      </c>
      <c r="G267" s="71" t="s">
        <v>9</v>
      </c>
      <c r="H267" s="71" t="s">
        <v>28</v>
      </c>
      <c r="I267" s="71" t="s">
        <v>126</v>
      </c>
      <c r="J267" s="71" t="s">
        <v>13</v>
      </c>
      <c r="K267" s="71" t="s">
        <v>346</v>
      </c>
      <c r="L267" s="71" t="s">
        <v>190</v>
      </c>
      <c r="M267" s="71" t="s">
        <v>120</v>
      </c>
      <c r="N267" s="71" t="s">
        <v>73</v>
      </c>
      <c r="O267" s="71" t="s">
        <v>30</v>
      </c>
      <c r="P267" s="71" t="s">
        <v>91</v>
      </c>
      <c r="Q267" s="71" t="s">
        <v>36</v>
      </c>
      <c r="R267" s="71" t="s">
        <v>17</v>
      </c>
    </row>
    <row r="268" spans="1:18">
      <c r="A268" s="71" t="str">
        <f>VLOOKUP(C268,classifications!C:F,4,FALSE)</f>
        <v>SD</v>
      </c>
      <c r="B268" s="71" t="s">
        <v>693</v>
      </c>
      <c r="C268" s="71" t="s">
        <v>92</v>
      </c>
      <c r="D268" s="71" t="s">
        <v>29</v>
      </c>
      <c r="E268" s="71" t="s">
        <v>30</v>
      </c>
      <c r="F268" s="71" t="s">
        <v>893</v>
      </c>
      <c r="G268" s="71" t="s">
        <v>51</v>
      </c>
      <c r="H268" s="71" t="s">
        <v>108</v>
      </c>
      <c r="I268" s="71" t="s">
        <v>194</v>
      </c>
      <c r="J268" s="71" t="s">
        <v>13</v>
      </c>
      <c r="K268" s="71" t="s">
        <v>190</v>
      </c>
      <c r="L268" s="71" t="s">
        <v>191</v>
      </c>
      <c r="M268" s="71" t="s">
        <v>133</v>
      </c>
      <c r="N268" s="71" t="s">
        <v>59</v>
      </c>
      <c r="O268" s="71" t="s">
        <v>34</v>
      </c>
      <c r="P268" s="71" t="s">
        <v>134</v>
      </c>
      <c r="Q268" s="71" t="s">
        <v>86</v>
      </c>
      <c r="R268" s="71" t="s">
        <v>4</v>
      </c>
    </row>
    <row r="269" spans="1:18">
      <c r="A269" s="71" t="str">
        <f>VLOOKUP(C269,classifications!C:F,4,FALSE)</f>
        <v>SD</v>
      </c>
      <c r="B269" s="71" t="s">
        <v>694</v>
      </c>
      <c r="C269" s="71" t="s">
        <v>119</v>
      </c>
      <c r="D269" s="71" t="s">
        <v>89</v>
      </c>
      <c r="E269" s="71" t="s">
        <v>99</v>
      </c>
      <c r="F269" s="71" t="s">
        <v>91</v>
      </c>
      <c r="G269" s="71" t="s">
        <v>73</v>
      </c>
      <c r="H269" s="71" t="s">
        <v>346</v>
      </c>
      <c r="I269" s="71" t="s">
        <v>190</v>
      </c>
      <c r="J269" s="71" t="s">
        <v>126</v>
      </c>
      <c r="K269" s="71" t="s">
        <v>28</v>
      </c>
      <c r="L269" s="71" t="s">
        <v>9</v>
      </c>
      <c r="M269" s="71" t="s">
        <v>65</v>
      </c>
      <c r="N269" s="71" t="s">
        <v>26</v>
      </c>
      <c r="O269" s="71" t="s">
        <v>59</v>
      </c>
      <c r="P269" s="71" t="s">
        <v>13</v>
      </c>
      <c r="Q269" s="71" t="s">
        <v>30</v>
      </c>
      <c r="R269" s="71" t="s">
        <v>75</v>
      </c>
    </row>
    <row r="270" spans="1:18">
      <c r="A270" s="71" t="str">
        <f>VLOOKUP(C270,classifications!C:F,4,FALSE)</f>
        <v>SD</v>
      </c>
      <c r="B270" s="71" t="s">
        <v>695</v>
      </c>
      <c r="C270" s="71" t="s">
        <v>120</v>
      </c>
      <c r="D270" s="71" t="s">
        <v>95</v>
      </c>
      <c r="E270" s="71" t="s">
        <v>90</v>
      </c>
      <c r="F270" s="71" t="s">
        <v>190</v>
      </c>
      <c r="G270" s="71" t="s">
        <v>73</v>
      </c>
      <c r="H270" s="71" t="s">
        <v>116</v>
      </c>
      <c r="I270" s="71" t="s">
        <v>28</v>
      </c>
      <c r="J270" s="71" t="s">
        <v>99</v>
      </c>
      <c r="K270" s="71" t="s">
        <v>89</v>
      </c>
      <c r="L270" s="71" t="s">
        <v>119</v>
      </c>
      <c r="M270" s="71" t="s">
        <v>131</v>
      </c>
      <c r="N270" s="71" t="s">
        <v>36</v>
      </c>
      <c r="O270" s="71" t="s">
        <v>346</v>
      </c>
      <c r="P270" s="71" t="s">
        <v>26</v>
      </c>
      <c r="Q270" s="71" t="s">
        <v>122</v>
      </c>
      <c r="R270" s="71" t="s">
        <v>30</v>
      </c>
    </row>
    <row r="271" spans="1:18">
      <c r="A271" s="71" t="str">
        <f>VLOOKUP(C271,classifications!C:F,4,FALSE)</f>
        <v>SD</v>
      </c>
      <c r="B271" s="71" t="s">
        <v>696</v>
      </c>
      <c r="C271" s="71" t="s">
        <v>123</v>
      </c>
      <c r="D271" s="71" t="s">
        <v>79</v>
      </c>
      <c r="E271" s="71" t="s">
        <v>97</v>
      </c>
      <c r="F271" s="71" t="s">
        <v>50</v>
      </c>
      <c r="G271" s="71" t="s">
        <v>124</v>
      </c>
      <c r="H271" s="71" t="s">
        <v>100</v>
      </c>
      <c r="I271" s="71" t="s">
        <v>109</v>
      </c>
      <c r="J271" s="71" t="s">
        <v>78</v>
      </c>
      <c r="K271" s="71" t="s">
        <v>62</v>
      </c>
      <c r="L271" s="71" t="s">
        <v>45</v>
      </c>
      <c r="M271" s="71" t="s">
        <v>23</v>
      </c>
      <c r="N271" s="71" t="s">
        <v>12</v>
      </c>
      <c r="O271" s="71" t="s">
        <v>132</v>
      </c>
      <c r="P271" s="71" t="s">
        <v>181</v>
      </c>
      <c r="Q271" s="71" t="s">
        <v>130</v>
      </c>
      <c r="R271" s="71" t="s">
        <v>167</v>
      </c>
    </row>
    <row r="272" spans="1:18">
      <c r="A272" s="71" t="str">
        <f>VLOOKUP(C272,classifications!C:F,4,FALSE)</f>
        <v>SD</v>
      </c>
      <c r="B272" s="71" t="s">
        <v>697</v>
      </c>
      <c r="C272" s="71" t="s">
        <v>126</v>
      </c>
      <c r="D272" s="71" t="s">
        <v>86</v>
      </c>
      <c r="E272" s="71" t="s">
        <v>39</v>
      </c>
      <c r="F272" s="71" t="s">
        <v>91</v>
      </c>
      <c r="G272" s="71" t="s">
        <v>28</v>
      </c>
      <c r="H272" s="71" t="s">
        <v>65</v>
      </c>
      <c r="I272" s="71" t="s">
        <v>345</v>
      </c>
      <c r="J272" s="71" t="s">
        <v>15</v>
      </c>
      <c r="K272" s="71" t="s">
        <v>183</v>
      </c>
      <c r="L272" s="71" t="s">
        <v>99</v>
      </c>
      <c r="M272" s="71" t="s">
        <v>9</v>
      </c>
      <c r="N272" s="71" t="s">
        <v>30</v>
      </c>
      <c r="O272" s="71" t="s">
        <v>7</v>
      </c>
      <c r="P272" s="71" t="s">
        <v>58</v>
      </c>
      <c r="Q272" s="71" t="s">
        <v>346</v>
      </c>
      <c r="R272" s="71" t="s">
        <v>195</v>
      </c>
    </row>
    <row r="273" spans="1:18">
      <c r="A273" s="71" t="str">
        <f>VLOOKUP(C273,classifications!C:F,4,FALSE)</f>
        <v>SD</v>
      </c>
      <c r="B273" s="71" t="s">
        <v>698</v>
      </c>
      <c r="C273" s="71" t="s">
        <v>147</v>
      </c>
      <c r="D273" s="71" t="s">
        <v>344</v>
      </c>
      <c r="E273" s="71" t="s">
        <v>39</v>
      </c>
      <c r="F273" s="71" t="s">
        <v>94</v>
      </c>
      <c r="G273" s="71" t="s">
        <v>72</v>
      </c>
      <c r="H273" s="71" t="s">
        <v>142</v>
      </c>
      <c r="I273" s="71" t="s">
        <v>7</v>
      </c>
      <c r="J273" s="71" t="s">
        <v>153</v>
      </c>
      <c r="K273" s="71" t="s">
        <v>16</v>
      </c>
      <c r="L273" s="71" t="s">
        <v>58</v>
      </c>
      <c r="M273" s="71" t="s">
        <v>86</v>
      </c>
      <c r="N273" s="71" t="s">
        <v>154</v>
      </c>
      <c r="O273" s="71" t="s">
        <v>345</v>
      </c>
      <c r="P273" s="71" t="s">
        <v>112</v>
      </c>
      <c r="Q273" s="71" t="s">
        <v>65</v>
      </c>
      <c r="R273" s="71" t="s">
        <v>91</v>
      </c>
    </row>
    <row r="274" spans="1:18">
      <c r="A274" s="71" t="str">
        <f>VLOOKUP(C274,classifications!C:F,4,FALSE)</f>
        <v>SD</v>
      </c>
      <c r="B274" s="71" t="s">
        <v>699</v>
      </c>
      <c r="C274" s="71" t="s">
        <v>183</v>
      </c>
      <c r="D274" s="71" t="s">
        <v>345</v>
      </c>
      <c r="E274" s="71" t="s">
        <v>7</v>
      </c>
      <c r="F274" s="71" t="s">
        <v>184</v>
      </c>
      <c r="G274" s="71" t="s">
        <v>15</v>
      </c>
      <c r="H274" s="71" t="s">
        <v>94</v>
      </c>
      <c r="I274" s="71" t="s">
        <v>115</v>
      </c>
      <c r="J274" s="71" t="s">
        <v>86</v>
      </c>
      <c r="K274" s="71" t="s">
        <v>344</v>
      </c>
      <c r="L274" s="71" t="s">
        <v>195</v>
      </c>
      <c r="M274" s="71" t="s">
        <v>142</v>
      </c>
      <c r="N274" s="71" t="s">
        <v>39</v>
      </c>
      <c r="O274" s="71" t="s">
        <v>149</v>
      </c>
      <c r="P274" s="71" t="s">
        <v>153</v>
      </c>
      <c r="Q274" s="71" t="s">
        <v>152</v>
      </c>
      <c r="R274" s="71" t="s">
        <v>19</v>
      </c>
    </row>
    <row r="275" spans="1:18">
      <c r="A275" s="71" t="str">
        <f>VLOOKUP(C275,classifications!C:F,4,FALSE)</f>
        <v>SD</v>
      </c>
      <c r="B275" s="71" t="s">
        <v>700</v>
      </c>
      <c r="C275" s="71" t="s">
        <v>194</v>
      </c>
      <c r="D275" s="71" t="s">
        <v>71</v>
      </c>
      <c r="E275" s="71" t="s">
        <v>108</v>
      </c>
      <c r="F275" s="71" t="s">
        <v>170</v>
      </c>
      <c r="G275" s="71" t="s">
        <v>164</v>
      </c>
      <c r="H275" s="71" t="s">
        <v>133</v>
      </c>
      <c r="I275" s="71" t="s">
        <v>176</v>
      </c>
      <c r="J275" s="71" t="s">
        <v>165</v>
      </c>
      <c r="K275" s="71" t="s">
        <v>92</v>
      </c>
      <c r="L275" s="71" t="s">
        <v>6</v>
      </c>
      <c r="M275" s="71" t="s">
        <v>113</v>
      </c>
      <c r="N275" s="71" t="s">
        <v>8</v>
      </c>
      <c r="O275" s="71" t="s">
        <v>4</v>
      </c>
      <c r="P275" s="71" t="s">
        <v>893</v>
      </c>
      <c r="Q275" s="71" t="s">
        <v>134</v>
      </c>
      <c r="R275" s="71" t="s">
        <v>51</v>
      </c>
    </row>
    <row r="276" spans="1:18">
      <c r="A276" s="71" t="str">
        <f>VLOOKUP(C276,classifications!C:F,4,FALSE)</f>
        <v>SD</v>
      </c>
      <c r="B276" s="71" t="s">
        <v>701</v>
      </c>
      <c r="C276" s="71" t="s">
        <v>16</v>
      </c>
      <c r="D276" s="71" t="s">
        <v>147</v>
      </c>
      <c r="E276" s="71" t="s">
        <v>344</v>
      </c>
      <c r="F276" s="71" t="s">
        <v>130</v>
      </c>
      <c r="G276" s="71" t="s">
        <v>58</v>
      </c>
      <c r="H276" s="71" t="s">
        <v>94</v>
      </c>
      <c r="I276" s="71" t="s">
        <v>112</v>
      </c>
      <c r="J276" s="71" t="s">
        <v>167</v>
      </c>
      <c r="K276" s="71" t="s">
        <v>153</v>
      </c>
      <c r="L276" s="71" t="s">
        <v>22</v>
      </c>
      <c r="M276" s="71" t="s">
        <v>128</v>
      </c>
      <c r="N276" s="71" t="s">
        <v>102</v>
      </c>
      <c r="O276" s="71" t="s">
        <v>79</v>
      </c>
      <c r="P276" s="71" t="s">
        <v>100</v>
      </c>
      <c r="Q276" s="71" t="s">
        <v>139</v>
      </c>
      <c r="R276" s="71" t="s">
        <v>347</v>
      </c>
    </row>
    <row r="277" spans="1:18">
      <c r="A277" s="71" t="str">
        <f>VLOOKUP(C277,classifications!C:F,4,FALSE)</f>
        <v>SD</v>
      </c>
      <c r="B277" s="71" t="s">
        <v>702</v>
      </c>
      <c r="C277" s="71" t="s">
        <v>32</v>
      </c>
      <c r="D277" s="71" t="s">
        <v>41</v>
      </c>
      <c r="E277" s="71" t="s">
        <v>153</v>
      </c>
      <c r="F277" s="71" t="s">
        <v>88</v>
      </c>
      <c r="G277" s="71" t="s">
        <v>96</v>
      </c>
      <c r="H277" s="71" t="s">
        <v>142</v>
      </c>
      <c r="I277" s="71" t="s">
        <v>19</v>
      </c>
      <c r="J277" s="71" t="s">
        <v>33</v>
      </c>
      <c r="K277" s="71" t="s">
        <v>147</v>
      </c>
      <c r="L277" s="71" t="s">
        <v>39</v>
      </c>
      <c r="M277" s="71" t="s">
        <v>72</v>
      </c>
      <c r="N277" s="71" t="s">
        <v>344</v>
      </c>
      <c r="O277" s="71" t="s">
        <v>174</v>
      </c>
      <c r="P277" s="71" t="s">
        <v>7</v>
      </c>
      <c r="Q277" s="71" t="s">
        <v>152</v>
      </c>
      <c r="R277" s="71" t="s">
        <v>94</v>
      </c>
    </row>
    <row r="278" spans="1:18">
      <c r="A278" s="71" t="str">
        <f>VLOOKUP(C278,classifications!C:F,4,FALSE)</f>
        <v>SD</v>
      </c>
      <c r="B278" s="71" t="s">
        <v>703</v>
      </c>
      <c r="C278" s="71" t="s">
        <v>79</v>
      </c>
      <c r="D278" s="71" t="s">
        <v>167</v>
      </c>
      <c r="E278" s="71" t="s">
        <v>123</v>
      </c>
      <c r="F278" s="71" t="s">
        <v>130</v>
      </c>
      <c r="G278" s="71" t="s">
        <v>145</v>
      </c>
      <c r="H278" s="71" t="s">
        <v>185</v>
      </c>
      <c r="I278" s="71" t="s">
        <v>97</v>
      </c>
      <c r="J278" s="71" t="s">
        <v>166</v>
      </c>
      <c r="K278" s="71" t="s">
        <v>100</v>
      </c>
      <c r="L278" s="71" t="s">
        <v>172</v>
      </c>
      <c r="M278" s="71" t="s">
        <v>55</v>
      </c>
      <c r="N278" s="71" t="s">
        <v>124</v>
      </c>
      <c r="O278" s="71" t="s">
        <v>23</v>
      </c>
      <c r="P278" s="71" t="s">
        <v>78</v>
      </c>
      <c r="Q278" s="71" t="s">
        <v>49</v>
      </c>
      <c r="R278" s="71" t="s">
        <v>103</v>
      </c>
    </row>
    <row r="279" spans="1:18">
      <c r="A279" s="71" t="str">
        <f>VLOOKUP(C279,classifications!C:F,4,FALSE)</f>
        <v>SD</v>
      </c>
      <c r="B279" s="71" t="s">
        <v>704</v>
      </c>
      <c r="C279" s="71" t="s">
        <v>344</v>
      </c>
      <c r="D279" s="71" t="s">
        <v>147</v>
      </c>
      <c r="E279" s="71" t="s">
        <v>154</v>
      </c>
      <c r="F279" s="71" t="s">
        <v>94</v>
      </c>
      <c r="G279" s="71" t="s">
        <v>112</v>
      </c>
      <c r="H279" s="71" t="s">
        <v>58</v>
      </c>
      <c r="I279" s="71" t="s">
        <v>39</v>
      </c>
      <c r="J279" s="71" t="s">
        <v>153</v>
      </c>
      <c r="K279" s="71" t="s">
        <v>7</v>
      </c>
      <c r="L279" s="71" t="s">
        <v>345</v>
      </c>
      <c r="M279" s="71" t="s">
        <v>157</v>
      </c>
      <c r="N279" s="71" t="s">
        <v>149</v>
      </c>
      <c r="O279" s="71" t="s">
        <v>139</v>
      </c>
      <c r="P279" s="71" t="s">
        <v>142</v>
      </c>
      <c r="Q279" s="71" t="s">
        <v>16</v>
      </c>
      <c r="R279" s="71" t="s">
        <v>100</v>
      </c>
    </row>
    <row r="280" spans="1:18">
      <c r="A280" s="71" t="str">
        <f>VLOOKUP(C280,classifications!C:F,4,FALSE)</f>
        <v>SD</v>
      </c>
      <c r="B280" s="71" t="s">
        <v>705</v>
      </c>
      <c r="C280" s="71" t="s">
        <v>100</v>
      </c>
      <c r="D280" s="71" t="s">
        <v>97</v>
      </c>
      <c r="E280" s="71" t="s">
        <v>124</v>
      </c>
      <c r="F280" s="71" t="s">
        <v>12</v>
      </c>
      <c r="G280" s="71" t="s">
        <v>167</v>
      </c>
      <c r="H280" s="71" t="s">
        <v>102</v>
      </c>
      <c r="I280" s="71" t="s">
        <v>109</v>
      </c>
      <c r="J280" s="71" t="s">
        <v>58</v>
      </c>
      <c r="K280" s="71" t="s">
        <v>70</v>
      </c>
      <c r="L280" s="71" t="s">
        <v>344</v>
      </c>
      <c r="M280" s="71" t="s">
        <v>103</v>
      </c>
      <c r="N280" s="71" t="s">
        <v>157</v>
      </c>
      <c r="O280" s="71" t="s">
        <v>79</v>
      </c>
      <c r="P280" s="71" t="s">
        <v>184</v>
      </c>
      <c r="Q280" s="71" t="s">
        <v>112</v>
      </c>
      <c r="R280" s="71" t="s">
        <v>94</v>
      </c>
    </row>
    <row r="281" spans="1:18">
      <c r="A281" s="71" t="str">
        <f>VLOOKUP(C281,classifications!C:F,4,FALSE)</f>
        <v>SD</v>
      </c>
      <c r="B281" s="71" t="s">
        <v>706</v>
      </c>
      <c r="C281" s="71" t="s">
        <v>115</v>
      </c>
      <c r="D281" s="71" t="s">
        <v>135</v>
      </c>
      <c r="E281" s="71" t="s">
        <v>114</v>
      </c>
      <c r="F281" s="71" t="s">
        <v>345</v>
      </c>
      <c r="G281" s="71" t="s">
        <v>15</v>
      </c>
      <c r="H281" s="71" t="s">
        <v>152</v>
      </c>
      <c r="I281" s="71" t="s">
        <v>183</v>
      </c>
      <c r="J281" s="71" t="s">
        <v>49</v>
      </c>
      <c r="K281" s="71" t="s">
        <v>58</v>
      </c>
      <c r="L281" s="71" t="s">
        <v>344</v>
      </c>
      <c r="M281" s="71" t="s">
        <v>59</v>
      </c>
      <c r="N281" s="71" t="s">
        <v>7</v>
      </c>
      <c r="O281" s="71" t="s">
        <v>139</v>
      </c>
      <c r="P281" s="71" t="s">
        <v>39</v>
      </c>
      <c r="Q281" s="71" t="s">
        <v>94</v>
      </c>
      <c r="R281" s="71" t="s">
        <v>100</v>
      </c>
    </row>
    <row r="282" spans="1:18">
      <c r="A282" s="71" t="str">
        <f>VLOOKUP(C282,classifications!C:F,4,FALSE)</f>
        <v>SD</v>
      </c>
      <c r="B282" s="71" t="s">
        <v>707</v>
      </c>
      <c r="C282" s="71" t="s">
        <v>347</v>
      </c>
      <c r="D282" s="71" t="s">
        <v>31</v>
      </c>
      <c r="E282" s="71" t="s">
        <v>72</v>
      </c>
      <c r="F282" s="71" t="s">
        <v>16</v>
      </c>
      <c r="G282" s="71" t="s">
        <v>25</v>
      </c>
      <c r="H282" s="71" t="s">
        <v>147</v>
      </c>
      <c r="I282" s="71" t="s">
        <v>344</v>
      </c>
      <c r="J282" s="71" t="s">
        <v>128</v>
      </c>
      <c r="K282" s="71" t="s">
        <v>94</v>
      </c>
      <c r="L282" s="71" t="s">
        <v>125</v>
      </c>
      <c r="M282" s="71" t="s">
        <v>58</v>
      </c>
      <c r="N282" s="71" t="s">
        <v>154</v>
      </c>
      <c r="O282" s="71" t="s">
        <v>91</v>
      </c>
      <c r="P282" s="71" t="s">
        <v>102</v>
      </c>
      <c r="Q282" s="71" t="s">
        <v>130</v>
      </c>
      <c r="R282" s="71" t="s">
        <v>112</v>
      </c>
    </row>
    <row r="283" spans="1:18">
      <c r="A283" s="71" t="str">
        <f>VLOOKUP(C283,classifications!C:F,4,FALSE)</f>
        <v>SD</v>
      </c>
      <c r="B283" s="71" t="s">
        <v>708</v>
      </c>
      <c r="C283" s="71" t="s">
        <v>18</v>
      </c>
      <c r="D283" s="71" t="s">
        <v>69</v>
      </c>
      <c r="E283" s="71" t="s">
        <v>68</v>
      </c>
      <c r="F283" s="71" t="s">
        <v>141</v>
      </c>
      <c r="G283" s="71" t="s">
        <v>179</v>
      </c>
      <c r="H283" s="71" t="s">
        <v>99</v>
      </c>
      <c r="I283" s="71" t="s">
        <v>15</v>
      </c>
      <c r="J283" s="71" t="s">
        <v>20</v>
      </c>
      <c r="K283" s="71" t="s">
        <v>30</v>
      </c>
      <c r="L283" s="71" t="s">
        <v>59</v>
      </c>
      <c r="M283" s="71" t="s">
        <v>17</v>
      </c>
      <c r="N283" s="71" t="s">
        <v>195</v>
      </c>
      <c r="O283" s="71" t="s">
        <v>91</v>
      </c>
      <c r="P283" s="71" t="s">
        <v>152</v>
      </c>
      <c r="Q283" s="71" t="s">
        <v>36</v>
      </c>
      <c r="R283" s="71" t="s">
        <v>42</v>
      </c>
    </row>
    <row r="284" spans="1:18">
      <c r="A284" s="71" t="str">
        <f>VLOOKUP(C284,classifications!C:F,4,FALSE)</f>
        <v>SD</v>
      </c>
      <c r="B284" s="71" t="s">
        <v>709</v>
      </c>
      <c r="C284" s="71" t="s">
        <v>57</v>
      </c>
      <c r="D284" s="71" t="s">
        <v>375</v>
      </c>
      <c r="E284" s="71" t="s">
        <v>7</v>
      </c>
      <c r="F284" s="71" t="s">
        <v>68</v>
      </c>
      <c r="G284" s="71" t="s">
        <v>165</v>
      </c>
      <c r="H284" s="71" t="s">
        <v>30</v>
      </c>
      <c r="I284" s="71" t="s">
        <v>20</v>
      </c>
      <c r="J284" s="71" t="s">
        <v>141</v>
      </c>
      <c r="K284" s="71" t="s">
        <v>15</v>
      </c>
      <c r="L284" s="71" t="s">
        <v>176</v>
      </c>
      <c r="M284" s="71" t="s">
        <v>6</v>
      </c>
      <c r="N284" s="71" t="s">
        <v>194</v>
      </c>
      <c r="O284" s="71" t="s">
        <v>195</v>
      </c>
      <c r="P284" s="71" t="s">
        <v>345</v>
      </c>
      <c r="Q284" s="71" t="s">
        <v>133</v>
      </c>
      <c r="R284" s="71" t="s">
        <v>184</v>
      </c>
    </row>
    <row r="285" spans="1:18">
      <c r="A285" s="71" t="str">
        <f>VLOOKUP(C285,classifications!C:F,4,FALSE)</f>
        <v>SD</v>
      </c>
      <c r="B285" s="71" t="s">
        <v>710</v>
      </c>
      <c r="C285" s="71" t="s">
        <v>95</v>
      </c>
      <c r="D285" s="71" t="s">
        <v>120</v>
      </c>
      <c r="E285" s="71" t="s">
        <v>90</v>
      </c>
      <c r="F285" s="71" t="s">
        <v>36</v>
      </c>
      <c r="G285" s="71" t="s">
        <v>190</v>
      </c>
      <c r="H285" s="71" t="s">
        <v>117</v>
      </c>
      <c r="I285" s="71" t="s">
        <v>28</v>
      </c>
      <c r="J285" s="71" t="s">
        <v>99</v>
      </c>
      <c r="K285" s="71" t="s">
        <v>66</v>
      </c>
      <c r="L285" s="71" t="s">
        <v>83</v>
      </c>
      <c r="M285" s="71" t="s">
        <v>73</v>
      </c>
      <c r="N285" s="71" t="s">
        <v>89</v>
      </c>
      <c r="O285" s="71" t="s">
        <v>26</v>
      </c>
      <c r="P285" s="71" t="s">
        <v>30</v>
      </c>
      <c r="Q285" s="71" t="s">
        <v>76</v>
      </c>
      <c r="R285" s="71" t="s">
        <v>119</v>
      </c>
    </row>
    <row r="286" spans="1:18">
      <c r="A286" s="71" t="str">
        <f>VLOOKUP(C286,classifications!C:F,4,FALSE)</f>
        <v>SD</v>
      </c>
      <c r="B286" s="71" t="s">
        <v>711</v>
      </c>
      <c r="C286" s="71" t="s">
        <v>112</v>
      </c>
      <c r="D286" s="71" t="s">
        <v>344</v>
      </c>
      <c r="E286" s="71" t="s">
        <v>184</v>
      </c>
      <c r="F286" s="71" t="s">
        <v>22</v>
      </c>
      <c r="G286" s="71" t="s">
        <v>154</v>
      </c>
      <c r="H286" s="71" t="s">
        <v>144</v>
      </c>
      <c r="I286" s="71" t="s">
        <v>12</v>
      </c>
      <c r="J286" s="71" t="s">
        <v>345</v>
      </c>
      <c r="K286" s="71" t="s">
        <v>149</v>
      </c>
      <c r="L286" s="71" t="s">
        <v>20</v>
      </c>
      <c r="M286" s="71" t="s">
        <v>70</v>
      </c>
      <c r="N286" s="71" t="s">
        <v>147</v>
      </c>
      <c r="O286" s="71" t="s">
        <v>157</v>
      </c>
      <c r="P286" s="71" t="s">
        <v>7</v>
      </c>
      <c r="Q286" s="71" t="s">
        <v>100</v>
      </c>
      <c r="R286" s="71" t="s">
        <v>139</v>
      </c>
    </row>
    <row r="287" spans="1:18">
      <c r="A287" s="71" t="str">
        <f>VLOOKUP(C287,classifications!C:F,4,FALSE)</f>
        <v>SD</v>
      </c>
      <c r="B287" s="71" t="s">
        <v>712</v>
      </c>
      <c r="C287" s="71" t="s">
        <v>141</v>
      </c>
      <c r="D287" s="71" t="s">
        <v>20</v>
      </c>
      <c r="E287" s="71" t="s">
        <v>375</v>
      </c>
      <c r="F287" s="71" t="s">
        <v>68</v>
      </c>
      <c r="G287" s="71" t="s">
        <v>184</v>
      </c>
      <c r="H287" s="71" t="s">
        <v>345</v>
      </c>
      <c r="I287" s="71" t="s">
        <v>70</v>
      </c>
      <c r="J287" s="71" t="s">
        <v>15</v>
      </c>
      <c r="K287" s="71" t="s">
        <v>112</v>
      </c>
      <c r="L287" s="71" t="s">
        <v>7</v>
      </c>
      <c r="M287" s="71" t="s">
        <v>152</v>
      </c>
      <c r="N287" s="71" t="s">
        <v>183</v>
      </c>
      <c r="O287" s="71" t="s">
        <v>18</v>
      </c>
      <c r="P287" s="71" t="s">
        <v>12</v>
      </c>
      <c r="Q287" s="71" t="s">
        <v>115</v>
      </c>
      <c r="R287" s="71" t="s">
        <v>154</v>
      </c>
    </row>
    <row r="288" spans="1:18">
      <c r="A288" s="71" t="str">
        <f>VLOOKUP(C288,classifications!C:F,4,FALSE)</f>
        <v>SD</v>
      </c>
      <c r="B288" s="71" t="s">
        <v>713</v>
      </c>
      <c r="C288" s="71" t="s">
        <v>142</v>
      </c>
      <c r="D288" s="71" t="s">
        <v>7</v>
      </c>
      <c r="E288" s="71" t="s">
        <v>345</v>
      </c>
      <c r="F288" s="71" t="s">
        <v>101</v>
      </c>
      <c r="G288" s="71" t="s">
        <v>153</v>
      </c>
      <c r="H288" s="71" t="s">
        <v>152</v>
      </c>
      <c r="I288" s="71" t="s">
        <v>147</v>
      </c>
      <c r="J288" s="71" t="s">
        <v>19</v>
      </c>
      <c r="K288" s="71" t="s">
        <v>344</v>
      </c>
      <c r="L288" s="71" t="s">
        <v>39</v>
      </c>
      <c r="M288" s="71" t="s">
        <v>94</v>
      </c>
      <c r="N288" s="71" t="s">
        <v>163</v>
      </c>
      <c r="O288" s="71" t="s">
        <v>86</v>
      </c>
      <c r="P288" s="71" t="s">
        <v>183</v>
      </c>
      <c r="Q288" s="71" t="s">
        <v>59</v>
      </c>
      <c r="R288" s="71" t="s">
        <v>58</v>
      </c>
    </row>
    <row r="289" spans="1:18">
      <c r="A289" s="71" t="str">
        <f>VLOOKUP(C289,classifications!C:F,4,FALSE)</f>
        <v>SD</v>
      </c>
      <c r="B289" s="71" t="s">
        <v>714</v>
      </c>
      <c r="C289" s="71" t="s">
        <v>184</v>
      </c>
      <c r="D289" s="71" t="s">
        <v>70</v>
      </c>
      <c r="E289" s="71" t="s">
        <v>112</v>
      </c>
      <c r="F289" s="71" t="s">
        <v>183</v>
      </c>
      <c r="G289" s="71" t="s">
        <v>345</v>
      </c>
      <c r="H289" s="71" t="s">
        <v>344</v>
      </c>
      <c r="I289" s="71" t="s">
        <v>7</v>
      </c>
      <c r="J289" s="71" t="s">
        <v>154</v>
      </c>
      <c r="K289" s="71" t="s">
        <v>20</v>
      </c>
      <c r="L289" s="71" t="s">
        <v>12</v>
      </c>
      <c r="M289" s="71" t="s">
        <v>100</v>
      </c>
      <c r="N289" s="71" t="s">
        <v>149</v>
      </c>
      <c r="O289" s="71" t="s">
        <v>110</v>
      </c>
      <c r="P289" s="71" t="s">
        <v>144</v>
      </c>
      <c r="Q289" s="71" t="s">
        <v>141</v>
      </c>
      <c r="R289" s="71" t="s">
        <v>58</v>
      </c>
    </row>
    <row r="290" spans="1:18">
      <c r="A290" s="71" t="str">
        <f>VLOOKUP(C290,classifications!C:F,4,FALSE)</f>
        <v>SD</v>
      </c>
      <c r="B290" s="71" t="s">
        <v>715</v>
      </c>
      <c r="C290" s="71" t="s">
        <v>20</v>
      </c>
      <c r="D290" s="71" t="s">
        <v>375</v>
      </c>
      <c r="E290" s="71" t="s">
        <v>141</v>
      </c>
      <c r="F290" s="71" t="s">
        <v>345</v>
      </c>
      <c r="G290" s="71" t="s">
        <v>184</v>
      </c>
      <c r="H290" s="71" t="s">
        <v>148</v>
      </c>
      <c r="I290" s="71" t="s">
        <v>112</v>
      </c>
      <c r="J290" s="71" t="s">
        <v>7</v>
      </c>
      <c r="K290" s="71" t="s">
        <v>152</v>
      </c>
      <c r="L290" s="71" t="s">
        <v>68</v>
      </c>
      <c r="M290" s="71" t="s">
        <v>142</v>
      </c>
      <c r="N290" s="71" t="s">
        <v>183</v>
      </c>
      <c r="O290" s="71" t="s">
        <v>70</v>
      </c>
      <c r="P290" s="71" t="s">
        <v>15</v>
      </c>
      <c r="Q290" s="71" t="s">
        <v>101</v>
      </c>
      <c r="R290" s="71" t="s">
        <v>110</v>
      </c>
    </row>
    <row r="291" spans="1:18">
      <c r="A291" s="71" t="str">
        <f>VLOOKUP(C291,classifications!C:F,4,FALSE)</f>
        <v>SD</v>
      </c>
      <c r="B291" s="71" t="s">
        <v>716</v>
      </c>
      <c r="C291" s="71" t="s">
        <v>22</v>
      </c>
      <c r="D291" s="71" t="s">
        <v>112</v>
      </c>
      <c r="E291" s="71" t="s">
        <v>154</v>
      </c>
      <c r="F291" s="71" t="s">
        <v>144</v>
      </c>
      <c r="G291" s="71" t="s">
        <v>344</v>
      </c>
      <c r="H291" s="71" t="s">
        <v>12</v>
      </c>
      <c r="I291" s="71" t="s">
        <v>149</v>
      </c>
      <c r="J291" s="71" t="s">
        <v>130</v>
      </c>
      <c r="K291" s="71" t="s">
        <v>103</v>
      </c>
      <c r="L291" s="71" t="s">
        <v>157</v>
      </c>
      <c r="M291" s="71" t="s">
        <v>153</v>
      </c>
      <c r="N291" s="71" t="s">
        <v>16</v>
      </c>
      <c r="O291" s="71" t="s">
        <v>94</v>
      </c>
      <c r="P291" s="71" t="s">
        <v>167</v>
      </c>
      <c r="Q291" s="71" t="s">
        <v>102</v>
      </c>
      <c r="R291" s="71" t="s">
        <v>148</v>
      </c>
    </row>
    <row r="292" spans="1:18">
      <c r="A292" s="71" t="str">
        <f>VLOOKUP(C292,classifications!C:F,4,FALSE)</f>
        <v>SD</v>
      </c>
      <c r="B292" s="71" t="s">
        <v>717</v>
      </c>
      <c r="C292" s="71" t="s">
        <v>76</v>
      </c>
      <c r="D292" s="71" t="s">
        <v>168</v>
      </c>
      <c r="E292" s="71" t="s">
        <v>176</v>
      </c>
      <c r="F292" s="71" t="s">
        <v>13</v>
      </c>
      <c r="G292" s="71" t="s">
        <v>51</v>
      </c>
      <c r="H292" s="71" t="s">
        <v>893</v>
      </c>
      <c r="I292" s="71" t="s">
        <v>83</v>
      </c>
      <c r="J292" s="71" t="s">
        <v>133</v>
      </c>
      <c r="K292" s="71" t="s">
        <v>36</v>
      </c>
      <c r="L292" s="71" t="s">
        <v>99</v>
      </c>
      <c r="M292" s="71" t="s">
        <v>165</v>
      </c>
      <c r="N292" s="71" t="s">
        <v>119</v>
      </c>
      <c r="O292" s="71" t="s">
        <v>6</v>
      </c>
      <c r="P292" s="71" t="s">
        <v>89</v>
      </c>
      <c r="Q292" s="71" t="s">
        <v>95</v>
      </c>
      <c r="R292" s="71" t="s">
        <v>195</v>
      </c>
    </row>
    <row r="293" spans="1:18">
      <c r="A293" s="71" t="str">
        <f>VLOOKUP(C293,classifications!C:F,4,FALSE)</f>
        <v>SD</v>
      </c>
      <c r="B293" s="71" t="s">
        <v>718</v>
      </c>
      <c r="C293" s="72" t="s">
        <v>375</v>
      </c>
      <c r="D293" s="71" t="s">
        <v>20</v>
      </c>
      <c r="E293" s="71" t="s">
        <v>148</v>
      </c>
      <c r="F293" s="71" t="s">
        <v>141</v>
      </c>
      <c r="G293" s="71" t="s">
        <v>345</v>
      </c>
      <c r="H293" s="71" t="s">
        <v>7</v>
      </c>
      <c r="I293" s="71" t="s">
        <v>184</v>
      </c>
      <c r="J293" s="71" t="s">
        <v>142</v>
      </c>
      <c r="K293" s="71" t="s">
        <v>101</v>
      </c>
      <c r="L293" s="71" t="s">
        <v>68</v>
      </c>
      <c r="M293" s="71" t="s">
        <v>152</v>
      </c>
      <c r="N293" s="71" t="s">
        <v>183</v>
      </c>
      <c r="O293" s="71" t="s">
        <v>57</v>
      </c>
      <c r="P293" s="71" t="s">
        <v>70</v>
      </c>
      <c r="Q293" s="71" t="s">
        <v>15</v>
      </c>
      <c r="R293" s="71" t="s">
        <v>144</v>
      </c>
    </row>
    <row r="294" spans="1:18">
      <c r="A294" s="71" t="str">
        <f>VLOOKUP(C294,classifications!C:F,4,FALSE)</f>
        <v>SD</v>
      </c>
      <c r="B294" s="71" t="s">
        <v>719</v>
      </c>
      <c r="C294" s="71" t="s">
        <v>113</v>
      </c>
      <c r="D294" s="71" t="s">
        <v>182</v>
      </c>
      <c r="E294" s="71" t="s">
        <v>127</v>
      </c>
      <c r="F294" s="71" t="s">
        <v>53</v>
      </c>
      <c r="G294" s="71" t="s">
        <v>170</v>
      </c>
      <c r="H294" s="71" t="s">
        <v>71</v>
      </c>
      <c r="I294" s="71" t="s">
        <v>164</v>
      </c>
      <c r="J294" s="71" t="s">
        <v>194</v>
      </c>
      <c r="K294" s="71" t="s">
        <v>186</v>
      </c>
      <c r="L294" s="71" t="s">
        <v>108</v>
      </c>
      <c r="M294" s="71" t="s">
        <v>140</v>
      </c>
      <c r="N294" s="71" t="s">
        <v>143</v>
      </c>
      <c r="O294" s="71" t="s">
        <v>165</v>
      </c>
      <c r="P294" s="71" t="s">
        <v>57</v>
      </c>
      <c r="Q294" s="71" t="s">
        <v>121</v>
      </c>
      <c r="R294" s="71" t="s">
        <v>37</v>
      </c>
    </row>
    <row r="295" spans="1:18">
      <c r="A295" s="71" t="str">
        <f>VLOOKUP(C295,classifications!C:F,4,FALSE)</f>
        <v>SD</v>
      </c>
      <c r="B295" s="71" t="s">
        <v>720</v>
      </c>
      <c r="C295" s="71" t="s">
        <v>117</v>
      </c>
      <c r="D295" s="71" t="s">
        <v>95</v>
      </c>
      <c r="E295" s="71" t="s">
        <v>90</v>
      </c>
      <c r="F295" s="71" t="s">
        <v>120</v>
      </c>
      <c r="G295" s="71" t="s">
        <v>66</v>
      </c>
      <c r="H295" s="71" t="s">
        <v>36</v>
      </c>
      <c r="I295" s="71" t="s">
        <v>80</v>
      </c>
      <c r="J295" s="71" t="s">
        <v>155</v>
      </c>
      <c r="K295" s="71" t="s">
        <v>190</v>
      </c>
      <c r="L295" s="71" t="s">
        <v>83</v>
      </c>
      <c r="M295" s="71" t="s">
        <v>180</v>
      </c>
      <c r="N295" s="71" t="s">
        <v>122</v>
      </c>
      <c r="O295" s="71" t="s">
        <v>73</v>
      </c>
      <c r="P295" s="71" t="s">
        <v>14</v>
      </c>
      <c r="Q295" s="71" t="s">
        <v>28</v>
      </c>
      <c r="R295" s="71" t="s">
        <v>76</v>
      </c>
    </row>
    <row r="296" spans="1:18">
      <c r="A296" s="71" t="str">
        <f>VLOOKUP(C296,classifications!C:F,4,FALSE)</f>
        <v>SD</v>
      </c>
      <c r="B296" s="71" t="s">
        <v>721</v>
      </c>
      <c r="C296" s="71" t="s">
        <v>144</v>
      </c>
      <c r="D296" s="71" t="s">
        <v>103</v>
      </c>
      <c r="E296" s="71" t="s">
        <v>12</v>
      </c>
      <c r="F296" s="71" t="s">
        <v>112</v>
      </c>
      <c r="G296" s="71" t="s">
        <v>22</v>
      </c>
      <c r="H296" s="71" t="s">
        <v>148</v>
      </c>
      <c r="I296" s="71" t="s">
        <v>192</v>
      </c>
      <c r="J296" s="71" t="s">
        <v>70</v>
      </c>
      <c r="K296" s="71" t="s">
        <v>109</v>
      </c>
      <c r="L296" s="71" t="s">
        <v>102</v>
      </c>
      <c r="M296" s="71" t="s">
        <v>78</v>
      </c>
      <c r="N296" s="71" t="s">
        <v>184</v>
      </c>
      <c r="O296" s="71" t="s">
        <v>157</v>
      </c>
      <c r="P296" s="71" t="s">
        <v>167</v>
      </c>
      <c r="Q296" s="71" t="s">
        <v>344</v>
      </c>
      <c r="R296" s="71" t="s">
        <v>130</v>
      </c>
    </row>
    <row r="297" spans="1:18">
      <c r="A297" s="71" t="str">
        <f>VLOOKUP(C297,classifications!C:F,4,FALSE)</f>
        <v>SD</v>
      </c>
      <c r="B297" s="71" t="s">
        <v>722</v>
      </c>
      <c r="C297" s="71" t="s">
        <v>45</v>
      </c>
      <c r="D297" s="71" t="s">
        <v>62</v>
      </c>
      <c r="E297" s="71" t="s">
        <v>132</v>
      </c>
      <c r="F297" s="71" t="s">
        <v>50</v>
      </c>
      <c r="G297" s="71" t="s">
        <v>181</v>
      </c>
      <c r="H297" s="71" t="s">
        <v>44</v>
      </c>
      <c r="I297" s="71" t="s">
        <v>123</v>
      </c>
      <c r="J297" s="71" t="s">
        <v>78</v>
      </c>
      <c r="K297" s="71" t="s">
        <v>140</v>
      </c>
      <c r="L297" s="71" t="s">
        <v>109</v>
      </c>
      <c r="M297" s="71" t="s">
        <v>101</v>
      </c>
      <c r="N297" s="71" t="s">
        <v>143</v>
      </c>
      <c r="O297" s="71" t="s">
        <v>12</v>
      </c>
      <c r="P297" s="71" t="s">
        <v>71</v>
      </c>
      <c r="Q297" s="71" t="s">
        <v>97</v>
      </c>
      <c r="R297" s="71" t="s">
        <v>156</v>
      </c>
    </row>
    <row r="298" spans="1:18">
      <c r="A298" s="71" t="str">
        <f>VLOOKUP(C298,classifications!C:F,4,FALSE)</f>
        <v>SD</v>
      </c>
      <c r="B298" s="71" t="s">
        <v>723</v>
      </c>
      <c r="C298" s="71" t="s">
        <v>78</v>
      </c>
      <c r="D298" s="71" t="s">
        <v>109</v>
      </c>
      <c r="E298" s="71" t="s">
        <v>12</v>
      </c>
      <c r="F298" s="71" t="s">
        <v>192</v>
      </c>
      <c r="G298" s="71" t="s">
        <v>156</v>
      </c>
      <c r="H298" s="71" t="s">
        <v>50</v>
      </c>
      <c r="I298" s="71" t="s">
        <v>44</v>
      </c>
      <c r="J298" s="71" t="s">
        <v>102</v>
      </c>
      <c r="K298" s="71" t="s">
        <v>97</v>
      </c>
      <c r="L298" s="71" t="s">
        <v>167</v>
      </c>
      <c r="M298" s="71" t="s">
        <v>62</v>
      </c>
      <c r="N298" s="71" t="s">
        <v>157</v>
      </c>
      <c r="O298" s="71" t="s">
        <v>98</v>
      </c>
      <c r="P298" s="71" t="s">
        <v>103</v>
      </c>
      <c r="Q298" s="71" t="s">
        <v>123</v>
      </c>
      <c r="R298" s="71" t="s">
        <v>94</v>
      </c>
    </row>
    <row r="299" spans="1:18">
      <c r="A299" s="71" t="str">
        <f>VLOOKUP(C299,classifications!C:F,4,FALSE)</f>
        <v>SD</v>
      </c>
      <c r="B299" s="71" t="s">
        <v>724</v>
      </c>
      <c r="C299" s="71" t="s">
        <v>124</v>
      </c>
      <c r="D299" s="71" t="s">
        <v>100</v>
      </c>
      <c r="E299" s="71" t="s">
        <v>97</v>
      </c>
      <c r="F299" s="71" t="s">
        <v>123</v>
      </c>
      <c r="G299" s="71" t="s">
        <v>79</v>
      </c>
      <c r="H299" s="71" t="s">
        <v>167</v>
      </c>
      <c r="I299" s="71" t="s">
        <v>78</v>
      </c>
      <c r="J299" s="71" t="s">
        <v>109</v>
      </c>
      <c r="K299" s="71" t="s">
        <v>157</v>
      </c>
      <c r="L299" s="71" t="s">
        <v>94</v>
      </c>
      <c r="M299" s="71" t="s">
        <v>102</v>
      </c>
      <c r="N299" s="71" t="s">
        <v>344</v>
      </c>
      <c r="O299" s="71" t="s">
        <v>12</v>
      </c>
      <c r="P299" s="71" t="s">
        <v>49</v>
      </c>
      <c r="Q299" s="71" t="s">
        <v>135</v>
      </c>
      <c r="R299" s="71" t="s">
        <v>103</v>
      </c>
    </row>
    <row r="300" spans="1:18">
      <c r="A300" s="71" t="str">
        <f>VLOOKUP(C300,classifications!C:F,4,FALSE)</f>
        <v>SD</v>
      </c>
      <c r="B300" s="71" t="s">
        <v>725</v>
      </c>
      <c r="C300" s="71" t="s">
        <v>133</v>
      </c>
      <c r="D300" s="71" t="s">
        <v>108</v>
      </c>
      <c r="E300" s="71" t="s">
        <v>194</v>
      </c>
      <c r="F300" s="71" t="s">
        <v>176</v>
      </c>
      <c r="G300" s="71" t="s">
        <v>893</v>
      </c>
      <c r="H300" s="71" t="s">
        <v>165</v>
      </c>
      <c r="I300" s="71" t="s">
        <v>92</v>
      </c>
      <c r="J300" s="71" t="s">
        <v>76</v>
      </c>
      <c r="K300" s="71" t="s">
        <v>51</v>
      </c>
      <c r="L300" s="71" t="s">
        <v>57</v>
      </c>
      <c r="M300" s="71" t="s">
        <v>71</v>
      </c>
      <c r="N300" s="71" t="s">
        <v>6</v>
      </c>
      <c r="O300" s="71" t="s">
        <v>168</v>
      </c>
      <c r="P300" s="71" t="s">
        <v>191</v>
      </c>
      <c r="Q300" s="71" t="s">
        <v>170</v>
      </c>
      <c r="R300" s="71" t="s">
        <v>13</v>
      </c>
    </row>
    <row r="301" spans="1:18">
      <c r="A301" s="71" t="str">
        <f>VLOOKUP(C301,classifications!C:F,4,FALSE)</f>
        <v>SD</v>
      </c>
      <c r="B301" s="71" t="s">
        <v>726</v>
      </c>
      <c r="C301" s="71" t="s">
        <v>81</v>
      </c>
      <c r="D301" s="71" t="s">
        <v>104</v>
      </c>
      <c r="E301" s="71" t="s">
        <v>96</v>
      </c>
      <c r="F301" s="71" t="s">
        <v>87</v>
      </c>
      <c r="G301" s="71" t="s">
        <v>174</v>
      </c>
      <c r="H301" s="71" t="s">
        <v>101</v>
      </c>
      <c r="I301" s="71" t="s">
        <v>33</v>
      </c>
      <c r="J301" s="71" t="s">
        <v>163</v>
      </c>
      <c r="K301" s="71" t="s">
        <v>56</v>
      </c>
      <c r="L301" s="71" t="s">
        <v>157</v>
      </c>
      <c r="M301" s="71" t="s">
        <v>55</v>
      </c>
      <c r="N301" s="71" t="s">
        <v>153</v>
      </c>
      <c r="O301" s="71" t="s">
        <v>156</v>
      </c>
      <c r="P301" s="71" t="s">
        <v>142</v>
      </c>
      <c r="Q301" s="71" t="s">
        <v>166</v>
      </c>
      <c r="R301" s="71" t="s">
        <v>148</v>
      </c>
    </row>
    <row r="302" spans="1:18">
      <c r="A302" s="71" t="str">
        <f>VLOOKUP(C302,classifications!C:F,4,FALSE)</f>
        <v>SD</v>
      </c>
      <c r="B302" s="71" t="s">
        <v>727</v>
      </c>
      <c r="C302" s="71" t="s">
        <v>132</v>
      </c>
      <c r="D302" s="71" t="s">
        <v>181</v>
      </c>
      <c r="E302" s="71" t="s">
        <v>50</v>
      </c>
      <c r="F302" s="71" t="s">
        <v>62</v>
      </c>
      <c r="G302" s="71" t="s">
        <v>45</v>
      </c>
      <c r="H302" s="71" t="s">
        <v>78</v>
      </c>
      <c r="I302" s="71" t="s">
        <v>44</v>
      </c>
      <c r="J302" s="71" t="s">
        <v>109</v>
      </c>
      <c r="K302" s="71" t="s">
        <v>97</v>
      </c>
      <c r="L302" s="71" t="s">
        <v>98</v>
      </c>
      <c r="M302" s="71" t="s">
        <v>123</v>
      </c>
      <c r="N302" s="71" t="s">
        <v>12</v>
      </c>
      <c r="O302" s="71" t="s">
        <v>101</v>
      </c>
      <c r="P302" s="71" t="s">
        <v>140</v>
      </c>
      <c r="Q302" s="71" t="s">
        <v>154</v>
      </c>
      <c r="R302" s="71" t="s">
        <v>100</v>
      </c>
    </row>
    <row r="303" spans="1:18">
      <c r="A303" s="71" t="str">
        <f>VLOOKUP(C303,classifications!C:F,4,FALSE)</f>
        <v>SD</v>
      </c>
      <c r="B303" s="71" t="s">
        <v>728</v>
      </c>
      <c r="C303" s="71" t="s">
        <v>135</v>
      </c>
      <c r="D303" s="71" t="s">
        <v>49</v>
      </c>
      <c r="E303" s="71" t="s">
        <v>115</v>
      </c>
      <c r="F303" s="71" t="s">
        <v>114</v>
      </c>
      <c r="G303" s="71" t="s">
        <v>167</v>
      </c>
      <c r="H303" s="71" t="s">
        <v>345</v>
      </c>
      <c r="I303" s="71" t="s">
        <v>139</v>
      </c>
      <c r="J303" s="71" t="s">
        <v>100</v>
      </c>
      <c r="K303" s="71" t="s">
        <v>344</v>
      </c>
      <c r="L303" s="71" t="s">
        <v>183</v>
      </c>
      <c r="M303" s="71" t="s">
        <v>94</v>
      </c>
      <c r="N303" s="71" t="s">
        <v>58</v>
      </c>
      <c r="O303" s="71" t="s">
        <v>152</v>
      </c>
      <c r="P303" s="71" t="s">
        <v>157</v>
      </c>
      <c r="Q303" s="71" t="s">
        <v>79</v>
      </c>
      <c r="R303" s="71" t="s">
        <v>124</v>
      </c>
    </row>
    <row r="304" spans="1:18">
      <c r="A304" s="71" t="e">
        <f>VLOOKUP(C304,classifications!C:F,4,FALSE)</f>
        <v>#N/A</v>
      </c>
      <c r="B304" s="71" t="s">
        <v>729</v>
      </c>
      <c r="C304" s="71" t="s">
        <v>43</v>
      </c>
      <c r="D304" s="71" t="s">
        <v>122</v>
      </c>
      <c r="E304" s="71" t="s">
        <v>161</v>
      </c>
      <c r="F304" s="71" t="s">
        <v>99</v>
      </c>
      <c r="G304" s="71" t="s">
        <v>346</v>
      </c>
      <c r="H304" s="71" t="s">
        <v>179</v>
      </c>
      <c r="I304" s="71" t="s">
        <v>9</v>
      </c>
      <c r="J304" s="71" t="s">
        <v>155</v>
      </c>
      <c r="K304" s="71" t="s">
        <v>91</v>
      </c>
      <c r="L304" s="71" t="s">
        <v>28</v>
      </c>
      <c r="M304" s="71" t="s">
        <v>73</v>
      </c>
      <c r="N304" s="71" t="s">
        <v>131</v>
      </c>
      <c r="O304" s="71" t="s">
        <v>89</v>
      </c>
      <c r="P304" s="71" t="s">
        <v>17</v>
      </c>
      <c r="Q304" s="71" t="s">
        <v>119</v>
      </c>
      <c r="R304" s="71" t="s">
        <v>18</v>
      </c>
    </row>
    <row r="305" spans="1:18">
      <c r="A305" s="71" t="e">
        <f>VLOOKUP(C305,classifications!C:F,4,FALSE)</f>
        <v>#N/A</v>
      </c>
      <c r="B305" s="71" t="s">
        <v>730</v>
      </c>
      <c r="C305" s="71" t="s">
        <v>49</v>
      </c>
      <c r="D305" s="71" t="s">
        <v>135</v>
      </c>
      <c r="E305" s="71" t="s">
        <v>115</v>
      </c>
      <c r="F305" s="71" t="s">
        <v>167</v>
      </c>
      <c r="G305" s="71" t="s">
        <v>79</v>
      </c>
      <c r="H305" s="71" t="s">
        <v>100</v>
      </c>
      <c r="I305" s="71" t="s">
        <v>114</v>
      </c>
      <c r="J305" s="71" t="s">
        <v>139</v>
      </c>
      <c r="K305" s="71" t="s">
        <v>166</v>
      </c>
      <c r="L305" s="71" t="s">
        <v>58</v>
      </c>
      <c r="M305" s="71" t="s">
        <v>124</v>
      </c>
      <c r="N305" s="71" t="s">
        <v>97</v>
      </c>
      <c r="O305" s="71" t="s">
        <v>157</v>
      </c>
      <c r="P305" s="71" t="s">
        <v>94</v>
      </c>
      <c r="Q305" s="71" t="s">
        <v>345</v>
      </c>
      <c r="R305" s="71" t="s">
        <v>344</v>
      </c>
    </row>
    <row r="306" spans="1:18">
      <c r="A306" s="71" t="e">
        <f>VLOOKUP(C306,classifications!C:F,4,FALSE)</f>
        <v>#N/A</v>
      </c>
      <c r="B306" s="71" t="s">
        <v>731</v>
      </c>
      <c r="C306" s="71" t="s">
        <v>58</v>
      </c>
      <c r="D306" s="71" t="s">
        <v>344</v>
      </c>
      <c r="E306" s="71" t="s">
        <v>139</v>
      </c>
      <c r="F306" s="71" t="s">
        <v>39</v>
      </c>
      <c r="G306" s="71" t="s">
        <v>94</v>
      </c>
      <c r="H306" s="71" t="s">
        <v>100</v>
      </c>
      <c r="I306" s="71" t="s">
        <v>147</v>
      </c>
      <c r="J306" s="71" t="s">
        <v>345</v>
      </c>
      <c r="K306" s="71" t="s">
        <v>128</v>
      </c>
      <c r="L306" s="71" t="s">
        <v>157</v>
      </c>
      <c r="M306" s="71" t="s">
        <v>91</v>
      </c>
      <c r="N306" s="71" t="s">
        <v>10</v>
      </c>
      <c r="O306" s="71" t="s">
        <v>102</v>
      </c>
      <c r="P306" s="71" t="s">
        <v>115</v>
      </c>
      <c r="Q306" s="71" t="s">
        <v>183</v>
      </c>
      <c r="R306" s="71" t="s">
        <v>142</v>
      </c>
    </row>
    <row r="307" spans="1:18">
      <c r="A307" s="71" t="e">
        <f>VLOOKUP(C307,classifications!C:F,4,FALSE)</f>
        <v>#N/A</v>
      </c>
      <c r="B307" s="71" t="s">
        <v>732</v>
      </c>
      <c r="C307" s="71" t="s">
        <v>91</v>
      </c>
      <c r="D307" s="71" t="s">
        <v>128</v>
      </c>
      <c r="E307" s="71" t="s">
        <v>59</v>
      </c>
      <c r="F307" s="71" t="s">
        <v>73</v>
      </c>
      <c r="G307" s="71" t="s">
        <v>346</v>
      </c>
      <c r="H307" s="71" t="s">
        <v>65</v>
      </c>
      <c r="I307" s="71" t="s">
        <v>39</v>
      </c>
      <c r="J307" s="71" t="s">
        <v>58</v>
      </c>
      <c r="K307" s="71" t="s">
        <v>86</v>
      </c>
      <c r="L307" s="71" t="s">
        <v>126</v>
      </c>
      <c r="M307" s="71" t="s">
        <v>72</v>
      </c>
      <c r="N307" s="71" t="s">
        <v>190</v>
      </c>
      <c r="O307" s="71" t="s">
        <v>179</v>
      </c>
      <c r="P307" s="71" t="s">
        <v>147</v>
      </c>
      <c r="Q307" s="71" t="s">
        <v>142</v>
      </c>
      <c r="R307" s="71" t="s">
        <v>19</v>
      </c>
    </row>
    <row r="308" spans="1:18">
      <c r="A308" s="71" t="e">
        <f>VLOOKUP(C308,classifications!C:F,4,FALSE)</f>
        <v>#N/A</v>
      </c>
      <c r="B308" s="71" t="s">
        <v>733</v>
      </c>
      <c r="C308" s="71" t="s">
        <v>116</v>
      </c>
      <c r="D308" s="71" t="s">
        <v>120</v>
      </c>
      <c r="E308" s="71" t="s">
        <v>14</v>
      </c>
      <c r="F308" s="71" t="s">
        <v>73</v>
      </c>
      <c r="G308" s="71" t="s">
        <v>90</v>
      </c>
      <c r="H308" s="71" t="s">
        <v>41</v>
      </c>
      <c r="I308" s="71" t="s">
        <v>131</v>
      </c>
      <c r="J308" s="71" t="s">
        <v>346</v>
      </c>
      <c r="K308" s="71" t="s">
        <v>190</v>
      </c>
      <c r="L308" s="71" t="s">
        <v>75</v>
      </c>
      <c r="M308" s="71" t="s">
        <v>122</v>
      </c>
      <c r="N308" s="71" t="s">
        <v>19</v>
      </c>
      <c r="O308" s="71" t="s">
        <v>96</v>
      </c>
      <c r="P308" s="71" t="s">
        <v>91</v>
      </c>
      <c r="Q308" s="71" t="s">
        <v>59</v>
      </c>
      <c r="R308" s="71" t="s">
        <v>32</v>
      </c>
    </row>
    <row r="309" spans="1:18">
      <c r="A309" s="71" t="e">
        <f>VLOOKUP(C309,classifications!C:F,4,FALSE)</f>
        <v>#N/A</v>
      </c>
      <c r="B309" s="71" t="s">
        <v>734</v>
      </c>
      <c r="C309" s="71" t="s">
        <v>145</v>
      </c>
      <c r="D309" s="71" t="s">
        <v>79</v>
      </c>
      <c r="E309" s="71" t="s">
        <v>103</v>
      </c>
      <c r="F309" s="71" t="s">
        <v>130</v>
      </c>
      <c r="G309" s="71" t="s">
        <v>172</v>
      </c>
      <c r="H309" s="71" t="s">
        <v>52</v>
      </c>
      <c r="I309" s="71" t="s">
        <v>185</v>
      </c>
      <c r="J309" s="71" t="s">
        <v>100</v>
      </c>
      <c r="K309" s="71" t="s">
        <v>124</v>
      </c>
      <c r="L309" s="71" t="s">
        <v>167</v>
      </c>
      <c r="M309" s="71" t="s">
        <v>144</v>
      </c>
      <c r="N309" s="71" t="s">
        <v>166</v>
      </c>
      <c r="O309" s="71" t="s">
        <v>146</v>
      </c>
      <c r="P309" s="71" t="s">
        <v>82</v>
      </c>
      <c r="Q309" s="71" t="s">
        <v>97</v>
      </c>
      <c r="R309" s="71" t="s">
        <v>55</v>
      </c>
    </row>
    <row r="310" spans="1:18">
      <c r="A310" s="71" t="e">
        <f>VLOOKUP(C310,classifications!C:F,4,FALSE)</f>
        <v>#N/A</v>
      </c>
      <c r="B310" s="71" t="s">
        <v>735</v>
      </c>
      <c r="C310" s="71" t="s">
        <v>179</v>
      </c>
      <c r="D310" s="71" t="s">
        <v>128</v>
      </c>
      <c r="E310" s="71" t="s">
        <v>91</v>
      </c>
      <c r="F310" s="71" t="s">
        <v>59</v>
      </c>
      <c r="G310" s="71" t="s">
        <v>75</v>
      </c>
      <c r="H310" s="71" t="s">
        <v>122</v>
      </c>
      <c r="I310" s="71" t="s">
        <v>69</v>
      </c>
      <c r="J310" s="71" t="s">
        <v>161</v>
      </c>
      <c r="K310" s="71" t="s">
        <v>152</v>
      </c>
      <c r="L310" s="71" t="s">
        <v>73</v>
      </c>
      <c r="M310" s="71" t="s">
        <v>10</v>
      </c>
      <c r="N310" s="71" t="s">
        <v>68</v>
      </c>
      <c r="O310" s="71" t="s">
        <v>58</v>
      </c>
      <c r="P310" s="71" t="s">
        <v>15</v>
      </c>
      <c r="Q310" s="71" t="s">
        <v>65</v>
      </c>
      <c r="R310" s="71" t="s">
        <v>195</v>
      </c>
    </row>
    <row r="311" spans="1:18">
      <c r="A311" s="71" t="str">
        <f>VLOOKUP(C311,classifications!C:F,4,FALSE)</f>
        <v>SD</v>
      </c>
      <c r="B311" s="71" t="s">
        <v>736</v>
      </c>
      <c r="C311" s="71" t="s">
        <v>9</v>
      </c>
      <c r="D311" s="71" t="s">
        <v>99</v>
      </c>
      <c r="E311" s="71" t="s">
        <v>346</v>
      </c>
      <c r="F311" s="71" t="s">
        <v>28</v>
      </c>
      <c r="G311" s="71" t="s">
        <v>17</v>
      </c>
      <c r="H311" s="71" t="s">
        <v>65</v>
      </c>
      <c r="I311" s="71" t="s">
        <v>107</v>
      </c>
      <c r="J311" s="71" t="s">
        <v>15</v>
      </c>
      <c r="K311" s="71" t="s">
        <v>30</v>
      </c>
      <c r="L311" s="71" t="s">
        <v>126</v>
      </c>
      <c r="M311" s="71" t="s">
        <v>36</v>
      </c>
      <c r="N311" s="71" t="s">
        <v>161</v>
      </c>
      <c r="O311" s="71" t="s">
        <v>91</v>
      </c>
      <c r="P311" s="71" t="s">
        <v>119</v>
      </c>
      <c r="Q311" s="71" t="s">
        <v>7</v>
      </c>
      <c r="R311" s="71" t="s">
        <v>89</v>
      </c>
    </row>
    <row r="312" spans="1:18">
      <c r="A312" s="71" t="str">
        <f>VLOOKUP(C312,classifications!C:F,4,FALSE)</f>
        <v>SD</v>
      </c>
      <c r="B312" s="71" t="s">
        <v>737</v>
      </c>
      <c r="C312" s="71" t="s">
        <v>15</v>
      </c>
      <c r="D312" s="71" t="s">
        <v>345</v>
      </c>
      <c r="E312" s="71" t="s">
        <v>30</v>
      </c>
      <c r="F312" s="71" t="s">
        <v>7</v>
      </c>
      <c r="G312" s="71" t="s">
        <v>115</v>
      </c>
      <c r="H312" s="71" t="s">
        <v>183</v>
      </c>
      <c r="I312" s="71" t="s">
        <v>42</v>
      </c>
      <c r="J312" s="71" t="s">
        <v>59</v>
      </c>
      <c r="K312" s="71" t="s">
        <v>195</v>
      </c>
      <c r="L312" s="71" t="s">
        <v>107</v>
      </c>
      <c r="M312" s="71" t="s">
        <v>152</v>
      </c>
      <c r="N312" s="71" t="s">
        <v>65</v>
      </c>
      <c r="O312" s="71" t="s">
        <v>142</v>
      </c>
      <c r="P312" s="71" t="s">
        <v>68</v>
      </c>
      <c r="Q312" s="71" t="s">
        <v>86</v>
      </c>
      <c r="R312" s="71" t="s">
        <v>39</v>
      </c>
    </row>
    <row r="313" spans="1:18">
      <c r="A313" s="71" t="str">
        <f>VLOOKUP(C313,classifications!C:F,4,FALSE)</f>
        <v>SD</v>
      </c>
      <c r="B313" s="71" t="s">
        <v>738</v>
      </c>
      <c r="C313" s="71" t="s">
        <v>25</v>
      </c>
      <c r="D313" s="71" t="s">
        <v>72</v>
      </c>
      <c r="E313" s="71" t="s">
        <v>65</v>
      </c>
      <c r="F313" s="71" t="s">
        <v>7</v>
      </c>
      <c r="G313" s="71" t="s">
        <v>31</v>
      </c>
      <c r="H313" s="71" t="s">
        <v>147</v>
      </c>
      <c r="I313" s="71" t="s">
        <v>39</v>
      </c>
      <c r="J313" s="71" t="s">
        <v>344</v>
      </c>
      <c r="K313" s="71" t="s">
        <v>86</v>
      </c>
      <c r="L313" s="71" t="s">
        <v>107</v>
      </c>
      <c r="M313" s="71" t="s">
        <v>142</v>
      </c>
      <c r="N313" s="71" t="s">
        <v>154</v>
      </c>
      <c r="O313" s="71" t="s">
        <v>32</v>
      </c>
      <c r="P313" s="71" t="s">
        <v>195</v>
      </c>
      <c r="Q313" s="71" t="s">
        <v>347</v>
      </c>
      <c r="R313" s="71" t="s">
        <v>149</v>
      </c>
    </row>
    <row r="314" spans="1:18">
      <c r="A314" s="71" t="str">
        <f>VLOOKUP(C314,classifications!C:F,4,FALSE)</f>
        <v>SD</v>
      </c>
      <c r="B314" s="71" t="s">
        <v>739</v>
      </c>
      <c r="C314" s="71" t="s">
        <v>72</v>
      </c>
      <c r="D314" s="71" t="s">
        <v>65</v>
      </c>
      <c r="E314" s="71" t="s">
        <v>25</v>
      </c>
      <c r="F314" s="71" t="s">
        <v>147</v>
      </c>
      <c r="G314" s="71" t="s">
        <v>31</v>
      </c>
      <c r="H314" s="71" t="s">
        <v>39</v>
      </c>
      <c r="I314" s="71" t="s">
        <v>344</v>
      </c>
      <c r="J314" s="71" t="s">
        <v>7</v>
      </c>
      <c r="K314" s="71" t="s">
        <v>91</v>
      </c>
      <c r="L314" s="71" t="s">
        <v>142</v>
      </c>
      <c r="M314" s="71" t="s">
        <v>195</v>
      </c>
      <c r="N314" s="71" t="s">
        <v>86</v>
      </c>
      <c r="O314" s="71" t="s">
        <v>94</v>
      </c>
      <c r="P314" s="71" t="s">
        <v>107</v>
      </c>
      <c r="Q314" s="71" t="s">
        <v>149</v>
      </c>
      <c r="R314" s="71" t="s">
        <v>183</v>
      </c>
    </row>
    <row r="315" spans="1:18">
      <c r="A315" s="71" t="str">
        <f>VLOOKUP(C315,classifications!C:F,4,FALSE)</f>
        <v>SD</v>
      </c>
      <c r="B315" s="71" t="s">
        <v>740</v>
      </c>
      <c r="C315" s="71" t="s">
        <v>99</v>
      </c>
      <c r="D315" s="71" t="s">
        <v>9</v>
      </c>
      <c r="E315" s="71" t="s">
        <v>346</v>
      </c>
      <c r="F315" s="71" t="s">
        <v>28</v>
      </c>
      <c r="G315" s="71" t="s">
        <v>36</v>
      </c>
      <c r="H315" s="71" t="s">
        <v>65</v>
      </c>
      <c r="I315" s="71" t="s">
        <v>30</v>
      </c>
      <c r="J315" s="71" t="s">
        <v>107</v>
      </c>
      <c r="K315" s="71" t="s">
        <v>17</v>
      </c>
      <c r="L315" s="71" t="s">
        <v>195</v>
      </c>
      <c r="M315" s="71" t="s">
        <v>15</v>
      </c>
      <c r="N315" s="71" t="s">
        <v>161</v>
      </c>
      <c r="O315" s="71" t="s">
        <v>119</v>
      </c>
      <c r="P315" s="71" t="s">
        <v>91</v>
      </c>
      <c r="Q315" s="71" t="s">
        <v>126</v>
      </c>
      <c r="R315" s="71" t="s">
        <v>190</v>
      </c>
    </row>
    <row r="316" spans="1:18">
      <c r="A316" s="71" t="str">
        <f>VLOOKUP(C316,classifications!C:F,4,FALSE)</f>
        <v>SD</v>
      </c>
      <c r="B316" s="71" t="s">
        <v>741</v>
      </c>
      <c r="C316" s="71" t="s">
        <v>345</v>
      </c>
      <c r="D316" s="71" t="s">
        <v>183</v>
      </c>
      <c r="E316" s="71" t="s">
        <v>7</v>
      </c>
      <c r="F316" s="71" t="s">
        <v>15</v>
      </c>
      <c r="G316" s="71" t="s">
        <v>142</v>
      </c>
      <c r="H316" s="71" t="s">
        <v>39</v>
      </c>
      <c r="I316" s="71" t="s">
        <v>115</v>
      </c>
      <c r="J316" s="71" t="s">
        <v>344</v>
      </c>
      <c r="K316" s="71" t="s">
        <v>184</v>
      </c>
      <c r="L316" s="71" t="s">
        <v>152</v>
      </c>
      <c r="M316" s="71" t="s">
        <v>86</v>
      </c>
      <c r="N316" s="71" t="s">
        <v>20</v>
      </c>
      <c r="O316" s="71" t="s">
        <v>58</v>
      </c>
      <c r="P316" s="71" t="s">
        <v>19</v>
      </c>
      <c r="Q316" s="71" t="s">
        <v>157</v>
      </c>
      <c r="R316" s="71" t="s">
        <v>94</v>
      </c>
    </row>
    <row r="317" spans="1:18">
      <c r="A317" s="71" t="str">
        <f>VLOOKUP(C317,classifications!C:F,4,FALSE)</f>
        <v>SD</v>
      </c>
      <c r="B317" s="71" t="s">
        <v>742</v>
      </c>
      <c r="C317" s="71" t="s">
        <v>130</v>
      </c>
      <c r="D317" s="71" t="s">
        <v>79</v>
      </c>
      <c r="E317" s="71" t="s">
        <v>94</v>
      </c>
      <c r="F317" s="71" t="s">
        <v>167</v>
      </c>
      <c r="G317" s="71" t="s">
        <v>157</v>
      </c>
      <c r="H317" s="71" t="s">
        <v>23</v>
      </c>
      <c r="I317" s="71" t="s">
        <v>344</v>
      </c>
      <c r="J317" s="71" t="s">
        <v>16</v>
      </c>
      <c r="K317" s="71" t="s">
        <v>55</v>
      </c>
      <c r="L317" s="71" t="s">
        <v>145</v>
      </c>
      <c r="M317" s="71" t="s">
        <v>185</v>
      </c>
      <c r="N317" s="71" t="s">
        <v>166</v>
      </c>
      <c r="O317" s="71" t="s">
        <v>12</v>
      </c>
      <c r="P317" s="71" t="s">
        <v>97</v>
      </c>
      <c r="Q317" s="71" t="s">
        <v>153</v>
      </c>
      <c r="R317" s="71" t="s">
        <v>78</v>
      </c>
    </row>
    <row r="318" spans="1:18">
      <c r="A318" s="71" t="str">
        <f>VLOOKUP(C318,classifications!C:F,4,FALSE)</f>
        <v>SD</v>
      </c>
      <c r="B318" s="71" t="s">
        <v>743</v>
      </c>
      <c r="C318" s="71" t="s">
        <v>35</v>
      </c>
      <c r="D318" s="71" t="s">
        <v>88</v>
      </c>
      <c r="E318" s="71" t="s">
        <v>96</v>
      </c>
      <c r="F318" s="71" t="s">
        <v>128</v>
      </c>
      <c r="G318" s="71" t="s">
        <v>11</v>
      </c>
      <c r="H318" s="71" t="s">
        <v>166</v>
      </c>
      <c r="I318" s="71" t="s">
        <v>173</v>
      </c>
      <c r="J318" s="71" t="s">
        <v>342</v>
      </c>
      <c r="K318" s="71" t="s">
        <v>10</v>
      </c>
      <c r="L318" s="71" t="s">
        <v>193</v>
      </c>
      <c r="M318" s="71" t="s">
        <v>33</v>
      </c>
      <c r="N318" s="71" t="s">
        <v>185</v>
      </c>
      <c r="O318" s="71" t="s">
        <v>41</v>
      </c>
      <c r="P318" s="71" t="s">
        <v>146</v>
      </c>
      <c r="Q318" s="71" t="s">
        <v>111</v>
      </c>
      <c r="R318" s="71" t="s">
        <v>152</v>
      </c>
    </row>
    <row r="319" spans="1:18">
      <c r="A319" s="71" t="str">
        <f>VLOOKUP(C319,classifications!C:F,4,FALSE)</f>
        <v>SD</v>
      </c>
      <c r="B319" s="71" t="s">
        <v>744</v>
      </c>
      <c r="C319" s="71" t="s">
        <v>118</v>
      </c>
      <c r="D319" s="71" t="s">
        <v>27</v>
      </c>
      <c r="E319" s="71" t="s">
        <v>175</v>
      </c>
      <c r="F319" s="71" t="s">
        <v>131</v>
      </c>
      <c r="G319" s="71" t="s">
        <v>180</v>
      </c>
      <c r="H319" s="71" t="s">
        <v>66</v>
      </c>
      <c r="I319" s="71" t="s">
        <v>34</v>
      </c>
      <c r="J319" s="71" t="s">
        <v>46</v>
      </c>
      <c r="K319" s="71" t="s">
        <v>116</v>
      </c>
      <c r="L319" s="71" t="s">
        <v>174</v>
      </c>
      <c r="M319" s="71" t="s">
        <v>41</v>
      </c>
      <c r="N319" s="71" t="s">
        <v>189</v>
      </c>
      <c r="O319" s="71" t="s">
        <v>47</v>
      </c>
      <c r="P319" s="71" t="s">
        <v>155</v>
      </c>
      <c r="Q319" s="71" t="s">
        <v>120</v>
      </c>
      <c r="R319" s="71" t="s">
        <v>48</v>
      </c>
    </row>
    <row r="320" spans="1:18">
      <c r="A320" s="71" t="str">
        <f>VLOOKUP(C320,classifications!C:F,4,FALSE)</f>
        <v>SD</v>
      </c>
      <c r="B320" s="71" t="s">
        <v>745</v>
      </c>
      <c r="C320" s="71" t="s">
        <v>146</v>
      </c>
      <c r="D320" s="71" t="s">
        <v>136</v>
      </c>
      <c r="E320" s="71" t="s">
        <v>55</v>
      </c>
      <c r="F320" s="71" t="s">
        <v>185</v>
      </c>
      <c r="G320" s="71" t="s">
        <v>166</v>
      </c>
      <c r="H320" s="71" t="s">
        <v>173</v>
      </c>
      <c r="I320" s="71" t="s">
        <v>11</v>
      </c>
      <c r="J320" s="71" t="s">
        <v>56</v>
      </c>
      <c r="K320" s="71" t="s">
        <v>188</v>
      </c>
      <c r="L320" s="71" t="s">
        <v>64</v>
      </c>
      <c r="M320" s="71" t="s">
        <v>87</v>
      </c>
      <c r="N320" s="71" t="s">
        <v>138</v>
      </c>
      <c r="O320" s="71" t="s">
        <v>79</v>
      </c>
      <c r="P320" s="71" t="s">
        <v>104</v>
      </c>
      <c r="Q320" s="71" t="s">
        <v>82</v>
      </c>
      <c r="R320" s="71" t="s">
        <v>130</v>
      </c>
    </row>
    <row r="321" spans="1:18">
      <c r="A321" s="71" t="str">
        <f>VLOOKUP(C321,classifications!C:F,4,FALSE)</f>
        <v>SD</v>
      </c>
      <c r="B321" s="71" t="s">
        <v>746</v>
      </c>
      <c r="C321" s="71" t="s">
        <v>173</v>
      </c>
      <c r="D321" s="71" t="s">
        <v>166</v>
      </c>
      <c r="E321" s="71" t="s">
        <v>146</v>
      </c>
      <c r="F321" s="71" t="s">
        <v>188</v>
      </c>
      <c r="G321" s="71" t="s">
        <v>185</v>
      </c>
      <c r="H321" s="71" t="s">
        <v>136</v>
      </c>
      <c r="I321" s="71" t="s">
        <v>55</v>
      </c>
      <c r="J321" s="71" t="s">
        <v>138</v>
      </c>
      <c r="K321" s="71" t="s">
        <v>35</v>
      </c>
      <c r="L321" s="71" t="s">
        <v>56</v>
      </c>
      <c r="M321" s="71" t="s">
        <v>349</v>
      </c>
      <c r="N321" s="71" t="s">
        <v>167</v>
      </c>
      <c r="O321" s="71" t="s">
        <v>64</v>
      </c>
      <c r="P321" s="71" t="s">
        <v>193</v>
      </c>
      <c r="Q321" s="71" t="s">
        <v>11</v>
      </c>
      <c r="R321" s="71" t="s">
        <v>104</v>
      </c>
    </row>
    <row r="322" spans="1:18">
      <c r="A322" s="71" t="str">
        <f>VLOOKUP(C322,classifications!C:F,4,FALSE)</f>
        <v>SD</v>
      </c>
      <c r="B322" s="71" t="s">
        <v>747</v>
      </c>
      <c r="C322" s="71" t="s">
        <v>185</v>
      </c>
      <c r="D322" s="71" t="s">
        <v>166</v>
      </c>
      <c r="E322" s="71" t="s">
        <v>146</v>
      </c>
      <c r="F322" s="71" t="s">
        <v>55</v>
      </c>
      <c r="G322" s="71" t="s">
        <v>173</v>
      </c>
      <c r="H322" s="71" t="s">
        <v>136</v>
      </c>
      <c r="I322" s="71" t="s">
        <v>157</v>
      </c>
      <c r="J322" s="71" t="s">
        <v>167</v>
      </c>
      <c r="K322" s="71" t="s">
        <v>79</v>
      </c>
      <c r="L322" s="71" t="s">
        <v>130</v>
      </c>
      <c r="M322" s="71" t="s">
        <v>97</v>
      </c>
      <c r="N322" s="71" t="s">
        <v>188</v>
      </c>
      <c r="O322" s="71" t="s">
        <v>64</v>
      </c>
      <c r="P322" s="71" t="s">
        <v>78</v>
      </c>
      <c r="Q322" s="71" t="s">
        <v>156</v>
      </c>
      <c r="R322" s="71" t="s">
        <v>145</v>
      </c>
    </row>
    <row r="323" spans="1:18">
      <c r="A323" s="71" t="str">
        <f>VLOOKUP(C323,classifications!C:F,4,FALSE)</f>
        <v>SD</v>
      </c>
      <c r="B323" s="71" t="s">
        <v>748</v>
      </c>
      <c r="C323" s="71" t="s">
        <v>101</v>
      </c>
      <c r="D323" s="71" t="s">
        <v>163</v>
      </c>
      <c r="E323" s="71" t="s">
        <v>152</v>
      </c>
      <c r="F323" s="71" t="s">
        <v>157</v>
      </c>
      <c r="G323" s="71" t="s">
        <v>142</v>
      </c>
      <c r="H323" s="71" t="s">
        <v>102</v>
      </c>
      <c r="I323" s="71" t="s">
        <v>12</v>
      </c>
      <c r="J323" s="71" t="s">
        <v>148</v>
      </c>
      <c r="K323" s="71" t="s">
        <v>153</v>
      </c>
      <c r="L323" s="71" t="s">
        <v>109</v>
      </c>
      <c r="M323" s="71" t="s">
        <v>345</v>
      </c>
      <c r="N323" s="71" t="s">
        <v>94</v>
      </c>
      <c r="O323" s="71" t="s">
        <v>344</v>
      </c>
      <c r="P323" s="71" t="s">
        <v>10</v>
      </c>
      <c r="Q323" s="71" t="s">
        <v>86</v>
      </c>
      <c r="R323" s="71" t="s">
        <v>58</v>
      </c>
    </row>
    <row r="324" spans="1:18">
      <c r="A324" s="71" t="str">
        <f>VLOOKUP(C324,classifications!C:F,4,FALSE)</f>
        <v>SD</v>
      </c>
      <c r="B324" s="71" t="s">
        <v>749</v>
      </c>
      <c r="C324" s="71" t="s">
        <v>134</v>
      </c>
      <c r="D324" s="71" t="s">
        <v>51</v>
      </c>
      <c r="E324" s="71" t="s">
        <v>164</v>
      </c>
      <c r="F324" s="71" t="s">
        <v>108</v>
      </c>
      <c r="G324" s="71" t="s">
        <v>170</v>
      </c>
      <c r="H324" s="71" t="s">
        <v>93</v>
      </c>
      <c r="I324" s="71" t="s">
        <v>101</v>
      </c>
      <c r="J324" s="71" t="s">
        <v>160</v>
      </c>
      <c r="K324" s="71" t="s">
        <v>7</v>
      </c>
      <c r="L324" s="71" t="s">
        <v>893</v>
      </c>
      <c r="M324" s="71" t="s">
        <v>142</v>
      </c>
      <c r="N324" s="71" t="s">
        <v>152</v>
      </c>
      <c r="O324" s="71" t="s">
        <v>345</v>
      </c>
      <c r="P324" s="71" t="s">
        <v>163</v>
      </c>
      <c r="Q324" s="71" t="s">
        <v>183</v>
      </c>
      <c r="R324" s="71" t="s">
        <v>158</v>
      </c>
    </row>
    <row r="325" spans="1:18">
      <c r="A325" s="71" t="e">
        <f>VLOOKUP(C325,classifications!C:F,4,FALSE)</f>
        <v>#N/A</v>
      </c>
      <c r="B325" s="71" t="s">
        <v>750</v>
      </c>
      <c r="C325" s="71" t="s">
        <v>163</v>
      </c>
      <c r="D325" s="71" t="s">
        <v>101</v>
      </c>
      <c r="E325" s="71" t="s">
        <v>152</v>
      </c>
      <c r="F325" s="71" t="s">
        <v>157</v>
      </c>
      <c r="G325" s="71" t="s">
        <v>142</v>
      </c>
      <c r="H325" s="71" t="s">
        <v>153</v>
      </c>
      <c r="I325" s="71" t="s">
        <v>148</v>
      </c>
      <c r="J325" s="71" t="s">
        <v>102</v>
      </c>
      <c r="K325" s="71" t="s">
        <v>94</v>
      </c>
      <c r="L325" s="71" t="s">
        <v>12</v>
      </c>
      <c r="M325" s="71" t="s">
        <v>167</v>
      </c>
      <c r="N325" s="71" t="s">
        <v>128</v>
      </c>
      <c r="O325" s="71" t="s">
        <v>345</v>
      </c>
      <c r="P325" s="71" t="s">
        <v>111</v>
      </c>
      <c r="Q325" s="71" t="s">
        <v>195</v>
      </c>
      <c r="R325" s="71" t="s">
        <v>192</v>
      </c>
    </row>
    <row r="326" spans="1:18">
      <c r="A326" s="71" t="str">
        <f>VLOOKUP(C326,classifications!C:F,4,FALSE)</f>
        <v>SD</v>
      </c>
      <c r="B326" s="71" t="s">
        <v>751</v>
      </c>
      <c r="C326" s="71" t="s">
        <v>148</v>
      </c>
      <c r="D326" s="71" t="s">
        <v>375</v>
      </c>
      <c r="E326" s="71" t="s">
        <v>101</v>
      </c>
      <c r="F326" s="71" t="s">
        <v>192</v>
      </c>
      <c r="G326" s="71" t="s">
        <v>163</v>
      </c>
      <c r="H326" s="71" t="s">
        <v>144</v>
      </c>
      <c r="I326" s="71" t="s">
        <v>20</v>
      </c>
      <c r="J326" s="71" t="s">
        <v>12</v>
      </c>
      <c r="K326" s="71" t="s">
        <v>152</v>
      </c>
      <c r="L326" s="71" t="s">
        <v>153</v>
      </c>
      <c r="M326" s="71" t="s">
        <v>142</v>
      </c>
      <c r="N326" s="71" t="s">
        <v>157</v>
      </c>
      <c r="O326" s="71" t="s">
        <v>345</v>
      </c>
      <c r="P326" s="71" t="s">
        <v>81</v>
      </c>
      <c r="Q326" s="71" t="s">
        <v>102</v>
      </c>
      <c r="R326" s="71" t="s">
        <v>156</v>
      </c>
    </row>
    <row r="327" spans="1:18">
      <c r="A327" s="71" t="e">
        <f>VLOOKUP(C327,classifications!C:F,4,FALSE)</f>
        <v>#N/A</v>
      </c>
      <c r="B327" s="71" t="s">
        <v>752</v>
      </c>
      <c r="C327" s="71" t="s">
        <v>186</v>
      </c>
      <c r="D327" s="71" t="s">
        <v>113</v>
      </c>
      <c r="E327" s="71" t="s">
        <v>132</v>
      </c>
      <c r="F327" s="71" t="s">
        <v>182</v>
      </c>
      <c r="G327" s="71" t="s">
        <v>45</v>
      </c>
      <c r="H327" s="71" t="s">
        <v>181</v>
      </c>
      <c r="I327" s="71" t="s">
        <v>127</v>
      </c>
      <c r="J327" s="71" t="s">
        <v>40</v>
      </c>
      <c r="K327" s="71" t="s">
        <v>121</v>
      </c>
      <c r="L327" s="71" t="s">
        <v>50</v>
      </c>
      <c r="M327" s="71" t="s">
        <v>62</v>
      </c>
      <c r="N327" s="71" t="s">
        <v>44</v>
      </c>
      <c r="O327" s="71" t="s">
        <v>98</v>
      </c>
      <c r="P327" s="71" t="s">
        <v>71</v>
      </c>
      <c r="Q327" s="71" t="s">
        <v>140</v>
      </c>
      <c r="R327" s="71" t="s">
        <v>170</v>
      </c>
    </row>
    <row r="328" spans="1:18">
      <c r="A328" s="71" t="str">
        <f>VLOOKUP(C328,classifications!C:F,4,FALSE)</f>
        <v>SD</v>
      </c>
      <c r="B328" s="71" t="s">
        <v>753</v>
      </c>
      <c r="C328" s="71" t="s">
        <v>28</v>
      </c>
      <c r="D328" s="71" t="s">
        <v>99</v>
      </c>
      <c r="E328" s="71" t="s">
        <v>161</v>
      </c>
      <c r="F328" s="71" t="s">
        <v>346</v>
      </c>
      <c r="G328" s="71" t="s">
        <v>190</v>
      </c>
      <c r="H328" s="71" t="s">
        <v>9</v>
      </c>
      <c r="I328" s="71" t="s">
        <v>65</v>
      </c>
      <c r="J328" s="71" t="s">
        <v>30</v>
      </c>
      <c r="K328" s="71" t="s">
        <v>36</v>
      </c>
      <c r="L328" s="71" t="s">
        <v>107</v>
      </c>
      <c r="M328" s="71" t="s">
        <v>91</v>
      </c>
      <c r="N328" s="71" t="s">
        <v>126</v>
      </c>
      <c r="O328" s="71" t="s">
        <v>122</v>
      </c>
      <c r="P328" s="71" t="s">
        <v>73</v>
      </c>
      <c r="Q328" s="71" t="s">
        <v>195</v>
      </c>
      <c r="R328" s="71" t="s">
        <v>86</v>
      </c>
    </row>
    <row r="329" spans="1:18">
      <c r="A329" s="71" t="str">
        <f>VLOOKUP(C329,classifications!C:F,4,FALSE)</f>
        <v>SD</v>
      </c>
      <c r="B329" s="71" t="s">
        <v>754</v>
      </c>
      <c r="C329" s="71" t="s">
        <v>59</v>
      </c>
      <c r="D329" s="71" t="s">
        <v>91</v>
      </c>
      <c r="E329" s="71" t="s">
        <v>128</v>
      </c>
      <c r="F329" s="71" t="s">
        <v>15</v>
      </c>
      <c r="G329" s="71" t="s">
        <v>152</v>
      </c>
      <c r="H329" s="71" t="s">
        <v>142</v>
      </c>
      <c r="I329" s="71" t="s">
        <v>30</v>
      </c>
      <c r="J329" s="71" t="s">
        <v>115</v>
      </c>
      <c r="K329" s="71" t="s">
        <v>86</v>
      </c>
      <c r="L329" s="71" t="s">
        <v>73</v>
      </c>
      <c r="M329" s="71" t="s">
        <v>345</v>
      </c>
      <c r="N329" s="71" t="s">
        <v>7</v>
      </c>
      <c r="O329" s="71" t="s">
        <v>190</v>
      </c>
      <c r="P329" s="71" t="s">
        <v>179</v>
      </c>
      <c r="Q329" s="71" t="s">
        <v>39</v>
      </c>
      <c r="R329" s="71" t="s">
        <v>65</v>
      </c>
    </row>
    <row r="330" spans="1:18">
      <c r="A330" s="71" t="str">
        <f>VLOOKUP(C330,classifications!C:F,4,FALSE)</f>
        <v>SD</v>
      </c>
      <c r="B330" s="71" t="s">
        <v>755</v>
      </c>
      <c r="C330" s="71" t="s">
        <v>94</v>
      </c>
      <c r="D330" s="71" t="s">
        <v>153</v>
      </c>
      <c r="E330" s="71" t="s">
        <v>344</v>
      </c>
      <c r="F330" s="71" t="s">
        <v>149</v>
      </c>
      <c r="G330" s="71" t="s">
        <v>157</v>
      </c>
      <c r="H330" s="71" t="s">
        <v>147</v>
      </c>
      <c r="I330" s="71" t="s">
        <v>23</v>
      </c>
      <c r="J330" s="71" t="s">
        <v>167</v>
      </c>
      <c r="K330" s="71" t="s">
        <v>58</v>
      </c>
      <c r="L330" s="71" t="s">
        <v>183</v>
      </c>
      <c r="M330" s="71" t="s">
        <v>142</v>
      </c>
      <c r="N330" s="71" t="s">
        <v>97</v>
      </c>
      <c r="O330" s="71" t="s">
        <v>154</v>
      </c>
      <c r="P330" s="71" t="s">
        <v>39</v>
      </c>
      <c r="Q330" s="71" t="s">
        <v>130</v>
      </c>
      <c r="R330" s="71" t="s">
        <v>152</v>
      </c>
    </row>
    <row r="331" spans="1:18">
      <c r="A331" s="71" t="str">
        <f>VLOOKUP(C331,classifications!C:F,4,FALSE)</f>
        <v>SD</v>
      </c>
      <c r="B331" s="71" t="s">
        <v>756</v>
      </c>
      <c r="C331" s="71" t="s">
        <v>107</v>
      </c>
      <c r="D331" s="71" t="s">
        <v>30</v>
      </c>
      <c r="E331" s="71" t="s">
        <v>65</v>
      </c>
      <c r="F331" s="71" t="s">
        <v>195</v>
      </c>
      <c r="G331" s="71" t="s">
        <v>7</v>
      </c>
      <c r="H331" s="71" t="s">
        <v>110</v>
      </c>
      <c r="I331" s="71" t="s">
        <v>99</v>
      </c>
      <c r="J331" s="71" t="s">
        <v>15</v>
      </c>
      <c r="K331" s="71" t="s">
        <v>39</v>
      </c>
      <c r="L331" s="71" t="s">
        <v>28</v>
      </c>
      <c r="M331" s="71" t="s">
        <v>345</v>
      </c>
      <c r="N331" s="71" t="s">
        <v>183</v>
      </c>
      <c r="O331" s="71" t="s">
        <v>346</v>
      </c>
      <c r="P331" s="71" t="s">
        <v>86</v>
      </c>
      <c r="Q331" s="71" t="s">
        <v>72</v>
      </c>
      <c r="R331" s="71" t="s">
        <v>36</v>
      </c>
    </row>
    <row r="332" spans="1:18">
      <c r="A332" s="71" t="str">
        <f>VLOOKUP(C332,classifications!C:F,4,FALSE)</f>
        <v>SD</v>
      </c>
      <c r="B332" s="71" t="s">
        <v>757</v>
      </c>
      <c r="C332" s="71" t="s">
        <v>149</v>
      </c>
      <c r="D332" s="71" t="s">
        <v>94</v>
      </c>
      <c r="E332" s="71" t="s">
        <v>154</v>
      </c>
      <c r="F332" s="71" t="s">
        <v>157</v>
      </c>
      <c r="G332" s="71" t="s">
        <v>344</v>
      </c>
      <c r="H332" s="71" t="s">
        <v>23</v>
      </c>
      <c r="I332" s="71" t="s">
        <v>153</v>
      </c>
      <c r="J332" s="71" t="s">
        <v>183</v>
      </c>
      <c r="K332" s="71" t="s">
        <v>112</v>
      </c>
      <c r="L332" s="71" t="s">
        <v>345</v>
      </c>
      <c r="M332" s="71" t="s">
        <v>110</v>
      </c>
      <c r="N332" s="71" t="s">
        <v>97</v>
      </c>
      <c r="O332" s="71" t="s">
        <v>39</v>
      </c>
      <c r="P332" s="71" t="s">
        <v>184</v>
      </c>
      <c r="Q332" s="71" t="s">
        <v>72</v>
      </c>
      <c r="R332" s="71" t="s">
        <v>147</v>
      </c>
    </row>
    <row r="333" spans="1:18">
      <c r="A333" s="71" t="str">
        <f>VLOOKUP(C333,classifications!C:F,4,FALSE)</f>
        <v>SD</v>
      </c>
      <c r="B333" s="71" t="s">
        <v>758</v>
      </c>
      <c r="C333" s="71" t="s">
        <v>153</v>
      </c>
      <c r="D333" s="71" t="s">
        <v>94</v>
      </c>
      <c r="E333" s="71" t="s">
        <v>152</v>
      </c>
      <c r="F333" s="71" t="s">
        <v>142</v>
      </c>
      <c r="G333" s="71" t="s">
        <v>344</v>
      </c>
      <c r="H333" s="71" t="s">
        <v>32</v>
      </c>
      <c r="I333" s="71" t="s">
        <v>157</v>
      </c>
      <c r="J333" s="71" t="s">
        <v>147</v>
      </c>
      <c r="K333" s="71" t="s">
        <v>163</v>
      </c>
      <c r="L333" s="71" t="s">
        <v>149</v>
      </c>
      <c r="M333" s="71" t="s">
        <v>101</v>
      </c>
      <c r="N333" s="71" t="s">
        <v>7</v>
      </c>
      <c r="O333" s="71" t="s">
        <v>183</v>
      </c>
      <c r="P333" s="71" t="s">
        <v>345</v>
      </c>
      <c r="Q333" s="71" t="s">
        <v>19</v>
      </c>
      <c r="R333" s="71" t="s">
        <v>96</v>
      </c>
    </row>
    <row r="334" spans="1:18">
      <c r="A334" s="71" t="str">
        <f>VLOOKUP(C334,classifications!C:F,4,FALSE)</f>
        <v>SD</v>
      </c>
      <c r="B334" s="71" t="s">
        <v>759</v>
      </c>
      <c r="C334" s="71" t="s">
        <v>154</v>
      </c>
      <c r="D334" s="71" t="s">
        <v>344</v>
      </c>
      <c r="E334" s="71" t="s">
        <v>112</v>
      </c>
      <c r="F334" s="71" t="s">
        <v>149</v>
      </c>
      <c r="G334" s="71" t="s">
        <v>94</v>
      </c>
      <c r="H334" s="71" t="s">
        <v>7</v>
      </c>
      <c r="I334" s="71" t="s">
        <v>22</v>
      </c>
      <c r="J334" s="71" t="s">
        <v>147</v>
      </c>
      <c r="K334" s="71" t="s">
        <v>157</v>
      </c>
      <c r="L334" s="71" t="s">
        <v>184</v>
      </c>
      <c r="M334" s="71" t="s">
        <v>345</v>
      </c>
      <c r="N334" s="71" t="s">
        <v>153</v>
      </c>
      <c r="O334" s="71" t="s">
        <v>100</v>
      </c>
      <c r="P334" s="71" t="s">
        <v>97</v>
      </c>
      <c r="Q334" s="71" t="s">
        <v>39</v>
      </c>
      <c r="R334" s="71" t="s">
        <v>23</v>
      </c>
    </row>
    <row r="335" spans="1:18">
      <c r="A335" s="71" t="str">
        <f>VLOOKUP(C335,classifications!C:F,4,FALSE)</f>
        <v>SD</v>
      </c>
      <c r="B335" s="71" t="s">
        <v>760</v>
      </c>
      <c r="C335" s="71" t="s">
        <v>161</v>
      </c>
      <c r="D335" s="71" t="s">
        <v>122</v>
      </c>
      <c r="E335" s="71" t="s">
        <v>28</v>
      </c>
      <c r="F335" s="71" t="s">
        <v>346</v>
      </c>
      <c r="G335" s="71" t="s">
        <v>91</v>
      </c>
      <c r="H335" s="71" t="s">
        <v>99</v>
      </c>
      <c r="I335" s="71" t="s">
        <v>190</v>
      </c>
      <c r="J335" s="71" t="s">
        <v>73</v>
      </c>
      <c r="K335" s="71" t="s">
        <v>9</v>
      </c>
      <c r="L335" s="71" t="s">
        <v>179</v>
      </c>
      <c r="M335" s="71" t="s">
        <v>65</v>
      </c>
      <c r="N335" s="71" t="s">
        <v>126</v>
      </c>
      <c r="O335" s="71" t="s">
        <v>59</v>
      </c>
      <c r="P335" s="71" t="s">
        <v>107</v>
      </c>
      <c r="Q335" s="71" t="s">
        <v>36</v>
      </c>
      <c r="R335" s="71" t="s">
        <v>75</v>
      </c>
    </row>
    <row r="336" spans="1:18">
      <c r="A336" s="71" t="str">
        <f>VLOOKUP(C336,classifications!C:F,4,FALSE)</f>
        <v>SD</v>
      </c>
      <c r="B336" s="71" t="s">
        <v>761</v>
      </c>
      <c r="C336" s="71" t="s">
        <v>12</v>
      </c>
      <c r="D336" s="71" t="s">
        <v>109</v>
      </c>
      <c r="E336" s="71" t="s">
        <v>102</v>
      </c>
      <c r="F336" s="71" t="s">
        <v>144</v>
      </c>
      <c r="G336" s="71" t="s">
        <v>78</v>
      </c>
      <c r="H336" s="71" t="s">
        <v>103</v>
      </c>
      <c r="I336" s="71" t="s">
        <v>100</v>
      </c>
      <c r="J336" s="71" t="s">
        <v>192</v>
      </c>
      <c r="K336" s="71" t="s">
        <v>167</v>
      </c>
      <c r="L336" s="71" t="s">
        <v>101</v>
      </c>
      <c r="M336" s="71" t="s">
        <v>70</v>
      </c>
      <c r="N336" s="71" t="s">
        <v>157</v>
      </c>
      <c r="O336" s="71" t="s">
        <v>112</v>
      </c>
      <c r="P336" s="71" t="s">
        <v>97</v>
      </c>
      <c r="Q336" s="71" t="s">
        <v>344</v>
      </c>
      <c r="R336" s="71" t="s">
        <v>94</v>
      </c>
    </row>
    <row r="337" spans="1:18">
      <c r="A337" s="71" t="e">
        <f>VLOOKUP(C337,classifications!C:F,4,FALSE)</f>
        <v>#N/A</v>
      </c>
      <c r="B337" s="71" t="s">
        <v>762</v>
      </c>
      <c r="C337" s="71" t="s">
        <v>69</v>
      </c>
      <c r="D337" s="71" t="s">
        <v>179</v>
      </c>
      <c r="E337" s="71" t="s">
        <v>18</v>
      </c>
      <c r="F337" s="71" t="s">
        <v>128</v>
      </c>
      <c r="G337" s="71" t="s">
        <v>152</v>
      </c>
      <c r="H337" s="71" t="s">
        <v>59</v>
      </c>
      <c r="I337" s="71" t="s">
        <v>91</v>
      </c>
      <c r="J337" s="71" t="s">
        <v>68</v>
      </c>
      <c r="K337" s="71" t="s">
        <v>131</v>
      </c>
      <c r="L337" s="71" t="s">
        <v>58</v>
      </c>
      <c r="M337" s="71" t="s">
        <v>141</v>
      </c>
      <c r="N337" s="71" t="s">
        <v>101</v>
      </c>
      <c r="O337" s="71" t="s">
        <v>142</v>
      </c>
      <c r="P337" s="71" t="s">
        <v>122</v>
      </c>
      <c r="Q337" s="71" t="s">
        <v>163</v>
      </c>
      <c r="R337" s="71" t="s">
        <v>73</v>
      </c>
    </row>
    <row r="338" spans="1:18">
      <c r="A338" s="71" t="str">
        <f>VLOOKUP(C338,classifications!C:F,4,FALSE)</f>
        <v>SD</v>
      </c>
      <c r="B338" s="71" t="s">
        <v>763</v>
      </c>
      <c r="C338" s="71" t="s">
        <v>90</v>
      </c>
      <c r="D338" s="71" t="s">
        <v>73</v>
      </c>
      <c r="E338" s="71" t="s">
        <v>120</v>
      </c>
      <c r="F338" s="71" t="s">
        <v>75</v>
      </c>
      <c r="G338" s="71" t="s">
        <v>190</v>
      </c>
      <c r="H338" s="71" t="s">
        <v>95</v>
      </c>
      <c r="I338" s="71" t="s">
        <v>122</v>
      </c>
      <c r="J338" s="71" t="s">
        <v>36</v>
      </c>
      <c r="K338" s="71" t="s">
        <v>155</v>
      </c>
      <c r="L338" s="71" t="s">
        <v>28</v>
      </c>
      <c r="M338" s="71" t="s">
        <v>99</v>
      </c>
      <c r="N338" s="71" t="s">
        <v>14</v>
      </c>
      <c r="O338" s="71" t="s">
        <v>346</v>
      </c>
      <c r="P338" s="71" t="s">
        <v>161</v>
      </c>
      <c r="Q338" s="71" t="s">
        <v>131</v>
      </c>
      <c r="R338" s="71" t="s">
        <v>116</v>
      </c>
    </row>
    <row r="339" spans="1:18">
      <c r="A339" s="71" t="str">
        <f>VLOOKUP(C339,classifications!C:F,4,FALSE)</f>
        <v>SD</v>
      </c>
      <c r="B339" s="71" t="s">
        <v>764</v>
      </c>
      <c r="C339" s="71" t="s">
        <v>103</v>
      </c>
      <c r="D339" s="71" t="s">
        <v>144</v>
      </c>
      <c r="E339" s="71" t="s">
        <v>12</v>
      </c>
      <c r="F339" s="71" t="s">
        <v>145</v>
      </c>
      <c r="G339" s="71" t="s">
        <v>109</v>
      </c>
      <c r="H339" s="71" t="s">
        <v>100</v>
      </c>
      <c r="I339" s="71" t="s">
        <v>52</v>
      </c>
      <c r="J339" s="71" t="s">
        <v>102</v>
      </c>
      <c r="K339" s="71" t="s">
        <v>78</v>
      </c>
      <c r="L339" s="71" t="s">
        <v>112</v>
      </c>
      <c r="M339" s="71" t="s">
        <v>167</v>
      </c>
      <c r="N339" s="71" t="s">
        <v>192</v>
      </c>
      <c r="O339" s="71" t="s">
        <v>70</v>
      </c>
      <c r="P339" s="71" t="s">
        <v>79</v>
      </c>
      <c r="Q339" s="71" t="s">
        <v>130</v>
      </c>
      <c r="R339" s="71" t="s">
        <v>97</v>
      </c>
    </row>
    <row r="340" spans="1:18">
      <c r="A340" s="71" t="e">
        <f>VLOOKUP(C340,classifications!C:F,4,FALSE)</f>
        <v>#N/A</v>
      </c>
      <c r="B340" s="71" t="s">
        <v>765</v>
      </c>
      <c r="C340" s="71" t="s">
        <v>152</v>
      </c>
      <c r="D340" s="71" t="s">
        <v>163</v>
      </c>
      <c r="E340" s="71" t="s">
        <v>153</v>
      </c>
      <c r="F340" s="71" t="s">
        <v>101</v>
      </c>
      <c r="G340" s="71" t="s">
        <v>142</v>
      </c>
      <c r="H340" s="71" t="s">
        <v>128</v>
      </c>
      <c r="I340" s="71" t="s">
        <v>345</v>
      </c>
      <c r="J340" s="71" t="s">
        <v>115</v>
      </c>
      <c r="K340" s="71" t="s">
        <v>59</v>
      </c>
      <c r="L340" s="71" t="s">
        <v>94</v>
      </c>
      <c r="M340" s="71" t="s">
        <v>183</v>
      </c>
      <c r="N340" s="71" t="s">
        <v>157</v>
      </c>
      <c r="O340" s="71" t="s">
        <v>344</v>
      </c>
      <c r="P340" s="71" t="s">
        <v>19</v>
      </c>
      <c r="Q340" s="71" t="s">
        <v>58</v>
      </c>
      <c r="R340" s="71" t="s">
        <v>10</v>
      </c>
    </row>
    <row r="341" spans="1:18">
      <c r="A341" s="71" t="e">
        <f>VLOOKUP(C341,classifications!C:F,4,FALSE)</f>
        <v>#N/A</v>
      </c>
      <c r="B341" s="71" t="s">
        <v>766</v>
      </c>
      <c r="C341" s="71" t="s">
        <v>158</v>
      </c>
      <c r="D341" s="71" t="s">
        <v>140</v>
      </c>
      <c r="E341" s="71" t="s">
        <v>164</v>
      </c>
      <c r="F341" s="71" t="s">
        <v>37</v>
      </c>
      <c r="G341" s="71" t="s">
        <v>106</v>
      </c>
      <c r="H341" s="71" t="s">
        <v>182</v>
      </c>
      <c r="I341" s="71" t="s">
        <v>93</v>
      </c>
      <c r="J341" s="71" t="s">
        <v>178</v>
      </c>
      <c r="K341" s="71" t="s">
        <v>121</v>
      </c>
      <c r="L341" s="71" t="s">
        <v>156</v>
      </c>
      <c r="M341" s="71" t="s">
        <v>134</v>
      </c>
      <c r="N341" s="71" t="s">
        <v>67</v>
      </c>
      <c r="O341" s="71" t="s">
        <v>192</v>
      </c>
      <c r="P341" s="71" t="s">
        <v>78</v>
      </c>
      <c r="Q341" s="71" t="s">
        <v>12</v>
      </c>
      <c r="R341" s="71" t="s">
        <v>53</v>
      </c>
    </row>
    <row r="342" spans="1:18">
      <c r="A342" s="71" t="e">
        <f>VLOOKUP(C342,classifications!C:F,4,FALSE)</f>
        <v>#N/A</v>
      </c>
      <c r="B342" s="71" t="s">
        <v>767</v>
      </c>
      <c r="C342" s="71" t="s">
        <v>176</v>
      </c>
      <c r="D342" s="71" t="s">
        <v>165</v>
      </c>
      <c r="E342" s="71" t="s">
        <v>51</v>
      </c>
      <c r="F342" s="71" t="s">
        <v>893</v>
      </c>
      <c r="G342" s="71" t="s">
        <v>6</v>
      </c>
      <c r="H342" s="71" t="s">
        <v>134</v>
      </c>
      <c r="I342" s="71" t="s">
        <v>76</v>
      </c>
      <c r="J342" s="71" t="s">
        <v>133</v>
      </c>
      <c r="K342" s="71" t="s">
        <v>108</v>
      </c>
      <c r="L342" s="71" t="s">
        <v>195</v>
      </c>
      <c r="M342" s="71" t="s">
        <v>194</v>
      </c>
      <c r="N342" s="71" t="s">
        <v>170</v>
      </c>
      <c r="O342" s="71" t="s">
        <v>4</v>
      </c>
      <c r="P342" s="71" t="s">
        <v>13</v>
      </c>
      <c r="Q342" s="71" t="s">
        <v>84</v>
      </c>
      <c r="R342" s="71" t="s">
        <v>65</v>
      </c>
    </row>
    <row r="343" spans="1:18">
      <c r="A343" s="71" t="str">
        <f>VLOOKUP(C343,classifications!C:F,4,FALSE)</f>
        <v>SD</v>
      </c>
      <c r="B343" s="71" t="s">
        <v>768</v>
      </c>
      <c r="C343" s="71" t="s">
        <v>63</v>
      </c>
      <c r="D343" s="71" t="s">
        <v>343</v>
      </c>
      <c r="E343" s="71" t="s">
        <v>348</v>
      </c>
      <c r="F343" s="71" t="s">
        <v>177</v>
      </c>
      <c r="G343" s="71" t="s">
        <v>159</v>
      </c>
      <c r="H343" s="71" t="s">
        <v>189</v>
      </c>
      <c r="I343" s="71" t="s">
        <v>105</v>
      </c>
      <c r="J343" s="71" t="s">
        <v>151</v>
      </c>
      <c r="K343" s="71" t="s">
        <v>77</v>
      </c>
      <c r="L343" s="71" t="s">
        <v>162</v>
      </c>
      <c r="M343" s="71" t="s">
        <v>150</v>
      </c>
      <c r="N343" s="71" t="s">
        <v>193</v>
      </c>
      <c r="O343" s="71" t="s">
        <v>21</v>
      </c>
      <c r="P343" s="71" t="s">
        <v>82</v>
      </c>
      <c r="Q343" s="71" t="s">
        <v>136</v>
      </c>
      <c r="R343" s="71" t="s">
        <v>129</v>
      </c>
    </row>
    <row r="344" spans="1:18">
      <c r="A344" s="71" t="str">
        <f>VLOOKUP(C344,classifications!C:F,4,FALSE)</f>
        <v>SD</v>
      </c>
      <c r="B344" s="71" t="s">
        <v>769</v>
      </c>
      <c r="C344" s="71" t="s">
        <v>343</v>
      </c>
      <c r="D344" s="71" t="s">
        <v>159</v>
      </c>
      <c r="E344" s="71" t="s">
        <v>63</v>
      </c>
      <c r="F344" s="71" t="s">
        <v>348</v>
      </c>
      <c r="G344" s="71" t="s">
        <v>189</v>
      </c>
      <c r="H344" s="71" t="s">
        <v>150</v>
      </c>
      <c r="I344" s="71" t="s">
        <v>177</v>
      </c>
      <c r="J344" s="71" t="s">
        <v>129</v>
      </c>
      <c r="K344" s="71" t="s">
        <v>21</v>
      </c>
      <c r="L344" s="71" t="s">
        <v>162</v>
      </c>
      <c r="M344" s="71" t="s">
        <v>105</v>
      </c>
      <c r="N344" s="71" t="s">
        <v>82</v>
      </c>
      <c r="O344" s="71" t="s">
        <v>77</v>
      </c>
      <c r="P344" s="71" t="s">
        <v>64</v>
      </c>
      <c r="Q344" s="71" t="s">
        <v>169</v>
      </c>
      <c r="R344" s="71" t="s">
        <v>136</v>
      </c>
    </row>
    <row r="345" spans="1:18">
      <c r="A345" s="71" t="str">
        <f>VLOOKUP(C345,classifications!C:F,4,FALSE)</f>
        <v>SD</v>
      </c>
      <c r="B345" s="71" t="s">
        <v>770</v>
      </c>
      <c r="C345" s="71" t="s">
        <v>77</v>
      </c>
      <c r="D345" s="71" t="s">
        <v>129</v>
      </c>
      <c r="E345" s="71" t="s">
        <v>348</v>
      </c>
      <c r="F345" s="71" t="s">
        <v>173</v>
      </c>
      <c r="G345" s="71" t="s">
        <v>193</v>
      </c>
      <c r="H345" s="71" t="s">
        <v>189</v>
      </c>
      <c r="I345" s="71" t="s">
        <v>150</v>
      </c>
      <c r="J345" s="71" t="s">
        <v>159</v>
      </c>
      <c r="K345" s="71" t="s">
        <v>177</v>
      </c>
      <c r="L345" s="71" t="s">
        <v>188</v>
      </c>
      <c r="M345" s="71" t="s">
        <v>105</v>
      </c>
      <c r="N345" s="71" t="s">
        <v>343</v>
      </c>
      <c r="O345" s="71" t="s">
        <v>146</v>
      </c>
      <c r="P345" s="71" t="s">
        <v>64</v>
      </c>
      <c r="Q345" s="71" t="s">
        <v>63</v>
      </c>
      <c r="R345" s="71" t="s">
        <v>136</v>
      </c>
    </row>
    <row r="346" spans="1:18">
      <c r="A346" s="71" t="str">
        <f>VLOOKUP(C346,classifications!C:F,4,FALSE)</f>
        <v>SD</v>
      </c>
      <c r="B346" s="71" t="s">
        <v>771</v>
      </c>
      <c r="C346" s="71" t="s">
        <v>105</v>
      </c>
      <c r="D346" s="71" t="s">
        <v>177</v>
      </c>
      <c r="E346" s="71" t="s">
        <v>162</v>
      </c>
      <c r="F346" s="71" t="s">
        <v>21</v>
      </c>
      <c r="G346" s="71" t="s">
        <v>159</v>
      </c>
      <c r="H346" s="71" t="s">
        <v>136</v>
      </c>
      <c r="I346" s="71" t="s">
        <v>348</v>
      </c>
      <c r="J346" s="71" t="s">
        <v>343</v>
      </c>
      <c r="K346" s="71" t="s">
        <v>77</v>
      </c>
      <c r="L346" s="71" t="s">
        <v>63</v>
      </c>
      <c r="M346" s="71" t="s">
        <v>188</v>
      </c>
      <c r="N346" s="71" t="s">
        <v>137</v>
      </c>
      <c r="O346" s="71" t="s">
        <v>129</v>
      </c>
      <c r="P346" s="71" t="s">
        <v>64</v>
      </c>
      <c r="Q346" s="71" t="s">
        <v>150</v>
      </c>
      <c r="R346" s="71" t="s">
        <v>146</v>
      </c>
    </row>
    <row r="347" spans="1:18">
      <c r="A347" s="71" t="str">
        <f>VLOOKUP(C347,classifications!C:F,4,FALSE)</f>
        <v>SD</v>
      </c>
      <c r="B347" s="71" t="s">
        <v>772</v>
      </c>
      <c r="C347" s="71" t="s">
        <v>348</v>
      </c>
      <c r="D347" s="71" t="s">
        <v>150</v>
      </c>
      <c r="E347" s="71" t="s">
        <v>159</v>
      </c>
      <c r="F347" s="71" t="s">
        <v>177</v>
      </c>
      <c r="G347" s="71" t="s">
        <v>189</v>
      </c>
      <c r="H347" s="71" t="s">
        <v>343</v>
      </c>
      <c r="I347" s="71" t="s">
        <v>77</v>
      </c>
      <c r="J347" s="71" t="s">
        <v>64</v>
      </c>
      <c r="K347" s="71" t="s">
        <v>63</v>
      </c>
      <c r="L347" s="71" t="s">
        <v>193</v>
      </c>
      <c r="M347" s="71" t="s">
        <v>173</v>
      </c>
      <c r="N347" s="71" t="s">
        <v>146</v>
      </c>
      <c r="O347" s="71" t="s">
        <v>162</v>
      </c>
      <c r="P347" s="71" t="s">
        <v>129</v>
      </c>
      <c r="Q347" s="71" t="s">
        <v>136</v>
      </c>
      <c r="R347" s="71" t="s">
        <v>21</v>
      </c>
    </row>
    <row r="348" spans="1:18">
      <c r="A348" s="71" t="str">
        <f>VLOOKUP(C348,classifications!C:F,4,FALSE)</f>
        <v>SD</v>
      </c>
      <c r="B348" s="71" t="s">
        <v>773</v>
      </c>
      <c r="C348" s="71" t="s">
        <v>129</v>
      </c>
      <c r="D348" s="71" t="s">
        <v>150</v>
      </c>
      <c r="E348" s="71" t="s">
        <v>77</v>
      </c>
      <c r="F348" s="71" t="s">
        <v>189</v>
      </c>
      <c r="G348" s="71" t="s">
        <v>159</v>
      </c>
      <c r="H348" s="71" t="s">
        <v>348</v>
      </c>
      <c r="I348" s="71" t="s">
        <v>21</v>
      </c>
      <c r="J348" s="71" t="s">
        <v>343</v>
      </c>
      <c r="K348" s="71" t="s">
        <v>173</v>
      </c>
      <c r="L348" s="71" t="s">
        <v>105</v>
      </c>
      <c r="M348" s="71" t="s">
        <v>64</v>
      </c>
      <c r="N348" s="71" t="s">
        <v>188</v>
      </c>
      <c r="O348" s="71" t="s">
        <v>162</v>
      </c>
      <c r="P348" s="71" t="s">
        <v>193</v>
      </c>
      <c r="Q348" s="71" t="s">
        <v>85</v>
      </c>
      <c r="R348" s="71" t="s">
        <v>177</v>
      </c>
    </row>
    <row r="349" spans="1:18">
      <c r="A349" s="71" t="str">
        <f>VLOOKUP(C349,classifications!C:F,4,FALSE)</f>
        <v>SD</v>
      </c>
      <c r="B349" s="71" t="s">
        <v>774</v>
      </c>
      <c r="C349" s="71" t="s">
        <v>150</v>
      </c>
      <c r="D349" s="71" t="s">
        <v>129</v>
      </c>
      <c r="E349" s="71" t="s">
        <v>189</v>
      </c>
      <c r="F349" s="71" t="s">
        <v>348</v>
      </c>
      <c r="G349" s="71" t="s">
        <v>159</v>
      </c>
      <c r="H349" s="71" t="s">
        <v>343</v>
      </c>
      <c r="I349" s="71" t="s">
        <v>21</v>
      </c>
      <c r="J349" s="71" t="s">
        <v>64</v>
      </c>
      <c r="K349" s="71" t="s">
        <v>77</v>
      </c>
      <c r="L349" s="71" t="s">
        <v>173</v>
      </c>
      <c r="M349" s="71" t="s">
        <v>193</v>
      </c>
      <c r="N349" s="71" t="s">
        <v>85</v>
      </c>
      <c r="O349" s="71" t="s">
        <v>24</v>
      </c>
      <c r="P349" s="71" t="s">
        <v>162</v>
      </c>
      <c r="Q349" s="71" t="s">
        <v>111</v>
      </c>
      <c r="R349" s="71" t="s">
        <v>174</v>
      </c>
    </row>
    <row r="350" spans="1:18">
      <c r="A350" s="71" t="str">
        <f>VLOOKUP(C350,classifications!C:F,4,FALSE)</f>
        <v>SD</v>
      </c>
      <c r="B350" s="71" t="s">
        <v>775</v>
      </c>
      <c r="C350" s="71" t="s">
        <v>159</v>
      </c>
      <c r="D350" s="71" t="s">
        <v>343</v>
      </c>
      <c r="E350" s="71" t="s">
        <v>348</v>
      </c>
      <c r="F350" s="71" t="s">
        <v>162</v>
      </c>
      <c r="G350" s="71" t="s">
        <v>150</v>
      </c>
      <c r="H350" s="71" t="s">
        <v>189</v>
      </c>
      <c r="I350" s="71" t="s">
        <v>21</v>
      </c>
      <c r="J350" s="71" t="s">
        <v>63</v>
      </c>
      <c r="K350" s="71" t="s">
        <v>177</v>
      </c>
      <c r="L350" s="71" t="s">
        <v>129</v>
      </c>
      <c r="M350" s="71" t="s">
        <v>82</v>
      </c>
      <c r="N350" s="71" t="s">
        <v>105</v>
      </c>
      <c r="O350" s="71" t="s">
        <v>77</v>
      </c>
      <c r="P350" s="71" t="s">
        <v>136</v>
      </c>
      <c r="Q350" s="71" t="s">
        <v>173</v>
      </c>
      <c r="R350" s="71" t="s">
        <v>146</v>
      </c>
    </row>
    <row r="351" spans="1:18">
      <c r="A351" s="71" t="str">
        <f>VLOOKUP(C351,classifications!C:F,4,FALSE)</f>
        <v>SD</v>
      </c>
      <c r="B351" s="71" t="s">
        <v>776</v>
      </c>
      <c r="C351" s="71" t="s">
        <v>162</v>
      </c>
      <c r="D351" s="71" t="s">
        <v>159</v>
      </c>
      <c r="E351" s="71" t="s">
        <v>105</v>
      </c>
      <c r="F351" s="71" t="s">
        <v>177</v>
      </c>
      <c r="G351" s="71" t="s">
        <v>136</v>
      </c>
      <c r="H351" s="71" t="s">
        <v>348</v>
      </c>
      <c r="I351" s="71" t="s">
        <v>21</v>
      </c>
      <c r="J351" s="71" t="s">
        <v>55</v>
      </c>
      <c r="K351" s="71" t="s">
        <v>146</v>
      </c>
      <c r="L351" s="71" t="s">
        <v>64</v>
      </c>
      <c r="M351" s="71" t="s">
        <v>343</v>
      </c>
      <c r="N351" s="71" t="s">
        <v>185</v>
      </c>
      <c r="O351" s="71" t="s">
        <v>82</v>
      </c>
      <c r="P351" s="71" t="s">
        <v>173</v>
      </c>
      <c r="Q351" s="71" t="s">
        <v>63</v>
      </c>
      <c r="R351" s="71" t="s">
        <v>150</v>
      </c>
    </row>
    <row r="352" spans="1:18">
      <c r="A352" s="71" t="str">
        <f>VLOOKUP(C352,classifications!C:F,4,FALSE)</f>
        <v>SD</v>
      </c>
      <c r="B352" s="71" t="s">
        <v>777</v>
      </c>
      <c r="C352" s="71" t="s">
        <v>177</v>
      </c>
      <c r="D352" s="71" t="s">
        <v>105</v>
      </c>
      <c r="E352" s="71" t="s">
        <v>348</v>
      </c>
      <c r="F352" s="71" t="s">
        <v>162</v>
      </c>
      <c r="G352" s="71" t="s">
        <v>136</v>
      </c>
      <c r="H352" s="71" t="s">
        <v>63</v>
      </c>
      <c r="I352" s="71" t="s">
        <v>159</v>
      </c>
      <c r="J352" s="71" t="s">
        <v>146</v>
      </c>
      <c r="K352" s="71" t="s">
        <v>343</v>
      </c>
      <c r="L352" s="71" t="s">
        <v>188</v>
      </c>
      <c r="M352" s="71" t="s">
        <v>77</v>
      </c>
      <c r="N352" s="71" t="s">
        <v>21</v>
      </c>
      <c r="O352" s="71" t="s">
        <v>64</v>
      </c>
      <c r="P352" s="71" t="s">
        <v>55</v>
      </c>
      <c r="Q352" s="71" t="s">
        <v>173</v>
      </c>
      <c r="R352" s="71" t="s">
        <v>185</v>
      </c>
    </row>
    <row r="353" spans="1:18">
      <c r="A353" s="71" t="str">
        <f>VLOOKUP(C353,classifications!C:F,4,FALSE)</f>
        <v>SD</v>
      </c>
      <c r="B353" s="71" t="s">
        <v>778</v>
      </c>
      <c r="C353" s="71" t="s">
        <v>189</v>
      </c>
      <c r="D353" s="71" t="s">
        <v>150</v>
      </c>
      <c r="E353" s="71" t="s">
        <v>129</v>
      </c>
      <c r="F353" s="71" t="s">
        <v>348</v>
      </c>
      <c r="G353" s="71" t="s">
        <v>343</v>
      </c>
      <c r="H353" s="71" t="s">
        <v>159</v>
      </c>
      <c r="I353" s="71" t="s">
        <v>77</v>
      </c>
      <c r="J353" s="71" t="s">
        <v>193</v>
      </c>
      <c r="K353" s="71" t="s">
        <v>63</v>
      </c>
      <c r="L353" s="71" t="s">
        <v>85</v>
      </c>
      <c r="M353" s="71" t="s">
        <v>64</v>
      </c>
      <c r="N353" s="71" t="s">
        <v>21</v>
      </c>
      <c r="O353" s="71" t="s">
        <v>173</v>
      </c>
      <c r="P353" s="71" t="s">
        <v>24</v>
      </c>
      <c r="Q353" s="71" t="s">
        <v>177</v>
      </c>
      <c r="R353" s="71" t="s">
        <v>169</v>
      </c>
    </row>
    <row r="354" spans="1:18">
      <c r="A354" s="71" t="str">
        <f>VLOOKUP(C354,classifications!C:F,4,FALSE)</f>
        <v>SD</v>
      </c>
      <c r="B354" s="71" t="s">
        <v>779</v>
      </c>
      <c r="C354" s="71" t="s">
        <v>114</v>
      </c>
      <c r="D354" s="71" t="s">
        <v>115</v>
      </c>
      <c r="E354" s="71" t="s">
        <v>135</v>
      </c>
      <c r="F354" s="71" t="s">
        <v>42</v>
      </c>
      <c r="G354" s="71" t="s">
        <v>49</v>
      </c>
      <c r="H354" s="71" t="s">
        <v>15</v>
      </c>
      <c r="I354" s="71" t="s">
        <v>152</v>
      </c>
      <c r="J354" s="71" t="s">
        <v>167</v>
      </c>
      <c r="K354" s="71" t="s">
        <v>183</v>
      </c>
      <c r="L354" s="71" t="s">
        <v>345</v>
      </c>
      <c r="M354" s="71" t="s">
        <v>59</v>
      </c>
      <c r="N354" s="71" t="s">
        <v>100</v>
      </c>
      <c r="O354" s="71" t="s">
        <v>94</v>
      </c>
      <c r="P354" s="71" t="s">
        <v>344</v>
      </c>
      <c r="Q354" s="71" t="s">
        <v>58</v>
      </c>
      <c r="R354" s="71" t="s">
        <v>128</v>
      </c>
    </row>
    <row r="355" spans="1:18">
      <c r="A355" s="71" t="str">
        <f>VLOOKUP(C355,classifications!C:F,4,FALSE)</f>
        <v>SD</v>
      </c>
      <c r="B355" s="71" t="s">
        <v>780</v>
      </c>
      <c r="C355" s="71" t="s">
        <v>346</v>
      </c>
      <c r="D355" s="71" t="s">
        <v>9</v>
      </c>
      <c r="E355" s="71" t="s">
        <v>99</v>
      </c>
      <c r="F355" s="71" t="s">
        <v>28</v>
      </c>
      <c r="G355" s="71" t="s">
        <v>65</v>
      </c>
      <c r="H355" s="71" t="s">
        <v>91</v>
      </c>
      <c r="I355" s="71" t="s">
        <v>73</v>
      </c>
      <c r="J355" s="71" t="s">
        <v>107</v>
      </c>
      <c r="K355" s="71" t="s">
        <v>161</v>
      </c>
      <c r="L355" s="71" t="s">
        <v>72</v>
      </c>
      <c r="M355" s="71" t="s">
        <v>30</v>
      </c>
      <c r="N355" s="71" t="s">
        <v>190</v>
      </c>
      <c r="O355" s="71" t="s">
        <v>195</v>
      </c>
      <c r="P355" s="71" t="s">
        <v>59</v>
      </c>
      <c r="Q355" s="71" t="s">
        <v>119</v>
      </c>
      <c r="R355" s="71" t="s">
        <v>15</v>
      </c>
    </row>
    <row r="356" spans="1:18">
      <c r="A356" s="71" t="str">
        <f>VLOOKUP(C356,classifications!C:F,4,FALSE)</f>
        <v>SD</v>
      </c>
      <c r="B356" s="71" t="s">
        <v>781</v>
      </c>
      <c r="C356" s="71" t="s">
        <v>128</v>
      </c>
      <c r="D356" s="71" t="s">
        <v>91</v>
      </c>
      <c r="E356" s="71" t="s">
        <v>152</v>
      </c>
      <c r="F356" s="71" t="s">
        <v>59</v>
      </c>
      <c r="G356" s="71" t="s">
        <v>10</v>
      </c>
      <c r="H356" s="71" t="s">
        <v>58</v>
      </c>
      <c r="I356" s="71" t="s">
        <v>96</v>
      </c>
      <c r="J356" s="71" t="s">
        <v>24</v>
      </c>
      <c r="K356" s="71" t="s">
        <v>19</v>
      </c>
      <c r="L356" s="71" t="s">
        <v>142</v>
      </c>
      <c r="M356" s="71" t="s">
        <v>35</v>
      </c>
      <c r="N356" s="71" t="s">
        <v>179</v>
      </c>
      <c r="O356" s="71" t="s">
        <v>111</v>
      </c>
      <c r="P356" s="71" t="s">
        <v>163</v>
      </c>
      <c r="Q356" s="71" t="s">
        <v>94</v>
      </c>
      <c r="R356" s="71" t="s">
        <v>147</v>
      </c>
    </row>
    <row r="357" spans="1:18">
      <c r="A357" s="71" t="str">
        <f>VLOOKUP(C357,classifications!C:F,4,FALSE)</f>
        <v>SD</v>
      </c>
      <c r="B357" s="71" t="s">
        <v>782</v>
      </c>
      <c r="C357" s="71" t="s">
        <v>156</v>
      </c>
      <c r="D357" s="71" t="s">
        <v>192</v>
      </c>
      <c r="E357" s="71" t="s">
        <v>78</v>
      </c>
      <c r="F357" s="71" t="s">
        <v>44</v>
      </c>
      <c r="G357" s="71" t="s">
        <v>167</v>
      </c>
      <c r="H357" s="71" t="s">
        <v>166</v>
      </c>
      <c r="I357" s="71" t="s">
        <v>188</v>
      </c>
      <c r="J357" s="71" t="s">
        <v>55</v>
      </c>
      <c r="K357" s="71" t="s">
        <v>87</v>
      </c>
      <c r="L357" s="71" t="s">
        <v>109</v>
      </c>
      <c r="M357" s="71" t="s">
        <v>136</v>
      </c>
      <c r="N357" s="71" t="s">
        <v>12</v>
      </c>
      <c r="O357" s="71" t="s">
        <v>185</v>
      </c>
      <c r="P357" s="71" t="s">
        <v>50</v>
      </c>
      <c r="Q357" s="71" t="s">
        <v>81</v>
      </c>
      <c r="R357" s="71" t="s">
        <v>98</v>
      </c>
    </row>
    <row r="358" spans="1:18">
      <c r="A358" s="71" t="str">
        <f>VLOOKUP(C358,classifications!C:F,4,FALSE)</f>
        <v>SD</v>
      </c>
      <c r="B358" s="71" t="s">
        <v>783</v>
      </c>
      <c r="C358" s="71" t="s">
        <v>174</v>
      </c>
      <c r="D358" s="71" t="s">
        <v>33</v>
      </c>
      <c r="E358" s="71" t="s">
        <v>34</v>
      </c>
      <c r="F358" s="71" t="s">
        <v>96</v>
      </c>
      <c r="G358" s="71" t="s">
        <v>81</v>
      </c>
      <c r="H358" s="71" t="s">
        <v>153</v>
      </c>
      <c r="I358" s="71" t="s">
        <v>41</v>
      </c>
      <c r="J358" s="71" t="s">
        <v>32</v>
      </c>
      <c r="K358" s="71" t="s">
        <v>171</v>
      </c>
      <c r="L358" s="71" t="s">
        <v>111</v>
      </c>
      <c r="M358" s="71" t="s">
        <v>104</v>
      </c>
      <c r="N358" s="71" t="s">
        <v>163</v>
      </c>
      <c r="O358" s="71" t="s">
        <v>128</v>
      </c>
      <c r="P358" s="71" t="s">
        <v>35</v>
      </c>
      <c r="Q358" s="71" t="s">
        <v>47</v>
      </c>
      <c r="R358" s="71" t="s">
        <v>166</v>
      </c>
    </row>
    <row r="359" spans="1:18">
      <c r="A359" s="71" t="str">
        <f>VLOOKUP(C359,classifications!C:F,4,FALSE)</f>
        <v>SD</v>
      </c>
      <c r="B359" s="71" t="s">
        <v>784</v>
      </c>
      <c r="C359" s="71" t="s">
        <v>4</v>
      </c>
      <c r="D359" s="71" t="s">
        <v>893</v>
      </c>
      <c r="E359" s="71" t="s">
        <v>93</v>
      </c>
      <c r="F359" s="71" t="s">
        <v>84</v>
      </c>
      <c r="G359" s="71" t="s">
        <v>51</v>
      </c>
      <c r="H359" s="71" t="s">
        <v>170</v>
      </c>
      <c r="I359" s="71" t="s">
        <v>108</v>
      </c>
      <c r="J359" s="71" t="s">
        <v>191</v>
      </c>
      <c r="K359" s="71" t="s">
        <v>71</v>
      </c>
      <c r="L359" s="71" t="s">
        <v>195</v>
      </c>
      <c r="M359" s="71" t="s">
        <v>134</v>
      </c>
      <c r="N359" s="71" t="s">
        <v>74</v>
      </c>
      <c r="O359" s="71" t="s">
        <v>164</v>
      </c>
      <c r="P359" s="71" t="s">
        <v>176</v>
      </c>
      <c r="Q359" s="71" t="s">
        <v>125</v>
      </c>
      <c r="R359" s="71" t="s">
        <v>31</v>
      </c>
    </row>
    <row r="360" spans="1:18">
      <c r="A360" s="71" t="str">
        <f>VLOOKUP(C360,classifications!C:F,4,FALSE)</f>
        <v>SD</v>
      </c>
      <c r="B360" s="71" t="s">
        <v>785</v>
      </c>
      <c r="C360" s="71" t="s">
        <v>8</v>
      </c>
      <c r="D360" s="71" t="s">
        <v>164</v>
      </c>
      <c r="E360" s="71" t="s">
        <v>93</v>
      </c>
      <c r="F360" s="71" t="s">
        <v>53</v>
      </c>
      <c r="G360" s="71" t="s">
        <v>106</v>
      </c>
      <c r="H360" s="71" t="s">
        <v>71</v>
      </c>
      <c r="I360" s="71" t="s">
        <v>165</v>
      </c>
      <c r="J360" s="71" t="s">
        <v>893</v>
      </c>
      <c r="K360" s="71" t="s">
        <v>194</v>
      </c>
      <c r="L360" s="71" t="s">
        <v>191</v>
      </c>
      <c r="M360" s="71" t="s">
        <v>182</v>
      </c>
      <c r="N360" s="71" t="s">
        <v>29</v>
      </c>
      <c r="O360" s="71" t="s">
        <v>127</v>
      </c>
      <c r="P360" s="71" t="s">
        <v>37</v>
      </c>
      <c r="Q360" s="71" t="s">
        <v>108</v>
      </c>
      <c r="R360" s="71" t="s">
        <v>176</v>
      </c>
    </row>
    <row r="361" spans="1:18">
      <c r="A361" s="71" t="str">
        <f>VLOOKUP(C361,classifications!C:F,4,FALSE)</f>
        <v>SD</v>
      </c>
      <c r="B361" s="71" t="s">
        <v>786</v>
      </c>
      <c r="C361" s="71" t="s">
        <v>37</v>
      </c>
      <c r="D361" s="71" t="s">
        <v>182</v>
      </c>
      <c r="E361" s="71" t="s">
        <v>140</v>
      </c>
      <c r="F361" s="71" t="s">
        <v>158</v>
      </c>
      <c r="G361" s="71" t="s">
        <v>53</v>
      </c>
      <c r="H361" s="71" t="s">
        <v>121</v>
      </c>
      <c r="I361" s="71" t="s">
        <v>106</v>
      </c>
      <c r="J361" s="71" t="s">
        <v>178</v>
      </c>
      <c r="K361" s="71" t="s">
        <v>44</v>
      </c>
      <c r="L361" s="71" t="s">
        <v>93</v>
      </c>
      <c r="M361" s="71" t="s">
        <v>156</v>
      </c>
      <c r="N361" s="71" t="s">
        <v>127</v>
      </c>
      <c r="O361" s="71" t="s">
        <v>164</v>
      </c>
      <c r="P361" s="71" t="s">
        <v>192</v>
      </c>
      <c r="Q361" s="71" t="s">
        <v>143</v>
      </c>
      <c r="R361" s="71" t="s">
        <v>98</v>
      </c>
    </row>
    <row r="362" spans="1:18">
      <c r="A362" s="71" t="str">
        <f>VLOOKUP(C362,classifications!C:F,4,FALSE)</f>
        <v>SD</v>
      </c>
      <c r="B362" s="71" t="s">
        <v>787</v>
      </c>
      <c r="C362" s="71" t="s">
        <v>46</v>
      </c>
      <c r="D362" s="71" t="s">
        <v>48</v>
      </c>
      <c r="E362" s="71" t="s">
        <v>80</v>
      </c>
      <c r="F362" s="71" t="s">
        <v>155</v>
      </c>
      <c r="G362" s="71" t="s">
        <v>131</v>
      </c>
      <c r="H362" s="71" t="s">
        <v>175</v>
      </c>
      <c r="I362" s="71" t="s">
        <v>118</v>
      </c>
      <c r="J362" s="71" t="s">
        <v>180</v>
      </c>
      <c r="K362" s="71" t="s">
        <v>14</v>
      </c>
      <c r="L362" s="71" t="s">
        <v>122</v>
      </c>
      <c r="M362" s="71" t="s">
        <v>43</v>
      </c>
      <c r="N362" s="71" t="s">
        <v>73</v>
      </c>
      <c r="O362" s="71" t="s">
        <v>27</v>
      </c>
      <c r="P362" s="71" t="s">
        <v>90</v>
      </c>
      <c r="Q362" s="71" t="s">
        <v>66</v>
      </c>
      <c r="R362" s="71" t="s">
        <v>116</v>
      </c>
    </row>
    <row r="363" spans="1:18">
      <c r="A363" s="71" t="str">
        <f>VLOOKUP(C363,classifications!C:F,4,FALSE)</f>
        <v>SD</v>
      </c>
      <c r="B363" s="71" t="s">
        <v>788</v>
      </c>
      <c r="C363" s="71" t="s">
        <v>87</v>
      </c>
      <c r="D363" s="71" t="s">
        <v>104</v>
      </c>
      <c r="E363" s="71" t="s">
        <v>55</v>
      </c>
      <c r="F363" s="71" t="s">
        <v>56</v>
      </c>
      <c r="G363" s="71" t="s">
        <v>136</v>
      </c>
      <c r="H363" s="71" t="s">
        <v>188</v>
      </c>
      <c r="I363" s="71" t="s">
        <v>64</v>
      </c>
      <c r="J363" s="71" t="s">
        <v>166</v>
      </c>
      <c r="K363" s="71" t="s">
        <v>81</v>
      </c>
      <c r="L363" s="71" t="s">
        <v>169</v>
      </c>
      <c r="M363" s="71" t="s">
        <v>146</v>
      </c>
      <c r="N363" s="71" t="s">
        <v>156</v>
      </c>
      <c r="O363" s="71" t="s">
        <v>21</v>
      </c>
      <c r="P363" s="71" t="s">
        <v>130</v>
      </c>
      <c r="Q363" s="71" t="s">
        <v>349</v>
      </c>
      <c r="R363" s="71" t="s">
        <v>173</v>
      </c>
    </row>
    <row r="364" spans="1:18">
      <c r="A364" s="71" t="str">
        <f>VLOOKUP(C364,classifications!C:F,4,FALSE)</f>
        <v>SD</v>
      </c>
      <c r="B364" s="71" t="s">
        <v>789</v>
      </c>
      <c r="C364" s="71" t="s">
        <v>104</v>
      </c>
      <c r="D364" s="71" t="s">
        <v>87</v>
      </c>
      <c r="E364" s="71" t="s">
        <v>56</v>
      </c>
      <c r="F364" s="71" t="s">
        <v>81</v>
      </c>
      <c r="G364" s="71" t="s">
        <v>55</v>
      </c>
      <c r="H364" s="71" t="s">
        <v>188</v>
      </c>
      <c r="I364" s="71" t="s">
        <v>96</v>
      </c>
      <c r="J364" s="71" t="s">
        <v>166</v>
      </c>
      <c r="K364" s="71" t="s">
        <v>64</v>
      </c>
      <c r="L364" s="71" t="s">
        <v>146</v>
      </c>
      <c r="M364" s="71" t="s">
        <v>136</v>
      </c>
      <c r="N364" s="71" t="s">
        <v>151</v>
      </c>
      <c r="O364" s="71" t="s">
        <v>130</v>
      </c>
      <c r="P364" s="71" t="s">
        <v>33</v>
      </c>
      <c r="Q364" s="71" t="s">
        <v>169</v>
      </c>
      <c r="R364" s="71" t="s">
        <v>171</v>
      </c>
    </row>
    <row r="365" spans="1:18">
      <c r="A365" s="71" t="str">
        <f>VLOOKUP(C365,classifications!C:F,4,FALSE)</f>
        <v>SD</v>
      </c>
      <c r="B365" s="71" t="s">
        <v>790</v>
      </c>
      <c r="C365" s="71" t="s">
        <v>191</v>
      </c>
      <c r="D365" s="71" t="s">
        <v>893</v>
      </c>
      <c r="E365" s="71" t="s">
        <v>4</v>
      </c>
      <c r="F365" s="71" t="s">
        <v>60</v>
      </c>
      <c r="G365" s="71" t="s">
        <v>34</v>
      </c>
      <c r="H365" s="71" t="s">
        <v>29</v>
      </c>
      <c r="I365" s="71" t="s">
        <v>8</v>
      </c>
      <c r="J365" s="71" t="s">
        <v>108</v>
      </c>
      <c r="K365" s="71" t="s">
        <v>92</v>
      </c>
      <c r="L365" s="71" t="s">
        <v>71</v>
      </c>
      <c r="M365" s="71" t="s">
        <v>93</v>
      </c>
      <c r="N365" s="71" t="s">
        <v>194</v>
      </c>
      <c r="O365" s="71" t="s">
        <v>164</v>
      </c>
      <c r="P365" s="71" t="s">
        <v>133</v>
      </c>
      <c r="Q365" s="71" t="s">
        <v>51</v>
      </c>
      <c r="R365" s="71"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208" t="s">
        <v>876</v>
      </c>
    </row>
    <row r="2" spans="1:11">
      <c r="A2" t="s">
        <v>871</v>
      </c>
    </row>
    <row r="3" spans="1:11" ht="9" customHeight="1"/>
    <row r="4" spans="1:11">
      <c r="A4" t="s">
        <v>875</v>
      </c>
    </row>
    <row r="5" spans="1:11" ht="8.25" customHeight="1">
      <c r="A5" s="31"/>
    </row>
    <row r="6" spans="1:11">
      <c r="A6" t="s">
        <v>877</v>
      </c>
    </row>
    <row r="8" spans="1:11" ht="14.4">
      <c r="A8" s="208"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154" t="s">
        <v>857</v>
      </c>
      <c r="F16" s="154"/>
      <c r="G16" s="154"/>
      <c r="H16" s="154"/>
      <c r="I16" s="191" t="s">
        <v>856</v>
      </c>
      <c r="J16" s="192" t="s">
        <v>805</v>
      </c>
      <c r="K16" s="202" t="s">
        <v>806</v>
      </c>
    </row>
    <row r="17" spans="1:11">
      <c r="E17" s="194" t="s">
        <v>849</v>
      </c>
      <c r="F17" s="195" t="s">
        <v>849</v>
      </c>
      <c r="G17" s="195" t="s">
        <v>855</v>
      </c>
      <c r="H17" s="196" t="s">
        <v>855</v>
      </c>
      <c r="J17" s="200" t="s">
        <v>849</v>
      </c>
      <c r="K17" s="203" t="s">
        <v>850</v>
      </c>
    </row>
    <row r="18" spans="1:11" ht="48">
      <c r="E18" s="197" t="s">
        <v>850</v>
      </c>
      <c r="F18" s="198" t="s">
        <v>851</v>
      </c>
      <c r="G18" s="198" t="s">
        <v>850</v>
      </c>
      <c r="H18" s="199" t="s">
        <v>851</v>
      </c>
      <c r="J18" s="201" t="s">
        <v>855</v>
      </c>
      <c r="K18" s="204" t="s">
        <v>851</v>
      </c>
    </row>
    <row r="19" spans="1:11" ht="18.75" customHeight="1">
      <c r="C19" s="190" t="s">
        <v>864</v>
      </c>
    </row>
    <row r="20" spans="1:11">
      <c r="C20" s="190"/>
      <c r="D20" t="s">
        <v>854</v>
      </c>
      <c r="E20" s="154" t="s">
        <v>857</v>
      </c>
      <c r="F20" s="341" t="s">
        <v>858</v>
      </c>
      <c r="G20" s="341"/>
      <c r="H20" s="192" t="s">
        <v>799</v>
      </c>
      <c r="I20" s="193" t="s">
        <v>791</v>
      </c>
    </row>
    <row r="21" spans="1:11">
      <c r="C21" s="190"/>
      <c r="E21" s="205" t="s">
        <v>849</v>
      </c>
      <c r="F21" s="341"/>
      <c r="G21" s="341"/>
      <c r="H21" s="7" t="s">
        <v>811</v>
      </c>
      <c r="I21" s="9" t="s">
        <v>822</v>
      </c>
    </row>
    <row r="22" spans="1:11" ht="36">
      <c r="C22" s="190"/>
      <c r="E22" s="206" t="s">
        <v>850</v>
      </c>
      <c r="F22" s="341"/>
      <c r="G22" s="341"/>
    </row>
    <row r="23" spans="1:11">
      <c r="C23" s="190"/>
      <c r="E23" s="207">
        <v>87</v>
      </c>
      <c r="F23" s="341"/>
      <c r="G23" s="341"/>
    </row>
    <row r="24" spans="1:11">
      <c r="C24" s="190" t="s">
        <v>860</v>
      </c>
    </row>
    <row r="26" spans="1:11">
      <c r="A26" t="s">
        <v>872</v>
      </c>
    </row>
    <row r="28" spans="1:11">
      <c r="A28" t="s">
        <v>868</v>
      </c>
    </row>
    <row r="29" spans="1:11">
      <c r="A29" s="209" t="s">
        <v>874</v>
      </c>
    </row>
    <row r="30" spans="1:11">
      <c r="A30" s="209"/>
    </row>
    <row r="31" spans="1:11">
      <c r="A31" t="s">
        <v>869</v>
      </c>
    </row>
    <row r="32" spans="1:11">
      <c r="A32" s="209" t="s">
        <v>873</v>
      </c>
    </row>
    <row r="34" spans="1:1" ht="14.4">
      <c r="A34" s="208" t="s">
        <v>852</v>
      </c>
    </row>
    <row r="35" spans="1:1">
      <c r="A35" t="s">
        <v>866</v>
      </c>
    </row>
    <row r="37" spans="1:1">
      <c r="A37" t="s">
        <v>865</v>
      </c>
    </row>
    <row r="39" spans="1:1">
      <c r="A39" t="s">
        <v>896</v>
      </c>
    </row>
    <row r="41" spans="1:1">
      <c r="A41" s="209"/>
    </row>
    <row r="42" spans="1:1">
      <c r="A42" s="209"/>
    </row>
    <row r="46" spans="1:1">
      <c r="A46" s="209"/>
    </row>
    <row r="47" spans="1:1">
      <c r="A47" s="209"/>
    </row>
    <row r="49" spans="1:1">
      <c r="A49" s="209"/>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12" t="s">
        <v>848</v>
      </c>
      <c r="B2" s="212"/>
      <c r="C2" s="212"/>
      <c r="D2" s="213"/>
    </row>
    <row r="4" spans="1:9">
      <c r="A4" s="212" t="s">
        <v>847</v>
      </c>
      <c r="B4" s="212"/>
      <c r="C4" s="212"/>
      <c r="D4" s="213"/>
    </row>
    <row r="6" spans="1:9">
      <c r="A6" s="212" t="s">
        <v>846</v>
      </c>
      <c r="B6" s="212"/>
      <c r="C6" s="212"/>
      <c r="D6" s="213"/>
    </row>
    <row r="7" spans="1:9">
      <c r="D7" t="s">
        <v>379</v>
      </c>
      <c r="G7" t="s">
        <v>385</v>
      </c>
    </row>
    <row r="8" spans="1:9">
      <c r="D8" t="s">
        <v>878</v>
      </c>
      <c r="E8" t="s">
        <v>879</v>
      </c>
      <c r="F8" t="s">
        <v>880</v>
      </c>
      <c r="G8" t="s">
        <v>878</v>
      </c>
      <c r="H8" t="s">
        <v>879</v>
      </c>
      <c r="I8" t="s">
        <v>880</v>
      </c>
    </row>
    <row r="9" spans="1:9">
      <c r="A9" s="35" t="s">
        <v>791</v>
      </c>
      <c r="B9" s="212" t="s">
        <v>845</v>
      </c>
      <c r="C9" s="212"/>
      <c r="D9" s="213"/>
      <c r="E9" s="213"/>
      <c r="F9" s="213"/>
      <c r="G9" s="213"/>
      <c r="H9" s="213"/>
      <c r="I9" s="213"/>
    </row>
    <row r="10" spans="1:9">
      <c r="B10" s="212" t="s">
        <v>844</v>
      </c>
      <c r="C10" s="212"/>
      <c r="D10" s="213"/>
      <c r="E10" s="213"/>
      <c r="F10" s="213"/>
      <c r="G10" s="213"/>
      <c r="H10" s="213"/>
      <c r="I10" s="213"/>
    </row>
    <row r="11" spans="1:9">
      <c r="B11" s="212" t="s">
        <v>843</v>
      </c>
      <c r="C11" s="212"/>
      <c r="D11" s="213"/>
      <c r="E11" s="213"/>
      <c r="F11" s="213"/>
      <c r="G11" s="213"/>
      <c r="H11" s="213"/>
      <c r="I11" s="213"/>
    </row>
    <row r="12" spans="1:9">
      <c r="B12" s="212" t="s">
        <v>842</v>
      </c>
      <c r="C12" s="212"/>
      <c r="D12" s="213"/>
      <c r="E12" s="213"/>
      <c r="F12" s="213"/>
      <c r="G12" s="213"/>
      <c r="H12" s="213"/>
      <c r="I12" s="213"/>
    </row>
    <row r="13" spans="1:9">
      <c r="B13" s="212" t="s">
        <v>841</v>
      </c>
      <c r="C13" s="212"/>
      <c r="D13" s="213"/>
      <c r="E13" s="213"/>
      <c r="F13" s="213"/>
      <c r="G13" s="213"/>
      <c r="H13" s="213"/>
      <c r="I13" s="213"/>
    </row>
    <row r="14" spans="1:9">
      <c r="B14" s="212" t="s">
        <v>840</v>
      </c>
      <c r="C14" s="212"/>
      <c r="D14" s="213"/>
      <c r="E14" s="213"/>
      <c r="F14" s="213"/>
      <c r="G14" s="213"/>
      <c r="H14" s="213"/>
      <c r="I14" s="213"/>
    </row>
    <row r="15" spans="1:9">
      <c r="A15" s="8"/>
      <c r="B15" s="212" t="s">
        <v>839</v>
      </c>
      <c r="C15" s="212"/>
      <c r="D15" s="213"/>
      <c r="E15" s="213"/>
      <c r="F15" s="213"/>
      <c r="G15" s="213"/>
      <c r="H15" s="213"/>
      <c r="I15" s="213"/>
    </row>
    <row r="17" spans="1:5">
      <c r="D17" t="s">
        <v>379</v>
      </c>
      <c r="E17" t="s">
        <v>385</v>
      </c>
    </row>
    <row r="18" spans="1:5">
      <c r="A18" s="212" t="s">
        <v>881</v>
      </c>
      <c r="B18" s="212"/>
      <c r="C18" s="212"/>
      <c r="D18" s="213"/>
      <c r="E18" s="213"/>
    </row>
    <row r="20" spans="1:5">
      <c r="A20" s="212" t="s">
        <v>838</v>
      </c>
      <c r="B20" s="212"/>
      <c r="C20" s="212"/>
      <c r="D20" s="213"/>
      <c r="E20" s="213"/>
    </row>
    <row r="22" spans="1:5">
      <c r="A22" s="212" t="s">
        <v>882</v>
      </c>
      <c r="B22" s="212"/>
      <c r="C22" s="212"/>
      <c r="D22" s="213"/>
      <c r="E22" s="213"/>
    </row>
    <row r="24" spans="1:5">
      <c r="A24" s="212" t="s">
        <v>883</v>
      </c>
      <c r="B24" s="212"/>
      <c r="C24" s="214"/>
      <c r="D24" s="213"/>
      <c r="E24" s="213"/>
    </row>
    <row r="26" spans="1:5">
      <c r="A26" s="35" t="s">
        <v>837</v>
      </c>
      <c r="B26" s="35" t="s">
        <v>406</v>
      </c>
      <c r="C26" s="212" t="s">
        <v>372</v>
      </c>
      <c r="D26" s="213"/>
      <c r="E26" s="213"/>
    </row>
    <row r="27" spans="1:5">
      <c r="B27" s="8"/>
      <c r="C27" s="212" t="s">
        <v>836</v>
      </c>
      <c r="D27" s="213"/>
      <c r="E27" s="213"/>
    </row>
    <row r="28" spans="1:5">
      <c r="B28" s="212" t="s">
        <v>835</v>
      </c>
      <c r="C28" s="212"/>
      <c r="D28" s="213"/>
      <c r="E28" s="213"/>
    </row>
    <row r="29" spans="1:5">
      <c r="B29" s="212" t="s">
        <v>353</v>
      </c>
      <c r="C29" s="212"/>
      <c r="D29" s="213"/>
      <c r="E29" s="213"/>
    </row>
    <row r="30" spans="1:5">
      <c r="B30" s="212" t="s">
        <v>834</v>
      </c>
      <c r="C30" s="212"/>
      <c r="D30" s="213"/>
      <c r="E30" s="213"/>
    </row>
    <row r="31" spans="1:5">
      <c r="A31" s="8"/>
      <c r="B31" s="212" t="s">
        <v>833</v>
      </c>
      <c r="C31" s="212"/>
      <c r="D31" s="213"/>
      <c r="E31" s="213"/>
    </row>
    <row r="33" spans="1:5">
      <c r="A33" s="35" t="s">
        <v>832</v>
      </c>
      <c r="B33" s="212" t="s">
        <v>831</v>
      </c>
      <c r="C33" s="212"/>
      <c r="D33" s="213"/>
      <c r="E33" s="213"/>
    </row>
    <row r="34" spans="1:5">
      <c r="A34" s="8"/>
      <c r="B34" s="212" t="s">
        <v>884</v>
      </c>
      <c r="C34" s="212"/>
      <c r="D34" s="213"/>
      <c r="E34" s="213"/>
    </row>
    <row r="36" spans="1:5">
      <c r="A36" s="35" t="s">
        <v>830</v>
      </c>
      <c r="B36" s="212" t="s">
        <v>829</v>
      </c>
      <c r="C36" s="212"/>
      <c r="D36" s="213"/>
      <c r="E36" s="213"/>
    </row>
    <row r="37" spans="1:5">
      <c r="B37" s="212" t="s">
        <v>828</v>
      </c>
      <c r="C37" s="212"/>
      <c r="D37" s="213"/>
      <c r="E37" s="213"/>
    </row>
    <row r="38" spans="1:5">
      <c r="B38" s="212" t="s">
        <v>796</v>
      </c>
      <c r="C38" s="212"/>
      <c r="D38" s="213"/>
      <c r="E38" s="213"/>
    </row>
    <row r="39" spans="1:5">
      <c r="A39" s="8"/>
      <c r="B39" s="212" t="s">
        <v>827</v>
      </c>
      <c r="C39" s="212"/>
      <c r="D39" s="213"/>
      <c r="E39" s="213"/>
    </row>
    <row r="41" spans="1:5">
      <c r="A41" s="35" t="s">
        <v>826</v>
      </c>
      <c r="B41" s="212" t="s">
        <v>825</v>
      </c>
      <c r="C41" s="212"/>
      <c r="D41" s="213"/>
      <c r="E41" s="213"/>
    </row>
    <row r="42" spans="1:5">
      <c r="A42" s="8"/>
      <c r="B42" s="8" t="s">
        <v>884</v>
      </c>
      <c r="C42" s="8"/>
      <c r="D42" s="215"/>
      <c r="E42" s="213"/>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5" ma:contentTypeDescription="Create a new document." ma:contentTypeScope="" ma:versionID="ab80b68050dd6b43a2a35ca83469de33">
  <xsd:schema xmlns:xsd="http://www.w3.org/2001/XMLSchema" xmlns:p="http://schemas.microsoft.com/office/2006/metadata/properties" xmlns:ns3="c0c43d4d-b7da-4a2b-8f97-25182fb94a41" xmlns:ns4="15e9fc89-c4ce-4b6c-ba83-13639de65aee" targetNamespace="http://schemas.microsoft.com/office/2006/metadata/properties" ma:root="true" ma:fieldsID="d4d9046d119628e97cf6d64774acf8f2"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28FD20-8928-4FC5-ACDD-5BA7F0CF10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30129886-D359-4EAA-B6D6-AA051BE07174}">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s>
</ds:datastoreItem>
</file>

<file path=customXml/itemProps3.xml><?xml version="1.0" encoding="utf-8"?>
<ds:datastoreItem xmlns:ds="http://schemas.openxmlformats.org/officeDocument/2006/customXml" ds:itemID="{3E6BC48A-5F26-4177-B461-C7728AC766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cp:lastModifiedBy>
  <cp:lastPrinted>2016-07-05T08:57:01Z</cp:lastPrinted>
  <dcterms:created xsi:type="dcterms:W3CDTF">2015-04-17T13:40:48Z</dcterms:created>
  <dcterms:modified xsi:type="dcterms:W3CDTF">2023-07-28T09:06:37Z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0x010100C8FD8C3C5FF6F64B9D4367B81D88DE0E</vt:lpwstr>
  </property>
</Properties>
</file>