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923/"/>
    </mc:Choice>
  </mc:AlternateContent>
  <xr:revisionPtr revIDLastSave="28" documentId="8_{83C91092-661C-4BA8-8475-F6527A54CC06}" xr6:coauthVersionLast="47" xr6:coauthVersionMax="47" xr10:uidLastSave="{7C32640D-9869-4030-9EEC-412FB885D5E2}"/>
  <workbookProtection workbookAlgorithmName="SHA-512" workbookHashValue="C3aUESs0WOhKwaNtyn0bSVcTlQsTVwY9FldgW9yGrPWirWr51aL1YfGdUblMkeGCQmzRGAZ/ZI2PMzGEphZhQA==" workbookSaltValue="2d35G33VpC1kFWnRYavk9A==" workbookSpinCount="100000" lockStructure="1"/>
  <bookViews>
    <workbookView xWindow="28680" yWindow="-120" windowWidth="38640" windowHeight="2112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F296"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F318"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41" i="16"/>
  <c r="F143"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F107" i="16" l="1"/>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AC12" i="16" s="1"/>
  <c r="M12" i="16"/>
  <c r="N12" i="16" s="1"/>
  <c r="X12" i="16"/>
  <c r="Y12" i="16" s="1"/>
  <c r="Z12" i="16" s="1"/>
  <c r="AI12" i="16"/>
  <c r="AJ12" i="16" s="1"/>
  <c r="AK12" i="16" s="1"/>
  <c r="T12" i="16"/>
  <c r="U12" i="16" s="1"/>
  <c r="V12" i="16" s="1"/>
  <c r="K15" i="16"/>
  <c r="L14" i="16"/>
  <c r="S13" i="16"/>
  <c r="T13" i="16"/>
  <c r="AI13" i="16"/>
  <c r="X13" i="16"/>
  <c r="M13" i="16"/>
  <c r="N13" i="16" s="1"/>
  <c r="AA13" i="16"/>
  <c r="AP13" i="16"/>
  <c r="X11" i="16"/>
  <c r="E66" i="8"/>
  <c r="Y66" i="8" s="1"/>
  <c r="T11" i="16"/>
  <c r="AI11" i="16"/>
  <c r="S11" i="16"/>
  <c r="AP11" i="16"/>
  <c r="M11" i="16"/>
  <c r="U66" i="8" s="1"/>
  <c r="AQ12" i="16" l="1"/>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X32" i="16"/>
  <c r="AA32" i="16"/>
  <c r="AB32" i="16" l="1"/>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AJ49" i="16" s="1"/>
  <c r="X49" i="16"/>
  <c r="L50" i="16"/>
  <c r="K51" i="16"/>
  <c r="AQ49" i="16" l="1"/>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AJ57" i="16" s="1"/>
  <c r="AK57" i="16" s="1"/>
  <c r="M57" i="16"/>
  <c r="N57" i="16" s="1"/>
  <c r="AA57" i="16"/>
  <c r="X57" i="16"/>
  <c r="Y56" i="16"/>
  <c r="AB56" i="16"/>
  <c r="AQ58" i="16" l="1"/>
  <c r="AJ58" i="16"/>
  <c r="U58" i="16"/>
  <c r="AB58" i="16"/>
  <c r="Y58" i="16"/>
  <c r="L60" i="16"/>
  <c r="K61" i="16"/>
  <c r="S59" i="16"/>
  <c r="T59" i="16"/>
  <c r="AI59" i="16"/>
  <c r="AJ59" i="16" s="1"/>
  <c r="X59" i="16"/>
  <c r="M59" i="16"/>
  <c r="N59" i="16" s="1"/>
  <c r="AP59" i="16"/>
  <c r="AQ59" i="16" s="1"/>
  <c r="AR59" i="16" s="1"/>
  <c r="AA59" i="16"/>
  <c r="Y57" i="16"/>
  <c r="AB57" i="16"/>
  <c r="AQ57" i="16"/>
  <c r="U57" i="16"/>
  <c r="Y59" i="16" l="1"/>
  <c r="AB59" i="16"/>
  <c r="AK59" i="16"/>
  <c r="U59" i="16"/>
  <c r="L61" i="16"/>
  <c r="K62" i="16"/>
  <c r="M60" i="16"/>
  <c r="N60" i="16" s="1"/>
  <c r="AA60" i="16"/>
  <c r="AP60" i="16"/>
  <c r="S60" i="16"/>
  <c r="T60" i="16"/>
  <c r="U60" i="16" s="1"/>
  <c r="V60" i="16" s="1"/>
  <c r="AI60" i="16"/>
  <c r="AJ60" i="16" s="1"/>
  <c r="AK60" i="16" s="1"/>
  <c r="X60" i="16"/>
  <c r="Y60" i="16" l="1"/>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J63" i="16" s="1"/>
  <c r="AK63" i="16" s="1"/>
  <c r="AA63" i="16"/>
  <c r="AQ63" i="16" l="1"/>
  <c r="Y63" i="16"/>
  <c r="U63" i="16"/>
  <c r="L65" i="16"/>
  <c r="K66" i="16"/>
  <c r="T64" i="16"/>
  <c r="AI64" i="16"/>
  <c r="AJ64" i="16" s="1"/>
  <c r="AK64" i="16" s="1"/>
  <c r="X64" i="16"/>
  <c r="M64" i="16"/>
  <c r="N64" i="16" s="1"/>
  <c r="AP64" i="16"/>
  <c r="AQ64" i="16" s="1"/>
  <c r="AR64" i="16" s="1"/>
  <c r="S64" i="16"/>
  <c r="AA64" i="16"/>
  <c r="AB63" i="16"/>
  <c r="Y64" i="16" l="1"/>
  <c r="U64" i="16"/>
  <c r="L66" i="16"/>
  <c r="K67" i="16"/>
  <c r="S65" i="16"/>
  <c r="T65" i="16"/>
  <c r="AI65" i="16"/>
  <c r="AJ65" i="16" s="1"/>
  <c r="AK65" i="16" s="1"/>
  <c r="X65" i="16"/>
  <c r="AP65" i="16"/>
  <c r="AQ65" i="16" s="1"/>
  <c r="AR65" i="16" s="1"/>
  <c r="M65" i="16"/>
  <c r="N65" i="16" s="1"/>
  <c r="AA65" i="16"/>
  <c r="AB64" i="16"/>
  <c r="Y65" i="16" l="1"/>
  <c r="U65" i="16"/>
  <c r="L67" i="16"/>
  <c r="K68" i="16"/>
  <c r="M66" i="16"/>
  <c r="N66" i="16" s="1"/>
  <c r="AP66" i="16"/>
  <c r="S66" i="16"/>
  <c r="T66" i="16"/>
  <c r="AI66" i="16"/>
  <c r="AJ66" i="16" s="1"/>
  <c r="AK66" i="16" s="1"/>
  <c r="AA66" i="16"/>
  <c r="X66" i="16"/>
  <c r="AB65" i="16"/>
  <c r="Y66" i="16" l="1"/>
  <c r="U66" i="16"/>
  <c r="AB66" i="16"/>
  <c r="AQ66" i="16"/>
  <c r="L68" i="16"/>
  <c r="K69" i="16"/>
  <c r="T67" i="16"/>
  <c r="AI67" i="16"/>
  <c r="AJ67" i="16" s="1"/>
  <c r="AK67" i="16" s="1"/>
  <c r="X67" i="16"/>
  <c r="M67" i="16"/>
  <c r="N67" i="16" s="1"/>
  <c r="AP67" i="16"/>
  <c r="S67" i="16"/>
  <c r="AA67" i="16"/>
  <c r="AQ67" i="16" l="1"/>
  <c r="U67" i="16"/>
  <c r="Y67" i="16"/>
  <c r="L69" i="16"/>
  <c r="K70" i="16"/>
  <c r="S68" i="16"/>
  <c r="T68" i="16"/>
  <c r="AI68" i="16"/>
  <c r="AJ68" i="16" s="1"/>
  <c r="AK68" i="16" s="1"/>
  <c r="X68" i="16"/>
  <c r="M68" i="16"/>
  <c r="N68" i="16" s="1"/>
  <c r="AP68" i="16"/>
  <c r="AQ68" i="16" s="1"/>
  <c r="AR68" i="16" s="1"/>
  <c r="AA68" i="16"/>
  <c r="AB67" i="16"/>
  <c r="Y68" i="16" l="1"/>
  <c r="U68" i="16"/>
  <c r="AB68" i="16"/>
  <c r="K71" i="16"/>
  <c r="L70" i="16"/>
  <c r="M69" i="16"/>
  <c r="N69" i="16" s="1"/>
  <c r="AP69" i="16"/>
  <c r="S69" i="16"/>
  <c r="T69" i="16"/>
  <c r="AA69" i="16"/>
  <c r="AI69" i="16"/>
  <c r="AJ69" i="16" s="1"/>
  <c r="AK69" i="16" s="1"/>
  <c r="X69" i="16"/>
  <c r="AQ69" i="16" l="1"/>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AK72" i="16" s="1"/>
  <c r="S72" i="16"/>
  <c r="AA72" i="16"/>
  <c r="Y71" i="16"/>
  <c r="Y72" i="16" l="1"/>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AK74" i="16" s="1"/>
  <c r="S74" i="16"/>
  <c r="T74" i="16"/>
  <c r="X74" i="16"/>
  <c r="AP74" i="16"/>
  <c r="AQ74" i="16" s="1"/>
  <c r="AR74" i="16" s="1"/>
  <c r="M74" i="16"/>
  <c r="N74" i="16" s="1"/>
  <c r="AA74" i="16"/>
  <c r="AB74" i="16" l="1"/>
  <c r="Y74" i="16"/>
  <c r="U74" i="16"/>
  <c r="K77" i="16"/>
  <c r="L76" i="16"/>
  <c r="M75" i="16"/>
  <c r="N75" i="16" s="1"/>
  <c r="T75" i="16"/>
  <c r="AI75" i="16"/>
  <c r="AJ75" i="16" s="1"/>
  <c r="AK75" i="16" s="1"/>
  <c r="S75" i="16"/>
  <c r="X75" i="16"/>
  <c r="AA75" i="16"/>
  <c r="AP75" i="16"/>
  <c r="AQ75" i="16" s="1"/>
  <c r="AB75" i="16" l="1"/>
  <c r="Y75" i="16"/>
  <c r="U75" i="16"/>
  <c r="T76" i="16"/>
  <c r="AI76" i="16"/>
  <c r="AJ76" i="16" s="1"/>
  <c r="AK76" i="16" s="1"/>
  <c r="M76" i="16"/>
  <c r="N76" i="16" s="1"/>
  <c r="AA76" i="16"/>
  <c r="AP76" i="16"/>
  <c r="S76" i="16"/>
  <c r="X76" i="16"/>
  <c r="L77" i="16"/>
  <c r="K78" i="16"/>
  <c r="Y76" i="16" l="1"/>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K41" i="16"/>
  <c r="AK49" i="16"/>
  <c r="AK21" i="16"/>
  <c r="AK14" i="16"/>
  <c r="AK25" i="16"/>
  <c r="Z14" i="16"/>
  <c r="AK51" i="16"/>
  <c r="AK19" i="16"/>
  <c r="AK38" i="16"/>
  <c r="AC11" i="16"/>
  <c r="Z11" i="16"/>
  <c r="V11" i="16"/>
  <c r="AK15" i="16"/>
  <c r="AK30" i="16"/>
  <c r="AQ78" i="16" l="1"/>
  <c r="U78" i="16"/>
  <c r="Y78" i="16"/>
  <c r="AB78" i="16"/>
  <c r="L80" i="16"/>
  <c r="K81" i="16"/>
  <c r="T79" i="16"/>
  <c r="M79" i="16"/>
  <c r="N79" i="16" s="1"/>
  <c r="AI79" i="16"/>
  <c r="S79" i="16"/>
  <c r="X79" i="16"/>
  <c r="AA79" i="16"/>
  <c r="AP79" i="16"/>
  <c r="AC17" i="16"/>
  <c r="V43" i="16"/>
  <c r="Z17" i="16"/>
  <c r="AK40" i="16"/>
  <c r="AK18" i="16"/>
  <c r="Z15" i="16"/>
  <c r="AC15" i="16"/>
  <c r="Z16" i="16"/>
  <c r="Z18" i="16"/>
  <c r="Z19" i="16"/>
  <c r="AC16" i="16"/>
  <c r="AC19" i="16"/>
  <c r="AC18" i="16"/>
  <c r="V16" i="16"/>
  <c r="V18" i="16"/>
  <c r="V19" i="16"/>
  <c r="V37" i="16"/>
  <c r="V38" i="16"/>
  <c r="AK11" i="16"/>
  <c r="AK53" i="16"/>
  <c r="AR11" i="16"/>
  <c r="AR50" i="16"/>
  <c r="AK26" i="16"/>
  <c r="V14" i="16"/>
  <c r="AR23" i="16"/>
  <c r="Z21" i="16"/>
  <c r="Z23" i="16"/>
  <c r="AK17" i="16"/>
  <c r="AK23" i="16"/>
  <c r="AC21" i="16"/>
  <c r="AC23" i="16"/>
  <c r="V21" i="16"/>
  <c r="V23" i="16"/>
  <c r="AR40" i="16"/>
  <c r="AK20" i="16"/>
  <c r="AK27" i="16"/>
  <c r="V15" i="16"/>
  <c r="V30" i="16"/>
  <c r="AJ79" i="16" l="1"/>
  <c r="Y79" i="16"/>
  <c r="U79" i="16"/>
  <c r="AB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AJ82" i="16" s="1"/>
  <c r="L83" i="16"/>
  <c r="K84" i="16"/>
  <c r="AQ82" i="16" l="1"/>
  <c r="Y82" i="16"/>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Q84" i="16" l="1"/>
  <c r="AJ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K92" i="16"/>
  <c r="L91" i="16"/>
  <c r="AB89" i="16"/>
  <c r="Y89" i="16"/>
  <c r="AQ90" i="16" l="1"/>
  <c r="AB90" i="16"/>
  <c r="U90" i="16"/>
  <c r="Y90" i="16"/>
  <c r="K93" i="16"/>
  <c r="L92" i="16"/>
  <c r="S91" i="16"/>
  <c r="T91" i="16"/>
  <c r="AI91" i="16"/>
  <c r="AJ91" i="16" s="1"/>
  <c r="AK91" i="16" s="1"/>
  <c r="AA91" i="16"/>
  <c r="AP91" i="16"/>
  <c r="AQ91" i="16" s="1"/>
  <c r="AR91" i="16" s="1"/>
  <c r="X91" i="16"/>
  <c r="M91" i="16"/>
  <c r="N91" i="16" s="1"/>
  <c r="AB91" i="16" l="1"/>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S102" i="16"/>
  <c r="L103" i="16"/>
  <c r="K104" i="16"/>
  <c r="AQ102" i="16" l="1"/>
  <c r="AB102" i="16"/>
  <c r="Y102" i="16"/>
  <c r="U102" i="16"/>
  <c r="L104" i="16"/>
  <c r="K105" i="16"/>
  <c r="T103" i="16"/>
  <c r="AI103" i="16"/>
  <c r="AJ103" i="16" s="1"/>
  <c r="AK103" i="16" s="1"/>
  <c r="X103" i="16"/>
  <c r="M103" i="16"/>
  <c r="N103" i="16" s="1"/>
  <c r="AA103" i="16"/>
  <c r="AP103" i="16"/>
  <c r="S103" i="16"/>
  <c r="AQ103" i="16" l="1"/>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AK115" i="16" s="1"/>
  <c r="M115" i="16"/>
  <c r="N115" i="16" s="1"/>
  <c r="AP115" i="16"/>
  <c r="U115" i="16" l="1"/>
  <c r="AQ115" i="16"/>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X122" i="16"/>
  <c r="AA122" i="16"/>
  <c r="K124" i="16"/>
  <c r="L123" i="16"/>
  <c r="AB122" i="16" l="1"/>
  <c r="U122" i="16"/>
  <c r="Y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X135" i="16"/>
  <c r="AP135" i="16"/>
  <c r="S135" i="16"/>
  <c r="AA135" i="16"/>
  <c r="M135" i="16"/>
  <c r="N135" i="16" s="1"/>
  <c r="T135" i="16"/>
  <c r="K137" i="16"/>
  <c r="L136" i="16"/>
  <c r="AJ135" i="16" l="1"/>
  <c r="AQ135" i="16"/>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U138" i="16" s="1"/>
  <c r="V138" i="16" s="1"/>
  <c r="K140" i="16"/>
  <c r="L139" i="16"/>
  <c r="AQ138" i="16" l="1"/>
  <c r="Y138" i="16"/>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A152" i="16"/>
  <c r="AQ152" i="16" l="1"/>
  <c r="AB152" i="16"/>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S157" i="16"/>
  <c r="T157" i="16"/>
  <c r="U157" i="16" s="1"/>
  <c r="V157" i="16" s="1"/>
  <c r="AP157" i="16"/>
  <c r="AA157" i="16"/>
  <c r="AJ157" i="16" l="1"/>
  <c r="AQ157" i="16"/>
  <c r="AB157" i="16"/>
  <c r="Y157"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X161" i="16"/>
  <c r="AP161" i="16"/>
  <c r="AQ161" i="16" s="1"/>
  <c r="Y160" i="16"/>
  <c r="AB160" i="16"/>
  <c r="U161" i="16" l="1"/>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T177" i="16"/>
  <c r="U177" i="16" s="1"/>
  <c r="V177" i="16" s="1"/>
  <c r="AA177" i="16"/>
  <c r="AB177" i="16" s="1"/>
  <c r="AC177" i="16" s="1"/>
  <c r="M177" i="16"/>
  <c r="N177" i="16" s="1"/>
  <c r="AP177" i="16"/>
  <c r="AQ177" i="16" s="1"/>
  <c r="U176" i="16"/>
  <c r="AK177" i="16" l="1"/>
  <c r="AR177" i="16"/>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R41" i="16" s="1"/>
  <c r="AA327" i="16"/>
  <c r="AB327" i="16" s="1"/>
  <c r="AK70" i="16" l="1"/>
  <c r="AK100" i="16"/>
  <c r="AK154" i="16"/>
  <c r="AK157" i="16"/>
  <c r="AK172" i="16"/>
  <c r="AR75" i="16"/>
  <c r="AR47" i="16"/>
  <c r="AR45" i="16"/>
  <c r="AK22" i="16"/>
  <c r="AK48" i="16"/>
  <c r="AK45" i="16"/>
  <c r="AK161" i="16"/>
  <c r="AK54" i="16"/>
  <c r="AK84" i="16"/>
  <c r="AK99" i="16"/>
  <c r="AK162" i="16"/>
  <c r="AK173" i="16"/>
  <c r="AR82" i="16"/>
  <c r="AR84" i="16"/>
  <c r="AR20" i="16"/>
  <c r="AR49" i="16"/>
  <c r="AR43" i="16"/>
  <c r="AR90" i="16"/>
  <c r="V51" i="16"/>
  <c r="V116" i="16"/>
  <c r="AK31" i="16"/>
  <c r="AK43" i="16"/>
  <c r="AK149" i="16"/>
  <c r="AR69" i="16"/>
  <c r="AR103" i="16"/>
  <c r="AR138" i="16"/>
  <c r="AR152" i="16"/>
  <c r="AR156" i="16"/>
  <c r="Z59" i="16"/>
  <c r="Z79" i="16"/>
  <c r="Z20" i="16"/>
  <c r="AK29" i="16"/>
  <c r="AK28" i="16"/>
  <c r="AK79" i="16"/>
  <c r="AK86" i="16"/>
  <c r="AK135" i="16"/>
  <c r="V79" i="16"/>
  <c r="V22" i="16"/>
  <c r="V20" i="16"/>
  <c r="V92" i="16"/>
  <c r="V115" i="16"/>
  <c r="V142" i="16"/>
  <c r="AC59" i="16"/>
  <c r="AC79" i="16"/>
  <c r="AC20" i="16"/>
  <c r="AR58" i="16"/>
  <c r="AR87" i="16"/>
  <c r="AR92" i="16"/>
  <c r="AR102" i="16"/>
  <c r="AR137" i="16"/>
  <c r="AR158" i="16"/>
  <c r="AR162" i="16"/>
  <c r="AK58" i="16"/>
  <c r="AK52" i="16"/>
  <c r="AK80" i="16"/>
  <c r="AK87" i="16"/>
  <c r="AC70" i="16"/>
  <c r="AC37" i="16"/>
  <c r="AC22" i="16"/>
  <c r="AC34" i="16"/>
  <c r="AC30" i="16"/>
  <c r="AC122" i="16"/>
  <c r="Z70" i="16"/>
  <c r="Z30" i="16"/>
  <c r="Z22" i="16"/>
  <c r="Z37" i="16"/>
  <c r="Z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Q38" i="8"/>
  <c r="K38" i="8" s="1"/>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<sst xmlns="http://schemas.openxmlformats.org/spreadsheetml/2006/main" count="9476" uniqueCount="905">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</sst>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7"/>
                <c:pt idx="76">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98.148148148148152</c:v>
                </c:pt>
                <c:pt idx="26">
                  <c:v>97.916666666666657</c:v>
                </c:pt>
                <c:pt idx="27">
                  <c:v>97.916666666666657</c:v>
                </c:pt>
                <c:pt idx="28">
                  <c:v>97.435897435897431</c:v>
                </c:pt>
                <c:pt idx="29">
                  <c:v>97.142857142857139</c:v>
                </c:pt>
                <c:pt idx="30">
                  <c:v>96.774193548387103</c:v>
                </c:pt>
                <c:pt idx="31">
                  <c:v>96.666666666666671</c:v>
                </c:pt>
                <c:pt idx="32">
                  <c:v>96.666666666666671</c:v>
                </c:pt>
                <c:pt idx="33">
                  <c:v>96.551724137931032</c:v>
                </c:pt>
                <c:pt idx="34">
                  <c:v>96.296296296296291</c:v>
                </c:pt>
                <c:pt idx="35">
                  <c:v>96.296296296296291</c:v>
                </c:pt>
                <c:pt idx="36">
                  <c:v>96.15384615384616</c:v>
                </c:pt>
                <c:pt idx="37">
                  <c:v>96</c:v>
                </c:pt>
                <c:pt idx="38">
                  <c:v>95.833333333333343</c:v>
                </c:pt>
                <c:pt idx="39">
                  <c:v>95.833333333333343</c:v>
                </c:pt>
                <c:pt idx="40">
                  <c:v>95.833333333333343</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7"/>
                <c:pt idx="76">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95.652173913043484</c:v>
                </c:pt>
                <c:pt idx="42">
                  <c:v>95.454545454545453</c:v>
                </c:pt>
                <c:pt idx="43">
                  <c:v>95.238095238095227</c:v>
                </c:pt>
                <c:pt idx="44">
                  <c:v>95</c:v>
                </c:pt>
                <c:pt idx="45">
                  <c:v>95</c:v>
                </c:pt>
                <c:pt idx="46">
                  <c:v>94.594594594594597</c:v>
                </c:pt>
                <c:pt idx="47">
                  <c:v>94.545454545454547</c:v>
                </c:pt>
                <c:pt idx="48">
                  <c:v>94.444444444444443</c:v>
                </c:pt>
                <c:pt idx="49">
                  <c:v>94.444444444444443</c:v>
                </c:pt>
                <c:pt idx="50">
                  <c:v>94.444444444444443</c:v>
                </c:pt>
                <c:pt idx="51">
                  <c:v>94.20289855072464</c:v>
                </c:pt>
                <c:pt idx="52">
                  <c:v>94</c:v>
                </c:pt>
                <c:pt idx="53">
                  <c:v>94</c:v>
                </c:pt>
                <c:pt idx="54">
                  <c:v>93.75</c:v>
                </c:pt>
                <c:pt idx="55">
                  <c:v>93.650793650793645</c:v>
                </c:pt>
                <c:pt idx="56">
                  <c:v>93.61702127659575</c:v>
                </c:pt>
                <c:pt idx="57">
                  <c:v>93.333333333333329</c:v>
                </c:pt>
                <c:pt idx="58">
                  <c:v>93.333333333333329</c:v>
                </c:pt>
                <c:pt idx="59">
                  <c:v>93.181818181818173</c:v>
                </c:pt>
                <c:pt idx="60">
                  <c:v>93.103448275862064</c:v>
                </c:pt>
                <c:pt idx="61">
                  <c:v>92.592592592592595</c:v>
                </c:pt>
                <c:pt idx="62">
                  <c:v>92.592592592592595</c:v>
                </c:pt>
                <c:pt idx="63">
                  <c:v>92.592592592592595</c:v>
                </c:pt>
                <c:pt idx="64">
                  <c:v>92.592592592592595</c:v>
                </c:pt>
                <c:pt idx="65">
                  <c:v>92.307692307692307</c:v>
                </c:pt>
                <c:pt idx="66">
                  <c:v>92.307692307692307</c:v>
                </c:pt>
                <c:pt idx="67">
                  <c:v>92.307692307692307</c:v>
                </c:pt>
                <c:pt idx="68">
                  <c:v>91.891891891891902</c:v>
                </c:pt>
                <c:pt idx="69">
                  <c:v>91.83673469387756</c:v>
                </c:pt>
                <c:pt idx="70">
                  <c:v>91.666666666666657</c:v>
                </c:pt>
                <c:pt idx="71">
                  <c:v>91.666666666666657</c:v>
                </c:pt>
                <c:pt idx="72">
                  <c:v>91.666666666666657</c:v>
                </c:pt>
                <c:pt idx="73">
                  <c:v>91.666666666666657</c:v>
                </c:pt>
                <c:pt idx="74">
                  <c:v>91.428571428571431</c:v>
                </c:pt>
                <c:pt idx="75">
                  <c:v>91.304347826086953</c:v>
                </c:pt>
                <c:pt idx="76">
                  <c:v>90.909090909090907</c:v>
                </c:pt>
                <c:pt idx="77">
                  <c:v>90.909090909090907</c:v>
                </c:pt>
                <c:pt idx="78">
                  <c:v>90.625</c:v>
                </c:pt>
                <c:pt idx="79">
                  <c:v>90.625</c:v>
                </c:pt>
                <c:pt idx="80">
                  <c:v>90.476190476190482</c:v>
                </c:pt>
                <c:pt idx="81">
                  <c:v>90</c:v>
                </c:pt>
                <c:pt idx="82">
                  <c:v>90</c:v>
                </c:pt>
                <c:pt idx="83">
                  <c:v>90</c:v>
                </c:pt>
                <c:pt idx="84">
                  <c:v>90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7"/>
                <c:pt idx="76">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89.830508474576277</c:v>
                </c:pt>
                <c:pt idx="86">
                  <c:v>89.473684210526315</c:v>
                </c:pt>
                <c:pt idx="87">
                  <c:v>89.361702127659569</c:v>
                </c:pt>
                <c:pt idx="88">
                  <c:v>89.285714285714292</c:v>
                </c:pt>
                <c:pt idx="89">
                  <c:v>89.130434782608688</c:v>
                </c:pt>
                <c:pt idx="90">
                  <c:v>88.888888888888886</c:v>
                </c:pt>
                <c:pt idx="91">
                  <c:v>88.709677419354833</c:v>
                </c:pt>
                <c:pt idx="92">
                  <c:v>88.679245283018872</c:v>
                </c:pt>
                <c:pt idx="93">
                  <c:v>88.571428571428569</c:v>
                </c:pt>
                <c:pt idx="94">
                  <c:v>88.235294117647058</c:v>
                </c:pt>
                <c:pt idx="95">
                  <c:v>88.235294117647058</c:v>
                </c:pt>
                <c:pt idx="96">
                  <c:v>87.5</c:v>
                </c:pt>
                <c:pt idx="97">
                  <c:v>87.179487179487182</c:v>
                </c:pt>
                <c:pt idx="98">
                  <c:v>86.842105263157904</c:v>
                </c:pt>
                <c:pt idx="99">
                  <c:v>86.666666666666671</c:v>
                </c:pt>
                <c:pt idx="100">
                  <c:v>86.36363636363636</c:v>
                </c:pt>
                <c:pt idx="101">
                  <c:v>86.04651162790698</c:v>
                </c:pt>
                <c:pt idx="102">
                  <c:v>86.04651162790698</c:v>
                </c:pt>
                <c:pt idx="103">
                  <c:v>85.9375</c:v>
                </c:pt>
                <c:pt idx="104">
                  <c:v>85.714285714285708</c:v>
                </c:pt>
                <c:pt idx="105">
                  <c:v>85.714285714285708</c:v>
                </c:pt>
                <c:pt idx="106">
                  <c:v>85.714285714285708</c:v>
                </c:pt>
                <c:pt idx="107">
                  <c:v>85.714285714285708</c:v>
                </c:pt>
                <c:pt idx="108">
                  <c:v>84.848484848484844</c:v>
                </c:pt>
                <c:pt idx="109">
                  <c:v>84.848484848484844</c:v>
                </c:pt>
                <c:pt idx="110">
                  <c:v>84.615384615384613</c:v>
                </c:pt>
                <c:pt idx="111">
                  <c:v>84.375</c:v>
                </c:pt>
                <c:pt idx="112">
                  <c:v>84.090909090909093</c:v>
                </c:pt>
                <c:pt idx="113">
                  <c:v>84</c:v>
                </c:pt>
                <c:pt idx="114">
                  <c:v>83.870967741935488</c:v>
                </c:pt>
                <c:pt idx="115">
                  <c:v>83.333333333333343</c:v>
                </c:pt>
                <c:pt idx="116">
                  <c:v>83.333333333333343</c:v>
                </c:pt>
                <c:pt idx="117">
                  <c:v>81.395348837209298</c:v>
                </c:pt>
                <c:pt idx="118">
                  <c:v>80.952380952380949</c:v>
                </c:pt>
                <c:pt idx="119">
                  <c:v>80.952380952380949</c:v>
                </c:pt>
                <c:pt idx="120">
                  <c:v>80.769230769230774</c:v>
                </c:pt>
                <c:pt idx="121">
                  <c:v>80.327868852459019</c:v>
                </c:pt>
                <c:pt idx="122">
                  <c:v>80</c:v>
                </c:pt>
                <c:pt idx="123">
                  <c:v>80</c:v>
                </c:pt>
                <c:pt idx="124">
                  <c:v>80</c:v>
                </c:pt>
                <c:pt idx="125">
                  <c:v>80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7"/>
                <c:pt idx="76">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78.94736842105263</c:v>
                </c:pt>
                <c:pt idx="127">
                  <c:v>78</c:v>
                </c:pt>
                <c:pt idx="128">
                  <c:v>77.777777777777786</c:v>
                </c:pt>
                <c:pt idx="129">
                  <c:v>77.777777777777786</c:v>
                </c:pt>
                <c:pt idx="130">
                  <c:v>77.272727272727266</c:v>
                </c:pt>
                <c:pt idx="131">
                  <c:v>77.272727272727266</c:v>
                </c:pt>
                <c:pt idx="132">
                  <c:v>77.142857142857153</c:v>
                </c:pt>
                <c:pt idx="133">
                  <c:v>76.470588235294116</c:v>
                </c:pt>
                <c:pt idx="134">
                  <c:v>76.19047619047619</c:v>
                </c:pt>
                <c:pt idx="135">
                  <c:v>76.08695652173914</c:v>
                </c:pt>
                <c:pt idx="136">
                  <c:v>75.806451612903231</c:v>
                </c:pt>
                <c:pt idx="137">
                  <c:v>75</c:v>
                </c:pt>
                <c:pt idx="138">
                  <c:v>75</c:v>
                </c:pt>
                <c:pt idx="139">
                  <c:v>75</c:v>
                </c:pt>
                <c:pt idx="140">
                  <c:v>75</c:v>
                </c:pt>
                <c:pt idx="141">
                  <c:v>75</c:v>
                </c:pt>
                <c:pt idx="142">
                  <c:v>75</c:v>
                </c:pt>
                <c:pt idx="143">
                  <c:v>73.529411764705884</c:v>
                </c:pt>
                <c:pt idx="144">
                  <c:v>72.727272727272734</c:v>
                </c:pt>
                <c:pt idx="145">
                  <c:v>70.833333333333343</c:v>
                </c:pt>
                <c:pt idx="146">
                  <c:v>70.370370370370367</c:v>
                </c:pt>
                <c:pt idx="147">
                  <c:v>70</c:v>
                </c:pt>
                <c:pt idx="148">
                  <c:v>68.421052631578945</c:v>
                </c:pt>
                <c:pt idx="149">
                  <c:v>68.421052631578945</c:v>
                </c:pt>
                <c:pt idx="150">
                  <c:v>68</c:v>
                </c:pt>
                <c:pt idx="151">
                  <c:v>67.741935483870961</c:v>
                </c:pt>
                <c:pt idx="152">
                  <c:v>66.666666666666657</c:v>
                </c:pt>
                <c:pt idx="153">
                  <c:v>65.384615384615387</c:v>
                </c:pt>
                <c:pt idx="154">
                  <c:v>61.95652173913043</c:v>
                </c:pt>
                <c:pt idx="155">
                  <c:v>60.9375</c:v>
                </c:pt>
                <c:pt idx="156">
                  <c:v>60.526315789473685</c:v>
                </c:pt>
                <c:pt idx="157">
                  <c:v>60</c:v>
                </c:pt>
                <c:pt idx="158">
                  <c:v>60</c:v>
                </c:pt>
                <c:pt idx="159">
                  <c:v>57.499999999999993</c:v>
                </c:pt>
                <c:pt idx="160">
                  <c:v>54.54545454545454</c:v>
                </c:pt>
                <c:pt idx="161">
                  <c:v>50</c:v>
                </c:pt>
                <c:pt idx="162">
                  <c:v>33.333333333333329</c:v>
                </c:pt>
                <c:pt idx="163">
                  <c:v>20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77"/>
                <c:pt idx="76">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98.148148148148152</c:v>
                </c:pt>
                <c:pt idx="26">
                  <c:v>97.916666666666657</c:v>
                </c:pt>
                <c:pt idx="27">
                  <c:v>97.916666666666657</c:v>
                </c:pt>
                <c:pt idx="28">
                  <c:v>97.435897435897431</c:v>
                </c:pt>
                <c:pt idx="29">
                  <c:v>97.142857142857139</c:v>
                </c:pt>
                <c:pt idx="30">
                  <c:v>96.774193548387103</c:v>
                </c:pt>
                <c:pt idx="31">
                  <c:v>96.666666666666671</c:v>
                </c:pt>
                <c:pt idx="32">
                  <c:v>96.666666666666671</c:v>
                </c:pt>
                <c:pt idx="33">
                  <c:v>96.551724137931032</c:v>
                </c:pt>
                <c:pt idx="34">
                  <c:v>96.296296296296291</c:v>
                </c:pt>
                <c:pt idx="35">
                  <c:v>96.296296296296291</c:v>
                </c:pt>
                <c:pt idx="36">
                  <c:v>96.15384615384616</c:v>
                </c:pt>
                <c:pt idx="37">
                  <c:v>96</c:v>
                </c:pt>
                <c:pt idx="38">
                  <c:v>95.833333333333343</c:v>
                </c:pt>
                <c:pt idx="39">
                  <c:v>95.833333333333343</c:v>
                </c:pt>
                <c:pt idx="40">
                  <c:v>95.833333333333343</c:v>
                </c:pt>
                <c:pt idx="41">
                  <c:v>95.652173913043484</c:v>
                </c:pt>
                <c:pt idx="42">
                  <c:v>95.454545454545453</c:v>
                </c:pt>
                <c:pt idx="43">
                  <c:v>95.238095238095227</c:v>
                </c:pt>
                <c:pt idx="44">
                  <c:v>95</c:v>
                </c:pt>
                <c:pt idx="45">
                  <c:v>95</c:v>
                </c:pt>
                <c:pt idx="46">
                  <c:v>94.594594594594597</c:v>
                </c:pt>
                <c:pt idx="47">
                  <c:v>94.545454545454547</c:v>
                </c:pt>
                <c:pt idx="48">
                  <c:v>94.444444444444443</c:v>
                </c:pt>
                <c:pt idx="49">
                  <c:v>94.444444444444443</c:v>
                </c:pt>
                <c:pt idx="50">
                  <c:v>94.444444444444443</c:v>
                </c:pt>
                <c:pt idx="51">
                  <c:v>94.20289855072464</c:v>
                </c:pt>
                <c:pt idx="52">
                  <c:v>94</c:v>
                </c:pt>
                <c:pt idx="53">
                  <c:v>94</c:v>
                </c:pt>
                <c:pt idx="54">
                  <c:v>93.75</c:v>
                </c:pt>
                <c:pt idx="55">
                  <c:v>93.650793650793645</c:v>
                </c:pt>
                <c:pt idx="56">
                  <c:v>93.61702127659575</c:v>
                </c:pt>
                <c:pt idx="57">
                  <c:v>93.333333333333329</c:v>
                </c:pt>
                <c:pt idx="58">
                  <c:v>93.333333333333329</c:v>
                </c:pt>
                <c:pt idx="59">
                  <c:v>93.181818181818173</c:v>
                </c:pt>
                <c:pt idx="60">
                  <c:v>93.103448275862064</c:v>
                </c:pt>
                <c:pt idx="61">
                  <c:v>92.592592592592595</c:v>
                </c:pt>
                <c:pt idx="62">
                  <c:v>92.592592592592595</c:v>
                </c:pt>
                <c:pt idx="63">
                  <c:v>92.592592592592595</c:v>
                </c:pt>
                <c:pt idx="64">
                  <c:v>92.592592592592595</c:v>
                </c:pt>
                <c:pt idx="65">
                  <c:v>92.307692307692307</c:v>
                </c:pt>
                <c:pt idx="66">
                  <c:v>92.307692307692307</c:v>
                </c:pt>
                <c:pt idx="67">
                  <c:v>92.307692307692307</c:v>
                </c:pt>
                <c:pt idx="68">
                  <c:v>91.891891891891902</c:v>
                </c:pt>
                <c:pt idx="69">
                  <c:v>91.83673469387756</c:v>
                </c:pt>
                <c:pt idx="70">
                  <c:v>91.666666666666657</c:v>
                </c:pt>
                <c:pt idx="71">
                  <c:v>91.666666666666657</c:v>
                </c:pt>
                <c:pt idx="72">
                  <c:v>91.666666666666657</c:v>
                </c:pt>
                <c:pt idx="73">
                  <c:v>91.666666666666657</c:v>
                </c:pt>
                <c:pt idx="74">
                  <c:v>91.428571428571431</c:v>
                </c:pt>
                <c:pt idx="75">
                  <c:v>91.304347826086953</c:v>
                </c:pt>
                <c:pt idx="76">
                  <c:v>90.909090909090907</c:v>
                </c:pt>
                <c:pt idx="77">
                  <c:v>90.909090909090907</c:v>
                </c:pt>
                <c:pt idx="78">
                  <c:v>90.625</c:v>
                </c:pt>
                <c:pt idx="79">
                  <c:v>90.625</c:v>
                </c:pt>
                <c:pt idx="80">
                  <c:v>90.476190476190482</c:v>
                </c:pt>
                <c:pt idx="81">
                  <c:v>90</c:v>
                </c:pt>
                <c:pt idx="82">
                  <c:v>90</c:v>
                </c:pt>
                <c:pt idx="83">
                  <c:v>90</c:v>
                </c:pt>
                <c:pt idx="84">
                  <c:v>90</c:v>
                </c:pt>
                <c:pt idx="85">
                  <c:v>89.830508474576277</c:v>
                </c:pt>
                <c:pt idx="86">
                  <c:v>89.473684210526315</c:v>
                </c:pt>
                <c:pt idx="87">
                  <c:v>89.361702127659569</c:v>
                </c:pt>
                <c:pt idx="88">
                  <c:v>89.285714285714292</c:v>
                </c:pt>
                <c:pt idx="89">
                  <c:v>89.130434782608688</c:v>
                </c:pt>
                <c:pt idx="90">
                  <c:v>88.888888888888886</c:v>
                </c:pt>
                <c:pt idx="91">
                  <c:v>88.709677419354833</c:v>
                </c:pt>
                <c:pt idx="92">
                  <c:v>88.679245283018872</c:v>
                </c:pt>
                <c:pt idx="93">
                  <c:v>88.571428571428569</c:v>
                </c:pt>
                <c:pt idx="94">
                  <c:v>88.235294117647058</c:v>
                </c:pt>
                <c:pt idx="95">
                  <c:v>88.235294117647058</c:v>
                </c:pt>
                <c:pt idx="96">
                  <c:v>87.5</c:v>
                </c:pt>
                <c:pt idx="97">
                  <c:v>87.179487179487182</c:v>
                </c:pt>
                <c:pt idx="98">
                  <c:v>86.842105263157904</c:v>
                </c:pt>
                <c:pt idx="99">
                  <c:v>86.666666666666671</c:v>
                </c:pt>
                <c:pt idx="100">
                  <c:v>86.36363636363636</c:v>
                </c:pt>
                <c:pt idx="101">
                  <c:v>86.04651162790698</c:v>
                </c:pt>
                <c:pt idx="102">
                  <c:v>86.04651162790698</c:v>
                </c:pt>
                <c:pt idx="103">
                  <c:v>85.9375</c:v>
                </c:pt>
                <c:pt idx="104">
                  <c:v>85.714285714285708</c:v>
                </c:pt>
                <c:pt idx="105">
                  <c:v>85.714285714285708</c:v>
                </c:pt>
                <c:pt idx="106">
                  <c:v>85.714285714285708</c:v>
                </c:pt>
                <c:pt idx="107">
                  <c:v>85.714285714285708</c:v>
                </c:pt>
                <c:pt idx="108">
                  <c:v>84.848484848484844</c:v>
                </c:pt>
                <c:pt idx="109">
                  <c:v>84.848484848484844</c:v>
                </c:pt>
                <c:pt idx="110">
                  <c:v>84.615384615384613</c:v>
                </c:pt>
                <c:pt idx="111">
                  <c:v>84.375</c:v>
                </c:pt>
                <c:pt idx="112">
                  <c:v>84.090909090909093</c:v>
                </c:pt>
                <c:pt idx="113">
                  <c:v>84</c:v>
                </c:pt>
                <c:pt idx="114">
                  <c:v>83.870967741935488</c:v>
                </c:pt>
                <c:pt idx="115">
                  <c:v>83.333333333333343</c:v>
                </c:pt>
                <c:pt idx="116">
                  <c:v>83.333333333333343</c:v>
                </c:pt>
                <c:pt idx="117">
                  <c:v>81.395348837209298</c:v>
                </c:pt>
                <c:pt idx="118">
                  <c:v>80.952380952380949</c:v>
                </c:pt>
                <c:pt idx="119">
                  <c:v>80.952380952380949</c:v>
                </c:pt>
                <c:pt idx="120">
                  <c:v>80.769230769230774</c:v>
                </c:pt>
                <c:pt idx="121">
                  <c:v>80.327868852459019</c:v>
                </c:pt>
                <c:pt idx="122">
                  <c:v>80</c:v>
                </c:pt>
                <c:pt idx="123">
                  <c:v>80</c:v>
                </c:pt>
                <c:pt idx="124">
                  <c:v>80</c:v>
                </c:pt>
                <c:pt idx="125">
                  <c:v>80</c:v>
                </c:pt>
                <c:pt idx="126">
                  <c:v>78.94736842105263</c:v>
                </c:pt>
                <c:pt idx="127">
                  <c:v>78</c:v>
                </c:pt>
                <c:pt idx="128">
                  <c:v>77.777777777777786</c:v>
                </c:pt>
                <c:pt idx="129">
                  <c:v>77.777777777777786</c:v>
                </c:pt>
                <c:pt idx="130">
                  <c:v>77.272727272727266</c:v>
                </c:pt>
                <c:pt idx="131">
                  <c:v>77.272727272727266</c:v>
                </c:pt>
                <c:pt idx="132">
                  <c:v>77.142857142857153</c:v>
                </c:pt>
                <c:pt idx="133">
                  <c:v>76.470588235294116</c:v>
                </c:pt>
                <c:pt idx="134">
                  <c:v>76.19047619047619</c:v>
                </c:pt>
                <c:pt idx="135">
                  <c:v>76.08695652173914</c:v>
                </c:pt>
                <c:pt idx="136">
                  <c:v>75.806451612903231</c:v>
                </c:pt>
                <c:pt idx="137">
                  <c:v>75</c:v>
                </c:pt>
                <c:pt idx="138">
                  <c:v>75</c:v>
                </c:pt>
                <c:pt idx="139">
                  <c:v>75</c:v>
                </c:pt>
                <c:pt idx="140">
                  <c:v>75</c:v>
                </c:pt>
                <c:pt idx="141">
                  <c:v>75</c:v>
                </c:pt>
                <c:pt idx="142">
                  <c:v>75</c:v>
                </c:pt>
                <c:pt idx="143">
                  <c:v>73.529411764705884</c:v>
                </c:pt>
                <c:pt idx="144">
                  <c:v>72.727272727272734</c:v>
                </c:pt>
                <c:pt idx="145">
                  <c:v>70.833333333333343</c:v>
                </c:pt>
                <c:pt idx="146">
                  <c:v>70.370370370370367</c:v>
                </c:pt>
                <c:pt idx="147">
                  <c:v>70</c:v>
                </c:pt>
                <c:pt idx="148">
                  <c:v>68.421052631578945</c:v>
                </c:pt>
                <c:pt idx="149">
                  <c:v>68.421052631578945</c:v>
                </c:pt>
                <c:pt idx="150">
                  <c:v>68</c:v>
                </c:pt>
                <c:pt idx="151">
                  <c:v>67.741935483870961</c:v>
                </c:pt>
                <c:pt idx="152">
                  <c:v>66.666666666666657</c:v>
                </c:pt>
                <c:pt idx="153">
                  <c:v>65.384615384615387</c:v>
                </c:pt>
                <c:pt idx="154">
                  <c:v>61.95652173913043</c:v>
                </c:pt>
                <c:pt idx="155">
                  <c:v>60.9375</c:v>
                </c:pt>
                <c:pt idx="156">
                  <c:v>60.526315789473685</c:v>
                </c:pt>
                <c:pt idx="157">
                  <c:v>60</c:v>
                </c:pt>
                <c:pt idx="158">
                  <c:v>60</c:v>
                </c:pt>
                <c:pt idx="159">
                  <c:v>57.499999999999993</c:v>
                </c:pt>
                <c:pt idx="160">
                  <c:v>54.54545454545454</c:v>
                </c:pt>
                <c:pt idx="161">
                  <c:v>50</c:v>
                </c:pt>
                <c:pt idx="162">
                  <c:v>33.333333333333329</c:v>
                </c:pt>
                <c:pt idx="163">
                  <c:v>20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90.909090909090907</c:v>
                </c:pt>
                <c:pt idx="1">
                  <c:v>86.595231026036515</c:v>
                </c:pt>
                <c:pt idx="2">
                  <c:v>92.554792507208546</c:v>
                </c:pt>
                <c:pt idx="3">
                  <c:v>86.588716207482619</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95.697463768115952</c:v>
                </c:pt>
                <c:pt idx="1">
                  <c:v>95.697463768115952</c:v>
                </c:pt>
                <c:pt idx="2">
                  <c:v>95.697463768115952</c:v>
                </c:pt>
                <c:pt idx="3">
                  <c:v>95.697463768115952</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c:v>
                </c:pt>
                <c:pt idx="1">
                  <c:v>90</c:v>
                </c:pt>
                <c:pt idx="2">
                  <c:v>90</c:v>
                </c:pt>
                <c:pt idx="3">
                  <c:v>90</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90.909090909090907</c:v>
                </c:pt>
                <c:pt idx="1">
                  <c:v>86.498233130130998</c:v>
                </c:pt>
                <c:pt idx="2">
                  <c:v>86.609669648757233</c:v>
                </c:pt>
                <c:pt idx="3">
                  <c:v>86.577335903300124</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95.697463768115952</c:v>
                </c:pt>
                <c:pt idx="1">
                  <c:v>95.697463768115952</c:v>
                </c:pt>
                <c:pt idx="2">
                  <c:v>95.697463768115952</c:v>
                </c:pt>
                <c:pt idx="3">
                  <c:v>95.697463768115952</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c:v>
                </c:pt>
                <c:pt idx="1">
                  <c:v>90</c:v>
                </c:pt>
                <c:pt idx="2">
                  <c:v>90</c:v>
                </c:pt>
                <c:pt idx="3">
                  <c:v>90</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904</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Year Ending June 2023</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0.95697463768115953</v>
      </c>
      <c r="L32" s="281"/>
      <c r="M32" s="281"/>
      <c r="N32" s="291" t="s">
        <v>351</v>
      </c>
      <c r="O32" s="291"/>
      <c r="P32" s="291"/>
      <c r="Q32" s="291"/>
      <c r="R32" s="291"/>
      <c r="S32" s="291"/>
      <c r="T32" s="281">
        <f>IF('Filtered Data'!$H$8="..",'Filtered Data'!P10,'Filtered Data'!P10/100)</f>
        <v>0.9</v>
      </c>
      <c r="U32" s="281"/>
      <c r="V32" s="281"/>
      <c r="W32" s="281"/>
      <c r="X32" s="279" t="s">
        <v>352</v>
      </c>
      <c r="Y32" s="279"/>
      <c r="Z32" s="279"/>
      <c r="AA32" s="279"/>
      <c r="AB32" s="279"/>
      <c r="AC32" s="281">
        <f>IF('Filtered Data'!$H$8="..",'Filtered Data'!Q10,'Filtered Data'!Q10/100)</f>
        <v>0.8</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0.90909090909090906</v>
      </c>
      <c r="M35" s="276"/>
      <c r="N35" s="276"/>
      <c r="O35" s="276"/>
      <c r="P35" s="92"/>
      <c r="Q35" s="276" t="s">
        <v>353</v>
      </c>
      <c r="R35" s="276"/>
      <c r="S35" s="276"/>
      <c r="T35" s="276"/>
      <c r="U35" s="276"/>
      <c r="V35" s="276"/>
      <c r="W35" s="276"/>
      <c r="AP35" s="56"/>
    </row>
    <row r="36" spans="2:16384" ht="12.75" customHeight="1">
      <c r="B36" s="275" t="str">
        <f>'Filtered Data'!R8&amp;" Quartile"</f>
        <v>Second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0.86595231026036512</v>
      </c>
      <c r="M37" s="290"/>
      <c r="N37" s="290"/>
      <c r="O37" s="290"/>
      <c r="P37" s="95"/>
      <c r="Q37" s="289">
        <f>VLOOKUP(J5,'Filtered Data'!C:I,7,FALSE)</f>
        <v>77</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0.86588716207482619</v>
      </c>
      <c r="M38" s="290"/>
      <c r="N38" s="290"/>
      <c r="O38" s="290"/>
      <c r="P38" s="95"/>
      <c r="Q38" s="293">
        <f>IF(ISERROR(IF('Filtered Data'!D1="L",VLOOKUP(J5,'Filtered Data'!AF11:AH25,3,FALSE),VLOOKUP(J5,'Filtered Data'!$L$11:$Z$333,15,FALSE))),"",(IF('Filtered Data'!D1="L",VLOOKUP(J5,'Filtered Data'!AF11:AH25,3,FALSE),VLOOKUP(J5,'Filtered Data'!$L$11:$Z$333,15,FALSE))))</f>
        <v>27</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L</v>
      </c>
      <c r="L39" s="290">
        <f>IF('Filtered Data'!D1="L","",IF('Filtered Data'!D1="SD",'Filtered Data'!AJ9,'Filtered Data'!AQ9))</f>
        <v>0.9255479250720855</v>
      </c>
      <c r="M39" s="290"/>
      <c r="N39" s="290"/>
      <c r="O39" s="290"/>
      <c r="P39" s="95"/>
      <c r="Q39" s="289">
        <f>IF(ISERROR(IF('Filtered Data'!D1="L","",IF('Filtered Data'!D1="SD",VLOOKUP(J5,'Filtered Data'!L:AK,26,FALSE),(VLOOKUP(J5,'Filtered Data'!L:AR,33,FALSE))))),"",(IF('Filtered Data'!D1="L","",IF('Filtered Data'!D1="SD",VLOOKUP(J5,'Filtered Data'!L:AK,26,FALSE),(VLOOKUP(J5,'Filtered Data'!L:AR,33,FALSE))))))</f>
        <v>4</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Year Ending June 2023</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90.909090909090907</v>
      </c>
      <c r="F48" s="285"/>
      <c r="G48" s="285"/>
      <c r="H48" s="285"/>
      <c r="K48" s="240">
        <f>IF('Filtered Data'!$H$8="..",K$32,K$32*100)</f>
        <v>95.697463768115952</v>
      </c>
      <c r="L48" s="240"/>
      <c r="M48" s="240">
        <f>IF('Filtered Data'!$H$8="..",T$32,T$32*100)</f>
        <v>90</v>
      </c>
      <c r="N48" s="240"/>
      <c r="O48" s="240">
        <f>IF('Filtered Data'!$H$8="..",AC$32,AC$32*100)</f>
        <v>80</v>
      </c>
      <c r="P48" s="240"/>
      <c r="AM48" s="6"/>
      <c r="AP48" s="56"/>
    </row>
    <row r="49" spans="2:42">
      <c r="B49" s="5"/>
      <c r="D49" t="str">
        <f>B37</f>
        <v>Districts</v>
      </c>
      <c r="E49" s="285">
        <f>IF('Filtered Data'!$H$8="..",L37,L37*100)</f>
        <v>86.595231026036515</v>
      </c>
      <c r="F49" s="285"/>
      <c r="G49" s="285"/>
      <c r="H49" s="285"/>
      <c r="K49" s="240">
        <f>IF('Filtered Data'!$H$8="..",K$32,K$32*100)</f>
        <v>95.697463768115952</v>
      </c>
      <c r="L49" s="240"/>
      <c r="M49" s="240">
        <f>IF('Filtered Data'!$H$8="..",T$32,T$32*100)</f>
        <v>90</v>
      </c>
      <c r="N49" s="240"/>
      <c r="O49" s="240">
        <f>IF('Filtered Data'!$H$8="..",AC$32,AC$32*100)</f>
        <v>80</v>
      </c>
      <c r="P49" s="240"/>
      <c r="AM49" s="6"/>
      <c r="AP49" s="56"/>
    </row>
    <row r="50" spans="2:42">
      <c r="B50" s="5"/>
      <c r="D50" s="64" t="str">
        <f>B39</f>
        <v>Suffolk</v>
      </c>
      <c r="E50" s="285">
        <f>IF('Filtered Data'!$H$8="..",L39,L39*100)</f>
        <v>92.554792507208546</v>
      </c>
      <c r="F50" s="285"/>
      <c r="G50" s="285"/>
      <c r="H50" s="285"/>
      <c r="K50" s="240">
        <f>IF('Filtered Data'!$H$8="..",K$32,K$32*100)</f>
        <v>95.697463768115952</v>
      </c>
      <c r="L50" s="240"/>
      <c r="M50" s="240">
        <f>IF('Filtered Data'!$H$8="..",T$32,T$32*100)</f>
        <v>90</v>
      </c>
      <c r="N50" s="240"/>
      <c r="O50" s="240">
        <f>IF('Filtered Data'!$H$8="..",AC$32,AC$32*100)</f>
        <v>80</v>
      </c>
      <c r="P50" s="240"/>
      <c r="AM50" s="6"/>
      <c r="AP50" s="56"/>
    </row>
    <row r="51" spans="2:42">
      <c r="B51" s="5"/>
      <c r="D51" s="228" t="str">
        <f>B38</f>
        <v xml:space="preserve">Predominantly Rural </v>
      </c>
      <c r="E51" s="285">
        <f>IF('Filtered Data'!$H$8="..",L38,L38*100)</f>
        <v>86.588716207482619</v>
      </c>
      <c r="F51" s="285"/>
      <c r="G51" s="285"/>
      <c r="H51" s="285"/>
      <c r="K51" s="240">
        <f>IF('Filtered Data'!$H$8="..",K$32,K$32*100)</f>
        <v>95.697463768115952</v>
      </c>
      <c r="L51" s="240"/>
      <c r="M51" s="240">
        <f>IF('Filtered Data'!$H$8="..",T$32,T$32*100)</f>
        <v>90</v>
      </c>
      <c r="N51" s="240"/>
      <c r="O51" s="240">
        <f>IF('Filtered Data'!$H$8="..",AC$32,AC$32*100)</f>
        <v>80</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Year Ending June 2023</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Amber Valley</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Blaby</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Bolsover</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Brentwood</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Cannock Chase</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Colchester</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East Staffordshire</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Eastleigh</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Epsom &amp; Ewell</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Gedling</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Hastings</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High Peak</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Mansfield</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New Forest</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S</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North Norfolk</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S</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Oadby &amp; Wigston</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Redditch</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Rother</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S</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Spelthorne</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Staffordshire Moorlands</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f>IF(Q37&lt;=MAX(B66:D85),"",Q37)</f>
        <v>77</v>
      </c>
      <c r="C86" s="317"/>
      <c r="D86" s="317"/>
      <c r="E86" s="244" t="str">
        <f>IF(B86="","",VLOOKUP(B86,'Filtered Data'!K:L,2,FALSE))</f>
        <v>Babergh</v>
      </c>
      <c r="F86" s="244"/>
      <c r="G86" s="244"/>
      <c r="H86" s="244"/>
      <c r="I86" s="244"/>
      <c r="J86" s="244"/>
      <c r="K86" s="244"/>
      <c r="L86" s="244"/>
      <c r="M86" s="244"/>
      <c r="N86" s="244"/>
      <c r="O86" s="244"/>
      <c r="P86" s="244"/>
      <c r="Q86" s="244"/>
      <c r="R86" s="244"/>
      <c r="S86" s="244"/>
      <c r="T86" s="244"/>
      <c r="U86" s="261">
        <f>IF(B86="","",L35)</f>
        <v>0.90909090909090906</v>
      </c>
      <c r="V86" s="261"/>
      <c r="W86" s="261"/>
      <c r="X86" s="261"/>
      <c r="Y86" s="132" t="str">
        <f>IF(B86="","",IF((VLOOKUP(E86,classifications!C:K,9,FALSE))="Sparse","S",""))</f>
        <v>S</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Ipswich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0.95652173913043481</v>
      </c>
      <c r="V92" s="242"/>
      <c r="W92" s="242"/>
      <c r="X92" s="242"/>
      <c r="Y92" s="133" t="str">
        <f>IF(E92="","",IF((VLOOKUP(E92,classifications!C:K,9,FALSE))="Sparse","S",""))</f>
        <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West Suffolk</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0.94545454545454544</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East Suffolk</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0.91836734693877564</v>
      </c>
      <c r="V94" s="242"/>
      <c r="W94" s="242"/>
      <c r="X94" s="242"/>
      <c r="Y94" s="133" t="str">
        <f>IF(E94="","",IF((VLOOKUP(E94,classifications!C:K,9,FALSE))="Sparse","S",""))</f>
        <v>S</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Babergh</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0.90909090909090906</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Mid Suffolk</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0.89830508474576276</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0.9255479250720855</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Year Ending June 2023</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90.909090909090907</v>
      </c>
      <c r="H118" s="239"/>
      <c r="I118" s="239"/>
      <c r="J118" s="239"/>
      <c r="K118" s="239"/>
      <c r="M118" s="240">
        <f>K$48</f>
        <v>95.697463768115952</v>
      </c>
      <c r="N118" s="240"/>
      <c r="O118" s="240">
        <f>M$48</f>
        <v>90</v>
      </c>
      <c r="P118" s="240"/>
      <c r="Q118" s="240">
        <f>O$48</f>
        <v>80</v>
      </c>
      <c r="R118" s="240"/>
      <c r="AN118" s="6"/>
    </row>
    <row r="119" spans="2:40" ht="12" customHeight="1">
      <c r="B119" s="5"/>
      <c r="F119" t="s">
        <v>380</v>
      </c>
      <c r="G119" s="239">
        <f>IF('Filtered Data'!H8="%%",(AVERAGEIF('Filtered Data'!AA$10:AA$333,$F119,'Filtered Data'!M$10:M$333))*100,(AVERAGEIF('Filtered Data'!AA$10:AA$333,$F119,'Filtered Data'!M$10:M$333)))</f>
        <v>86.498233130130998</v>
      </c>
      <c r="H119" s="239"/>
      <c r="I119" s="239"/>
      <c r="J119" s="239"/>
      <c r="K119" s="239"/>
      <c r="M119" s="240">
        <f>K$48</f>
        <v>95.697463768115952</v>
      </c>
      <c r="N119" s="240"/>
      <c r="O119" s="240">
        <f>M$48</f>
        <v>90</v>
      </c>
      <c r="P119" s="240"/>
      <c r="Q119" s="240">
        <f>O$48</f>
        <v>80</v>
      </c>
      <c r="R119" s="240"/>
      <c r="AN119" s="6"/>
    </row>
    <row r="120" spans="2:40" ht="12" customHeight="1">
      <c r="B120" s="5"/>
      <c r="F120" t="s">
        <v>382</v>
      </c>
      <c r="G120" s="239">
        <f>IF('Filtered Data'!H8="%%",(AVERAGEIF('Filtered Data'!AA$10:AA$333,$F120,'Filtered Data'!M$10:M$333))*100,(AVERAGEIF('Filtered Data'!AA$10:AA$333,$F120,'Filtered Data'!M$10:M$333)))</f>
        <v>86.609669648757233</v>
      </c>
      <c r="H120" s="239"/>
      <c r="I120" s="239"/>
      <c r="J120" s="239"/>
      <c r="K120" s="239"/>
      <c r="M120" s="240">
        <f>K$48</f>
        <v>95.697463768115952</v>
      </c>
      <c r="N120" s="240"/>
      <c r="O120" s="240">
        <f>M$48</f>
        <v>90</v>
      </c>
      <c r="P120" s="240"/>
      <c r="Q120" s="240">
        <f>O$48</f>
        <v>80</v>
      </c>
      <c r="R120" s="240"/>
      <c r="AN120" s="6"/>
    </row>
    <row r="121" spans="2:40" ht="12" customHeight="1">
      <c r="B121" s="5"/>
      <c r="F121" t="s">
        <v>892</v>
      </c>
      <c r="G121" s="239">
        <f>IF('Filtered Data'!H8="%%",(AVERAGEIF('Filtered Data'!AA$10:AA$333,$F121,'Filtered Data'!M$10:M$333))*100,(AVERAGEIF('Filtered Data'!AA$10:AA$333,$F121,'Filtered Data'!M$10:M$333)))</f>
        <v>86.577335903300124</v>
      </c>
      <c r="H121" s="239"/>
      <c r="I121" s="239"/>
      <c r="J121" s="239"/>
      <c r="K121" s="239"/>
      <c r="M121" s="240">
        <f>K$48</f>
        <v>95.697463768115952</v>
      </c>
      <c r="N121" s="240"/>
      <c r="O121" s="240">
        <f>M$48</f>
        <v>90</v>
      </c>
      <c r="P121" s="240"/>
      <c r="Q121" s="240">
        <f>O$48</f>
        <v>80</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vq62SI2FALsWW33H3nukts3q3MdEJq9BlXNNlx7gdwTWysCkIpDLLJWxNBXDGYmML17+yRnJu0tt+jXPXL2sFg==" saltValue="Mqtep2mOihukhLNsft0JG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June 2023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20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90.909090909090907</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0.86595231026036512</v>
      </c>
      <c r="N9" s="81"/>
      <c r="O9" s="84" t="s">
        <v>340</v>
      </c>
      <c r="P9" s="84" t="s">
        <v>351</v>
      </c>
      <c r="Q9" s="84" t="s">
        <v>352</v>
      </c>
      <c r="R9" s="86" t="s">
        <v>399</v>
      </c>
      <c r="S9" s="36"/>
      <c r="T9" s="168" t="s">
        <v>819</v>
      </c>
      <c r="U9" s="169">
        <f>IF($H$8="%.",(AVERAGE(U11:U333))/100,(AVERAGE(U11:U333)))</f>
        <v>0.86389261936287653</v>
      </c>
      <c r="V9" s="170"/>
      <c r="W9" s="170"/>
      <c r="X9" s="79" t="str">
        <f>"Lower Level Ranking for Authorites in "&amp;H3&amp;" &amp; are a "&amp;F3</f>
        <v>Lower Level Ranking for Authorites in Predominantly Rural  &amp; are a SD</v>
      </c>
      <c r="Y9" s="81">
        <f>IF($H$8="%.",(AVERAGE(Y11:Y333))/100,(AVERAGE(Y11:Y333)))</f>
        <v>0.86588716207482619</v>
      </c>
      <c r="Z9" s="80"/>
      <c r="AA9" s="175" t="s">
        <v>378</v>
      </c>
      <c r="AB9" s="169">
        <f>IF($H$8="%.",(AVERAGE(AB11:AB333))/100,(AVERAGE(AB11:AB333)))</f>
        <v>0.86498233130130997</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0.9255479250720855</v>
      </c>
      <c r="AK9" s="80"/>
      <c r="AL9" s="44"/>
      <c r="AM9"/>
      <c r="AN9"/>
      <c r="AP9" s="79" t="str">
        <f>"Regional Ranking in for "&amp;F3</f>
        <v>Regional Ranking in for SD</v>
      </c>
      <c r="AQ9" s="81">
        <f>IF($H$8="%.",(AVERAGE(AQ11:AQ333))/100,(AVERAGE(AQ11:AQ333)))</f>
        <v>0.85719272198289398</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95.697463768115952</v>
      </c>
      <c r="P10" s="88">
        <f>QUARTILE(N:N,2)</f>
        <v>90</v>
      </c>
      <c r="Q10" s="88">
        <f>IF(I8="A",QUARTILE(N:N,3),QUARTILE(N:N,1))</f>
        <v>80</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June 2023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93.75</v>
      </c>
      <c r="G11" s="15"/>
      <c r="H11" s="41">
        <f t="shared" ref="H11:H74" si="1">IF(D11=$D$1,HLOOKUP($D$6,$AX$10:$ZZ$337,ROW()-9,FALSE),"")</f>
        <v>93.75</v>
      </c>
      <c r="I11" s="73">
        <f>IF(H11="","",IF($I$8="A",(RANK(H11,H$11:H$333,1)+COUNTIF(H$11:H11,H11)-1),(RANK(H11,H$11:H$333)+COUNTIF(H$11:H11,H11)-1)))</f>
        <v>55</v>
      </c>
      <c r="J11" s="40"/>
      <c r="K11" s="35">
        <v>1</v>
      </c>
      <c r="L11" t="str">
        <f t="shared" ref="L11:L74" si="2">IF(K11="","",INDEX(C$11:C$327,MATCH(K11,I$11:I$333,0)))</f>
        <v>Amber Valley</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90.909090909090907</v>
      </c>
      <c r="AH11" s="46" t="e">
        <f>AE11</f>
        <v>#N/A</v>
      </c>
      <c r="AI11" s="5" t="str">
        <f>IF(L11="","",VLOOKUP($L11,classifications!$C:$J,8,FALSE))</f>
        <v>Derbyshire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Ipswich</v>
      </c>
      <c r="AN11">
        <f t="shared" ref="AN11:AN74" si="7">(VLOOKUP(AM11,L:M,2,FALSE))</f>
        <v>95.652173913043484</v>
      </c>
      <c r="AP11" s="5" t="str">
        <f>IF(L11="","",VLOOKUP($L11,classifications!$C:$E,3,FALSE))</f>
        <v>East Midlands</v>
      </c>
      <c r="AQ11" s="42" t="str">
        <f>IF(AP11=$G$3,$M11,"")</f>
        <v/>
      </c>
      <c r="AR11" s="39" t="str">
        <f>IF(AQ11="","",IF(I$8="A",(RANK(AQ11,AQ$11:AQ$333,1)+COUNTIF(AQ$11:AQ11,AQ11)-1),(RANK(AQ11,AQ$11:AQ$333)+COUNTIF(AQ$11:AQ11,AQ11)-1)))</f>
        <v/>
      </c>
      <c r="AS11" s="39">
        <v>1</v>
      </c>
      <c r="AT11" s="39" t="str">
        <f t="shared" ref="AT11:AT74" si="8">IF(AS11="","",INDEX(L$11:L$333,MATCH(AS11,AR$11:AR$333,0)))</f>
        <v>Brentwood</v>
      </c>
      <c r="AU11" s="42">
        <f t="shared" ref="AU11:AU74" si="9">IF(AT11="","",VLOOKUP(AT11,L:M,2,FALSE))</f>
        <v>100</v>
      </c>
      <c r="AX11">
        <f>HLOOKUP($AX$9&amp;$AX$10,Data!$A$1:$ZT$1975,(MATCH($C11,Data!$A$1:$A$1975,0)),FALSE)</f>
        <v>93.75</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84.615384615384613</v>
      </c>
      <c r="G12" s="15"/>
      <c r="H12" s="41" t="str">
        <f t="shared" si="1"/>
        <v/>
      </c>
      <c r="I12" s="73" t="str">
        <f>IF(H12="","",IF($I$8="A",(RANK(H12,H$11:H$333,1)+COUNTIF(H$11:H12,H12)-1),(RANK(H12,H$11:H$333)+COUNTIF(H$11:H12,H12)-1)))</f>
        <v/>
      </c>
      <c r="J12" s="40"/>
      <c r="K12" s="35">
        <f t="shared" ref="K12:K75" si="10">IF(K11="","",IF(K11+1&gt;(COUNT(H$11:H$333)),"",K11+1))</f>
        <v>2</v>
      </c>
      <c r="L12" t="str">
        <f t="shared" si="2"/>
        <v>Blaby</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Leicestershire</v>
      </c>
      <c r="AJ12" s="42" t="str">
        <f t="shared" si="5"/>
        <v/>
      </c>
      <c r="AK12" s="39" t="str">
        <f>IF(AJ12="","",IF(I$8="A",(RANK(AJ12,AJ$11:AJ$333,1)+COUNTIF(AJ$11:AJ12,AJ12)-1),(RANK(AJ12,AJ$11:AJ$333)+COUNTIF(AJ$11:AJ12,AJ12)-1)))</f>
        <v/>
      </c>
      <c r="AL12" s="3">
        <f t="shared" ref="AL12:AL75" si="16">IF(AL11="","",IF(AL11+1&gt;(COUNT(AJ$11:AJ$333)),"",AL11+1))</f>
        <v>2</v>
      </c>
      <c r="AM12" t="str">
        <f t="shared" si="6"/>
        <v>West Suffolk</v>
      </c>
      <c r="AN12">
        <f t="shared" si="7"/>
        <v>94.545454545454547</v>
      </c>
      <c r="AP12" s="5" t="str">
        <f>IF(L12="","",VLOOKUP($L12,classifications!$C:$E,3,FALSE))</f>
        <v>East Midlands</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Colchester</v>
      </c>
      <c r="AU12" s="42">
        <f t="shared" si="9"/>
        <v>100</v>
      </c>
      <c r="AX12">
        <f>HLOOKUP($AX$9&amp;$AX$10,Data!$A$1:$ZT$1975,(MATCH($C12,Data!$A$1:$A$1975,0)),FALSE)</f>
        <v>84.615384615384613</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100</v>
      </c>
      <c r="G13" s="15"/>
      <c r="H13" s="41">
        <f t="shared" si="1"/>
        <v>100</v>
      </c>
      <c r="I13" s="73">
        <f>IF(H13="","",IF($I$8="A",(RANK(H13,H$11:H$333,1)+COUNTIF(H$11:H13,H13)-1),(RANK(H13,H$11:H$333)+COUNTIF(H$11:H13,H13)-1)))</f>
        <v>1</v>
      </c>
      <c r="J13" s="40"/>
      <c r="K13" s="35">
        <f t="shared" si="10"/>
        <v>3</v>
      </c>
      <c r="L13" t="str">
        <f t="shared" si="2"/>
        <v>Bolsover</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Urban with Significant Rural</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Urban with Significant Rural</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Derbyshire</v>
      </c>
      <c r="AJ13" s="42" t="str">
        <f t="shared" ref="AJ13:AJ57" si="29">IF(AI13=$I$3,M13,"")</f>
        <v/>
      </c>
      <c r="AK13" s="39" t="str">
        <f>IF(AJ13="","",IF(I$8="A",(RANK(AJ13,AJ$11:AJ$333,1)+COUNTIF(AJ$11:AJ13,AJ13)-1),(RANK(AJ13,AJ$11:AJ$333)+COUNTIF(AJ$11:AJ13,AJ13)-1)))</f>
        <v/>
      </c>
      <c r="AL13" s="3">
        <f t="shared" si="16"/>
        <v>3</v>
      </c>
      <c r="AM13" t="str">
        <f t="shared" si="6"/>
        <v>East Suffolk</v>
      </c>
      <c r="AN13">
        <f t="shared" si="7"/>
        <v>91.83673469387756</v>
      </c>
      <c r="AP13" s="5" t="str">
        <f>IF(L13="","",VLOOKUP($L13,classifications!$C:$E,3,FALSE))</f>
        <v>East Midlands</v>
      </c>
      <c r="AQ13" s="42" t="str">
        <f t="shared" ref="AQ13:AQ57" si="30">IF(AP13=$G$3,$M13,"")</f>
        <v/>
      </c>
      <c r="AR13" s="39" t="str">
        <f>IF(AQ13="","",IF(I$8="A",(RANK(AQ13,AQ$11:AQ$333,1)+COUNTIF(AQ$11:AQ13,AQ13)-1),(RANK(AQ13,AQ$11:AQ$333)+COUNTIF(AQ$11:AQ13,AQ13)-1)))</f>
        <v/>
      </c>
      <c r="AS13" s="3">
        <f t="shared" si="18"/>
        <v>3</v>
      </c>
      <c r="AT13" s="39" t="str">
        <f t="shared" si="8"/>
        <v>North Norfolk</v>
      </c>
      <c r="AU13" s="42">
        <f t="shared" si="9"/>
        <v>100</v>
      </c>
      <c r="AX13">
        <f>HLOOKUP($AX$9&amp;$AX$10,Data!$A$1:$ZT$1975,(MATCH($C13,Data!$A$1:$A$1975,0)),FALSE)</f>
        <v>100</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60.9375</v>
      </c>
      <c r="G14" s="15"/>
      <c r="H14" s="41">
        <f t="shared" si="1"/>
        <v>60.9375</v>
      </c>
      <c r="I14" s="73">
        <f>IF(H14="","",IF($I$8="A",(RANK(H14,H$11:H$333,1)+COUNTIF(H$11:H14,H14)-1),(RANK(H14,H$11:H$333)+COUNTIF(H$11:H14,H14)-1)))</f>
        <v>156</v>
      </c>
      <c r="J14" s="40"/>
      <c r="K14" s="35">
        <f t="shared" si="10"/>
        <v>4</v>
      </c>
      <c r="L14" t="str">
        <f t="shared" si="2"/>
        <v>Brentwood</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Urban with Significant Rural</v>
      </c>
      <c r="Y14" t="str">
        <f t="shared" si="26"/>
        <v/>
      </c>
      <c r="Z14" s="39" t="str">
        <f>IF(Y14="","",IF(I$8="A",(RANK(Y14,Y$11:Y$333,1)+COUNTIF(Y$11:Y14,Y14)-1),(RANK(Y14,Y$11:Y$333)+COUNTIF(Y$11:Y14,Y14)-1)))</f>
        <v/>
      </c>
      <c r="AA14" s="177" t="str">
        <f>IF(L14="","",VLOOKUP($L14,classifications!C:I,7,FALSE))</f>
        <v>Urban with Significant Rural</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Essex</v>
      </c>
      <c r="AJ14" s="42" t="str">
        <f t="shared" si="29"/>
        <v/>
      </c>
      <c r="AK14" s="39" t="str">
        <f>IF(AJ14="","",IF(I$8="A",(RANK(AJ14,AJ$11:AJ$333,1)+COUNTIF(AJ$11:AJ14,AJ14)-1),(RANK(AJ14,AJ$11:AJ$333)+COUNTIF(AJ$11:AJ14,AJ14)-1)))</f>
        <v/>
      </c>
      <c r="AL14" s="3">
        <f t="shared" si="16"/>
        <v>4</v>
      </c>
      <c r="AM14" t="str">
        <f t="shared" si="6"/>
        <v>Babergh</v>
      </c>
      <c r="AN14">
        <f t="shared" si="7"/>
        <v>90.909090909090907</v>
      </c>
      <c r="AP14" s="5" t="str">
        <f>IF(L14="","",VLOOKUP($L14,classifications!$C:$E,3,FALSE))</f>
        <v>East of England</v>
      </c>
      <c r="AQ14" s="42">
        <f t="shared" si="30"/>
        <v>100</v>
      </c>
      <c r="AR14" s="39">
        <f>IF(AQ14="","",IF(I$8="A",(RANK(AQ14,AQ$11:AQ$333,1)+COUNTIF(AQ$11:AQ14,AQ14)-1),(RANK(AQ14,AQ$11:AQ$333)+COUNTIF(AQ$11:AQ14,AQ14)-1)))</f>
        <v>1</v>
      </c>
      <c r="AS14" s="3">
        <f t="shared" si="18"/>
        <v>4</v>
      </c>
      <c r="AT14" s="39" t="str">
        <f t="shared" si="8"/>
        <v>East Cambridgeshire</v>
      </c>
      <c r="AU14" s="42">
        <f t="shared" si="9"/>
        <v>98.148148148148152</v>
      </c>
      <c r="AX14">
        <f>HLOOKUP($AX$9&amp;$AX$10,Data!$A$1:$ZT$1975,(MATCH($C14,Data!$A$1:$A$1975,0)),FALSE)</f>
        <v>60.9375</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75</v>
      </c>
      <c r="G15" s="15"/>
      <c r="H15" s="41">
        <f t="shared" si="1"/>
        <v>75</v>
      </c>
      <c r="I15" s="73">
        <f>IF(H15="","",IF($I$8="A",(RANK(H15,H$11:H$333,1)+COUNTIF(H$11:H15,H15)-1),(RANK(H15,H$11:H$333)+COUNTIF(H$11:H15,H15)-1)))</f>
        <v>138</v>
      </c>
      <c r="J15" s="40"/>
      <c r="K15" s="35">
        <f t="shared" si="10"/>
        <v>5</v>
      </c>
      <c r="L15" t="str">
        <f t="shared" si="2"/>
        <v>Cannock Chase</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Urban with Significant Rural</v>
      </c>
      <c r="Y15" t="str">
        <f t="shared" si="26"/>
        <v/>
      </c>
      <c r="Z15" s="39" t="str">
        <f>IF(Y15="","",IF(I$8="A",(RANK(Y15,Y$11:Y$333,1)+COUNTIF(Y$11:Y15,Y15)-1),(RANK(Y15,Y$11:Y$333)+COUNTIF(Y$11:Y15,Y15)-1)))</f>
        <v/>
      </c>
      <c r="AA15" s="177" t="str">
        <f>IF(L15="","",VLOOKUP($L15,classifications!C:I,7,FALSE))</f>
        <v>Urban with Significant Rural</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Staffordshire</v>
      </c>
      <c r="AJ15" s="42" t="str">
        <f t="shared" si="29"/>
        <v/>
      </c>
      <c r="AK15" s="39" t="str">
        <f>IF(AJ15="","",IF(I$8="A",(RANK(AJ15,AJ$11:AJ$333,1)+COUNTIF(AJ$11:AJ15,AJ15)-1),(RANK(AJ15,AJ$11:AJ$333)+COUNTIF(AJ$11:AJ15,AJ15)-1)))</f>
        <v/>
      </c>
      <c r="AL15" s="3">
        <f t="shared" si="16"/>
        <v>5</v>
      </c>
      <c r="AM15" t="str">
        <f t="shared" si="6"/>
        <v>Mid Suffolk</v>
      </c>
      <c r="AN15">
        <f t="shared" si="7"/>
        <v>89.830508474576277</v>
      </c>
      <c r="AP15" s="5" t="str">
        <f>IF(L15="","",VLOOKUP($L15,classifications!$C:$E,3,FALSE))</f>
        <v>West Midlands</v>
      </c>
      <c r="AQ15" s="42" t="str">
        <f t="shared" si="30"/>
        <v/>
      </c>
      <c r="AR15" s="39" t="str">
        <f>IF(AQ15="","",IF(I$8="A",(RANK(AQ15,AQ$11:AQ$333,1)+COUNTIF(AQ$11:AQ15,AQ15)-1),(RANK(AQ15,AQ$11:AQ$333)+COUNTIF(AQ$11:AQ15,AQ15)-1)))</f>
        <v/>
      </c>
      <c r="AS15" s="3">
        <f t="shared" si="18"/>
        <v>5</v>
      </c>
      <c r="AT15" s="39" t="str">
        <f t="shared" si="8"/>
        <v>Welwyn Hatfield</v>
      </c>
      <c r="AU15" s="42">
        <f t="shared" si="9"/>
        <v>96.296296296296291</v>
      </c>
      <c r="AX15">
        <f>HLOOKUP($AX$9&amp;$AX$10,Data!$A$1:$ZT$1975,(MATCH($C15,Data!$A$1:$A$1975,0)),FALSE)</f>
        <v>75</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60</v>
      </c>
      <c r="G16" s="15"/>
      <c r="H16" s="41">
        <f t="shared" si="1"/>
        <v>60</v>
      </c>
      <c r="I16" s="73">
        <f>IF(H16="","",IF($I$8="A",(RANK(H16,H$11:H$333,1)+COUNTIF(H$11:H16,H16)-1),(RANK(H16,H$11:H$333)+COUNTIF(H$11:H16,H16)-1)))</f>
        <v>158</v>
      </c>
      <c r="J16" s="40"/>
      <c r="K16" s="35">
        <f t="shared" si="10"/>
        <v>6</v>
      </c>
      <c r="L16" t="str">
        <f t="shared" si="2"/>
        <v>Colchester</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Urban with Significant Rural</v>
      </c>
      <c r="Y16" t="str">
        <f t="shared" si="26"/>
        <v/>
      </c>
      <c r="Z16" s="39" t="str">
        <f>IF(Y16="","",IF(I$8="A",(RANK(Y16,Y$11:Y$333,1)+COUNTIF(Y$11:Y16,Y16)-1),(RANK(Y16,Y$11:Y$333)+COUNTIF(Y$11:Y16,Y16)-1)))</f>
        <v/>
      </c>
      <c r="AA16" s="177" t="str">
        <f>IF(L16="","",VLOOKUP($L16,classifications!C:I,7,FALSE))</f>
        <v>Urban with Significant Rural</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Essex</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East of England</v>
      </c>
      <c r="AQ16" s="42">
        <f t="shared" si="30"/>
        <v>100</v>
      </c>
      <c r="AR16" s="39">
        <f>IF(AQ16="","",IF(I$8="A",(RANK(AQ16,AQ$11:AQ$333,1)+COUNTIF(AQ$11:AQ16,AQ16)-1),(RANK(AQ16,AQ$11:AQ$333)+COUNTIF(AQ$11:AQ16,AQ16)-1)))</f>
        <v>2</v>
      </c>
      <c r="AS16" s="3">
        <f t="shared" si="18"/>
        <v>6</v>
      </c>
      <c r="AT16" s="39" t="str">
        <f t="shared" si="8"/>
        <v>Ipswich</v>
      </c>
      <c r="AU16" s="42">
        <f t="shared" si="9"/>
        <v>95.652173913043484</v>
      </c>
      <c r="AX16">
        <f>HLOOKUP($AX$9&amp;$AX$10,Data!$A$1:$ZT$1975,(MATCH($C16,Data!$A$1:$A$1975,0)),FALSE)</f>
        <v>60</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90.909090909090907</v>
      </c>
      <c r="G17" s="15"/>
      <c r="H17" s="41">
        <f t="shared" si="1"/>
        <v>90.909090909090907</v>
      </c>
      <c r="I17" s="73">
        <f>IF(H17="","",IF($I$8="A",(RANK(H17,H$11:H$333,1)+COUNTIF(H$11:H17,H17)-1),(RANK(H17,H$11:H$333)+COUNTIF(H$11:H17,H17)-1)))</f>
        <v>77</v>
      </c>
      <c r="J17" s="40"/>
      <c r="K17" s="35">
        <f t="shared" si="10"/>
        <v>7</v>
      </c>
      <c r="L17" t="str">
        <f t="shared" si="2"/>
        <v>East Staffordshire</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Urban with Significant Rural</v>
      </c>
      <c r="Y17" t="str">
        <f t="shared" si="26"/>
        <v/>
      </c>
      <c r="Z17" s="39" t="str">
        <f>IF(Y17="","",IF(I$8="A",(RANK(Y17,Y$11:Y$333,1)+COUNTIF(Y$11:Y17,Y17)-1),(RANK(Y17,Y$11:Y$333)+COUNTIF(Y$11:Y17,Y17)-1)))</f>
        <v/>
      </c>
      <c r="AA17" s="177" t="str">
        <f>IF(L17="","",VLOOKUP($L17,classifications!C:I,7,FALSE))</f>
        <v>Urban with Significant Rural</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Staffordshire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West Midlands</v>
      </c>
      <c r="AQ17" s="42" t="str">
        <f t="shared" si="30"/>
        <v/>
      </c>
      <c r="AR17" s="39" t="str">
        <f>IF(AQ17="","",IF(I$8="A",(RANK(AQ17,AQ$11:AQ$333,1)+COUNTIF(AQ$11:AQ17,AQ17)-1),(RANK(AQ17,AQ$11:AQ$333)+COUNTIF(AQ$11:AQ17,AQ17)-1)))</f>
        <v/>
      </c>
      <c r="AS17" s="3">
        <f t="shared" si="18"/>
        <v>7</v>
      </c>
      <c r="AT17" s="39" t="str">
        <f t="shared" si="8"/>
        <v>Hertsmere</v>
      </c>
      <c r="AU17" s="42">
        <f t="shared" si="9"/>
        <v>95.238095238095227</v>
      </c>
      <c r="AX17">
        <f>HLOOKUP($AX$9&amp;$AX$10,Data!$A$1:$ZT$1975,(MATCH($C17,Data!$A$1:$A$1975,0)),FALSE)</f>
        <v>90.909090909090907</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Eastleigh</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Hampshire</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South East</v>
      </c>
      <c r="AQ18" s="42" t="str">
        <f t="shared" si="30"/>
        <v/>
      </c>
      <c r="AR18" s="39" t="str">
        <f>IF(AQ18="","",IF(I$8="A",(RANK(AQ18,AQ$11:AQ$333,1)+COUNTIF(AQ$11:AQ18,AQ18)-1),(RANK(AQ18,AQ$11:AQ$333)+COUNTIF(AQ$11:AQ18,AQ18)-1)))</f>
        <v/>
      </c>
      <c r="AS18" s="3">
        <f t="shared" si="18"/>
        <v>8</v>
      </c>
      <c r="AT18" s="39" t="str">
        <f t="shared" si="8"/>
        <v>Great Yarmouth</v>
      </c>
      <c r="AU18" s="42">
        <f t="shared" si="9"/>
        <v>95</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78.571428571428569</v>
      </c>
      <c r="G19" s="15"/>
      <c r="H19" s="41" t="str">
        <f t="shared" si="1"/>
        <v/>
      </c>
      <c r="I19" s="73" t="str">
        <f>IF(H19="","",IF($I$8="A",(RANK(H19,H$11:H$333,1)+COUNTIF(H$11:H19,H19)-1),(RANK(H19,H$11:H$333)+COUNTIF(H$11:H19,H19)-1)))</f>
        <v/>
      </c>
      <c r="J19" s="40"/>
      <c r="K19" s="35">
        <f t="shared" si="10"/>
        <v>9</v>
      </c>
      <c r="L19" t="str">
        <f t="shared" si="2"/>
        <v>Epsom &amp; Ewell</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Surrey</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South East</v>
      </c>
      <c r="AQ19" s="42" t="str">
        <f t="shared" si="30"/>
        <v/>
      </c>
      <c r="AR19" s="39" t="str">
        <f>IF(AQ19="","",IF(I$8="A",(RANK(AQ19,AQ$11:AQ$333,1)+COUNTIF(AQ$11:AQ19,AQ19)-1),(RANK(AQ19,AQ$11:AQ$333)+COUNTIF(AQ$11:AQ19,AQ19)-1)))</f>
        <v/>
      </c>
      <c r="AS19" s="3">
        <f t="shared" si="18"/>
        <v>9</v>
      </c>
      <c r="AT19" s="39" t="str">
        <f t="shared" si="8"/>
        <v>Rochford</v>
      </c>
      <c r="AU19" s="42">
        <f t="shared" si="9"/>
        <v>95</v>
      </c>
      <c r="AX19">
        <f>HLOOKUP($AX$9&amp;$AX$10,Data!$A$1:$ZT$1975,(MATCH($C19,Data!$A$1:$A$1975,0)),FALSE)</f>
        <v>78.571428571428569</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Gedling</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Nottinghamshire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Midlands</v>
      </c>
      <c r="AQ20" s="42" t="str">
        <f t="shared" si="30"/>
        <v/>
      </c>
      <c r="AR20" s="39" t="str">
        <f>IF(AQ20="","",IF(I$8="A",(RANK(AQ20,AQ$11:AQ$333,1)+COUNTIF(AQ$11:AQ20,AQ20)-1),(RANK(AQ20,AQ$11:AQ$333)+COUNTIF(AQ$11:AQ20,AQ20)-1)))</f>
        <v/>
      </c>
      <c r="AS20" s="3">
        <f t="shared" si="18"/>
        <v>10</v>
      </c>
      <c r="AT20" s="39" t="str">
        <f t="shared" si="8"/>
        <v>South Norfolk</v>
      </c>
      <c r="AU20" s="42">
        <f t="shared" si="9"/>
        <v>94.594594594594597</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100</v>
      </c>
      <c r="G21" s="15"/>
      <c r="H21" s="41" t="str">
        <f t="shared" si="1"/>
        <v/>
      </c>
      <c r="I21" s="73" t="str">
        <f>IF(H21="","",IF($I$8="A",(RANK(H21,H$11:H$333,1)+COUNTIF(H$11:H21,H21)-1),(RANK(H21,H$11:H$333)+COUNTIF(H$11:H21,H21)-1)))</f>
        <v/>
      </c>
      <c r="J21" s="40"/>
      <c r="K21" s="35">
        <f t="shared" si="10"/>
        <v>11</v>
      </c>
      <c r="L21" t="str">
        <f t="shared" si="2"/>
        <v>Hastings</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East Sussex</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East</v>
      </c>
      <c r="AQ21" s="42" t="str">
        <f t="shared" si="30"/>
        <v/>
      </c>
      <c r="AR21" s="39" t="str">
        <f>IF(AQ21="","",IF(I$8="A",(RANK(AQ21,AQ$11:AQ$333,1)+COUNTIF(AQ$11:AQ21,AQ21)-1),(RANK(AQ21,AQ$11:AQ$333)+COUNTIF(AQ$11:AQ21,AQ21)-1)))</f>
        <v/>
      </c>
      <c r="AS21" s="3">
        <f t="shared" si="18"/>
        <v>11</v>
      </c>
      <c r="AT21" s="39" t="str">
        <f t="shared" si="8"/>
        <v>West Suffolk</v>
      </c>
      <c r="AU21" s="42">
        <f t="shared" si="9"/>
        <v>94.545454545454547</v>
      </c>
      <c r="AX21">
        <f>HLOOKUP($AX$9&amp;$AX$10,Data!$A$1:$ZT$1975,(MATCH($C21,Data!$A$1:$A$1975,0)),FALSE)</f>
        <v>100</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84</v>
      </c>
      <c r="G22" s="15"/>
      <c r="H22" s="41">
        <f t="shared" si="1"/>
        <v>84</v>
      </c>
      <c r="I22" s="73">
        <f>IF(H22="","",IF($I$8="A",(RANK(H22,H$11:H$333,1)+COUNTIF(H$11:H22,H22)-1),(RANK(H22,H$11:H$333)+COUNTIF(H$11:H22,H22)-1)))</f>
        <v>114</v>
      </c>
      <c r="J22" s="40"/>
      <c r="K22" s="35">
        <f t="shared" si="10"/>
        <v>12</v>
      </c>
      <c r="L22" t="str">
        <f t="shared" si="2"/>
        <v>High Peak</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 xml:space="preserve">Predominantly Rural </v>
      </c>
      <c r="Y22">
        <f t="shared" si="26"/>
        <v>100</v>
      </c>
      <c r="Z22" s="39">
        <f>IF(Y22="","",IF(I$8="A",(RANK(Y22,Y$11:Y$333,1)+COUNTIF(Y$11:Y22,Y22)-1),(RANK(Y22,Y$11:Y$333)+COUNTIF(Y$11:Y22,Y22)-1)))</f>
        <v>1</v>
      </c>
      <c r="AA22" s="177" t="str">
        <f>IF(L22="","",VLOOKUP($L22,classifications!C:I,7,FALSE))</f>
        <v>Predominantly Rural</v>
      </c>
      <c r="AB22" s="173">
        <f t="shared" si="27"/>
        <v>100</v>
      </c>
      <c r="AC22" s="173">
        <f>IF(AB22="","",IF($I$8="A",(RANK(AB22,AB$11:AB$333)+COUNTIF(AB$11:AB22,AB22)-1),(RANK(AB22,AB$11:AB$333,1)+COUNTIF(AB$11:AB22,AB22)-1)))</f>
        <v>53</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Derbyshire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East Midlands</v>
      </c>
      <c r="AQ22" s="42" t="str">
        <f t="shared" si="30"/>
        <v/>
      </c>
      <c r="AR22" s="39" t="str">
        <f>IF(AQ22="","",IF(I$8="A",(RANK(AQ22,AQ$11:AQ$333,1)+COUNTIF(AQ$11:AQ22,AQ22)-1),(RANK(AQ22,AQ$11:AQ$333)+COUNTIF(AQ$11:AQ22,AQ22)-1)))</f>
        <v/>
      </c>
      <c r="AS22" s="3">
        <f t="shared" si="18"/>
        <v>12</v>
      </c>
      <c r="AT22" s="39" t="str">
        <f t="shared" si="8"/>
        <v>Harlow</v>
      </c>
      <c r="AU22" s="42">
        <f t="shared" si="9"/>
        <v>94.444444444444443</v>
      </c>
      <c r="AX22">
        <f>HLOOKUP($AX$9&amp;$AX$10,Data!$A$1:$ZT$1975,(MATCH($C22,Data!$A$1:$A$1975,0)),FALSE)</f>
        <v>84</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80.952380952380949</v>
      </c>
      <c r="G23" s="15"/>
      <c r="H23" s="41">
        <f t="shared" si="1"/>
        <v>80.952380952380949</v>
      </c>
      <c r="I23" s="73">
        <f>IF(H23="","",IF($I$8="A",(RANK(H23,H$11:H$333,1)+COUNTIF(H$11:H23,H23)-1),(RANK(H23,H$11:H$333)+COUNTIF(H$11:H23,H23)-1)))</f>
        <v>119</v>
      </c>
      <c r="J23" s="40"/>
      <c r="K23" s="35">
        <f t="shared" si="10"/>
        <v>13</v>
      </c>
      <c r="L23" t="str">
        <f t="shared" si="2"/>
        <v>Mansfield</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Nottinghamshire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Midlands</v>
      </c>
      <c r="AQ23" s="42" t="str">
        <f t="shared" si="30"/>
        <v/>
      </c>
      <c r="AR23" s="39" t="str">
        <f>IF(AQ23="","",IF(I$8="A",(RANK(AQ23,AQ$11:AQ$333,1)+COUNTIF(AQ$11:AQ23,AQ23)-1),(RANK(AQ23,AQ$11:AQ$333)+COUNTIF(AQ$11:AQ23,AQ23)-1)))</f>
        <v/>
      </c>
      <c r="AS23" s="3">
        <f t="shared" si="18"/>
        <v>13</v>
      </c>
      <c r="AT23" s="39" t="str">
        <f t="shared" si="8"/>
        <v>Braintree</v>
      </c>
      <c r="AU23" s="42">
        <f t="shared" si="9"/>
        <v>93.650793650793645</v>
      </c>
      <c r="AX23">
        <f>HLOOKUP($AX$9&amp;$AX$10,Data!$A$1:$ZT$1975,(MATCH($C23,Data!$A$1:$A$1975,0)),FALSE)</f>
        <v>80.952380952380949</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93.61702127659575</v>
      </c>
      <c r="G24" s="15"/>
      <c r="H24" s="41">
        <f t="shared" si="1"/>
        <v>93.61702127659575</v>
      </c>
      <c r="I24" s="73">
        <f>IF(H24="","",IF($I$8="A",(RANK(H24,H$11:H$333,1)+COUNTIF(H$11:H24,H24)-1),(RANK(H24,H$11:H$333)+COUNTIF(H$11:H24,H24)-1)))</f>
        <v>57</v>
      </c>
      <c r="J24" s="40"/>
      <c r="K24" s="35">
        <f t="shared" si="10"/>
        <v>14</v>
      </c>
      <c r="L24" t="str">
        <f t="shared" si="2"/>
        <v>New Forest</v>
      </c>
      <c r="M24" s="109">
        <f t="shared" si="3"/>
        <v>100</v>
      </c>
      <c r="N24" s="104">
        <f t="shared" si="19"/>
        <v>100</v>
      </c>
      <c r="O24" s="89">
        <f t="shared" si="20"/>
        <v>100</v>
      </c>
      <c r="P24" s="89" t="str">
        <f t="shared" si="21"/>
        <v/>
      </c>
      <c r="Q24" s="89" t="str">
        <f t="shared" si="22"/>
        <v/>
      </c>
      <c r="R24" s="85" t="str">
        <f t="shared" si="23"/>
        <v/>
      </c>
      <c r="S24" s="41" t="str">
        <f t="shared" si="24"/>
        <v/>
      </c>
      <c r="T24" s="166" t="str">
        <f>IF(L24="","",VLOOKUP(L24,classifications!C:K,9,FALSE))</f>
        <v>Sparse</v>
      </c>
      <c r="U24" s="167">
        <f t="shared" si="25"/>
        <v>100</v>
      </c>
      <c r="V24" s="173">
        <f>IF(U24="","",IF($I$8="A",(RANK(U24,U$11:U$333)+COUNTIF(U$11:U24,U24)-1),(RANK(U24,U$11:U$333,1)+COUNTIF(U$11:U24,U24)-1)))</f>
        <v>43</v>
      </c>
      <c r="W24" s="174"/>
      <c r="X24" s="5" t="str">
        <f>IF(L24="","",VLOOKUP($L24,classifications!$C:$J,6,FALSE))</f>
        <v>Urban with Significant Rural</v>
      </c>
      <c r="Y24" t="str">
        <f t="shared" si="26"/>
        <v/>
      </c>
      <c r="Z24" s="39" t="str">
        <f>IF(Y24="","",IF(I$8="A",(RANK(Y24,Y$11:Y$333,1)+COUNTIF(Y$11:Y24,Y24)-1),(RANK(Y24,Y$11:Y$333)+COUNTIF(Y$11:Y24,Y24)-1)))</f>
        <v/>
      </c>
      <c r="AA24" s="177" t="str">
        <f>IF(L24="","",VLOOKUP($L24,classifications!C:I,7,FALSE))</f>
        <v>Urban with Significant Rural</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Hampshire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Broadland</v>
      </c>
      <c r="AU24" s="42">
        <f t="shared" si="9"/>
        <v>92.592592592592595</v>
      </c>
      <c r="AX24">
        <f>HLOOKUP($AX$9&amp;$AX$10,Data!$A$1:$ZT$1975,(MATCH($C24,Data!$A$1:$A$1975,0)),FALSE)</f>
        <v>93.61702127659575</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96.666666666666671</v>
      </c>
      <c r="G25" s="15"/>
      <c r="H25" s="41" t="str">
        <f t="shared" si="1"/>
        <v/>
      </c>
      <c r="I25" s="73" t="str">
        <f>IF(H25="","",IF($I$8="A",(RANK(H25,H$11:H$333,1)+COUNTIF(H$11:H25,H25)-1),(RANK(H25,H$11:H$333)+COUNTIF(H$11:H25,H25)-1)))</f>
        <v/>
      </c>
      <c r="J25" s="40"/>
      <c r="K25" s="35">
        <f t="shared" si="10"/>
        <v>15</v>
      </c>
      <c r="L25" t="str">
        <f t="shared" si="2"/>
        <v>North Norfolk</v>
      </c>
      <c r="M25" s="109">
        <f t="shared" si="3"/>
        <v>100</v>
      </c>
      <c r="N25" s="104">
        <f t="shared" si="19"/>
        <v>100</v>
      </c>
      <c r="O25" s="89">
        <f t="shared" si="20"/>
        <v>100</v>
      </c>
      <c r="P25" s="89" t="str">
        <f t="shared" si="21"/>
        <v/>
      </c>
      <c r="Q25" s="89" t="str">
        <f t="shared" si="22"/>
        <v/>
      </c>
      <c r="R25" s="85" t="str">
        <f t="shared" si="23"/>
        <v/>
      </c>
      <c r="S25" s="41" t="str">
        <f t="shared" si="24"/>
        <v/>
      </c>
      <c r="T25" s="166" t="str">
        <f>IF(L25="","",VLOOKUP(L25,classifications!C:K,9,FALSE))</f>
        <v>Sparse</v>
      </c>
      <c r="U25" s="167">
        <f t="shared" si="25"/>
        <v>100</v>
      </c>
      <c r="V25" s="173">
        <f>IF(U25="","",IF($I$8="A",(RANK(U25,U$11:U$333)+COUNTIF(U$11:U25,U25)-1),(RANK(U25,U$11:U$333,1)+COUNTIF(U$11:U25,U25)-1)))</f>
        <v>44</v>
      </c>
      <c r="W25" s="174"/>
      <c r="X25" s="5" t="str">
        <f>IF(L25="","",VLOOKUP($L25,classifications!$C:$J,6,FALSE))</f>
        <v xml:space="preserve">Predominantly Rural </v>
      </c>
      <c r="Y25">
        <f t="shared" si="26"/>
        <v>100</v>
      </c>
      <c r="Z25" s="39">
        <f>IF(Y25="","",IF(I$8="A",(RANK(Y25,Y$11:Y$333,1)+COUNTIF(Y$11:Y25,Y25)-1),(RANK(Y25,Y$11:Y$333)+COUNTIF(Y$11:Y25,Y25)-1)))</f>
        <v>2</v>
      </c>
      <c r="AA25" s="177" t="str">
        <f>IF(L25="","",VLOOKUP($L25,classifications!C:I,7,FALSE))</f>
        <v>Predominantly Rural</v>
      </c>
      <c r="AB25" s="173">
        <f t="shared" si="27"/>
        <v>100</v>
      </c>
      <c r="AC25" s="173">
        <f>IF(AB25="","",IF($I$8="A",(RANK(AB25,AB$11:AB$333)+COUNTIF(AB$11:AB25,AB25)-1),(RANK(AB25,AB$11:AB$333,1)+COUNTIF(AB$11:AB25,AB25)-1)))</f>
        <v>54</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Norfolk</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East of England</v>
      </c>
      <c r="AQ25" s="42">
        <f t="shared" si="30"/>
        <v>100</v>
      </c>
      <c r="AR25" s="39">
        <f>IF(AQ25="","",IF(I$8="A",(RANK(AQ25,AQ$11:AQ$333,1)+COUNTIF(AQ$11:AQ25,AQ25)-1),(RANK(AQ25,AQ$11:AQ$333)+COUNTIF(AQ$11:AQ25,AQ25)-1)))</f>
        <v>3</v>
      </c>
      <c r="AS25" s="3">
        <f t="shared" si="18"/>
        <v>15</v>
      </c>
      <c r="AT25" s="39" t="str">
        <f t="shared" si="8"/>
        <v>North Hertfordshire</v>
      </c>
      <c r="AU25" s="42">
        <f t="shared" si="9"/>
        <v>92.307692307692307</v>
      </c>
      <c r="AX25">
        <f>HLOOKUP($AX$9&amp;$AX$10,Data!$A$1:$ZT$1975,(MATCH($C25,Data!$A$1:$A$1975,0)),FALSE)</f>
        <v>96.666666666666671</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90.740740740740748</v>
      </c>
      <c r="G26" s="15"/>
      <c r="H26" s="41" t="str">
        <f t="shared" si="1"/>
        <v/>
      </c>
      <c r="I26" s="73" t="str">
        <f>IF(H26="","",IF($I$8="A",(RANK(H26,H$11:H$333,1)+COUNTIF(H$11:H26,H26)-1),(RANK(H26,H$11:H$333)+COUNTIF(H$11:H26,H26)-1)))</f>
        <v/>
      </c>
      <c r="J26" s="40"/>
      <c r="K26" s="35">
        <f t="shared" si="10"/>
        <v>16</v>
      </c>
      <c r="L26" t="str">
        <f t="shared" si="2"/>
        <v>Oadby &amp; Wigston</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Leicestershire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Midlands</v>
      </c>
      <c r="AQ26" s="42" t="str">
        <f t="shared" si="30"/>
        <v/>
      </c>
      <c r="AR26" s="39" t="str">
        <f>IF(AQ26="","",IF(I$8="A",(RANK(AQ26,AQ$11:AQ$333,1)+COUNTIF(AQ$11:AQ26,AQ26)-1),(RANK(AQ26,AQ$11:AQ$333)+COUNTIF(AQ$11:AQ26,AQ26)-1)))</f>
        <v/>
      </c>
      <c r="AS26" s="3">
        <f t="shared" si="18"/>
        <v>16</v>
      </c>
      <c r="AT26" s="39" t="str">
        <f t="shared" si="8"/>
        <v>East Suffolk</v>
      </c>
      <c r="AU26" s="42">
        <f t="shared" si="9"/>
        <v>91.83673469387756</v>
      </c>
      <c r="AX26">
        <f>HLOOKUP($AX$9&amp;$AX$10,Data!$A$1:$ZT$1975,(MATCH($C26,Data!$A$1:$A$1975,0)),FALSE)</f>
        <v>90.740740740740748</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Redditch</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Worcestershire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West Midlands</v>
      </c>
      <c r="AQ27" s="42" t="str">
        <f t="shared" si="30"/>
        <v/>
      </c>
      <c r="AR27" s="39" t="str">
        <f>IF(AQ27="","",IF(I$8="A",(RANK(AQ27,AQ$11:AQ$333,1)+COUNTIF(AQ$11:AQ27,AQ27)-1),(RANK(AQ27,AQ$11:AQ$333)+COUNTIF(AQ$11:AQ27,AQ27)-1)))</f>
        <v/>
      </c>
      <c r="AS27" s="3">
        <f t="shared" si="18"/>
        <v>17</v>
      </c>
      <c r="AT27" s="39" t="str">
        <f t="shared" si="8"/>
        <v>Chelmsford</v>
      </c>
      <c r="AU27" s="42">
        <f t="shared" si="9"/>
        <v>91.666666666666657</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95.683453237410077</v>
      </c>
      <c r="G28" s="15"/>
      <c r="H28" s="41" t="str">
        <f t="shared" si="1"/>
        <v/>
      </c>
      <c r="I28" s="73" t="str">
        <f>IF(H28="","",IF($I$8="A",(RANK(H28,H$11:H$333,1)+COUNTIF(H$11:H28,H28)-1),(RANK(H28,H$11:H$333)+COUNTIF(H$11:H28,H28)-1)))</f>
        <v/>
      </c>
      <c r="J28" s="40"/>
      <c r="K28" s="35">
        <f t="shared" si="10"/>
        <v>18</v>
      </c>
      <c r="L28" t="str">
        <f t="shared" si="2"/>
        <v>Rother</v>
      </c>
      <c r="M28" s="109">
        <f t="shared" si="3"/>
        <v>100</v>
      </c>
      <c r="N28" s="104">
        <f t="shared" si="19"/>
        <v>100</v>
      </c>
      <c r="O28" s="89">
        <f t="shared" si="20"/>
        <v>100</v>
      </c>
      <c r="P28" s="89" t="str">
        <f t="shared" si="21"/>
        <v/>
      </c>
      <c r="Q28" s="89" t="str">
        <f t="shared" si="22"/>
        <v/>
      </c>
      <c r="R28" s="85" t="str">
        <f t="shared" si="23"/>
        <v/>
      </c>
      <c r="S28" s="41" t="str">
        <f t="shared" si="24"/>
        <v/>
      </c>
      <c r="T28" s="166" t="str">
        <f>IF(L28="","",VLOOKUP(L28,classifications!C:K,9,FALSE))</f>
        <v>Sparse</v>
      </c>
      <c r="U28" s="167">
        <f t="shared" si="25"/>
        <v>100</v>
      </c>
      <c r="V28" s="173">
        <f>IF(U28="","",IF($I$8="A",(RANK(U28,U$11:U$333)+COUNTIF(U$11:U28,U28)-1),(RANK(U28,U$11:U$333,1)+COUNTIF(U$11:U28,U28)-1)))</f>
        <v>45</v>
      </c>
      <c r="W28" s="174"/>
      <c r="X28" s="5" t="str">
        <f>IF(L28="","",VLOOKUP($L28,classifications!$C:$J,6,FALSE))</f>
        <v xml:space="preserve">Predominantly Rural </v>
      </c>
      <c r="Y28">
        <f t="shared" si="26"/>
        <v>100</v>
      </c>
      <c r="Z28" s="39">
        <f>IF(Y28="","",IF(I$8="A",(RANK(Y28,Y$11:Y$333,1)+COUNTIF(Y$11:Y28,Y28)-1),(RANK(Y28,Y$11:Y$333)+COUNTIF(Y$11:Y28,Y28)-1)))</f>
        <v>3</v>
      </c>
      <c r="AA28" s="177" t="str">
        <f>IF(L28="","",VLOOKUP($L28,classifications!C:I,7,FALSE))</f>
        <v>Predominantly Rural</v>
      </c>
      <c r="AB28" s="173">
        <f t="shared" si="27"/>
        <v>100</v>
      </c>
      <c r="AC28" s="173">
        <f>IF(AB28="","",IF($I$8="A",(RANK(AB28,AB$11:AB$333)+COUNTIF(AB$11:AB28,AB28)-1),(RANK(AB28,AB$11:AB$333,1)+COUNTIF(AB$11:AB28,AB28)-1)))</f>
        <v>55</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East Sussex</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South East</v>
      </c>
      <c r="AQ28" s="42" t="str">
        <f t="shared" si="30"/>
        <v/>
      </c>
      <c r="AR28" s="39" t="str">
        <f>IF(AQ28="","",IF(I$8="A",(RANK(AQ28,AQ$11:AQ$333,1)+COUNTIF(AQ$11:AQ28,AQ28)-1),(RANK(AQ28,AQ$11:AQ$333)+COUNTIF(AQ$11:AQ28,AQ28)-1)))</f>
        <v/>
      </c>
      <c r="AS28" s="3">
        <f t="shared" si="18"/>
        <v>18</v>
      </c>
      <c r="AT28" s="39" t="str">
        <f t="shared" si="8"/>
        <v>Babergh</v>
      </c>
      <c r="AU28" s="42">
        <f t="shared" si="9"/>
        <v>90.909090909090907</v>
      </c>
      <c r="AX28">
        <f>HLOOKUP($AX$9&amp;$AX$10,Data!$A$1:$ZT$1975,(MATCH($C28,Data!$A$1:$A$1975,0)),FALSE)</f>
        <v>95.683453237410077</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100</v>
      </c>
      <c r="G29" s="15"/>
      <c r="H29" s="41">
        <f t="shared" si="1"/>
        <v>100</v>
      </c>
      <c r="I29" s="73">
        <f>IF(H29="","",IF($I$8="A",(RANK(H29,H$11:H$333,1)+COUNTIF(H$11:H29,H29)-1),(RANK(H29,H$11:H$333)+COUNTIF(H$11:H29,H29)-1)))</f>
        <v>2</v>
      </c>
      <c r="J29" s="40"/>
      <c r="K29" s="35">
        <f t="shared" si="10"/>
        <v>19</v>
      </c>
      <c r="L29" t="str">
        <f t="shared" si="2"/>
        <v>Spelthorne</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Surrey</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South East</v>
      </c>
      <c r="AQ29" s="42" t="str">
        <f t="shared" si="30"/>
        <v/>
      </c>
      <c r="AR29" s="39" t="str">
        <f>IF(AQ29="","",IF(I$8="A",(RANK(AQ29,AQ$11:AQ$333,1)+COUNTIF(AQ$11:AQ29,AQ29)-1),(RANK(AQ29,AQ$11:AQ$333)+COUNTIF(AQ$11:AQ29,AQ29)-1)))</f>
        <v/>
      </c>
      <c r="AS29" s="3">
        <f t="shared" si="18"/>
        <v>19</v>
      </c>
      <c r="AT29" s="39" t="str">
        <f t="shared" si="8"/>
        <v>Broxbourne</v>
      </c>
      <c r="AU29" s="42">
        <f t="shared" si="9"/>
        <v>90</v>
      </c>
      <c r="AX29">
        <f>HLOOKUP($AX$9&amp;$AX$10,Data!$A$1:$ZT$1975,(MATCH($C29,Data!$A$1:$A$1975,0)),FALSE)</f>
        <v>100</v>
      </c>
    </row>
    <row r="30" spans="1:50">
      <c r="A30" s="55" t="str">
        <f>$D$1&amp;20</f>
        <v>SD20</v>
      </c>
      <c r="B30" s="56" t="str">
        <f>IF(ISERROR(VLOOKUP(A30,classifications!A:C,3,FALSE)),0,VLOOKUP(A30,classifications!A:C,3,FALSE))</f>
        <v>New Forest</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Staffordshire Moorlands</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 xml:space="preserve">Predominantly Rural </v>
      </c>
      <c r="Y30">
        <f t="shared" si="26"/>
        <v>100</v>
      </c>
      <c r="Z30" s="39">
        <f>IF(Y30="","",IF(I$8="A",(RANK(Y30,Y$11:Y$333,1)+COUNTIF(Y$11:Y30,Y30)-1),(RANK(Y30,Y$11:Y$333)+COUNTIF(Y$11:Y30,Y30)-1)))</f>
        <v>4</v>
      </c>
      <c r="AA30" s="177" t="str">
        <f>IF(L30="","",VLOOKUP($L30,classifications!C:I,7,FALSE))</f>
        <v>Predominantly Rural</v>
      </c>
      <c r="AB30" s="173">
        <f t="shared" si="27"/>
        <v>100</v>
      </c>
      <c r="AC30" s="173">
        <f>IF(AB30="","",IF($I$8="A",(RANK(AB30,AB$11:AB$333)+COUNTIF(AB$11:AB30,AB30)-1),(RANK(AB30,AB$11:AB$333,1)+COUNTIF(AB$11:AB30,AB30)-1)))</f>
        <v>56</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Staffordshire</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West Midlands</v>
      </c>
      <c r="AQ30" s="42" t="str">
        <f t="shared" si="30"/>
        <v/>
      </c>
      <c r="AR30" s="39" t="str">
        <f>IF(AQ30="","",IF(I$8="A",(RANK(AQ30,AQ$11:AQ$333,1)+COUNTIF(AQ$11:AQ30,AQ30)-1),(RANK(AQ30,AQ$11:AQ$333)+COUNTIF(AQ$11:AQ30,AQ30)-1)))</f>
        <v/>
      </c>
      <c r="AS30" s="3">
        <f t="shared" si="18"/>
        <v>20</v>
      </c>
      <c r="AT30" s="39" t="str">
        <f t="shared" si="8"/>
        <v>Mid Suffolk</v>
      </c>
      <c r="AU30" s="42">
        <f t="shared" si="9"/>
        <v>89.830508474576277</v>
      </c>
      <c r="AX30">
        <f>HLOOKUP($AX$9&amp;$AX$10,Data!$A$1:$ZT$1975,(MATCH($C30,Data!$A$1:$A$1975,0)),FALSE)</f>
        <v>100</v>
      </c>
    </row>
    <row r="31" spans="1:50">
      <c r="A31" s="55" t="str">
        <f>$D$1&amp;21</f>
        <v>SD21</v>
      </c>
      <c r="B31" s="56" t="str">
        <f>IF(ISERROR(VLOOKUP(A31,classifications!A:C,3,FALSE)),0,VLOOKUP(A31,classifications!A:C,3,FALSE))</f>
        <v>North Devon</v>
      </c>
      <c r="C31" t="s">
        <v>261</v>
      </c>
      <c r="D31" t="str">
        <f>VLOOKUP($C31,classifications!$C:$J,4,FALSE)</f>
        <v>UA</v>
      </c>
      <c r="E31">
        <f>VLOOKUP(C31,classifications!C:K,9,FALSE)</f>
        <v>0</v>
      </c>
      <c r="F31">
        <f t="shared" si="0"/>
        <v>95</v>
      </c>
      <c r="G31" s="15"/>
      <c r="H31" s="41" t="str">
        <f t="shared" si="1"/>
        <v/>
      </c>
      <c r="I31" s="73" t="str">
        <f>IF(H31="","",IF($I$8="A",(RANK(H31,H$11:H$333,1)+COUNTIF(H$11:H31,H31)-1),(RANK(H31,H$11:H$333)+COUNTIF(H$11:H31,H31)-1)))</f>
        <v/>
      </c>
      <c r="J31" s="40"/>
      <c r="K31" s="35">
        <f t="shared" si="10"/>
        <v>21</v>
      </c>
      <c r="L31" t="str">
        <f t="shared" si="2"/>
        <v>Tamworth</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Staffordshire</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West Midlands</v>
      </c>
      <c r="AQ31" s="42" t="str">
        <f t="shared" si="30"/>
        <v/>
      </c>
      <c r="AR31" s="39" t="str">
        <f>IF(AQ31="","",IF(I$8="A",(RANK(AQ31,AQ$11:AQ$333,1)+COUNTIF(AQ$11:AQ31,AQ31)-1),(RANK(AQ31,AQ$11:AQ$333)+COUNTIF(AQ$11:AQ31,AQ31)-1)))</f>
        <v/>
      </c>
      <c r="AS31" s="3">
        <f t="shared" si="18"/>
        <v>21</v>
      </c>
      <c r="AT31" s="39" t="str">
        <f t="shared" si="8"/>
        <v>Huntingdonshire</v>
      </c>
      <c r="AU31" s="42">
        <f t="shared" si="9"/>
        <v>89.361702127659569</v>
      </c>
      <c r="AX31">
        <f>HLOOKUP($AX$9&amp;$AX$10,Data!$A$1:$ZT$1975,(MATCH($C31,Data!$A$1:$A$1975,0)),FALSE)</f>
        <v>95</v>
      </c>
    </row>
    <row r="32" spans="1:50">
      <c r="A32" s="55" t="str">
        <f>$D$1&amp;22</f>
        <v>SD22</v>
      </c>
      <c r="B32" s="56" t="str">
        <f>IF(ISERROR(VLOOKUP(A32,classifications!A:C,3,FALSE)),0,VLOOKUP(A32,classifications!A:C,3,FALSE))</f>
        <v>North Kesteven</v>
      </c>
      <c r="C32" t="s">
        <v>17</v>
      </c>
      <c r="D32" t="str">
        <f>VLOOKUP($C32,classifications!$C:$J,4,FALSE)</f>
        <v>SD</v>
      </c>
      <c r="E32">
        <f>VLOOKUP(C32,classifications!C:K,9,FALSE)</f>
        <v>0</v>
      </c>
      <c r="F32">
        <f t="shared" si="0"/>
        <v>100</v>
      </c>
      <c r="G32" s="15"/>
      <c r="H32" s="41">
        <f t="shared" si="1"/>
        <v>100</v>
      </c>
      <c r="I32" s="73">
        <f>IF(H32="","",IF($I$8="A",(RANK(H32,H$11:H$333,1)+COUNTIF(H$11:H32,H32)-1),(RANK(H32,H$11:H$333)+COUNTIF(H$11:H32,H32)-1)))</f>
        <v>3</v>
      </c>
      <c r="J32" s="40"/>
      <c r="K32" s="35">
        <f t="shared" si="10"/>
        <v>22</v>
      </c>
      <c r="L32" t="str">
        <f t="shared" si="2"/>
        <v>Tunbridge Wells</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t="str">
        <f t="shared" si="26"/>
        <v/>
      </c>
      <c r="Z32" s="39" t="str">
        <f>IF(Y32="","",IF(I$8="A",(RANK(Y32,Y$11:Y$333,1)+COUNTIF(Y$11:Y32,Y32)-1),(RANK(Y32,Y$11:Y$333)+COUNTIF(Y$11:Y32,Y32)-1)))</f>
        <v/>
      </c>
      <c r="AA32" s="177" t="str">
        <f>IF(L32="","",VLOOKUP($L32,classifications!C:I,7,FALSE))</f>
        <v>Urban with Significant Rural</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Kent</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South East</v>
      </c>
      <c r="AQ32" s="42" t="str">
        <f t="shared" si="30"/>
        <v/>
      </c>
      <c r="AR32" s="39" t="str">
        <f>IF(AQ32="","",IF(I$8="A",(RANK(AQ32,AQ$11:AQ$333,1)+COUNTIF(AQ$11:AQ32,AQ32)-1),(RANK(AQ32,AQ$11:AQ$333)+COUNTIF(AQ$11:AQ32,AQ32)-1)))</f>
        <v/>
      </c>
      <c r="AS32" s="3">
        <f t="shared" si="18"/>
        <v>22</v>
      </c>
      <c r="AT32" s="39" t="str">
        <f t="shared" si="8"/>
        <v>Tendring</v>
      </c>
      <c r="AU32" s="42">
        <f t="shared" si="9"/>
        <v>88.888888888888886</v>
      </c>
      <c r="AX32">
        <f>HLOOKUP($AX$9&amp;$AX$10,Data!$A$1:$ZT$1975,(MATCH($C32,Data!$A$1:$A$1975,0)),FALSE)</f>
        <v>100</v>
      </c>
    </row>
    <row r="33" spans="1:50">
      <c r="A33" s="55" t="str">
        <f>$D$1&amp;23</f>
        <v>SD23</v>
      </c>
      <c r="B33" s="56" t="str">
        <f>IF(ISERROR(VLOOKUP(A33,classifications!A:C,3,FALSE)),0,VLOOKUP(A33,classifications!A:C,3,FALSE))</f>
        <v>North Norfolk</v>
      </c>
      <c r="C33" t="s">
        <v>224</v>
      </c>
      <c r="D33" t="str">
        <f>VLOOKUP($C33,classifications!$C:$J,4,FALSE)</f>
        <v>MD</v>
      </c>
      <c r="E33">
        <f>VLOOKUP(C33,classifications!C:K,9,FALSE)</f>
        <v>0</v>
      </c>
      <c r="F33">
        <f t="shared" si="0"/>
        <v>90.476190476190482</v>
      </c>
      <c r="G33" s="15"/>
      <c r="H33" s="41" t="str">
        <f t="shared" si="1"/>
        <v/>
      </c>
      <c r="I33" s="73" t="str">
        <f>IF(H33="","",IF($I$8="A",(RANK(H33,H$11:H$333,1)+COUNTIF(H$11:H33,H33)-1),(RANK(H33,H$11:H$333)+COUNTIF(H$11:H33,H33)-1)))</f>
        <v/>
      </c>
      <c r="J33" s="40"/>
      <c r="K33" s="35">
        <f t="shared" si="10"/>
        <v>23</v>
      </c>
      <c r="L33" t="str">
        <f t="shared" si="2"/>
        <v>West Devon</v>
      </c>
      <c r="M33" s="109">
        <f t="shared" si="3"/>
        <v>100</v>
      </c>
      <c r="N33" s="104">
        <f t="shared" si="19"/>
        <v>100</v>
      </c>
      <c r="O33" s="89">
        <f t="shared" si="20"/>
        <v>100</v>
      </c>
      <c r="P33" s="89" t="str">
        <f t="shared" si="21"/>
        <v/>
      </c>
      <c r="Q33" s="89" t="str">
        <f t="shared" si="22"/>
        <v/>
      </c>
      <c r="R33" s="85" t="str">
        <f t="shared" si="23"/>
        <v/>
      </c>
      <c r="S33" s="41" t="str">
        <f t="shared" si="24"/>
        <v/>
      </c>
      <c r="T33" s="166" t="str">
        <f>IF(L33="","",VLOOKUP(L33,classifications!C:K,9,FALSE))</f>
        <v>Sparse</v>
      </c>
      <c r="U33" s="167">
        <f t="shared" si="25"/>
        <v>100</v>
      </c>
      <c r="V33" s="173">
        <f>IF(U33="","",IF($I$8="A",(RANK(U33,U$11:U$333)+COUNTIF(U$11:U33,U33)-1),(RANK(U33,U$11:U$333,1)+COUNTIF(U$11:U33,U33)-1)))</f>
        <v>46</v>
      </c>
      <c r="W33" s="174"/>
      <c r="X33" s="5" t="str">
        <f>IF(L33="","",VLOOKUP($L33,classifications!$C:$J,6,FALSE))</f>
        <v xml:space="preserve">Predominantly Rural </v>
      </c>
      <c r="Y33">
        <f t="shared" si="26"/>
        <v>100</v>
      </c>
      <c r="Z33" s="39">
        <f>IF(Y33="","",IF(I$8="A",(RANK(Y33,Y$11:Y$333,1)+COUNTIF(Y$11:Y33,Y33)-1),(RANK(Y33,Y$11:Y$333)+COUNTIF(Y$11:Y33,Y33)-1)))</f>
        <v>5</v>
      </c>
      <c r="AA33" s="177" t="str">
        <f>IF(L33="","",VLOOKUP($L33,classifications!C:I,7,FALSE))</f>
        <v>Predominantly Rural</v>
      </c>
      <c r="AB33" s="173">
        <f t="shared" si="27"/>
        <v>100</v>
      </c>
      <c r="AC33" s="173">
        <f>IF(AB33="","",IF($I$8="A",(RANK(AB33,AB$11:AB$333)+COUNTIF(AB$11:AB33,AB33)-1),(RANK(AB33,AB$11:AB$333,1)+COUNTIF(AB$11:AB33,AB33)-1)))</f>
        <v>57</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Devon</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West</v>
      </c>
      <c r="AQ33" s="42" t="str">
        <f t="shared" si="30"/>
        <v/>
      </c>
      <c r="AR33" s="39" t="str">
        <f>IF(AQ33="","",IF(I$8="A",(RANK(AQ33,AQ$11:AQ$333,1)+COUNTIF(AQ$11:AQ33,AQ33)-1),(RANK(AQ33,AQ$11:AQ$333)+COUNTIF(AQ$11:AQ33,AQ33)-1)))</f>
        <v/>
      </c>
      <c r="AS33" s="3">
        <f t="shared" si="18"/>
        <v>23</v>
      </c>
      <c r="AT33" s="39" t="str">
        <f t="shared" si="8"/>
        <v>Breckland</v>
      </c>
      <c r="AU33" s="42">
        <f t="shared" si="9"/>
        <v>88.709677419354833</v>
      </c>
      <c r="AX33">
        <f>HLOOKUP($AX$9&amp;$AX$10,Data!$A$1:$ZT$1975,(MATCH($C33,Data!$A$1:$A$1975,0)),FALSE)</f>
        <v>90.476190476190482</v>
      </c>
    </row>
    <row r="34" spans="1:50">
      <c r="A34" s="55" t="str">
        <f>$D$1&amp;24</f>
        <v>SD24</v>
      </c>
      <c r="B34" s="56" t="str">
        <f>IF(ISERROR(VLOOKUP(A34,classifications!A:C,3,FALSE)),0,VLOOKUP(A34,classifications!A:C,3,FALSE))</f>
        <v>Ribble Valley</v>
      </c>
      <c r="C34" t="s">
        <v>18</v>
      </c>
      <c r="D34" t="str">
        <f>VLOOKUP($C34,classifications!$C:$J,4,FALSE)</f>
        <v>SD</v>
      </c>
      <c r="E34" t="str">
        <f>VLOOKUP(C34,classifications!C:K,9,FALSE)</f>
        <v>Sparse</v>
      </c>
      <c r="F34">
        <f t="shared" si="0"/>
        <v>91.428571428571431</v>
      </c>
      <c r="G34" s="15"/>
      <c r="H34" s="41">
        <f t="shared" si="1"/>
        <v>91.428571428571431</v>
      </c>
      <c r="I34" s="73">
        <f>IF(H34="","",IF($I$8="A",(RANK(H34,H$11:H$333,1)+COUNTIF(H$11:H34,H34)-1),(RANK(H34,H$11:H$333)+COUNTIF(H$11:H34,H34)-1)))</f>
        <v>75</v>
      </c>
      <c r="J34" s="40"/>
      <c r="K34" s="35">
        <f t="shared" si="10"/>
        <v>24</v>
      </c>
      <c r="L34" t="str">
        <f t="shared" si="2"/>
        <v>Winchester</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 xml:space="preserve">Predominantly Rural </v>
      </c>
      <c r="Y34">
        <f t="shared" si="26"/>
        <v>100</v>
      </c>
      <c r="Z34" s="39">
        <f>IF(Y34="","",IF(I$8="A",(RANK(Y34,Y$11:Y$333,1)+COUNTIF(Y$11:Y34,Y34)-1),(RANK(Y34,Y$11:Y$333)+COUNTIF(Y$11:Y34,Y34)-1)))</f>
        <v>6</v>
      </c>
      <c r="AA34" s="177" t="str">
        <f>IF(L34="","",VLOOKUP($L34,classifications!C:I,7,FALSE))</f>
        <v>Predominantly Rural</v>
      </c>
      <c r="AB34" s="173">
        <f t="shared" si="27"/>
        <v>100</v>
      </c>
      <c r="AC34" s="173">
        <f>IF(AB34="","",IF($I$8="A",(RANK(AB34,AB$11:AB$333)+COUNTIF(AB$11:AB34,AB34)-1),(RANK(AB34,AB$11:AB$333,1)+COUNTIF(AB$11:AB34,AB34)-1)))</f>
        <v>58</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Hampshire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South East</v>
      </c>
      <c r="AQ34" s="42" t="str">
        <f t="shared" si="30"/>
        <v/>
      </c>
      <c r="AR34" s="39" t="str">
        <f>IF(AQ34="","",IF(I$8="A",(RANK(AQ34,AQ$11:AQ$333,1)+COUNTIF(AQ$11:AQ34,AQ34)-1),(RANK(AQ34,AQ$11:AQ$333)+COUNTIF(AQ$11:AQ34,AQ34)-1)))</f>
        <v/>
      </c>
      <c r="AS34" s="3">
        <f t="shared" si="18"/>
        <v>24</v>
      </c>
      <c r="AT34" s="39" t="str">
        <f t="shared" si="8"/>
        <v>Epping Forest</v>
      </c>
      <c r="AU34" s="42">
        <f t="shared" si="9"/>
        <v>88.235294117647058</v>
      </c>
      <c r="AX34">
        <f>HLOOKUP($AX$9&amp;$AX$10,Data!$A$1:$ZT$1975,(MATCH($C34,Data!$A$1:$A$1975,0)),FALSE)</f>
        <v>91.428571428571431</v>
      </c>
    </row>
    <row r="35" spans="1:50">
      <c r="A35" s="55" t="str">
        <f>$D$1&amp;25</f>
        <v>SD25</v>
      </c>
      <c r="B35" s="56" t="str">
        <f>IF(ISERROR(VLOOKUP(A35,classifications!A:C,3,FALSE)),0,VLOOKUP(A35,classifications!A:C,3,FALSE))</f>
        <v>Rother</v>
      </c>
      <c r="C35" t="s">
        <v>896</v>
      </c>
      <c r="D35" t="str">
        <f>VLOOKUP($C35,classifications!$C:$J,4,FALSE)</f>
        <v>UA</v>
      </c>
      <c r="E35">
        <f>VLOOKUP(C35,classifications!C:K,9,FALSE)</f>
        <v>0</v>
      </c>
      <c r="F35">
        <f t="shared" si="0"/>
        <v>82.242990654205599</v>
      </c>
      <c r="G35" s="15"/>
      <c r="H35" s="41" t="str">
        <f t="shared" si="1"/>
        <v/>
      </c>
      <c r="I35" s="73" t="str">
        <f>IF(H35="","",IF($I$8="A",(RANK(H35,H$11:H$333,1)+COUNTIF(H$11:H35,H35)-1),(RANK(H35,H$11:H$333)+COUNTIF(H$11:H35,H35)-1)))</f>
        <v/>
      </c>
      <c r="J35" s="40"/>
      <c r="K35" s="35">
        <f t="shared" si="10"/>
        <v>25</v>
      </c>
      <c r="L35" t="str">
        <f t="shared" si="2"/>
        <v>Woking</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Surrey</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King's Lynn &amp; West Norfolk</v>
      </c>
      <c r="AU35" s="42">
        <f t="shared" si="9"/>
        <v>86.04651162790698</v>
      </c>
      <c r="AX35">
        <f>HLOOKUP($AX$9&amp;$AX$10,Data!$A$1:$ZT$1975,(MATCH($C35,Data!$A$1:$A$1975,0)),FALSE)</f>
        <v>82.242990654205599</v>
      </c>
    </row>
    <row r="36" spans="1:50">
      <c r="A36" s="55" t="str">
        <f>$D$1&amp;26</f>
        <v>SD26</v>
      </c>
      <c r="B36" s="56" t="str">
        <f>IF(ISERROR(VLOOKUP(A36,classifications!A:C,3,FALSE)),0,VLOOKUP(A36,classifications!A:C,3,FALSE))</f>
        <v>Rugby</v>
      </c>
      <c r="C36" t="s">
        <v>263</v>
      </c>
      <c r="D36" t="str">
        <f>VLOOKUP($C36,classifications!$C:$J,4,FALSE)</f>
        <v>UA</v>
      </c>
      <c r="E36">
        <f>VLOOKUP(C36,classifications!C:K,9,FALSE)</f>
        <v>0</v>
      </c>
      <c r="F36">
        <f t="shared" si="0"/>
        <v>88.888888888888886</v>
      </c>
      <c r="G36" s="15"/>
      <c r="H36" s="41" t="str">
        <f t="shared" si="1"/>
        <v/>
      </c>
      <c r="I36" s="73" t="str">
        <f>IF(H36="","",IF($I$8="A",(RANK(H36,H$11:H$333,1)+COUNTIF(H$11:H36,H36)-1),(RANK(H36,H$11:H$333)+COUNTIF(H$11:H36,H36)-1)))</f>
        <v/>
      </c>
      <c r="J36" s="40"/>
      <c r="K36" s="35">
        <f t="shared" si="10"/>
        <v>26</v>
      </c>
      <c r="L36" t="str">
        <f t="shared" si="2"/>
        <v>East Cambridgeshire</v>
      </c>
      <c r="M36" s="109">
        <f t="shared" si="3"/>
        <v>98.148148148148152</v>
      </c>
      <c r="N36" s="104">
        <f t="shared" si="19"/>
        <v>98.148148148148152</v>
      </c>
      <c r="O36" s="89">
        <f t="shared" si="20"/>
        <v>98.148148148148152</v>
      </c>
      <c r="P36" s="89" t="str">
        <f t="shared" si="21"/>
        <v/>
      </c>
      <c r="Q36" s="89" t="str">
        <f t="shared" si="22"/>
        <v/>
      </c>
      <c r="R36" s="85" t="str">
        <f t="shared" si="23"/>
        <v/>
      </c>
      <c r="S36" s="41" t="str">
        <f t="shared" si="24"/>
        <v/>
      </c>
      <c r="T36" s="166" t="str">
        <f>IF(L36="","",VLOOKUP(L36,classifications!C:K,9,FALSE))</f>
        <v>Sparse</v>
      </c>
      <c r="U36" s="167">
        <f t="shared" si="25"/>
        <v>98.148148148148152</v>
      </c>
      <c r="V36" s="173">
        <f>IF(U36="","",IF($I$8="A",(RANK(U36,U$11:U$333)+COUNTIF(U$11:U36,U36)-1),(RANK(U36,U$11:U$333,1)+COUNTIF(U$11:U36,U36)-1)))</f>
        <v>42</v>
      </c>
      <c r="W36" s="174"/>
      <c r="X36" s="5" t="str">
        <f>IF(L36="","",VLOOKUP($L36,classifications!$C:$J,6,FALSE))</f>
        <v xml:space="preserve">Predominantly Rural </v>
      </c>
      <c r="Y36">
        <f t="shared" si="26"/>
        <v>98.148148148148152</v>
      </c>
      <c r="Z36" s="39">
        <f>IF(Y36="","",IF(I$8="A",(RANK(Y36,Y$11:Y$333,1)+COUNTIF(Y$11:Y36,Y36)-1),(RANK(Y36,Y$11:Y$333)+COUNTIF(Y$11:Y36,Y36)-1)))</f>
        <v>7</v>
      </c>
      <c r="AA36" s="177" t="str">
        <f>IF(L36="","",VLOOKUP($L36,classifications!C:I,7,FALSE))</f>
        <v>Predominantly Rural</v>
      </c>
      <c r="AB36" s="173">
        <f t="shared" si="27"/>
        <v>98.148148148148152</v>
      </c>
      <c r="AC36" s="173">
        <f>IF(AB36="","",IF($I$8="A",(RANK(AB36,AB$11:AB$333)+COUNTIF(AB$11:AB36,AB36)-1),(RANK(AB36,AB$11:AB$333,1)+COUNTIF(AB$11:AB36,AB36)-1)))</f>
        <v>52</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Cambridgeshire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East of England</v>
      </c>
      <c r="AQ36" s="42">
        <f t="shared" si="30"/>
        <v>98.148148148148152</v>
      </c>
      <c r="AR36" s="39">
        <f>IF(AQ36="","",IF(I$8="A",(RANK(AQ36,AQ$11:AQ$333,1)+COUNTIF(AQ$11:AQ36,AQ36)-1),(RANK(AQ36,AQ$11:AQ$333)+COUNTIF(AQ$11:AQ36,AQ36)-1)))</f>
        <v>4</v>
      </c>
      <c r="AS36" s="3">
        <f t="shared" si="18"/>
        <v>26</v>
      </c>
      <c r="AT36" s="39" t="str">
        <f t="shared" si="8"/>
        <v>Norwich</v>
      </c>
      <c r="AU36" s="42">
        <f t="shared" si="9"/>
        <v>85.714285714285708</v>
      </c>
      <c r="AX36">
        <f>HLOOKUP($AX$9&amp;$AX$10,Data!$A$1:$ZT$1975,(MATCH($C36,Data!$A$1:$A$1975,0)),FALSE)</f>
        <v>88.888888888888886</v>
      </c>
    </row>
    <row r="37" spans="1:50">
      <c r="A37" s="55" t="str">
        <f>$D$1&amp;27</f>
        <v>SD27</v>
      </c>
      <c r="B37" s="56" t="str">
        <f>IF(ISERROR(VLOOKUP(A37,classifications!A:C,3,FALSE)),0,VLOOKUP(A37,classifications!A:C,3,FALSE))</f>
        <v>South Cambridgeshire</v>
      </c>
      <c r="C37" t="s">
        <v>225</v>
      </c>
      <c r="D37" t="str">
        <f>VLOOKUP($C37,classifications!$C:$J,4,FALSE)</f>
        <v>MD</v>
      </c>
      <c r="E37">
        <f>VLOOKUP(C37,classifications!C:K,9,FALSE)</f>
        <v>0</v>
      </c>
      <c r="F37">
        <f t="shared" si="0"/>
        <v>68.421052631578945</v>
      </c>
      <c r="G37" s="15"/>
      <c r="H37" s="41" t="str">
        <f t="shared" si="1"/>
        <v/>
      </c>
      <c r="I37" s="73" t="str">
        <f>IF(H37="","",IF($I$8="A",(RANK(H37,H$11:H$333,1)+COUNTIF(H$11:H37,H37)-1),(RANK(H37,H$11:H$333)+COUNTIF(H$11:H37,H37)-1)))</f>
        <v/>
      </c>
      <c r="J37" s="40"/>
      <c r="K37" s="35">
        <f t="shared" si="10"/>
        <v>27</v>
      </c>
      <c r="L37" t="str">
        <f t="shared" si="2"/>
        <v>Horsham</v>
      </c>
      <c r="M37" s="109">
        <f t="shared" si="3"/>
        <v>97.916666666666657</v>
      </c>
      <c r="N37" s="104">
        <f t="shared" si="19"/>
        <v>97.916666666666657</v>
      </c>
      <c r="O37" s="89">
        <f t="shared" si="20"/>
        <v>97.916666666666657</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 xml:space="preserve">Predominantly Rural </v>
      </c>
      <c r="Y37">
        <f t="shared" si="26"/>
        <v>97.916666666666657</v>
      </c>
      <c r="Z37" s="39">
        <f>IF(Y37="","",IF(I$8="A",(RANK(Y37,Y$11:Y$333,1)+COUNTIF(Y$11:Y37,Y37)-1),(RANK(Y37,Y$11:Y$333)+COUNTIF(Y$11:Y37,Y37)-1)))</f>
        <v>8</v>
      </c>
      <c r="AA37" s="177" t="str">
        <f>IF(L37="","",VLOOKUP($L37,classifications!C:I,7,FALSE))</f>
        <v>Predominantly Rural</v>
      </c>
      <c r="AB37" s="173">
        <f t="shared" si="27"/>
        <v>97.916666666666657</v>
      </c>
      <c r="AC37" s="173">
        <f>IF(AB37="","",IF($I$8="A",(RANK(AB37,AB$11:AB$333)+COUNTIF(AB$11:AB37,AB37)-1),(RANK(AB37,AB$11:AB$333,1)+COUNTIF(AB$11:AB37,AB37)-1)))</f>
        <v>51</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West Sussex</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South East</v>
      </c>
      <c r="AQ37" s="42" t="str">
        <f t="shared" si="30"/>
        <v/>
      </c>
      <c r="AR37" s="39" t="str">
        <f>IF(AQ37="","",IF(I$8="A",(RANK(AQ37,AQ$11:AQ$333,1)+COUNTIF(AQ$11:AQ37,AQ37)-1),(RANK(AQ37,AQ$11:AQ$333)+COUNTIF(AQ$11:AQ37,AQ37)-1)))</f>
        <v/>
      </c>
      <c r="AS37" s="3">
        <f t="shared" si="18"/>
        <v>27</v>
      </c>
      <c r="AT37" s="39" t="str">
        <f t="shared" si="8"/>
        <v>Basildon</v>
      </c>
      <c r="AU37" s="42">
        <f t="shared" si="9"/>
        <v>84</v>
      </c>
      <c r="AX37">
        <f>HLOOKUP($AX$9&amp;$AX$10,Data!$A$1:$ZT$1975,(MATCH($C37,Data!$A$1:$A$1975,0)),FALSE)</f>
        <v>68.421052631578945</v>
      </c>
    </row>
    <row r="38" spans="1:50">
      <c r="A38" s="55" t="str">
        <f>$D$1&amp;28</f>
        <v>SD28</v>
      </c>
      <c r="B38" s="56" t="str">
        <f>IF(ISERROR(VLOOKUP(A38,classifications!A:C,3,FALSE)),0,VLOOKUP(A38,classifications!A:C,3,FALSE))</f>
        <v>South Hams</v>
      </c>
      <c r="C38" t="s">
        <v>19</v>
      </c>
      <c r="D38" t="str">
        <f>VLOOKUP($C38,classifications!$C:$J,4,FALSE)</f>
        <v>SD</v>
      </c>
      <c r="E38" t="str">
        <f>VLOOKUP(C38,classifications!C:K,9,FALSE)</f>
        <v>Sparse</v>
      </c>
      <c r="F38">
        <f t="shared" si="0"/>
        <v>93.650793650793645</v>
      </c>
      <c r="G38" s="15"/>
      <c r="H38" s="41">
        <f t="shared" si="1"/>
        <v>93.650793650793645</v>
      </c>
      <c r="I38" s="73">
        <f>IF(H38="","",IF($I$8="A",(RANK(H38,H$11:H$333,1)+COUNTIF(H$11:H38,H38)-1),(RANK(H38,H$11:H$333)+COUNTIF(H$11:H38,H38)-1)))</f>
        <v>56</v>
      </c>
      <c r="J38" s="40"/>
      <c r="K38" s="35">
        <f t="shared" si="10"/>
        <v>28</v>
      </c>
      <c r="L38" t="str">
        <f t="shared" si="2"/>
        <v>Mid Sussex</v>
      </c>
      <c r="M38" s="109">
        <f t="shared" si="3"/>
        <v>97.916666666666657</v>
      </c>
      <c r="N38" s="104">
        <f t="shared" si="19"/>
        <v>97.916666666666657</v>
      </c>
      <c r="O38" s="89">
        <f t="shared" si="20"/>
        <v>97.916666666666657</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West Sussex</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East</v>
      </c>
      <c r="AQ38" s="42" t="str">
        <f t="shared" si="30"/>
        <v/>
      </c>
      <c r="AR38" s="39" t="str">
        <f>IF(AQ38="","",IF(I$8="A",(RANK(AQ38,AQ$11:AQ$333,1)+COUNTIF(AQ$11:AQ38,AQ38)-1),(RANK(AQ38,AQ$11:AQ$333)+COUNTIF(AQ$11:AQ38,AQ38)-1)))</f>
        <v/>
      </c>
      <c r="AS38" s="3">
        <f t="shared" si="18"/>
        <v>28</v>
      </c>
      <c r="AT38" s="39" t="str">
        <f t="shared" si="8"/>
        <v>Cambridge</v>
      </c>
      <c r="AU38" s="42">
        <f t="shared" si="9"/>
        <v>83.870967741935488</v>
      </c>
      <c r="AX38">
        <f>HLOOKUP($AX$9&amp;$AX$10,Data!$A$1:$ZT$1975,(MATCH($C38,Data!$A$1:$A$1975,0)),FALSE)</f>
        <v>93.650793650793645</v>
      </c>
    </row>
    <row r="39" spans="1:50">
      <c r="A39" s="55" t="str">
        <f>$D$1&amp;29</f>
        <v>SD29</v>
      </c>
      <c r="B39" s="56" t="str">
        <f>IF(ISERROR(VLOOKUP(A39,classifications!A:C,3,FALSE)),0,VLOOKUP(A39,classifications!A:C,3,FALSE))</f>
        <v>South Holland</v>
      </c>
      <c r="C39" t="s">
        <v>20</v>
      </c>
      <c r="D39" t="str">
        <f>VLOOKUP($C39,classifications!$C:$J,4,FALSE)</f>
        <v>SD</v>
      </c>
      <c r="E39">
        <f>VLOOKUP(C39,classifications!C:K,9,FALSE)</f>
        <v>0</v>
      </c>
      <c r="F39">
        <f t="shared" si="0"/>
        <v>88.709677419354833</v>
      </c>
      <c r="G39" s="15"/>
      <c r="H39" s="41">
        <f t="shared" si="1"/>
        <v>88.709677419354833</v>
      </c>
      <c r="I39" s="73">
        <f>IF(H39="","",IF($I$8="A",(RANK(H39,H$11:H$333,1)+COUNTIF(H$11:H39,H39)-1),(RANK(H39,H$11:H$333)+COUNTIF(H$11:H39,H39)-1)))</f>
        <v>92</v>
      </c>
      <c r="J39" s="40"/>
      <c r="K39" s="35">
        <f t="shared" si="10"/>
        <v>29</v>
      </c>
      <c r="L39" t="str">
        <f t="shared" si="2"/>
        <v>North East Derbyshire</v>
      </c>
      <c r="M39" s="109">
        <f t="shared" si="3"/>
        <v>97.435897435897431</v>
      </c>
      <c r="N39" s="104">
        <f t="shared" si="19"/>
        <v>97.435897435897431</v>
      </c>
      <c r="O39" s="89">
        <f t="shared" si="20"/>
        <v>97.435897435897431</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Derbyshire</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East Midlands</v>
      </c>
      <c r="AQ39" s="42" t="str">
        <f t="shared" si="30"/>
        <v/>
      </c>
      <c r="AR39" s="39" t="str">
        <f>IF(AQ39="","",IF(I$8="A",(RANK(AQ39,AQ$11:AQ$333,1)+COUNTIF(AQ$11:AQ39,AQ39)-1),(RANK(AQ39,AQ$11:AQ$333)+COUNTIF(AQ$11:AQ39,AQ39)-1)))</f>
        <v/>
      </c>
      <c r="AS39" s="3">
        <f t="shared" si="18"/>
        <v>29</v>
      </c>
      <c r="AT39" s="39" t="str">
        <f t="shared" si="8"/>
        <v>Maldon</v>
      </c>
      <c r="AU39" s="42">
        <f t="shared" si="9"/>
        <v>81.395348837209298</v>
      </c>
      <c r="AX39">
        <f>HLOOKUP($AX$9&amp;$AX$10,Data!$A$1:$ZT$1975,(MATCH($C39,Data!$A$1:$A$1975,0)),FALSE)</f>
        <v>88.709677419354833</v>
      </c>
    </row>
    <row r="40" spans="1:50">
      <c r="A40" s="55" t="str">
        <f>$D$1&amp;30</f>
        <v>SD30</v>
      </c>
      <c r="B40" s="56" t="str">
        <f>IF(ISERROR(VLOOKUP(A40,classifications!A:C,3,FALSE)),0,VLOOKUP(A40,classifications!A:C,3,FALSE))</f>
        <v>South Kesteven</v>
      </c>
      <c r="C40" t="s">
        <v>198</v>
      </c>
      <c r="D40" t="str">
        <f>VLOOKUP($C40,classifications!$C:$J,4,FALSE)</f>
        <v>L</v>
      </c>
      <c r="E40">
        <f>VLOOKUP(C40,classifications!C:K,9,FALSE)</f>
        <v>0</v>
      </c>
      <c r="F40">
        <f t="shared" si="0"/>
        <v>96.428571428571431</v>
      </c>
      <c r="G40" s="15"/>
      <c r="H40" s="41" t="str">
        <f t="shared" si="1"/>
        <v/>
      </c>
      <c r="I40" s="73" t="str">
        <f>IF(H40="","",IF($I$8="A",(RANK(H40,H$11:H$333,1)+COUNTIF(H$11:H40,H40)-1),(RANK(H40,H$11:H$333)+COUNTIF(H$11:H40,H40)-1)))</f>
        <v/>
      </c>
      <c r="J40" s="40"/>
      <c r="K40" s="35">
        <f t="shared" si="10"/>
        <v>30</v>
      </c>
      <c r="L40" t="str">
        <f t="shared" si="2"/>
        <v>Preston</v>
      </c>
      <c r="M40" s="109">
        <f t="shared" si="3"/>
        <v>97.142857142857139</v>
      </c>
      <c r="N40" s="104">
        <f t="shared" si="19"/>
        <v>97.142857142857139</v>
      </c>
      <c r="O40" s="89">
        <f t="shared" si="20"/>
        <v>97.142857142857139</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Lancashire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North West</v>
      </c>
      <c r="AQ40" s="42" t="str">
        <f t="shared" si="30"/>
        <v/>
      </c>
      <c r="AR40" s="39" t="str">
        <f>IF(AQ40="","",IF(I$8="A",(RANK(AQ40,AQ$11:AQ$333,1)+COUNTIF(AQ$11:AQ40,AQ40)-1),(RANK(AQ40,AQ$11:AQ$333)+COUNTIF(AQ$11:AQ40,AQ40)-1)))</f>
        <v/>
      </c>
      <c r="AS40" s="3">
        <f t="shared" si="18"/>
        <v>30</v>
      </c>
      <c r="AT40" s="39" t="str">
        <f t="shared" si="8"/>
        <v>Three Rivers</v>
      </c>
      <c r="AU40" s="42">
        <f t="shared" si="9"/>
        <v>80</v>
      </c>
      <c r="AX40">
        <f>HLOOKUP($AX$9&amp;$AX$10,Data!$A$1:$ZT$1975,(MATCH($C40,Data!$A$1:$A$1975,0)),FALSE)</f>
        <v>96.428571428571431</v>
      </c>
    </row>
    <row r="41" spans="1:50">
      <c r="A41" s="55" t="str">
        <f>$D$1&amp;31</f>
        <v>SD31</v>
      </c>
      <c r="B41" s="56" t="str">
        <f>IF(ISERROR(VLOOKUP(A41,classifications!A:C,3,FALSE)),0,VLOOKUP(A41,classifications!A:C,3,FALSE))</f>
        <v>South Norfolk</v>
      </c>
      <c r="C41" t="s">
        <v>21</v>
      </c>
      <c r="D41" t="str">
        <f>VLOOKUP($C41,classifications!$C:$J,4,FALSE)</f>
        <v>SD</v>
      </c>
      <c r="E41">
        <f>VLOOKUP(C41,classifications!C:K,9,FALSE)</f>
        <v>0</v>
      </c>
      <c r="F41">
        <f t="shared" si="0"/>
        <v>100</v>
      </c>
      <c r="G41" s="15"/>
      <c r="H41" s="41">
        <f t="shared" si="1"/>
        <v>100</v>
      </c>
      <c r="I41" s="73">
        <f>IF(H41="","",IF($I$8="A",(RANK(H41,H$11:H$333,1)+COUNTIF(H$11:H41,H41)-1),(RANK(H41,H$11:H$333)+COUNTIF(H$11:H41,H41)-1)))</f>
        <v>4</v>
      </c>
      <c r="J41" s="40"/>
      <c r="K41" s="35">
        <f t="shared" si="10"/>
        <v>31</v>
      </c>
      <c r="L41" t="str">
        <f t="shared" si="2"/>
        <v>Forest of Dean</v>
      </c>
      <c r="M41" s="109">
        <f t="shared" si="3"/>
        <v>96.774193548387103</v>
      </c>
      <c r="N41" s="104">
        <f t="shared" si="19"/>
        <v>96.774193548387103</v>
      </c>
      <c r="O41" s="89">
        <f t="shared" si="20"/>
        <v>96.774193548387103</v>
      </c>
      <c r="P41" s="89" t="str">
        <f t="shared" si="21"/>
        <v/>
      </c>
      <c r="Q41" s="89" t="str">
        <f t="shared" si="22"/>
        <v/>
      </c>
      <c r="R41" s="85" t="str">
        <f t="shared" si="23"/>
        <v/>
      </c>
      <c r="S41" s="41" t="str">
        <f t="shared" si="24"/>
        <v/>
      </c>
      <c r="T41" s="166" t="str">
        <f>IF(L41="","",VLOOKUP(L41,classifications!C:K,9,FALSE))</f>
        <v>Sparse</v>
      </c>
      <c r="U41" s="167">
        <f t="shared" si="25"/>
        <v>96.774193548387103</v>
      </c>
      <c r="V41" s="173">
        <f>IF(U41="","",IF($I$8="A",(RANK(U41,U$11:U$333)+COUNTIF(U$11:U41,U41)-1),(RANK(U41,U$11:U$333,1)+COUNTIF(U$11:U41,U41)-1)))</f>
        <v>41</v>
      </c>
      <c r="W41" s="174"/>
      <c r="X41" s="5" t="str">
        <f>IF(L41="","",VLOOKUP($L41,classifications!$C:$J,6,FALSE))</f>
        <v xml:space="preserve">Predominantly Rural </v>
      </c>
      <c r="Y41">
        <f t="shared" si="26"/>
        <v>96.774193548387103</v>
      </c>
      <c r="Z41" s="39">
        <f>IF(Y41="","",IF(I$8="A",(RANK(Y41,Y$11:Y$333,1)+COUNTIF(Y$11:Y41,Y41)-1),(RANK(Y41,Y$11:Y$333)+COUNTIF(Y$11:Y41,Y41)-1)))</f>
        <v>9</v>
      </c>
      <c r="AA41" s="177" t="str">
        <f>IF(L41="","",VLOOKUP($L41,classifications!C:I,7,FALSE))</f>
        <v>Predominantly Rural</v>
      </c>
      <c r="AB41" s="173">
        <f t="shared" si="27"/>
        <v>96.774193548387103</v>
      </c>
      <c r="AC41" s="173">
        <f>IF(AB41="","",IF($I$8="A",(RANK(AB41,AB$11:AB$333)+COUNTIF(AB$11:AB41,AB41)-1),(RANK(AB41,AB$11:AB$333,1)+COUNTIF(AB$11:AB41,AB41)-1)))</f>
        <v>50</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Gloucestershire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West</v>
      </c>
      <c r="AQ41" s="42" t="str">
        <f t="shared" si="30"/>
        <v/>
      </c>
      <c r="AR41" s="39" t="str">
        <f>IF(AQ41="","",IF(I$8="A",(RANK(AQ41,AQ$11:AQ$333,1)+COUNTIF(AQ$11:AQ41,AQ41)-1),(RANK(AQ41,AQ$11:AQ$333)+COUNTIF(AQ$11:AQ41,AQ41)-1)))</f>
        <v/>
      </c>
      <c r="AS41" s="3">
        <f t="shared" si="18"/>
        <v>31</v>
      </c>
      <c r="AT41" s="39" t="str">
        <f t="shared" si="8"/>
        <v>Stevenage</v>
      </c>
      <c r="AU41" s="42">
        <f t="shared" si="9"/>
        <v>78.94736842105263</v>
      </c>
      <c r="AX41">
        <f>HLOOKUP($AX$9&amp;$AX$10,Data!$A$1:$ZT$1975,(MATCH($C41,Data!$A$1:$A$1975,0)),FALSE)</f>
        <v>100</v>
      </c>
    </row>
    <row r="42" spans="1:50">
      <c r="A42" s="55" t="str">
        <f>$D$1&amp;32</f>
        <v>SD32</v>
      </c>
      <c r="B42" s="56" t="str">
        <f>IF(ISERROR(VLOOKUP(A42,classifications!A:C,3,FALSE)),0,VLOOKUP(A42,classifications!A:C,3,FALSE))</f>
        <v>South Oxfordshire</v>
      </c>
      <c r="C42" t="s">
        <v>812</v>
      </c>
      <c r="D42" t="str">
        <f>VLOOKUP($C42,classifications!$C:$J,4,FALSE)</f>
        <v>UA</v>
      </c>
      <c r="E42">
        <f>VLOOKUP(C42,classifications!C:K,9,FALSE)</f>
        <v>0</v>
      </c>
      <c r="F42">
        <f t="shared" si="0"/>
        <v>89.65517241379311</v>
      </c>
      <c r="G42" s="15"/>
      <c r="H42" s="41" t="str">
        <f t="shared" si="1"/>
        <v/>
      </c>
      <c r="I42" s="73" t="str">
        <f>IF(H42="","",IF($I$8="A",(RANK(H42,H$11:H$333,1)+COUNTIF(H$11:H42,H42)-1),(RANK(H42,H$11:H$333)+COUNTIF(H$11:H42,H42)-1)))</f>
        <v/>
      </c>
      <c r="J42" s="40"/>
      <c r="K42" s="35">
        <f t="shared" si="10"/>
        <v>32</v>
      </c>
      <c r="L42" t="str">
        <f t="shared" si="2"/>
        <v>Melton</v>
      </c>
      <c r="M42" s="109">
        <f t="shared" si="3"/>
        <v>96.666666666666671</v>
      </c>
      <c r="N42" s="104">
        <f t="shared" si="19"/>
        <v>96.666666666666671</v>
      </c>
      <c r="O42" s="89">
        <f t="shared" si="20"/>
        <v>96.666666666666671</v>
      </c>
      <c r="P42" s="89" t="str">
        <f t="shared" si="21"/>
        <v/>
      </c>
      <c r="Q42" s="89" t="str">
        <f t="shared" si="22"/>
        <v/>
      </c>
      <c r="R42" s="85" t="str">
        <f t="shared" si="23"/>
        <v/>
      </c>
      <c r="S42" s="41" t="str">
        <f t="shared" si="24"/>
        <v/>
      </c>
      <c r="T42" s="166" t="str">
        <f>IF(L42="","",VLOOKUP(L42,classifications!C:K,9,FALSE))</f>
        <v>Sparse</v>
      </c>
      <c r="U42" s="167">
        <f t="shared" si="25"/>
        <v>96.666666666666671</v>
      </c>
      <c r="V42" s="173">
        <f>IF(U42="","",IF($I$8="A",(RANK(U42,U$11:U$333)+COUNTIF(U$11:U42,U42)-1),(RANK(U42,U$11:U$333,1)+COUNTIF(U$11:U42,U42)-1)))</f>
        <v>40</v>
      </c>
      <c r="W42" s="174"/>
      <c r="X42" s="5" t="str">
        <f>IF(L42="","",VLOOKUP($L42,classifications!$C:$J,6,FALSE))</f>
        <v xml:space="preserve">Predominantly Rural </v>
      </c>
      <c r="Y42">
        <f t="shared" si="26"/>
        <v>96.666666666666671</v>
      </c>
      <c r="Z42" s="39">
        <f>IF(Y42="","",IF(I$8="A",(RANK(Y42,Y$11:Y$333,1)+COUNTIF(Y$11:Y42,Y42)-1),(RANK(Y42,Y$11:Y$333)+COUNTIF(Y$11:Y42,Y42)-1)))</f>
        <v>10</v>
      </c>
      <c r="AA42" s="177" t="str">
        <f>IF(L42="","",VLOOKUP($L42,classifications!C:I,7,FALSE))</f>
        <v>Predominantly Rural</v>
      </c>
      <c r="AB42" s="173">
        <f t="shared" si="27"/>
        <v>96.666666666666671</v>
      </c>
      <c r="AC42" s="173">
        <f>IF(AB42="","",IF($I$8="A",(RANK(AB42,AB$11:AB$333)+COUNTIF(AB$11:AB42,AB42)-1),(RANK(AB42,AB$11:AB$333,1)+COUNTIF(AB$11:AB42,AB42)-1)))</f>
        <v>49</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Leicestershire</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Midlands</v>
      </c>
      <c r="AQ42" s="42" t="str">
        <f t="shared" si="30"/>
        <v/>
      </c>
      <c r="AR42" s="39" t="str">
        <f>IF(AQ42="","",IF(I$8="A",(RANK(AQ42,AQ$11:AQ$333,1)+COUNTIF(AQ$11:AQ42,AQ42)-1),(RANK(AQ42,AQ$11:AQ$333)+COUNTIF(AQ$11:AQ42,AQ42)-1)))</f>
        <v/>
      </c>
      <c r="AS42" s="3">
        <f t="shared" si="18"/>
        <v>32</v>
      </c>
      <c r="AT42" s="39" t="str">
        <f t="shared" si="8"/>
        <v>Uttlesford</v>
      </c>
      <c r="AU42" s="42">
        <f t="shared" si="9"/>
        <v>76.08695652173914</v>
      </c>
      <c r="AX42">
        <f>HLOOKUP($AX$9&amp;$AX$10,Data!$A$1:$ZT$1975,(MATCH($C42,Data!$A$1:$A$1975,0)),FALSE)</f>
        <v>89.65517241379311</v>
      </c>
    </row>
    <row r="43" spans="1:50">
      <c r="A43" s="55" t="str">
        <f>$D$1&amp;33</f>
        <v>SD33</v>
      </c>
      <c r="B43" s="56" t="str">
        <f>IF(ISERROR(VLOOKUP(A43,classifications!A:C,3,FALSE)),0,VLOOKUP(A43,classifications!A:C,3,FALSE))</f>
        <v>Stafford</v>
      </c>
      <c r="C43" t="s">
        <v>816</v>
      </c>
      <c r="D43" t="str">
        <f>VLOOKUP($C43,classifications!$C:$J,4,FALSE)</f>
        <v>UA</v>
      </c>
      <c r="E43">
        <f>VLOOKUP(C43,classifications!C:K,9,FALSE)</f>
        <v>0</v>
      </c>
      <c r="F43">
        <f t="shared" si="0"/>
        <v>94.545454545454547</v>
      </c>
      <c r="G43" s="15"/>
      <c r="H43" s="41" t="str">
        <f t="shared" si="1"/>
        <v/>
      </c>
      <c r="I43" s="73" t="str">
        <f>IF(H43="","",IF($I$8="A",(RANK(H43,H$11:H$333,1)+COUNTIF(H$11:H43,H43)-1),(RANK(H43,H$11:H$333)+COUNTIF(H$11:H43,H43)-1)))</f>
        <v/>
      </c>
      <c r="J43" s="40"/>
      <c r="K43" s="35">
        <f t="shared" si="10"/>
        <v>33</v>
      </c>
      <c r="L43" t="str">
        <f t="shared" si="2"/>
        <v>Oxford</v>
      </c>
      <c r="M43" s="109">
        <f t="shared" si="3"/>
        <v>96.666666666666671</v>
      </c>
      <c r="N43" s="104">
        <f t="shared" si="19"/>
        <v>96.666666666666671</v>
      </c>
      <c r="O43" s="89">
        <f t="shared" si="20"/>
        <v>96.666666666666671</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Oxfordshire</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East</v>
      </c>
      <c r="AQ43" s="42" t="str">
        <f t="shared" si="30"/>
        <v/>
      </c>
      <c r="AR43" s="39" t="str">
        <f>IF(AQ43="","",IF(I$8="A",(RANK(AQ43,AQ$11:AQ$333,1)+COUNTIF(AQ$11:AQ43,AQ43)-1),(RANK(AQ43,AQ$11:AQ$333)+COUNTIF(AQ$11:AQ43,AQ43)-1)))</f>
        <v/>
      </c>
      <c r="AS43" s="3">
        <f t="shared" si="18"/>
        <v>33</v>
      </c>
      <c r="AT43" s="39" t="str">
        <f t="shared" si="8"/>
        <v>South Cambridgeshire</v>
      </c>
      <c r="AU43" s="42">
        <f t="shared" si="9"/>
        <v>75.806451612903231</v>
      </c>
      <c r="AX43">
        <f>HLOOKUP($AX$9&amp;$AX$10,Data!$A$1:$ZT$1975,(MATCH($C43,Data!$A$1:$A$1975,0)),FALSE)</f>
        <v>94.545454545454547</v>
      </c>
    </row>
    <row r="44" spans="1:50">
      <c r="A44" s="55" t="str">
        <f>$D$1&amp;34</f>
        <v>SD34</v>
      </c>
      <c r="B44" s="56" t="str">
        <f>IF(ISERROR(VLOOKUP(A44,classifications!A:C,3,FALSE)),0,VLOOKUP(A44,classifications!A:C,3,FALSE))</f>
        <v>Stratford-on-Avon</v>
      </c>
      <c r="C44" t="s">
        <v>22</v>
      </c>
      <c r="D44" t="str">
        <f>VLOOKUP($C44,classifications!$C:$J,4,FALSE)</f>
        <v>SD</v>
      </c>
      <c r="E44">
        <f>VLOOKUP(C44,classifications!C:K,9,FALSE)</f>
        <v>0</v>
      </c>
      <c r="F44">
        <f t="shared" si="0"/>
        <v>92.592592592592595</v>
      </c>
      <c r="G44" s="15"/>
      <c r="H44" s="41">
        <f t="shared" si="1"/>
        <v>92.592592592592595</v>
      </c>
      <c r="I44" s="73">
        <f>IF(H44="","",IF($I$8="A",(RANK(H44,H$11:H$333,1)+COUNTIF(H$11:H44,H44)-1),(RANK(H44,H$11:H$333)+COUNTIF(H$11:H44,H44)-1)))</f>
        <v>62</v>
      </c>
      <c r="J44" s="40"/>
      <c r="K44" s="35">
        <f t="shared" si="10"/>
        <v>34</v>
      </c>
      <c r="L44" t="str">
        <f t="shared" si="2"/>
        <v>West Lindsey</v>
      </c>
      <c r="M44" s="109">
        <f t="shared" si="3"/>
        <v>96.551724137931032</v>
      </c>
      <c r="N44" s="104">
        <f t="shared" si="19"/>
        <v>96.551724137931032</v>
      </c>
      <c r="O44" s="89">
        <f t="shared" si="20"/>
        <v>96.551724137931032</v>
      </c>
      <c r="P44" s="89" t="str">
        <f t="shared" si="21"/>
        <v/>
      </c>
      <c r="Q44" s="89" t="str">
        <f t="shared" si="22"/>
        <v/>
      </c>
      <c r="R44" s="85" t="str">
        <f t="shared" si="23"/>
        <v/>
      </c>
      <c r="S44" s="41" t="str">
        <f t="shared" si="24"/>
        <v/>
      </c>
      <c r="T44" s="166" t="str">
        <f>IF(L44="","",VLOOKUP(L44,classifications!C:K,9,FALSE))</f>
        <v>Sparse</v>
      </c>
      <c r="U44" s="167">
        <f t="shared" si="25"/>
        <v>96.551724137931032</v>
      </c>
      <c r="V44" s="173">
        <f>IF(U44="","",IF($I$8="A",(RANK(U44,U$11:U$333)+COUNTIF(U$11:U44,U44)-1),(RANK(U44,U$11:U$333,1)+COUNTIF(U$11:U44,U44)-1)))</f>
        <v>39</v>
      </c>
      <c r="W44" s="174"/>
      <c r="X44" s="5" t="str">
        <f>IF(L44="","",VLOOKUP($L44,classifications!$C:$J,6,FALSE))</f>
        <v xml:space="preserve">Predominantly Rural </v>
      </c>
      <c r="Y44">
        <f t="shared" si="26"/>
        <v>96.551724137931032</v>
      </c>
      <c r="Z44" s="39">
        <f>IF(Y44="","",IF(I$8="A",(RANK(Y44,Y$11:Y$333,1)+COUNTIF(Y$11:Y44,Y44)-1),(RANK(Y44,Y$11:Y$333)+COUNTIF(Y$11:Y44,Y44)-1)))</f>
        <v>11</v>
      </c>
      <c r="AA44" s="177" t="str">
        <f>IF(L44="","",VLOOKUP($L44,classifications!C:I,7,FALSE))</f>
        <v>Predominantly Rural</v>
      </c>
      <c r="AB44" s="173">
        <f t="shared" si="27"/>
        <v>96.551724137931032</v>
      </c>
      <c r="AC44" s="173">
        <f>IF(AB44="","",IF($I$8="A",(RANK(AB44,AB$11:AB$333)+COUNTIF(AB$11:AB44,AB44)-1),(RANK(AB44,AB$11:AB$333,1)+COUNTIF(AB$11:AB44,AB44)-1)))</f>
        <v>48</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Lincolnshire</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East Midlands</v>
      </c>
      <c r="AQ44" s="42" t="str">
        <f t="shared" si="30"/>
        <v/>
      </c>
      <c r="AR44" s="39" t="str">
        <f>IF(AQ44="","",IF(I$8="A",(RANK(AQ44,AQ$11:AQ$333,1)+COUNTIF(AQ$11:AQ44,AQ44)-1),(RANK(AQ44,AQ$11:AQ$333)+COUNTIF(AQ$11:AQ44,AQ44)-1)))</f>
        <v/>
      </c>
      <c r="AS44" s="3">
        <f t="shared" si="18"/>
        <v>34</v>
      </c>
      <c r="AT44" s="39" t="str">
        <f t="shared" si="8"/>
        <v>Fenland</v>
      </c>
      <c r="AU44" s="42">
        <f t="shared" si="9"/>
        <v>72.727272727272734</v>
      </c>
      <c r="AX44">
        <f>HLOOKUP($AX$9&amp;$AX$10,Data!$A$1:$ZT$1975,(MATCH($C44,Data!$A$1:$A$1975,0)),FALSE)</f>
        <v>92.592592592592595</v>
      </c>
    </row>
    <row r="45" spans="1:50">
      <c r="A45" s="55" t="str">
        <f>$D$1&amp;35</f>
        <v>SD35</v>
      </c>
      <c r="B45" s="56" t="str">
        <f>IF(ISERROR(VLOOKUP(A45,classifications!A:C,3,FALSE)),0,VLOOKUP(A45,classifications!A:C,3,FALSE))</f>
        <v>Stroud</v>
      </c>
      <c r="C45" t="s">
        <v>199</v>
      </c>
      <c r="D45" t="str">
        <f>VLOOKUP($C45,classifications!$C:$J,4,FALSE)</f>
        <v>L</v>
      </c>
      <c r="E45">
        <f>VLOOKUP(C45,classifications!C:K,9,FALSE)</f>
        <v>0</v>
      </c>
      <c r="F45">
        <f t="shared" si="0"/>
        <v>90</v>
      </c>
      <c r="G45" s="15"/>
      <c r="H45" s="41" t="str">
        <f t="shared" si="1"/>
        <v/>
      </c>
      <c r="I45" s="73" t="str">
        <f>IF(H45="","",IF($I$8="A",(RANK(H45,H$11:H$333,1)+COUNTIF(H$11:H45,H45)-1),(RANK(H45,H$11:H$333)+COUNTIF(H$11:H45,H45)-1)))</f>
        <v/>
      </c>
      <c r="J45" s="40"/>
      <c r="K45" s="35">
        <f t="shared" si="10"/>
        <v>35</v>
      </c>
      <c r="L45" t="str">
        <f t="shared" si="2"/>
        <v>Chesterfield</v>
      </c>
      <c r="M45" s="109">
        <f t="shared" si="3"/>
        <v>96.296296296296291</v>
      </c>
      <c r="N45" s="104">
        <f t="shared" si="19"/>
        <v>96.296296296296291</v>
      </c>
      <c r="O45" s="89">
        <f t="shared" si="20"/>
        <v>96.296296296296291</v>
      </c>
      <c r="P45" s="89" t="str">
        <f t="shared" si="21"/>
        <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Derbyshire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East Midlands</v>
      </c>
      <c r="AQ45" s="42" t="str">
        <f t="shared" si="30"/>
        <v/>
      </c>
      <c r="AR45" s="39" t="str">
        <f>IF(AQ45="","",IF(I$8="A",(RANK(AQ45,AQ$11:AQ$333,1)+COUNTIF(AQ$11:AQ45,AQ45)-1),(RANK(AQ45,AQ$11:AQ$333)+COUNTIF(AQ$11:AQ45,AQ45)-1)))</f>
        <v/>
      </c>
      <c r="AS45" s="3">
        <f t="shared" si="18"/>
        <v>35</v>
      </c>
      <c r="AT45" s="39" t="str">
        <f t="shared" si="8"/>
        <v>Watford</v>
      </c>
      <c r="AU45" s="42">
        <f t="shared" si="9"/>
        <v>70</v>
      </c>
      <c r="AX45">
        <f>HLOOKUP($AX$9&amp;$AX$10,Data!$A$1:$ZT$1975,(MATCH($C45,Data!$A$1:$A$1975,0)),FALSE)</f>
        <v>90</v>
      </c>
    </row>
    <row r="46" spans="1:50">
      <c r="A46" s="55" t="str">
        <f>$D$1&amp;36</f>
        <v>SD36</v>
      </c>
      <c r="B46" s="56" t="str">
        <f>IF(ISERROR(VLOOKUP(A46,classifications!A:C,3,FALSE)),0,VLOOKUP(A46,classifications!A:C,3,FALSE))</f>
        <v>Teignbridge</v>
      </c>
      <c r="C46" t="s">
        <v>23</v>
      </c>
      <c r="D46" t="str">
        <f>VLOOKUP($C46,classifications!$C:$J,4,FALSE)</f>
        <v>SD</v>
      </c>
      <c r="E46">
        <f>VLOOKUP(C46,classifications!C:K,9,FALSE)</f>
        <v>0</v>
      </c>
      <c r="F46">
        <f t="shared" si="0"/>
        <v>90.909090909090907</v>
      </c>
      <c r="G46" s="15"/>
      <c r="H46" s="41">
        <f t="shared" si="1"/>
        <v>90.909090909090907</v>
      </c>
      <c r="I46" s="73">
        <f>IF(H46="","",IF($I$8="A",(RANK(H46,H$11:H$333,1)+COUNTIF(H$11:H46,H46)-1),(RANK(H46,H$11:H$333)+COUNTIF(H$11:H46,H46)-1)))</f>
        <v>78</v>
      </c>
      <c r="J46" s="40"/>
      <c r="K46" s="35">
        <f t="shared" si="10"/>
        <v>36</v>
      </c>
      <c r="L46" t="str">
        <f t="shared" si="2"/>
        <v>Welwyn Hatfield</v>
      </c>
      <c r="M46" s="109">
        <f t="shared" si="3"/>
        <v>96.296296296296291</v>
      </c>
      <c r="N46" s="104">
        <f t="shared" si="19"/>
        <v>96.296296296296291</v>
      </c>
      <c r="O46" s="89">
        <f t="shared" si="20"/>
        <v>96.296296296296291</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Hertfordshire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East of England</v>
      </c>
      <c r="AQ46" s="42">
        <f t="shared" si="30"/>
        <v>96.296296296296291</v>
      </c>
      <c r="AR46" s="39">
        <f>IF(AQ46="","",IF(I$8="A",(RANK(AQ46,AQ$11:AQ$333,1)+COUNTIF(AQ$11:AQ46,AQ46)-1),(RANK(AQ46,AQ$11:AQ$333)+COUNTIF(AQ$11:AQ46,AQ46)-1)))</f>
        <v>5</v>
      </c>
      <c r="AS46" s="3">
        <f t="shared" si="18"/>
        <v>36</v>
      </c>
      <c r="AT46" s="39" t="str">
        <f t="shared" si="8"/>
        <v>Dacorum</v>
      </c>
      <c r="AU46" s="42">
        <f t="shared" si="9"/>
        <v>68.421052631578945</v>
      </c>
      <c r="AX46">
        <f>HLOOKUP($AX$9&amp;$AX$10,Data!$A$1:$ZT$1975,(MATCH($C46,Data!$A$1:$A$1975,0)),FALSE)</f>
        <v>90.909090909090907</v>
      </c>
    </row>
    <row r="47" spans="1:50">
      <c r="A47" s="55" t="str">
        <f>$D$1&amp;37</f>
        <v>SD37</v>
      </c>
      <c r="B47" s="56" t="str">
        <f>IF(ISERROR(VLOOKUP(A47,classifications!A:C,3,FALSE)),0,VLOOKUP(A47,classifications!A:C,3,FALSE))</f>
        <v>Tewkesbury</v>
      </c>
      <c r="C47" t="s">
        <v>24</v>
      </c>
      <c r="D47" t="str">
        <f>VLOOKUP($C47,classifications!$C:$J,4,FALSE)</f>
        <v>SD</v>
      </c>
      <c r="E47">
        <f>VLOOKUP(C47,classifications!C:K,9,FALSE)</f>
        <v>0</v>
      </c>
      <c r="F47">
        <f t="shared" si="0"/>
        <v>90</v>
      </c>
      <c r="G47" s="15"/>
      <c r="H47" s="41">
        <f t="shared" si="1"/>
        <v>90</v>
      </c>
      <c r="I47" s="73">
        <f>IF(H47="","",IF($I$8="A",(RANK(H47,H$11:H$333,1)+COUNTIF(H$11:H47,H47)-1),(RANK(H47,H$11:H$333)+COUNTIF(H$11:H47,H47)-1)))</f>
        <v>82</v>
      </c>
      <c r="J47" s="40"/>
      <c r="K47" s="35">
        <f t="shared" si="10"/>
        <v>37</v>
      </c>
      <c r="L47" t="str">
        <f t="shared" si="2"/>
        <v>North Kesteven</v>
      </c>
      <c r="M47" s="109">
        <f t="shared" si="3"/>
        <v>96.15384615384616</v>
      </c>
      <c r="N47" s="104">
        <f t="shared" si="19"/>
        <v>96.15384615384616</v>
      </c>
      <c r="O47" s="89">
        <f t="shared" si="20"/>
        <v>96.15384615384616</v>
      </c>
      <c r="P47" s="89" t="str">
        <f t="shared" si="21"/>
        <v/>
      </c>
      <c r="Q47" s="89" t="str">
        <f t="shared" si="22"/>
        <v/>
      </c>
      <c r="R47" s="85" t="str">
        <f t="shared" si="23"/>
        <v/>
      </c>
      <c r="S47" s="41" t="str">
        <f t="shared" si="24"/>
        <v/>
      </c>
      <c r="T47" s="166" t="str">
        <f>IF(L47="","",VLOOKUP(L47,classifications!C:K,9,FALSE))</f>
        <v>Sparse</v>
      </c>
      <c r="U47" s="167">
        <f t="shared" si="25"/>
        <v>96.15384615384616</v>
      </c>
      <c r="V47" s="173">
        <f>IF(U47="","",IF($I$8="A",(RANK(U47,U$11:U$333)+COUNTIF(U$11:U47,U47)-1),(RANK(U47,U$11:U$333,1)+COUNTIF(U$11:U47,U47)-1)))</f>
        <v>38</v>
      </c>
      <c r="W47" s="174"/>
      <c r="X47" s="5" t="str">
        <f>IF(L47="","",VLOOKUP($L47,classifications!$C:$J,6,FALSE))</f>
        <v xml:space="preserve">Predominantly Rural </v>
      </c>
      <c r="Y47">
        <f t="shared" si="26"/>
        <v>96.15384615384616</v>
      </c>
      <c r="Z47" s="39">
        <f>IF(Y47="","",IF(I$8="A",(RANK(Y47,Y$11:Y$333,1)+COUNTIF(Y$11:Y47,Y47)-1),(RANK(Y47,Y$11:Y$333)+COUNTIF(Y$11:Y47,Y47)-1)))</f>
        <v>12</v>
      </c>
      <c r="AA47" s="177" t="str">
        <f>IF(L47="","",VLOOKUP($L47,classifications!C:I,7,FALSE))</f>
        <v>Predominantly Rural</v>
      </c>
      <c r="AB47" s="173">
        <f t="shared" si="27"/>
        <v>96.15384615384616</v>
      </c>
      <c r="AC47" s="173">
        <f>IF(AB47="","",IF($I$8="A",(RANK(AB47,AB$11:AB$333)+COUNTIF(AB$11:AB47,AB47)-1),(RANK(AB47,AB$11:AB$333,1)+COUNTIF(AB$11:AB47,AB47)-1)))</f>
        <v>47</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Lincolnshire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East Midlands</v>
      </c>
      <c r="AQ47" s="42" t="str">
        <f t="shared" si="30"/>
        <v/>
      </c>
      <c r="AR47" s="39" t="str">
        <f>IF(AQ47="","",IF(I$8="A",(RANK(AQ47,AQ$11:AQ$333,1)+COUNTIF(AQ$11:AQ47,AQ47)-1),(RANK(AQ47,AQ$11:AQ$333)+COUNTIF(AQ$11:AQ47,AQ47)-1)))</f>
        <v/>
      </c>
      <c r="AS47" s="3">
        <f t="shared" si="18"/>
        <v>37</v>
      </c>
      <c r="AT47" s="39" t="str">
        <f t="shared" si="8"/>
        <v>East Hertfordshire</v>
      </c>
      <c r="AU47" s="42">
        <f t="shared" si="9"/>
        <v>67.741935483870961</v>
      </c>
      <c r="AX47">
        <f>HLOOKUP($AX$9&amp;$AX$10,Data!$A$1:$ZT$1975,(MATCH($C47,Data!$A$1:$A$1975,0)),FALSE)</f>
        <v>90</v>
      </c>
    </row>
    <row r="48" spans="1:50">
      <c r="A48" s="55" t="str">
        <f>$D$1&amp;38</f>
        <v>SD38</v>
      </c>
      <c r="B48" s="56" t="str">
        <f>IF(ISERROR(VLOOKUP(A48,classifications!A:C,3,FALSE)),0,VLOOKUP(A48,classifications!A:C,3,FALSE))</f>
        <v>Torridge</v>
      </c>
      <c r="C48" t="s">
        <v>25</v>
      </c>
      <c r="D48" t="str">
        <f>VLOOKUP($C48,classifications!$C:$J,4,FALSE)</f>
        <v>SD</v>
      </c>
      <c r="E48">
        <f>VLOOKUP(C48,classifications!C:K,9,FALSE)</f>
        <v>0</v>
      </c>
      <c r="F48">
        <f t="shared" si="0"/>
        <v>84.615384615384613</v>
      </c>
      <c r="G48" s="15"/>
      <c r="H48" s="41">
        <f t="shared" si="1"/>
        <v>84.615384615384613</v>
      </c>
      <c r="I48" s="73">
        <f>IF(H48="","",IF($I$8="A",(RANK(H48,H$11:H$333,1)+COUNTIF(H$11:H48,H48)-1),(RANK(H48,H$11:H$333)+COUNTIF(H$11:H48,H48)-1)))</f>
        <v>111</v>
      </c>
      <c r="J48" s="40"/>
      <c r="K48" s="35">
        <f t="shared" si="10"/>
        <v>38</v>
      </c>
      <c r="L48" t="str">
        <f t="shared" si="2"/>
        <v>Derbyshire Dales</v>
      </c>
      <c r="M48" s="109">
        <f t="shared" si="3"/>
        <v>96</v>
      </c>
      <c r="N48" s="104">
        <f t="shared" si="19"/>
        <v>96</v>
      </c>
      <c r="O48" s="89">
        <f t="shared" si="20"/>
        <v>96</v>
      </c>
      <c r="P48" s="89" t="str">
        <f t="shared" si="21"/>
        <v/>
      </c>
      <c r="Q48" s="89" t="str">
        <f t="shared" si="22"/>
        <v/>
      </c>
      <c r="R48" s="85" t="str">
        <f t="shared" si="23"/>
        <v/>
      </c>
      <c r="S48" s="41" t="str">
        <f t="shared" si="24"/>
        <v/>
      </c>
      <c r="T48" s="166" t="str">
        <f>IF(L48="","",VLOOKUP(L48,classifications!C:K,9,FALSE))</f>
        <v>Sparse</v>
      </c>
      <c r="U48" s="167">
        <f t="shared" si="25"/>
        <v>96</v>
      </c>
      <c r="V48" s="173">
        <f>IF(U48="","",IF($I$8="A",(RANK(U48,U$11:U$333)+COUNTIF(U$11:U48,U48)-1),(RANK(U48,U$11:U$333,1)+COUNTIF(U$11:U48,U48)-1)))</f>
        <v>37</v>
      </c>
      <c r="W48" s="174"/>
      <c r="X48" s="5" t="str">
        <f>IF(L48="","",VLOOKUP($L48,classifications!$C:$J,6,FALSE))</f>
        <v xml:space="preserve">Predominantly Rural </v>
      </c>
      <c r="Y48">
        <f t="shared" si="26"/>
        <v>96</v>
      </c>
      <c r="Z48" s="39">
        <f>IF(Y48="","",IF(I$8="A",(RANK(Y48,Y$11:Y$333,1)+COUNTIF(Y$11:Y48,Y48)-1),(RANK(Y48,Y$11:Y$333)+COUNTIF(Y$11:Y48,Y48)-1)))</f>
        <v>13</v>
      </c>
      <c r="AA48" s="177" t="str">
        <f>IF(L48="","",VLOOKUP($L48,classifications!C:I,7,FALSE))</f>
        <v>Predominantly Rural</v>
      </c>
      <c r="AB48" s="173">
        <f t="shared" si="27"/>
        <v>96</v>
      </c>
      <c r="AC48" s="173">
        <f>IF(AB48="","",IF($I$8="A",(RANK(AB48,AB$11:AB$333)+COUNTIF(AB$11:AB48,AB48)-1),(RANK(AB48,AB$11:AB$333,1)+COUNTIF(AB$11:AB48,AB48)-1)))</f>
        <v>46</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Derbyshire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East Midlands</v>
      </c>
      <c r="AQ48" s="42" t="str">
        <f t="shared" si="30"/>
        <v/>
      </c>
      <c r="AR48" s="39" t="str">
        <f>IF(AQ48="","",IF(I$8="A",(RANK(AQ48,AQ$11:AQ$333,1)+COUNTIF(AQ$11:AQ48,AQ48)-1),(RANK(AQ48,AQ$11:AQ$333)+COUNTIF(AQ$11:AQ48,AQ48)-1)))</f>
        <v/>
      </c>
      <c r="AS48" s="3">
        <f t="shared" si="18"/>
        <v>38</v>
      </c>
      <c r="AT48" s="39" t="str">
        <f t="shared" si="8"/>
        <v>St Albans</v>
      </c>
      <c r="AU48" s="42">
        <f t="shared" si="9"/>
        <v>65.384615384615387</v>
      </c>
      <c r="AX48">
        <f>HLOOKUP($AX$9&amp;$AX$10,Data!$A$1:$ZT$1975,(MATCH($C48,Data!$A$1:$A$1975,0)),FALSE)</f>
        <v>84.615384615384613</v>
      </c>
    </row>
    <row r="49" spans="1:50">
      <c r="A49" s="55" t="str">
        <f>$D$1&amp;39</f>
        <v>SD39</v>
      </c>
      <c r="B49" s="56" t="str">
        <f>IF(ISERROR(VLOOKUP(A49,classifications!A:C,3,FALSE)),0,VLOOKUP(A49,classifications!A:C,3,FALSE))</f>
        <v>Uttlesford</v>
      </c>
      <c r="C49" t="s">
        <v>300</v>
      </c>
      <c r="D49" t="str">
        <f>VLOOKUP($C49,classifications!$C:$J,4,FALSE)</f>
        <v>UA</v>
      </c>
      <c r="E49">
        <f>VLOOKUP(C49,classifications!C:K,9,FALSE)</f>
        <v>0</v>
      </c>
      <c r="F49">
        <f t="shared" si="0"/>
        <v>87.41721854304636</v>
      </c>
      <c r="G49" s="15"/>
      <c r="H49" s="41" t="str">
        <f t="shared" si="1"/>
        <v/>
      </c>
      <c r="I49" s="73" t="str">
        <f>IF(H49="","",IF($I$8="A",(RANK(H49,H$11:H$333,1)+COUNTIF(H$11:H49,H49)-1),(RANK(H49,H$11:H$333)+COUNTIF(H$11:H49,H49)-1)))</f>
        <v/>
      </c>
      <c r="J49" s="40"/>
      <c r="K49" s="35">
        <f t="shared" si="10"/>
        <v>39</v>
      </c>
      <c r="L49" t="str">
        <f t="shared" si="2"/>
        <v>Charnwood</v>
      </c>
      <c r="M49" s="109">
        <f t="shared" si="3"/>
        <v>95.833333333333343</v>
      </c>
      <c r="N49" s="104">
        <f t="shared" si="19"/>
        <v>95.833333333333343</v>
      </c>
      <c r="O49" s="89">
        <f t="shared" si="20"/>
        <v>95.833333333333343</v>
      </c>
      <c r="P49" s="89" t="str">
        <f t="shared" si="21"/>
        <v/>
      </c>
      <c r="Q49" s="89" t="str">
        <f t="shared" si="22"/>
        <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Leicestershire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East Midlands</v>
      </c>
      <c r="AQ49" s="42" t="str">
        <f t="shared" si="30"/>
        <v/>
      </c>
      <c r="AR49" s="39" t="str">
        <f>IF(AQ49="","",IF(I$8="A",(RANK(AQ49,AQ$11:AQ$333,1)+COUNTIF(AQ$11:AQ49,AQ49)-1),(RANK(AQ49,AQ$11:AQ$333)+COUNTIF(AQ$11:AQ49,AQ49)-1)))</f>
        <v/>
      </c>
      <c r="AS49" s="3">
        <f t="shared" si="18"/>
        <v>39</v>
      </c>
      <c r="AT49" s="39" t="str">
        <f t="shared" si="8"/>
        <v>Castle Point</v>
      </c>
      <c r="AU49" s="42">
        <f t="shared" si="9"/>
        <v>20</v>
      </c>
      <c r="AX49">
        <f>HLOOKUP($AX$9&amp;$AX$10,Data!$A$1:$ZT$1975,(MATCH($C49,Data!$A$1:$A$1975,0)),FALSE)</f>
        <v>87.41721854304636</v>
      </c>
    </row>
    <row r="50" spans="1:50">
      <c r="A50" s="55" t="str">
        <f>$D$1&amp;40</f>
        <v>SD40</v>
      </c>
      <c r="B50" s="56" t="str">
        <f>IF(ISERROR(VLOOKUP(A50,classifications!A:C,3,FALSE)),0,VLOOKUP(A50,classifications!A:C,3,FALSE))</f>
        <v>Vale of White Horse</v>
      </c>
      <c r="C50" t="s">
        <v>26</v>
      </c>
      <c r="D50" t="str">
        <f>VLOOKUP($C50,classifications!$C:$J,4,FALSE)</f>
        <v>SD</v>
      </c>
      <c r="E50">
        <f>VLOOKUP(C50,classifications!C:K,9,FALSE)</f>
        <v>0</v>
      </c>
      <c r="F50">
        <f t="shared" si="0"/>
        <v>94.444444444444443</v>
      </c>
      <c r="G50" s="15"/>
      <c r="H50" s="41">
        <f t="shared" si="1"/>
        <v>94.444444444444443</v>
      </c>
      <c r="I50" s="73">
        <f>IF(H50="","",IF($I$8="A",(RANK(H50,H$11:H$333,1)+COUNTIF(H$11:H50,H50)-1),(RANK(H50,H$11:H$333)+COUNTIF(H$11:H50,H50)-1)))</f>
        <v>49</v>
      </c>
      <c r="J50" s="40"/>
      <c r="K50" s="35">
        <f t="shared" si="10"/>
        <v>40</v>
      </c>
      <c r="L50" t="str">
        <f t="shared" si="2"/>
        <v>Cherwell</v>
      </c>
      <c r="M50" s="109">
        <f t="shared" si="3"/>
        <v>95.833333333333343</v>
      </c>
      <c r="N50" s="104">
        <f t="shared" si="19"/>
        <v>95.833333333333343</v>
      </c>
      <c r="O50" s="89">
        <f t="shared" si="20"/>
        <v>95.833333333333343</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Urban with Significant Rural</v>
      </c>
      <c r="Y50" t="str">
        <f t="shared" si="26"/>
        <v/>
      </c>
      <c r="Z50" s="39" t="str">
        <f>IF(Y50="","",IF(I$8="A",(RANK(Y50,Y$11:Y$333,1)+COUNTIF(Y$11:Y50,Y50)-1),(RANK(Y50,Y$11:Y$333)+COUNTIF(Y$11:Y50,Y50)-1)))</f>
        <v/>
      </c>
      <c r="AA50" s="177" t="str">
        <f>IF(L50="","",VLOOKUP($L50,classifications!C:I,7,FALSE))</f>
        <v>Urban with Significant Rural</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Oxfordshire</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94.444444444444443</v>
      </c>
    </row>
    <row r="51" spans="1:50">
      <c r="A51" s="55" t="str">
        <f>$D$1&amp;41</f>
        <v>SD41</v>
      </c>
      <c r="B51" s="56" t="str">
        <f>IF(ISERROR(VLOOKUP(A51,classifications!A:C,3,FALSE)),0,VLOOKUP(A51,classifications!A:C,3,FALSE))</f>
        <v>Wealden</v>
      </c>
      <c r="C51" t="s">
        <v>226</v>
      </c>
      <c r="D51" t="str">
        <f>VLOOKUP($C51,classifications!$C:$J,4,FALSE)</f>
        <v>MD</v>
      </c>
      <c r="E51">
        <f>VLOOKUP(C51,classifications!C:K,9,FALSE)</f>
        <v>0</v>
      </c>
      <c r="F51">
        <f t="shared" si="0"/>
        <v>90</v>
      </c>
      <c r="G51" s="15"/>
      <c r="H51" s="41" t="str">
        <f t="shared" si="1"/>
        <v/>
      </c>
      <c r="I51" s="73" t="str">
        <f>IF(H51="","",IF($I$8="A",(RANK(H51,H$11:H$333,1)+COUNTIF(H$11:H51,H51)-1),(RANK(H51,H$11:H$333)+COUNTIF(H$11:H51,H51)-1)))</f>
        <v/>
      </c>
      <c r="J51" s="40"/>
      <c r="K51" s="35">
        <f t="shared" si="10"/>
        <v>41</v>
      </c>
      <c r="L51" t="str">
        <f t="shared" si="2"/>
        <v>Fareham</v>
      </c>
      <c r="M51" s="109">
        <f t="shared" si="3"/>
        <v>95.833333333333343</v>
      </c>
      <c r="N51" s="104">
        <f t="shared" si="19"/>
        <v>95.833333333333343</v>
      </c>
      <c r="O51" s="89">
        <f t="shared" si="20"/>
        <v>95.833333333333343</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Hampshire</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90</v>
      </c>
    </row>
    <row r="52" spans="1:50">
      <c r="A52" s="55" t="str">
        <f>$D$1&amp;42</f>
        <v>SD42</v>
      </c>
      <c r="B52" s="56" t="str">
        <f>IF(ISERROR(VLOOKUP(A52,classifications!A:C,3,FALSE)),0,VLOOKUP(A52,classifications!A:C,3,FALSE))</f>
        <v>West Devon</v>
      </c>
      <c r="C52" t="s">
        <v>227</v>
      </c>
      <c r="D52" t="str">
        <f>VLOOKUP($C52,classifications!$C:$J,4,FALSE)</f>
        <v>MD</v>
      </c>
      <c r="E52">
        <f>VLOOKUP(C52,classifications!C:K,9,FALSE)</f>
        <v>0</v>
      </c>
      <c r="F52">
        <f t="shared" si="0"/>
        <v>86.666666666666671</v>
      </c>
      <c r="G52" s="15"/>
      <c r="H52" s="41" t="str">
        <f t="shared" si="1"/>
        <v/>
      </c>
      <c r="I52" s="73" t="str">
        <f>IF(H52="","",IF($I$8="A",(RANK(H52,H$11:H$333,1)+COUNTIF(H$11:H52,H52)-1),(RANK(H52,H$11:H$333)+COUNTIF(H$11:H52,H52)-1)))</f>
        <v/>
      </c>
      <c r="J52" s="40"/>
      <c r="K52" s="35">
        <f t="shared" si="10"/>
        <v>42</v>
      </c>
      <c r="L52" t="str">
        <f t="shared" si="2"/>
        <v>Ipswich</v>
      </c>
      <c r="M52" s="109">
        <f t="shared" si="3"/>
        <v>95.652173913043484</v>
      </c>
      <c r="N52" s="104">
        <f t="shared" si="19"/>
        <v>95.652173913043484</v>
      </c>
      <c r="O52" s="89" t="str">
        <f t="shared" si="20"/>
        <v/>
      </c>
      <c r="P52" s="89">
        <f t="shared" si="21"/>
        <v>95.652173913043484</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Suffolk</v>
      </c>
      <c r="AJ52" s="42">
        <f t="shared" si="29"/>
        <v>95.652173913043484</v>
      </c>
      <c r="AK52" s="39">
        <f>IF(AJ52="","",IF(I$8="A",(RANK(AJ52,AJ$11:AJ$333,1)+COUNTIF(AJ$11:AJ52,AJ52)-1),(RANK(AJ52,AJ$11:AJ$333)+COUNTIF(AJ$11:AJ52,AJ52)-1)))</f>
        <v>1</v>
      </c>
      <c r="AL52" s="3" t="str">
        <f t="shared" si="16"/>
        <v/>
      </c>
      <c r="AM52" t="str">
        <f t="shared" si="6"/>
        <v/>
      </c>
      <c r="AN52" t="str">
        <f t="shared" si="7"/>
        <v/>
      </c>
      <c r="AP52" s="5" t="str">
        <f>IF(L52="","",VLOOKUP($L52,classifications!$C:$E,3,FALSE))</f>
        <v>East of England</v>
      </c>
      <c r="AQ52" s="42">
        <f t="shared" si="30"/>
        <v>95.652173913043484</v>
      </c>
      <c r="AR52" s="39">
        <f>IF(AQ52="","",IF(I$8="A",(RANK(AQ52,AQ$11:AQ$333,1)+COUNTIF(AQ$11:AQ52,AQ52)-1),(RANK(AQ52,AQ$11:AQ$333)+COUNTIF(AQ$11:AQ52,AQ52)-1)))</f>
        <v>6</v>
      </c>
      <c r="AS52" s="3" t="str">
        <f t="shared" si="18"/>
        <v/>
      </c>
      <c r="AT52" s="39" t="str">
        <f t="shared" si="8"/>
        <v/>
      </c>
      <c r="AU52" s="42" t="str">
        <f t="shared" si="9"/>
        <v/>
      </c>
      <c r="AX52">
        <f>HLOOKUP($AX$9&amp;$AX$10,Data!$A$1:$ZT$1975,(MATCH($C52,Data!$A$1:$A$1975,0)),FALSE)</f>
        <v>86.666666666666671</v>
      </c>
    </row>
    <row r="53" spans="1:50">
      <c r="A53" s="55" t="str">
        <f>$D$1&amp;43</f>
        <v>SD43</v>
      </c>
      <c r="B53" s="56" t="str">
        <f>IF(ISERROR(VLOOKUP(A53,classifications!A:C,3,FALSE)),0,VLOOKUP(A53,classifications!A:C,3,FALSE))</f>
        <v>West Lindsey</v>
      </c>
      <c r="C53" t="s">
        <v>27</v>
      </c>
      <c r="D53" t="str">
        <f>VLOOKUP($C53,classifications!$C:$J,4,FALSE)</f>
        <v>SD</v>
      </c>
      <c r="E53">
        <f>VLOOKUP(C53,classifications!C:K,9,FALSE)</f>
        <v>0</v>
      </c>
      <c r="F53">
        <f t="shared" si="0"/>
        <v>83.870967741935488</v>
      </c>
      <c r="G53" s="15"/>
      <c r="H53" s="41">
        <f t="shared" si="1"/>
        <v>83.870967741935488</v>
      </c>
      <c r="I53" s="73">
        <f>IF(H53="","",IF($I$8="A",(RANK(H53,H$11:H$333,1)+COUNTIF(H$11:H53,H53)-1),(RANK(H53,H$11:H$333)+COUNTIF(H$11:H53,H53)-1)))</f>
        <v>115</v>
      </c>
      <c r="J53" s="40"/>
      <c r="K53" s="35">
        <f t="shared" si="10"/>
        <v>43</v>
      </c>
      <c r="L53" t="str">
        <f t="shared" si="2"/>
        <v>Lichfield</v>
      </c>
      <c r="M53" s="109">
        <f t="shared" si="3"/>
        <v>95.454545454545453</v>
      </c>
      <c r="N53" s="104">
        <f t="shared" si="19"/>
        <v>95.454545454545453</v>
      </c>
      <c r="O53" s="89" t="str">
        <f t="shared" si="20"/>
        <v/>
      </c>
      <c r="P53" s="89">
        <f t="shared" si="21"/>
        <v>95.454545454545453</v>
      </c>
      <c r="Q53" s="89" t="str">
        <f t="shared" si="22"/>
        <v/>
      </c>
      <c r="R53" s="85" t="str">
        <f t="shared" si="23"/>
        <v/>
      </c>
      <c r="S53" s="41" t="str">
        <f t="shared" si="24"/>
        <v/>
      </c>
      <c r="T53" s="166" t="str">
        <f>IF(L53="","",VLOOKUP(L53,classifications!C:K,9,FALSE))</f>
        <v>Sparse</v>
      </c>
      <c r="U53" s="167">
        <f t="shared" si="25"/>
        <v>95.454545454545453</v>
      </c>
      <c r="V53" s="173">
        <f>IF(U53="","",IF($I$8="A",(RANK(U53,U$11:U$333)+COUNTIF(U$11:U53,U53)-1),(RANK(U53,U$11:U$333,1)+COUNTIF(U$11:U53,U53)-1)))</f>
        <v>36</v>
      </c>
      <c r="W53" s="174"/>
      <c r="X53" s="5" t="str">
        <f>IF(L53="","",VLOOKUP($L53,classifications!$C:$J,6,FALSE))</f>
        <v>Urban with Significant Rural</v>
      </c>
      <c r="Y53" t="str">
        <f t="shared" si="26"/>
        <v/>
      </c>
      <c r="Z53" s="39" t="str">
        <f>IF(Y53="","",IF(I$8="A",(RANK(Y53,Y$11:Y$333,1)+COUNTIF(Y$11:Y53,Y53)-1),(RANK(Y53,Y$11:Y$333)+COUNTIF(Y$11:Y53,Y53)-1)))</f>
        <v/>
      </c>
      <c r="AA53" s="177" t="str">
        <f>IF(L53="","",VLOOKUP($L53,classifications!C:I,7,FALSE))</f>
        <v>Urban with Significant Rural</v>
      </c>
      <c r="AB53" s="173" t="str">
        <f t="shared" si="27"/>
        <v/>
      </c>
      <c r="AC53" s="173" t="str">
        <f>IF(AB53="","",IF($I$8="A",(RANK(AB53,AB$11:AB$333)+COUNTIF(AB$11:AB53,AB53)-1),(RANK(AB53,AB$11:AB$333,1)+COUNTIF(AB$11:AB53,AB53)-1)))</f>
        <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Staffordshire</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West Midlands</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83.870967741935488</v>
      </c>
    </row>
    <row r="54" spans="1:50">
      <c r="A54" s="55" t="str">
        <f>$D$1&amp;44</f>
        <v>SD44</v>
      </c>
      <c r="B54" s="56" t="str">
        <f>IF(ISERROR(VLOOKUP(A54,classifications!A:C,3,FALSE)),0,VLOOKUP(A54,classifications!A:C,3,FALSE))</f>
        <v>West Oxfordshire</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Hertsmere</v>
      </c>
      <c r="M54" s="109">
        <f t="shared" si="3"/>
        <v>95.238095238095227</v>
      </c>
      <c r="N54" s="104">
        <f t="shared" si="19"/>
        <v>95.238095238095227</v>
      </c>
      <c r="O54" s="89" t="str">
        <f t="shared" si="20"/>
        <v/>
      </c>
      <c r="P54" s="89">
        <f t="shared" si="21"/>
        <v>95.238095238095227</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Hertfordshire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of England</v>
      </c>
      <c r="AQ54" s="42">
        <f t="shared" si="30"/>
        <v>95.238095238095227</v>
      </c>
      <c r="AR54" s="39">
        <f>IF(AQ54="","",IF(I$8="A",(RANK(AQ54,AQ$11:AQ$333,1)+COUNTIF(AQ$11:AQ54,AQ54)-1),(RANK(AQ54,AQ$11:AQ$333)+COUNTIF(AQ$11:AQ54,AQ54)-1)))</f>
        <v>7</v>
      </c>
      <c r="AS54" s="3" t="str">
        <f t="shared" si="18"/>
        <v/>
      </c>
      <c r="AT54" s="39" t="str">
        <f t="shared" si="8"/>
        <v/>
      </c>
      <c r="AU54" s="42" t="str">
        <f t="shared" si="9"/>
        <v/>
      </c>
      <c r="AX54" t="e">
        <f>HLOOKUP($AX$9&amp;$AX$10,Data!$A$1:$ZT$1975,(MATCH($C54,Data!$A$1:$A$1975,0)),FALSE)</f>
        <v>#N/A</v>
      </c>
    </row>
    <row r="55" spans="1:50">
      <c r="A55" s="55" t="str">
        <f>$D$1&amp;45</f>
        <v>SD45</v>
      </c>
      <c r="B55" s="56" t="str">
        <f>IF(ISERROR(VLOOKUP(A55,classifications!A:C,3,FALSE)),0,VLOOKUP(A55,classifications!A:C,3,FALSE))</f>
        <v>West Suffolk</v>
      </c>
      <c r="C55" t="s">
        <v>200</v>
      </c>
      <c r="D55" t="str">
        <f>VLOOKUP($C55,classifications!$C:$J,4,FALSE)</f>
        <v>L</v>
      </c>
      <c r="E55">
        <f>VLOOKUP(C55,classifications!C:K,9,FALSE)</f>
        <v>0</v>
      </c>
      <c r="F55">
        <f t="shared" si="0"/>
        <v>96.666666666666671</v>
      </c>
      <c r="G55" s="15"/>
      <c r="H55" s="41" t="str">
        <f t="shared" si="1"/>
        <v/>
      </c>
      <c r="I55" s="73" t="str">
        <f>IF(H55="","",IF($I$8="A",(RANK(H55,H$11:H$333,1)+COUNTIF(H$11:H55,H55)-1),(RANK(H55,H$11:H$333)+COUNTIF(H$11:H55,H55)-1)))</f>
        <v/>
      </c>
      <c r="J55" s="40"/>
      <c r="K55" s="35">
        <f t="shared" si="10"/>
        <v>45</v>
      </c>
      <c r="L55" t="str">
        <f t="shared" si="2"/>
        <v>Great Yarmouth</v>
      </c>
      <c r="M55" s="109">
        <f t="shared" si="3"/>
        <v>95</v>
      </c>
      <c r="N55" s="104">
        <f t="shared" si="19"/>
        <v>95</v>
      </c>
      <c r="O55" s="89" t="str">
        <f t="shared" si="20"/>
        <v/>
      </c>
      <c r="P55" s="89">
        <f t="shared" si="21"/>
        <v>95</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Urban with Significant Rural</v>
      </c>
      <c r="Y55" t="str">
        <f t="shared" si="26"/>
        <v/>
      </c>
      <c r="Z55" s="39" t="str">
        <f>IF(Y55="","",IF(I$8="A",(RANK(Y55,Y$11:Y$333,1)+COUNTIF(Y$11:Y55,Y55)-1),(RANK(Y55,Y$11:Y$333)+COUNTIF(Y$11:Y55,Y55)-1)))</f>
        <v/>
      </c>
      <c r="AA55" s="177" t="str">
        <f>IF(L55="","",VLOOKUP($L55,classifications!C:I,7,FALSE))</f>
        <v>Urban with Significant Rural</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Norfolk</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East of England</v>
      </c>
      <c r="AQ55" s="42">
        <f t="shared" si="30"/>
        <v>95</v>
      </c>
      <c r="AR55" s="39">
        <f>IF(AQ55="","",IF(I$8="A",(RANK(AQ55,AQ$11:AQ$333,1)+COUNTIF(AQ$11:AQ55,AQ55)-1),(RANK(AQ55,AQ$11:AQ$333)+COUNTIF(AQ$11:AQ55,AQ55)-1)))</f>
        <v>8</v>
      </c>
      <c r="AS55" s="3" t="str">
        <f t="shared" si="18"/>
        <v/>
      </c>
      <c r="AT55" s="39" t="str">
        <f t="shared" si="8"/>
        <v/>
      </c>
      <c r="AU55" s="42" t="str">
        <f t="shared" si="9"/>
        <v/>
      </c>
      <c r="AX55">
        <f>HLOOKUP($AX$9&amp;$AX$10,Data!$A$1:$ZT$1975,(MATCH($C55,Data!$A$1:$A$1975,0)),FALSE)</f>
        <v>96.666666666666671</v>
      </c>
    </row>
    <row r="56" spans="1:50">
      <c r="A56" s="55" t="str">
        <f>$D$1&amp;46</f>
        <v>SD46</v>
      </c>
      <c r="B56" s="56" t="str">
        <f>IF(ISERROR(VLOOKUP(A56,classifications!A:C,3,FALSE)),0,VLOOKUP(A56,classifications!A:C,3,FALSE))</f>
        <v>Wychavon</v>
      </c>
      <c r="C56" t="s">
        <v>28</v>
      </c>
      <c r="D56" t="str">
        <f>VLOOKUP($C56,classifications!$C:$J,4,FALSE)</f>
        <v>SD</v>
      </c>
      <c r="E56">
        <f>VLOOKUP(C56,classifications!C:K,9,FALSE)</f>
        <v>0</v>
      </c>
      <c r="F56">
        <f t="shared" si="0"/>
        <v>100</v>
      </c>
      <c r="G56" s="15"/>
      <c r="H56" s="41">
        <f t="shared" si="1"/>
        <v>100</v>
      </c>
      <c r="I56" s="73">
        <f>IF(H56="","",IF($I$8="A",(RANK(H56,H$11:H$333,1)+COUNTIF(H$11:H56,H56)-1),(RANK(H56,H$11:H$333)+COUNTIF(H$11:H56,H56)-1)))</f>
        <v>5</v>
      </c>
      <c r="J56" s="40"/>
      <c r="K56" s="35">
        <f t="shared" si="10"/>
        <v>46</v>
      </c>
      <c r="L56" t="str">
        <f t="shared" si="2"/>
        <v>Rochford</v>
      </c>
      <c r="M56" s="109">
        <f t="shared" si="3"/>
        <v>95</v>
      </c>
      <c r="N56" s="104">
        <f t="shared" si="19"/>
        <v>95</v>
      </c>
      <c r="O56" s="89" t="str">
        <f t="shared" si="20"/>
        <v/>
      </c>
      <c r="P56" s="89">
        <f t="shared" si="21"/>
        <v>95</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Essex</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East of England</v>
      </c>
      <c r="AQ56" s="42">
        <f t="shared" si="30"/>
        <v>95</v>
      </c>
      <c r="AR56" s="39">
        <f>IF(AQ56="","",IF(I$8="A",(RANK(AQ56,AQ$11:AQ$333,1)+COUNTIF(AQ$11:AQ56,AQ56)-1),(RANK(AQ56,AQ$11:AQ$333)+COUNTIF(AQ$11:AQ56,AQ56)-1)))</f>
        <v>9</v>
      </c>
      <c r="AS56" s="3" t="str">
        <f t="shared" si="18"/>
        <v/>
      </c>
      <c r="AT56" s="39" t="str">
        <f t="shared" si="8"/>
        <v/>
      </c>
      <c r="AU56" s="42" t="str">
        <f t="shared" si="9"/>
        <v/>
      </c>
      <c r="AX56">
        <f>HLOOKUP($AX$9&amp;$AX$10,Data!$A$1:$ZT$1975,(MATCH($C56,Data!$A$1:$A$1975,0)),FALSE)</f>
        <v>100</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93.333333333333329</v>
      </c>
      <c r="G57" s="15"/>
      <c r="H57" s="41">
        <f t="shared" si="1"/>
        <v>93.333333333333329</v>
      </c>
      <c r="I57" s="73">
        <f>IF(H57="","",IF($I$8="A",(RANK(H57,H$11:H$333,1)+COUNTIF(H$11:H57,H57)-1),(RANK(H57,H$11:H$333)+COUNTIF(H$11:H57,H57)-1)))</f>
        <v>58</v>
      </c>
      <c r="J57" s="40"/>
      <c r="K57" s="35">
        <f t="shared" si="10"/>
        <v>47</v>
      </c>
      <c r="L57" t="str">
        <f t="shared" si="2"/>
        <v>South Norfolk</v>
      </c>
      <c r="M57" s="109">
        <f t="shared" si="3"/>
        <v>94.594594594594597</v>
      </c>
      <c r="N57" s="104">
        <f t="shared" si="19"/>
        <v>94.594594594594597</v>
      </c>
      <c r="O57" s="89" t="str">
        <f t="shared" si="20"/>
        <v/>
      </c>
      <c r="P57" s="89">
        <f t="shared" si="21"/>
        <v>94.594594594594597</v>
      </c>
      <c r="Q57" s="89" t="str">
        <f t="shared" si="22"/>
        <v/>
      </c>
      <c r="R57" s="85" t="str">
        <f t="shared" si="23"/>
        <v/>
      </c>
      <c r="S57" s="41" t="str">
        <f t="shared" si="24"/>
        <v/>
      </c>
      <c r="T57" s="166" t="str">
        <f>IF(L57="","",VLOOKUP(L57,classifications!C:K,9,FALSE))</f>
        <v>Sparse</v>
      </c>
      <c r="U57" s="167">
        <f t="shared" si="25"/>
        <v>94.594594594594597</v>
      </c>
      <c r="V57" s="173">
        <f>IF(U57="","",IF($I$8="A",(RANK(U57,U$11:U$333)+COUNTIF(U$11:U57,U57)-1),(RANK(U57,U$11:U$333,1)+COUNTIF(U$11:U57,U57)-1)))</f>
        <v>35</v>
      </c>
      <c r="W57" s="174"/>
      <c r="X57" s="5" t="str">
        <f>IF(L57="","",VLOOKUP($L57,classifications!$C:$J,6,FALSE))</f>
        <v xml:space="preserve">Predominantly Rural </v>
      </c>
      <c r="Y57">
        <f t="shared" si="26"/>
        <v>94.594594594594597</v>
      </c>
      <c r="Z57" s="39">
        <f>IF(Y57="","",IF(I$8="A",(RANK(Y57,Y$11:Y$333,1)+COUNTIF(Y$11:Y57,Y57)-1),(RANK(Y57,Y$11:Y$333)+COUNTIF(Y$11:Y57,Y57)-1)))</f>
        <v>14</v>
      </c>
      <c r="AA57" s="177" t="str">
        <f>IF(L57="","",VLOOKUP($L57,classifications!C:I,7,FALSE))</f>
        <v>Predominantly Rural</v>
      </c>
      <c r="AB57" s="173">
        <f t="shared" si="27"/>
        <v>94.594594594594597</v>
      </c>
      <c r="AC57" s="173">
        <f>IF(AB57="","",IF($I$8="A",(RANK(AB57,AB$11:AB$333)+COUNTIF(AB$11:AB57,AB57)-1),(RANK(AB57,AB$11:AB$333,1)+COUNTIF(AB$11:AB57,AB57)-1)))</f>
        <v>45</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Norfolk</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East of England</v>
      </c>
      <c r="AQ57" s="42">
        <f t="shared" si="30"/>
        <v>94.594594594594597</v>
      </c>
      <c r="AR57" s="39">
        <f>IF(AQ57="","",IF(I$8="A",(RANK(AQ57,AQ$11:AQ$333,1)+COUNTIF(AQ$11:AQ57,AQ57)-1),(RANK(AQ57,AQ$11:AQ$333)+COUNTIF(AQ$11:AQ57,AQ57)-1)))</f>
        <v>10</v>
      </c>
      <c r="AS57" s="3" t="str">
        <f t="shared" si="18"/>
        <v/>
      </c>
      <c r="AT57" s="39" t="str">
        <f t="shared" si="8"/>
        <v/>
      </c>
      <c r="AU57" s="42" t="str">
        <f t="shared" si="9"/>
        <v/>
      </c>
      <c r="AX57">
        <f>HLOOKUP($AX$9&amp;$AX$10,Data!$A$1:$ZT$1975,(MATCH($C57,Data!$A$1:$A$1975,0)),FALSE)</f>
        <v>93.333333333333329</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20</v>
      </c>
      <c r="G58" s="15"/>
      <c r="H58" s="41">
        <f t="shared" si="1"/>
        <v>20</v>
      </c>
      <c r="I58" s="73">
        <f>IF(H58="","",IF($I$8="A",(RANK(H58,H$11:H$333,1)+COUNTIF(H$11:H58,H58)-1),(RANK(H58,H$11:H$333)+COUNTIF(H$11:H58,H58)-1)))</f>
        <v>164</v>
      </c>
      <c r="J58" s="40"/>
      <c r="K58" s="35">
        <f t="shared" si="10"/>
        <v>48</v>
      </c>
      <c r="L58" t="str">
        <f t="shared" si="2"/>
        <v>West Suffolk</v>
      </c>
      <c r="M58" s="109">
        <f t="shared" si="3"/>
        <v>94.545454545454547</v>
      </c>
      <c r="N58" s="104">
        <f t="shared" ref="N58:N121" si="31">IF(L58="","",IF($H$8="%%",M58*100,M58))</f>
        <v>94.545454545454547</v>
      </c>
      <c r="O58" s="89" t="str">
        <f t="shared" ref="O58:O121" si="32">IF(I$8="A",IF(N58&gt;=$P$7,IF(N58&lt;=$O$10,N58,""),""),IF(N58&lt;=$P$7,IF(N58&gt;=$O$10,N58,""),""))</f>
        <v/>
      </c>
      <c r="P58" s="89">
        <f t="shared" ref="P58:P121" si="33">IF(I$8="A",IF(N58&gt;$O$10,IF(N58&lt;=$P$10,N58,""),""),IF(N58&lt;$O$10,IF(N58&gt;=$P$10,N58,""),""))</f>
        <v>94.545454545454547</v>
      </c>
      <c r="Q58" s="89" t="str">
        <f t="shared" ref="Q58:Q121" si="34">IF(I$8="A",IF(N58&gt;$P$10,IF(N58&lt;=$Q$10,N58,""),""),IF(N58&lt;$P$10,IF(N58&gt;=$Q$10,N58,""),""))</f>
        <v/>
      </c>
      <c r="R58" s="85" t="str">
        <f t="shared" ref="R58:R121" si="35">IF(I$8="A",IF(N58&gt;$Q$10,N58,""),IF(N58&lt;$Q$10,N58,""))</f>
        <v/>
      </c>
      <c r="S58" s="41" t="str">
        <f t="shared" ref="S58:S121" si="36">IF(L58=D$3,"u","")</f>
        <v/>
      </c>
      <c r="T58" s="166" t="str">
        <f>IF(L58="","",VLOOKUP(L58,classifications!C:K,9,FALSE))</f>
        <v>Sparse</v>
      </c>
      <c r="U58" s="167">
        <f t="shared" ref="U58:U121" si="37">IF(T58="Sparse",M58,"")</f>
        <v>94.545454545454547</v>
      </c>
      <c r="V58" s="173">
        <f>IF(U58="","",IF($I$8="A",(RANK(U58,U$11:U$333)+COUNTIF(U$11:U58,U58)-1),(RANK(U58,U$11:U$333,1)+COUNTIF(U$11:U58,U58)-1)))</f>
        <v>34</v>
      </c>
      <c r="W58" s="174"/>
      <c r="X58" s="5" t="str">
        <f>IF(L58="","",VLOOKUP($L58,classifications!$C:$J,6,FALSE))</f>
        <v xml:space="preserve">Predominantly Rural </v>
      </c>
      <c r="Y58">
        <f t="shared" ref="Y58:Y121" si="38">IF($D$1="UA",IF(X58="Predominantly Rural ",M58,IF(X58="Predominantly Rural ",M58,IF(X58="Urban with Significant Rural",M58,""))),IF($D$1="SD",IF(X58=$H$3,M58,"")))</f>
        <v>94.545454545454547</v>
      </c>
      <c r="Z58" s="39">
        <f>IF(Y58="","",IF(I$8="A",(RANK(Y58,Y$11:Y$333,1)+COUNTIF(Y$11:Y58,Y58)-1),(RANK(Y58,Y$11:Y$333)+COUNTIF(Y$11:Y58,Y58)-1)))</f>
        <v>15</v>
      </c>
      <c r="AA58" s="177" t="str">
        <f>IF(L58="","",VLOOKUP($L58,classifications!C:I,7,FALSE))</f>
        <v>Predominantly Rural</v>
      </c>
      <c r="AB58" s="173">
        <f t="shared" ref="AB58:AB121" si="39">IF(AA58=$J$3,M58,"")</f>
        <v>94.545454545454547</v>
      </c>
      <c r="AC58" s="173">
        <f>IF(AB58="","",IF($I$8="A",(RANK(AB58,AB$11:AB$333)+COUNTIF(AB$11:AB58,AB58)-1),(RANK(AB58,AB$11:AB$333,1)+COUNTIF(AB$11:AB58,AB58)-1)))</f>
        <v>44</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Suffolk</v>
      </c>
      <c r="AJ58" s="42">
        <f t="shared" ref="AJ58:AJ121" si="41">IF(AI58=$I$3,M58,"")</f>
        <v>94.545454545454547</v>
      </c>
      <c r="AK58" s="39">
        <f>IF(AJ58="","",IF(I$8="A",(RANK(AJ58,AJ$11:AJ$333,1)+COUNTIF(AJ$11:AJ58,AJ58)-1),(RANK(AJ58,AJ$11:AJ$333)+COUNTIF(AJ$11:AJ58,AJ58)-1)))</f>
        <v>2</v>
      </c>
      <c r="AL58" s="3" t="str">
        <f t="shared" si="16"/>
        <v/>
      </c>
      <c r="AM58" t="str">
        <f t="shared" si="6"/>
        <v/>
      </c>
      <c r="AN58" t="str">
        <f t="shared" si="7"/>
        <v/>
      </c>
      <c r="AP58" s="5" t="str">
        <f>IF(L58="","",VLOOKUP($L58,classifications!$C:$E,3,FALSE))</f>
        <v>East of England</v>
      </c>
      <c r="AQ58" s="42">
        <f t="shared" ref="AQ58:AQ121" si="42">IF(AP58=$G$3,$M58,"")</f>
        <v>94.545454545454547</v>
      </c>
      <c r="AR58" s="39">
        <f>IF(AQ58="","",IF(I$8="A",(RANK(AQ58,AQ$11:AQ$333,1)+COUNTIF(AQ$11:AQ58,AQ58)-1),(RANK(AQ58,AQ$11:AQ$333)+COUNTIF(AQ$11:AQ58,AQ58)-1)))</f>
        <v>11</v>
      </c>
      <c r="AS58" s="3" t="str">
        <f t="shared" si="18"/>
        <v/>
      </c>
      <c r="AT58" s="39" t="str">
        <f t="shared" si="8"/>
        <v/>
      </c>
      <c r="AU58" s="42" t="str">
        <f t="shared" si="9"/>
        <v/>
      </c>
      <c r="AX58">
        <f>HLOOKUP($AX$9&amp;$AX$10,Data!$A$1:$ZT$1975,(MATCH($C58,Data!$A$1:$A$1975,0)),FALSE)</f>
        <v>20</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88.461538461538453</v>
      </c>
      <c r="G59" s="15"/>
      <c r="H59" s="41" t="str">
        <f t="shared" si="1"/>
        <v/>
      </c>
      <c r="I59" s="73" t="str">
        <f>IF(H59="","",IF($I$8="A",(RANK(H59,H$11:H$333,1)+COUNTIF(H$11:H59,H59)-1),(RANK(H59,H$11:H$333)+COUNTIF(H$11:H59,H59)-1)))</f>
        <v/>
      </c>
      <c r="J59" s="40"/>
      <c r="K59" s="35">
        <f t="shared" si="10"/>
        <v>49</v>
      </c>
      <c r="L59" t="str">
        <f t="shared" si="2"/>
        <v>Burnley</v>
      </c>
      <c r="M59" s="109">
        <f t="shared" si="3"/>
        <v>94.444444444444443</v>
      </c>
      <c r="N59" s="104">
        <f t="shared" si="31"/>
        <v>94.444444444444443</v>
      </c>
      <c r="O59" s="89" t="str">
        <f t="shared" si="32"/>
        <v/>
      </c>
      <c r="P59" s="89">
        <f t="shared" si="33"/>
        <v>94.444444444444443</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Lancashire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North West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88.461538461538453</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95.833333333333343</v>
      </c>
      <c r="G60" s="15"/>
      <c r="H60" s="41">
        <f t="shared" si="1"/>
        <v>95.833333333333343</v>
      </c>
      <c r="I60" s="73">
        <f>IF(H60="","",IF($I$8="A",(RANK(H60,H$11:H$333,1)+COUNTIF(H$11:H60,H60)-1),(RANK(H60,H$11:H$333)+COUNTIF(H$11:H60,H60)-1)))</f>
        <v>39</v>
      </c>
      <c r="J60" s="40"/>
      <c r="K60" s="35">
        <f t="shared" si="10"/>
        <v>50</v>
      </c>
      <c r="L60" t="str">
        <f t="shared" si="2"/>
        <v>Harlow</v>
      </c>
      <c r="M60" s="109">
        <f t="shared" si="3"/>
        <v>94.444444444444443</v>
      </c>
      <c r="N60" s="104">
        <f t="shared" si="31"/>
        <v>94.444444444444443</v>
      </c>
      <c r="O60" s="89" t="str">
        <f t="shared" si="32"/>
        <v/>
      </c>
      <c r="P60" s="89">
        <f t="shared" si="33"/>
        <v>94.444444444444443</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Essex</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East of England</v>
      </c>
      <c r="AQ60" s="42">
        <f t="shared" si="42"/>
        <v>94.444444444444443</v>
      </c>
      <c r="AR60" s="39">
        <f>IF(AQ60="","",IF(I$8="A",(RANK(AQ60,AQ$11:AQ$333,1)+COUNTIF(AQ$11:AQ60,AQ60)-1),(RANK(AQ60,AQ$11:AQ$333)+COUNTIF(AQ$11:AQ60,AQ60)-1)))</f>
        <v>12</v>
      </c>
      <c r="AS60" s="3" t="str">
        <f t="shared" si="18"/>
        <v/>
      </c>
      <c r="AT60" s="39" t="str">
        <f t="shared" si="8"/>
        <v/>
      </c>
      <c r="AU60" s="42" t="str">
        <f t="shared" si="9"/>
        <v/>
      </c>
      <c r="AX60">
        <f>HLOOKUP($AX$9&amp;$AX$10,Data!$A$1:$ZT$1975,(MATCH($C60,Data!$A$1:$A$1975,0)),FALSE)</f>
        <v>95.833333333333343</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91.666666666666657</v>
      </c>
      <c r="G61" s="15"/>
      <c r="H61" s="41">
        <f t="shared" si="1"/>
        <v>91.666666666666657</v>
      </c>
      <c r="I61" s="73">
        <f>IF(H61="","",IF($I$8="A",(RANK(H61,H$11:H$333,1)+COUNTIF(H$11:H61,H61)-1),(RANK(H61,H$11:H$333)+COUNTIF(H$11:H61,H61)-1)))</f>
        <v>71</v>
      </c>
      <c r="J61" s="40"/>
      <c r="K61" s="35">
        <f t="shared" si="10"/>
        <v>51</v>
      </c>
      <c r="L61" t="str">
        <f t="shared" si="2"/>
        <v>South Staffordshire</v>
      </c>
      <c r="M61" s="109">
        <f t="shared" si="3"/>
        <v>94.444444444444443</v>
      </c>
      <c r="N61" s="104">
        <f t="shared" si="31"/>
        <v>94.444444444444443</v>
      </c>
      <c r="O61" s="89" t="str">
        <f t="shared" si="32"/>
        <v/>
      </c>
      <c r="P61" s="89">
        <f t="shared" si="33"/>
        <v>94.444444444444443</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Urban with Significant Rural</v>
      </c>
      <c r="Y61" t="str">
        <f t="shared" si="38"/>
        <v/>
      </c>
      <c r="Z61" s="39" t="str">
        <f>IF(Y61="","",IF(I$8="A",(RANK(Y61,Y$11:Y$333,1)+COUNTIF(Y$11:Y61,Y61)-1),(RANK(Y61,Y$11:Y$333)+COUNTIF(Y$11:Y61,Y61)-1)))</f>
        <v/>
      </c>
      <c r="AA61" s="177" t="str">
        <f>IF(L61="","",VLOOKUP($L61,classifications!C:I,7,FALSE))</f>
        <v>Urban with Significant Rural</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Staffordshire</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West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91.666666666666657</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85.714285714285708</v>
      </c>
      <c r="G62" s="15"/>
      <c r="H62" s="41">
        <f t="shared" si="1"/>
        <v>85.714285714285708</v>
      </c>
      <c r="I62" s="73">
        <f>IF(H62="","",IF($I$8="A",(RANK(H62,H$11:H$333,1)+COUNTIF(H$11:H62,H62)-1),(RANK(H62,H$11:H$333)+COUNTIF(H$11:H62,H62)-1)))</f>
        <v>105</v>
      </c>
      <c r="J62" s="40"/>
      <c r="K62" s="35">
        <f t="shared" si="10"/>
        <v>52</v>
      </c>
      <c r="L62" t="str">
        <f t="shared" si="2"/>
        <v>Wealden</v>
      </c>
      <c r="M62" s="109">
        <f t="shared" si="3"/>
        <v>94.20289855072464</v>
      </c>
      <c r="N62" s="104">
        <f t="shared" si="31"/>
        <v>94.20289855072464</v>
      </c>
      <c r="O62" s="89" t="str">
        <f t="shared" si="32"/>
        <v/>
      </c>
      <c r="P62" s="89">
        <f t="shared" si="33"/>
        <v>94.20289855072464</v>
      </c>
      <c r="Q62" s="89" t="str">
        <f t="shared" si="34"/>
        <v/>
      </c>
      <c r="R62" s="85" t="str">
        <f t="shared" si="35"/>
        <v/>
      </c>
      <c r="S62" s="41" t="str">
        <f t="shared" si="36"/>
        <v/>
      </c>
      <c r="T62" s="166" t="str">
        <f>IF(L62="","",VLOOKUP(L62,classifications!C:K,9,FALSE))</f>
        <v>Sparse</v>
      </c>
      <c r="U62" s="167">
        <f t="shared" si="37"/>
        <v>94.20289855072464</v>
      </c>
      <c r="V62" s="173">
        <f>IF(U62="","",IF($I$8="A",(RANK(U62,U$11:U$333)+COUNTIF(U$11:U62,U62)-1),(RANK(U62,U$11:U$333,1)+COUNTIF(U$11:U62,U62)-1)))</f>
        <v>33</v>
      </c>
      <c r="W62" s="174"/>
      <c r="X62" s="5" t="str">
        <f>IF(L62="","",VLOOKUP($L62,classifications!$C:$J,6,FALSE))</f>
        <v xml:space="preserve">Predominantly Rural </v>
      </c>
      <c r="Y62">
        <f t="shared" si="38"/>
        <v>94.20289855072464</v>
      </c>
      <c r="Z62" s="39">
        <f>IF(Y62="","",IF(I$8="A",(RANK(Y62,Y$11:Y$333,1)+COUNTIF(Y$11:Y62,Y62)-1),(RANK(Y62,Y$11:Y$333)+COUNTIF(Y$11:Y62,Y62)-1)))</f>
        <v>16</v>
      </c>
      <c r="AA62" s="177" t="str">
        <f>IF(L62="","",VLOOKUP($L62,classifications!C:I,7,FALSE))</f>
        <v>Predominantly Rural</v>
      </c>
      <c r="AB62" s="173">
        <f t="shared" si="39"/>
        <v>94.20289855072464</v>
      </c>
      <c r="AC62" s="173">
        <f>IF(AB62="","",IF($I$8="A",(RANK(AB62,AB$11:AB$333)+COUNTIF(AB$11:AB62,AB62)-1),(RANK(AB62,AB$11:AB$333,1)+COUNTIF(AB$11:AB62,AB62)-1)))</f>
        <v>43</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East Sussex</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85.714285714285708</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95.833333333333343</v>
      </c>
      <c r="G63" s="15"/>
      <c r="H63" s="41">
        <f t="shared" si="1"/>
        <v>95.833333333333343</v>
      </c>
      <c r="I63" s="73">
        <f>IF(H63="","",IF($I$8="A",(RANK(H63,H$11:H$333,1)+COUNTIF(H$11:H63,H63)-1),(RANK(H63,H$11:H$333)+COUNTIF(H$11:H63,H63)-1)))</f>
        <v>40</v>
      </c>
      <c r="J63" s="40"/>
      <c r="K63" s="35">
        <f t="shared" si="10"/>
        <v>53</v>
      </c>
      <c r="L63" t="str">
        <f t="shared" si="2"/>
        <v>North West Leicestershire</v>
      </c>
      <c r="M63" s="109">
        <f t="shared" si="3"/>
        <v>94</v>
      </c>
      <c r="N63" s="104">
        <f t="shared" si="31"/>
        <v>94</v>
      </c>
      <c r="O63" s="89" t="str">
        <f t="shared" si="32"/>
        <v/>
      </c>
      <c r="P63" s="89">
        <f t="shared" si="33"/>
        <v>94</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 xml:space="preserve">Predominantly Rural </v>
      </c>
      <c r="Y63">
        <f t="shared" si="38"/>
        <v>94</v>
      </c>
      <c r="Z63" s="39">
        <f>IF(Y63="","",IF(I$8="A",(RANK(Y63,Y$11:Y$333,1)+COUNTIF(Y$11:Y63,Y63)-1),(RANK(Y63,Y$11:Y$333)+COUNTIF(Y$11:Y63,Y63)-1)))</f>
        <v>17</v>
      </c>
      <c r="AA63" s="177" t="str">
        <f>IF(L63="","",VLOOKUP($L63,classifications!C:I,7,FALSE))</f>
        <v>Predominantly Rural</v>
      </c>
      <c r="AB63" s="173">
        <f t="shared" si="39"/>
        <v>94</v>
      </c>
      <c r="AC63" s="173">
        <f>IF(AB63="","",IF($I$8="A",(RANK(AB63,AB$11:AB$333)+COUNTIF(AB$11:AB63,AB63)-1),(RANK(AB63,AB$11:AB$333,1)+COUNTIF(AB$11:AB63,AB63)-1)))</f>
        <v>41</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Leicestershire</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East Midlands</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95.833333333333343</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96.078431372549019</v>
      </c>
      <c r="G64" s="15"/>
      <c r="H64" s="41" t="str">
        <f t="shared" si="1"/>
        <v/>
      </c>
      <c r="I64" s="73" t="str">
        <f>IF(H64="","",IF($I$8="A",(RANK(H64,H$11:H$333,1)+COUNTIF(H$11:H64,H64)-1),(RANK(H64,H$11:H$333)+COUNTIF(H$11:H64,H64)-1)))</f>
        <v/>
      </c>
      <c r="J64" s="40"/>
      <c r="K64" s="35">
        <f t="shared" si="10"/>
        <v>54</v>
      </c>
      <c r="L64" t="str">
        <f t="shared" si="2"/>
        <v>Waverley</v>
      </c>
      <c r="M64" s="109">
        <f t="shared" si="3"/>
        <v>94</v>
      </c>
      <c r="N64" s="104">
        <f t="shared" si="31"/>
        <v>94</v>
      </c>
      <c r="O64" s="89" t="str">
        <f t="shared" si="32"/>
        <v/>
      </c>
      <c r="P64" s="89">
        <f t="shared" si="33"/>
        <v>94</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 xml:space="preserve">Predominantly Rural </v>
      </c>
      <c r="Y64">
        <f t="shared" si="38"/>
        <v>94</v>
      </c>
      <c r="Z64" s="39">
        <f>IF(Y64="","",IF(I$8="A",(RANK(Y64,Y$11:Y$333,1)+COUNTIF(Y$11:Y64,Y64)-1),(RANK(Y64,Y$11:Y$333)+COUNTIF(Y$11:Y64,Y64)-1)))</f>
        <v>18</v>
      </c>
      <c r="AA64" s="177" t="str">
        <f>IF(L64="","",VLOOKUP($L64,classifications!C:I,7,FALSE))</f>
        <v>Predominantly Rural</v>
      </c>
      <c r="AB64" s="173">
        <f t="shared" si="39"/>
        <v>94</v>
      </c>
      <c r="AC64" s="173">
        <f>IF(AB64="","",IF($I$8="A",(RANK(AB64,AB$11:AB$333)+COUNTIF(AB$11:AB64,AB64)-1),(RANK(AB64,AB$11:AB$333,1)+COUNTIF(AB$11:AB64,AB64)-1)))</f>
        <v>42</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Surrey</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South East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96.078431372549019</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91.111111111111114</v>
      </c>
      <c r="G65" s="15"/>
      <c r="H65" s="41" t="str">
        <f t="shared" si="1"/>
        <v/>
      </c>
      <c r="I65" s="73" t="str">
        <f>IF(H65="","",IF($I$8="A",(RANK(H65,H$11:H$333,1)+COUNTIF(H$11:H65,H65)-1),(RANK(H65,H$11:H$333)+COUNTIF(H$11:H65,H65)-1)))</f>
        <v/>
      </c>
      <c r="J65" s="40"/>
      <c r="K65" s="35">
        <f t="shared" si="10"/>
        <v>55</v>
      </c>
      <c r="L65" t="str">
        <f t="shared" si="2"/>
        <v>Adur</v>
      </c>
      <c r="M65" s="109">
        <f t="shared" si="3"/>
        <v>93.75</v>
      </c>
      <c r="N65" s="104">
        <f t="shared" si="31"/>
        <v>93.75</v>
      </c>
      <c r="O65" s="89" t="str">
        <f t="shared" si="32"/>
        <v/>
      </c>
      <c r="P65" s="89">
        <f t="shared" si="33"/>
        <v>93.75</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West Sussex</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South East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91.111111111111114</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96.296296296296291</v>
      </c>
      <c r="G66" s="15"/>
      <c r="H66" s="41">
        <f t="shared" si="1"/>
        <v>96.296296296296291</v>
      </c>
      <c r="I66" s="73">
        <f>IF(H66="","",IF($I$8="A",(RANK(H66,H$11:H$333,1)+COUNTIF(H$11:H66,H66)-1),(RANK(H66,H$11:H$333)+COUNTIF(H$11:H66,H66)-1)))</f>
        <v>35</v>
      </c>
      <c r="J66" s="40"/>
      <c r="K66" s="35">
        <f t="shared" si="10"/>
        <v>56</v>
      </c>
      <c r="L66" t="str">
        <f t="shared" si="2"/>
        <v>Braintree</v>
      </c>
      <c r="M66" s="109">
        <f t="shared" si="3"/>
        <v>93.650793650793645</v>
      </c>
      <c r="N66" s="104">
        <f t="shared" si="31"/>
        <v>93.650793650793645</v>
      </c>
      <c r="O66" s="89" t="str">
        <f t="shared" si="32"/>
        <v/>
      </c>
      <c r="P66" s="89">
        <f t="shared" si="33"/>
        <v>93.650793650793645</v>
      </c>
      <c r="Q66" s="89" t="str">
        <f t="shared" si="34"/>
        <v/>
      </c>
      <c r="R66" s="85" t="str">
        <f t="shared" si="35"/>
        <v/>
      </c>
      <c r="S66" s="41" t="str">
        <f t="shared" si="36"/>
        <v/>
      </c>
      <c r="T66" s="166" t="str">
        <f>IF(L66="","",VLOOKUP(L66,classifications!C:K,9,FALSE))</f>
        <v>Sparse</v>
      </c>
      <c r="U66" s="167">
        <f t="shared" si="37"/>
        <v>93.650793650793645</v>
      </c>
      <c r="V66" s="173">
        <f>IF(U66="","",IF($I$8="A",(RANK(U66,U$11:U$333)+COUNTIF(U$11:U66,U66)-1),(RANK(U66,U$11:U$333,1)+COUNTIF(U$11:U66,U66)-1)))</f>
        <v>32</v>
      </c>
      <c r="W66" s="174"/>
      <c r="X66" s="5" t="str">
        <f>IF(L66="","",VLOOKUP($L66,classifications!$C:$J,6,FALSE))</f>
        <v xml:space="preserve">Predominantly Rural </v>
      </c>
      <c r="Y66">
        <f t="shared" si="38"/>
        <v>93.650793650793645</v>
      </c>
      <c r="Z66" s="39">
        <f>IF(Y66="","",IF(I$8="A",(RANK(Y66,Y$11:Y$333,1)+COUNTIF(Y$11:Y66,Y66)-1),(RANK(Y66,Y$11:Y$333)+COUNTIF(Y$11:Y66,Y66)-1)))</f>
        <v>19</v>
      </c>
      <c r="AA66" s="177" t="str">
        <f>IF(L66="","",VLOOKUP($L66,classifications!C:I,7,FALSE))</f>
        <v>Predominantly Rural</v>
      </c>
      <c r="AB66" s="173">
        <f t="shared" si="39"/>
        <v>93.650793650793645</v>
      </c>
      <c r="AC66" s="173">
        <f>IF(AB66="","",IF($I$8="A",(RANK(AB66,AB$11:AB$333)+COUNTIF(AB$11:AB66,AB66)-1),(RANK(AB66,AB$11:AB$333,1)+COUNTIF(AB$11:AB66,AB66)-1)))</f>
        <v>40</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Essex</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East of England</v>
      </c>
      <c r="AQ66" s="42">
        <f t="shared" si="42"/>
        <v>93.650793650793645</v>
      </c>
      <c r="AR66" s="39">
        <f>IF(AQ66="","",IF(I$8="A",(RANK(AQ66,AQ$11:AQ$333,1)+COUNTIF(AQ$11:AQ66,AQ66)-1),(RANK(AQ66,AQ$11:AQ$333)+COUNTIF(AQ$11:AQ66,AQ66)-1)))</f>
        <v>13</v>
      </c>
      <c r="AS66" s="3" t="str">
        <f t="shared" si="18"/>
        <v/>
      </c>
      <c r="AT66" s="39" t="str">
        <f t="shared" si="8"/>
        <v/>
      </c>
      <c r="AU66" s="42" t="str">
        <f t="shared" si="9"/>
        <v/>
      </c>
      <c r="AX66">
        <f>HLOOKUP($AX$9&amp;$AX$10,Data!$A$1:$ZT$1975,(MATCH($C66,Data!$A$1:$A$1975,0)),FALSE)</f>
        <v>96.296296296296291</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68.421052631578945</v>
      </c>
      <c r="G67" s="15"/>
      <c r="H67" s="41">
        <f t="shared" si="1"/>
        <v>68.421052631578945</v>
      </c>
      <c r="I67" s="73">
        <f>IF(H67="","",IF($I$8="A",(RANK(H67,H$11:H$333,1)+COUNTIF(H$11:H67,H67)-1),(RANK(H67,H$11:H$333)+COUNTIF(H$11:H67,H67)-1)))</f>
        <v>149</v>
      </c>
      <c r="J67" s="40"/>
      <c r="K67" s="35">
        <f t="shared" si="10"/>
        <v>57</v>
      </c>
      <c r="L67" t="str">
        <f t="shared" si="2"/>
        <v>Bassetlaw</v>
      </c>
      <c r="M67" s="109">
        <f t="shared" si="3"/>
        <v>93.61702127659575</v>
      </c>
      <c r="N67" s="104">
        <f t="shared" si="31"/>
        <v>93.61702127659575</v>
      </c>
      <c r="O67" s="89" t="str">
        <f t="shared" si="32"/>
        <v/>
      </c>
      <c r="P67" s="89">
        <f t="shared" si="33"/>
        <v>93.61702127659575</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 xml:space="preserve">Predominantly Rural </v>
      </c>
      <c r="Y67">
        <f t="shared" si="38"/>
        <v>93.61702127659575</v>
      </c>
      <c r="Z67" s="39">
        <f>IF(Y67="","",IF(I$8="A",(RANK(Y67,Y$11:Y$333,1)+COUNTIF(Y$11:Y67,Y67)-1),(RANK(Y67,Y$11:Y$333)+COUNTIF(Y$11:Y67,Y67)-1)))</f>
        <v>20</v>
      </c>
      <c r="AA67" s="177" t="str">
        <f>IF(L67="","",VLOOKUP($L67,classifications!C:I,7,FALSE))</f>
        <v>Predominantly Rural</v>
      </c>
      <c r="AB67" s="173">
        <f t="shared" si="39"/>
        <v>93.61702127659575</v>
      </c>
      <c r="AC67" s="173">
        <f>IF(AB67="","",IF($I$8="A",(RANK(AB67,AB$11:AB$333)+COUNTIF(AB$11:AB67,AB67)-1),(RANK(AB67,AB$11:AB$333,1)+COUNTIF(AB$11:AB67,AB67)-1)))</f>
        <v>39</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Nottinghamshire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68.421052631578945</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76.19047619047619</v>
      </c>
      <c r="G68" s="15"/>
      <c r="H68" s="41">
        <f t="shared" si="1"/>
        <v>76.19047619047619</v>
      </c>
      <c r="I68" s="73">
        <f>IF(H68="","",IF($I$8="A",(RANK(H68,H$11:H$333,1)+COUNTIF(H$11:H68,H68)-1),(RANK(H68,H$11:H$333)+COUNTIF(H$11:H68,H68)-1)))</f>
        <v>135</v>
      </c>
      <c r="J68" s="40"/>
      <c r="K68" s="35">
        <f t="shared" si="10"/>
        <v>58</v>
      </c>
      <c r="L68" t="str">
        <f t="shared" si="2"/>
        <v>Canterbury</v>
      </c>
      <c r="M68" s="109">
        <f t="shared" si="3"/>
        <v>93.333333333333329</v>
      </c>
      <c r="N68" s="104">
        <f t="shared" si="31"/>
        <v>93.333333333333329</v>
      </c>
      <c r="O68" s="89" t="str">
        <f t="shared" si="32"/>
        <v/>
      </c>
      <c r="P68" s="89">
        <f t="shared" si="33"/>
        <v>93.333333333333329</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Kent</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76.19047619047619</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Gloucester</v>
      </c>
      <c r="M69" s="109">
        <f t="shared" si="3"/>
        <v>93.333333333333329</v>
      </c>
      <c r="N69" s="104">
        <f t="shared" si="31"/>
        <v>93.333333333333329</v>
      </c>
      <c r="O69" s="89" t="str">
        <f t="shared" si="32"/>
        <v/>
      </c>
      <c r="P69" s="89">
        <f t="shared" si="33"/>
        <v>93.333333333333329</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Gloucestershire</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South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6</v>
      </c>
      <c r="J70" s="40"/>
      <c r="K70" s="35">
        <f t="shared" si="10"/>
        <v>60</v>
      </c>
      <c r="L70" t="str">
        <f t="shared" si="2"/>
        <v>Torridge</v>
      </c>
      <c r="M70" s="109">
        <f t="shared" si="3"/>
        <v>93.181818181818173</v>
      </c>
      <c r="N70" s="104">
        <f t="shared" si="31"/>
        <v>93.181818181818173</v>
      </c>
      <c r="O70" s="89" t="str">
        <f t="shared" si="32"/>
        <v/>
      </c>
      <c r="P70" s="89">
        <f t="shared" si="33"/>
        <v>93.181818181818173</v>
      </c>
      <c r="Q70" s="89" t="str">
        <f t="shared" si="34"/>
        <v/>
      </c>
      <c r="R70" s="85" t="str">
        <f t="shared" si="35"/>
        <v/>
      </c>
      <c r="S70" s="41" t="str">
        <f t="shared" si="36"/>
        <v/>
      </c>
      <c r="T70" s="166" t="str">
        <f>IF(L70="","",VLOOKUP(L70,classifications!C:K,9,FALSE))</f>
        <v>Sparse</v>
      </c>
      <c r="U70" s="167">
        <f t="shared" si="37"/>
        <v>93.181818181818173</v>
      </c>
      <c r="V70" s="173">
        <f>IF(U70="","",IF($I$8="A",(RANK(U70,U$11:U$333)+COUNTIF(U$11:U70,U70)-1),(RANK(U70,U$11:U$333,1)+COUNTIF(U$11:U70,U70)-1)))</f>
        <v>31</v>
      </c>
      <c r="W70" s="174"/>
      <c r="X70" s="5" t="str">
        <f>IF(L70="","",VLOOKUP($L70,classifications!$C:$J,6,FALSE))</f>
        <v xml:space="preserve">Predominantly Rural </v>
      </c>
      <c r="Y70">
        <f t="shared" si="38"/>
        <v>93.181818181818173</v>
      </c>
      <c r="Z70" s="39">
        <f>IF(Y70="","",IF(I$8="A",(RANK(Y70,Y$11:Y$333,1)+COUNTIF(Y$11:Y70,Y70)-1),(RANK(Y70,Y$11:Y$333)+COUNTIF(Y$11:Y70,Y70)-1)))</f>
        <v>21</v>
      </c>
      <c r="AA70" s="177" t="str">
        <f>IF(L70="","",VLOOKUP($L70,classifications!C:I,7,FALSE))</f>
        <v>Predominantly Rural</v>
      </c>
      <c r="AB70" s="173">
        <f t="shared" si="39"/>
        <v>93.181818181818173</v>
      </c>
      <c r="AC70" s="173">
        <f>IF(AB70="","",IF($I$8="A",(RANK(AB70,AB$11:AB$333)+COUNTIF(AB$11:AB70,AB70)-1),(RANK(AB70,AB$11:AB$333,1)+COUNTIF(AB$11:AB70,AB70)-1)))</f>
        <v>38</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Devon</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West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80.838323353293418</v>
      </c>
      <c r="G71" s="15"/>
      <c r="H71" s="41" t="str">
        <f t="shared" si="1"/>
        <v/>
      </c>
      <c r="I71" s="73" t="str">
        <f>IF(H71="","",IF($I$8="A",(RANK(H71,H$11:H$333,1)+COUNTIF(H$11:H71,H71)-1),(RANK(H71,H$11:H$333)+COUNTIF(H$11:H71,H71)-1)))</f>
        <v/>
      </c>
      <c r="J71" s="40"/>
      <c r="K71" s="35">
        <f t="shared" si="10"/>
        <v>61</v>
      </c>
      <c r="L71" t="str">
        <f t="shared" si="2"/>
        <v>Wyre</v>
      </c>
      <c r="M71" s="109">
        <f t="shared" si="3"/>
        <v>93.103448275862064</v>
      </c>
      <c r="N71" s="104">
        <f t="shared" si="31"/>
        <v>93.103448275862064</v>
      </c>
      <c r="O71" s="89" t="str">
        <f t="shared" si="32"/>
        <v/>
      </c>
      <c r="P71" s="89">
        <f t="shared" si="33"/>
        <v>93.103448275862064</v>
      </c>
      <c r="Q71" s="89" t="str">
        <f t="shared" si="34"/>
        <v/>
      </c>
      <c r="R71" s="85" t="str">
        <f t="shared" si="35"/>
        <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 xml:space="preserve">Predominantly Rural </v>
      </c>
      <c r="Y71">
        <f t="shared" si="38"/>
        <v>93.103448275862064</v>
      </c>
      <c r="Z71" s="39">
        <f>IF(Y71="","",IF(I$8="A",(RANK(Y71,Y$11:Y$333,1)+COUNTIF(Y$11:Y71,Y71)-1),(RANK(Y71,Y$11:Y$333)+COUNTIF(Y$11:Y71,Y71)-1)))</f>
        <v>22</v>
      </c>
      <c r="AA71" s="177" t="str">
        <f>IF(L71="","",VLOOKUP($L71,classifications!C:I,7,FALSE))</f>
        <v>Predominantly Rural</v>
      </c>
      <c r="AB71" s="173">
        <f t="shared" si="39"/>
        <v>93.103448275862064</v>
      </c>
      <c r="AC71" s="173">
        <f>IF(AB71="","",IF($I$8="A",(RANK(AB71,AB$11:AB$333)+COUNTIF(AB$11:AB71,AB71)-1),(RANK(AB71,AB$11:AB$333,1)+COUNTIF(AB$11:AB71,AB71)-1)))</f>
        <v>37</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Lancashire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North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80.838323353293418</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90</v>
      </c>
      <c r="G72" s="15"/>
      <c r="H72" s="41">
        <f t="shared" si="1"/>
        <v>90</v>
      </c>
      <c r="I72" s="73">
        <f>IF(H72="","",IF($I$8="A",(RANK(H72,H$11:H$333,1)+COUNTIF(H$11:H72,H72)-1),(RANK(H72,H$11:H$333)+COUNTIF(H$11:H72,H72)-1)))</f>
        <v>83</v>
      </c>
      <c r="J72" s="40"/>
      <c r="K72" s="35">
        <f t="shared" si="10"/>
        <v>62</v>
      </c>
      <c r="L72" t="str">
        <f t="shared" si="2"/>
        <v>Broadland</v>
      </c>
      <c r="M72" s="109">
        <f t="shared" si="3"/>
        <v>92.592592592592595</v>
      </c>
      <c r="N72" s="104">
        <f t="shared" si="31"/>
        <v>92.592592592592595</v>
      </c>
      <c r="O72" s="89" t="str">
        <f t="shared" si="32"/>
        <v/>
      </c>
      <c r="P72" s="89">
        <f t="shared" si="33"/>
        <v>92.592592592592595</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Urban with Significant Rural</v>
      </c>
      <c r="Y72" t="str">
        <f t="shared" si="38"/>
        <v/>
      </c>
      <c r="Z72" s="39" t="str">
        <f>IF(Y72="","",IF(I$8="A",(RANK(Y72,Y$11:Y$333,1)+COUNTIF(Y$11:Y72,Y72)-1),(RANK(Y72,Y$11:Y$333)+COUNTIF(Y$11:Y72,Y72)-1)))</f>
        <v/>
      </c>
      <c r="AA72" s="177" t="str">
        <f>IF(L72="","",VLOOKUP($L72,classifications!C:I,7,FALSE))</f>
        <v>Urban with Significant Rural</v>
      </c>
      <c r="AB72" s="173" t="str">
        <f t="shared" si="39"/>
        <v/>
      </c>
      <c r="AC72" s="173" t="str">
        <f>IF(AB72="","",IF($I$8="A",(RANK(AB72,AB$11:AB$333)+COUNTIF(AB$11:AB72,AB72)-1),(RANK(AB72,AB$11:AB$333,1)+COUNTIF(AB$11:AB72,AB72)-1)))</f>
        <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Norfolk</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East of England</v>
      </c>
      <c r="AQ72" s="42">
        <f t="shared" si="42"/>
        <v>92.592592592592595</v>
      </c>
      <c r="AR72" s="39">
        <f>IF(AQ72="","",IF(I$8="A",(RANK(AQ72,AQ$11:AQ$333,1)+COUNTIF(AQ$11:AQ72,AQ72)-1),(RANK(AQ72,AQ$11:AQ$333)+COUNTIF(AQ$11:AQ72,AQ72)-1)))</f>
        <v>14</v>
      </c>
      <c r="AS72" s="3" t="str">
        <f t="shared" si="18"/>
        <v/>
      </c>
      <c r="AT72" s="39" t="str">
        <f t="shared" si="8"/>
        <v/>
      </c>
      <c r="AU72" s="42" t="str">
        <f t="shared" si="9"/>
        <v/>
      </c>
      <c r="AX72">
        <f>HLOOKUP($AX$9&amp;$AX$10,Data!$A$1:$ZT$1975,(MATCH($C72,Data!$A$1:$A$1975,0)),FALSE)</f>
        <v>90</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96.825396825396822</v>
      </c>
      <c r="G73" s="15"/>
      <c r="H73" s="41" t="str">
        <f t="shared" si="1"/>
        <v/>
      </c>
      <c r="I73" s="73" t="str">
        <f>IF(H73="","",IF($I$8="A",(RANK(H73,H$11:H$333,1)+COUNTIF(H$11:H73,H73)-1),(RANK(H73,H$11:H$333)+COUNTIF(H$11:H73,H73)-1)))</f>
        <v/>
      </c>
      <c r="J73" s="40"/>
      <c r="K73" s="35">
        <f t="shared" si="10"/>
        <v>63</v>
      </c>
      <c r="L73" t="str">
        <f t="shared" si="2"/>
        <v>Pendle</v>
      </c>
      <c r="M73" s="109">
        <f t="shared" si="3"/>
        <v>92.592592592592595</v>
      </c>
      <c r="N73" s="104">
        <f t="shared" si="31"/>
        <v>92.592592592592595</v>
      </c>
      <c r="O73" s="89" t="str">
        <f t="shared" si="32"/>
        <v/>
      </c>
      <c r="P73" s="89">
        <f t="shared" si="33"/>
        <v>92.592592592592595</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Predominantly Urban</v>
      </c>
      <c r="Y73" t="str">
        <f t="shared" si="38"/>
        <v/>
      </c>
      <c r="Z73" s="39" t="str">
        <f>IF(Y73="","",IF(I$8="A",(RANK(Y73,Y$11:Y$333,1)+COUNTIF(Y$11:Y73,Y73)-1),(RANK(Y73,Y$11:Y$333)+COUNTIF(Y$11:Y73,Y73)-1)))</f>
        <v/>
      </c>
      <c r="AA73" s="177" t="str">
        <f>IF(L73="","",VLOOKUP($L73,classifications!C:I,7,FALSE))</f>
        <v>Predominantly Urban</v>
      </c>
      <c r="AB73" s="173" t="str">
        <f t="shared" si="39"/>
        <v/>
      </c>
      <c r="AC73" s="173" t="str">
        <f>IF(AB73="","",IF($I$8="A",(RANK(AB73,AB$11:AB$333)+COUNTIF(AB$11:AB73,AB73)-1),(RANK(AB73,AB$11:AB$333,1)+COUNTIF(AB$11:AB73,AB73)-1)))</f>
        <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Lancashire</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North West</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96.825396825396822</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75</v>
      </c>
      <c r="G74" s="15"/>
      <c r="H74" s="41">
        <f t="shared" si="1"/>
        <v>75</v>
      </c>
      <c r="I74" s="73">
        <f>IF(H74="","",IF($I$8="A",(RANK(H74,H$11:H$333,1)+COUNTIF(H$11:H74,H74)-1),(RANK(H74,H$11:H$333)+COUNTIF(H$11:H74,H74)-1)))</f>
        <v>139</v>
      </c>
      <c r="J74" s="40"/>
      <c r="K74" s="35">
        <f t="shared" si="10"/>
        <v>64</v>
      </c>
      <c r="L74" t="str">
        <f t="shared" si="2"/>
        <v>Runnymede</v>
      </c>
      <c r="M74" s="109">
        <f t="shared" si="3"/>
        <v>92.592592592592595</v>
      </c>
      <c r="N74" s="104">
        <f t="shared" si="31"/>
        <v>92.592592592592595</v>
      </c>
      <c r="O74" s="89" t="str">
        <f t="shared" si="32"/>
        <v/>
      </c>
      <c r="P74" s="89">
        <f t="shared" si="33"/>
        <v>92.592592592592595</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Predominantly Urban</v>
      </c>
      <c r="Y74" t="str">
        <f t="shared" si="38"/>
        <v/>
      </c>
      <c r="Z74" s="39" t="str">
        <f>IF(Y74="","",IF(I$8="A",(RANK(Y74,Y$11:Y$333,1)+COUNTIF(Y$11:Y74,Y74)-1),(RANK(Y74,Y$11:Y$333)+COUNTIF(Y$11:Y74,Y74)-1)))</f>
        <v/>
      </c>
      <c r="AA74" s="177" t="str">
        <f>IF(L74="","",VLOOKUP($L74,classifications!C:I,7,FALSE))</f>
        <v>Predominantly Urban</v>
      </c>
      <c r="AB74" s="173" t="str">
        <f t="shared" si="39"/>
        <v/>
      </c>
      <c r="AC74" s="173" t="str">
        <f>IF(AB74="","",IF($I$8="A",(RANK(AB74,AB$11:AB$333)+COUNTIF(AB$11:AB74,AB74)-1),(RANK(AB74,AB$11:AB$333,1)+COUNTIF(AB$11:AB74,AB74)-1)))</f>
        <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Surrey</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75</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90.909090909090907</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Surrey Heath</v>
      </c>
      <c r="M75" s="109">
        <f t="shared" ref="M75:M138" si="46">IF(L75="","",IF(VLOOKUP(L75,C:D,2,FALSE)=$F$3,VLOOKUP(L75,C:H,6,FALSE),""))</f>
        <v>92.592592592592595</v>
      </c>
      <c r="N75" s="104">
        <f t="shared" si="31"/>
        <v>92.592592592592595</v>
      </c>
      <c r="O75" s="89" t="str">
        <f t="shared" si="32"/>
        <v/>
      </c>
      <c r="P75" s="89">
        <f t="shared" si="33"/>
        <v>92.592592592592595</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Predominantly Urban</v>
      </c>
      <c r="Y75" t="str">
        <f t="shared" si="38"/>
        <v/>
      </c>
      <c r="Z75" s="39" t="str">
        <f>IF(Y75="","",IF(I$8="A",(RANK(Y75,Y$11:Y$333,1)+COUNTIF(Y$11:Y75,Y75)-1),(RANK(Y75,Y$11:Y$333)+COUNTIF(Y$11:Y75,Y75)-1)))</f>
        <v/>
      </c>
      <c r="AA75" s="177" t="str">
        <f>IF(L75="","",VLOOKUP($L75,classifications!C:I,7,FALSE))</f>
        <v>Predominantly Urban</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Surrey</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East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90.909090909090907</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68.421052631578945</v>
      </c>
      <c r="G76" s="15"/>
      <c r="H76" s="41">
        <f t="shared" si="44"/>
        <v>68.421052631578945</v>
      </c>
      <c r="I76" s="73">
        <f>IF(H76="","",IF($I$8="A",(RANK(H76,H$11:H$333,1)+COUNTIF(H$11:H76,H76)-1),(RANK(H76,H$11:H$333)+COUNTIF(H$11:H76,H76)-1)))</f>
        <v>150</v>
      </c>
      <c r="J76" s="40"/>
      <c r="K76" s="35">
        <f t="shared" ref="K76:K139" si="51">IF(K75="","",IF(K75+1&gt;(COUNT(H$11:H$333)),"",K75+1))</f>
        <v>66</v>
      </c>
      <c r="L76" t="str">
        <f t="shared" si="45"/>
        <v>Folkestone &amp; Hythe</v>
      </c>
      <c r="M76" s="109">
        <f t="shared" si="46"/>
        <v>92.307692307692307</v>
      </c>
      <c r="N76" s="104">
        <f t="shared" si="31"/>
        <v>92.307692307692307</v>
      </c>
      <c r="O76" s="89" t="str">
        <f t="shared" si="32"/>
        <v/>
      </c>
      <c r="P76" s="89">
        <f t="shared" si="33"/>
        <v>92.307692307692307</v>
      </c>
      <c r="Q76" s="89" t="str">
        <f t="shared" si="34"/>
        <v/>
      </c>
      <c r="R76" s="85" t="str">
        <f t="shared" si="35"/>
        <v/>
      </c>
      <c r="S76" s="41" t="str">
        <f t="shared" si="36"/>
        <v/>
      </c>
      <c r="T76" s="166">
        <f>IF(L76="","",VLOOKUP(L76,classifications!C:K,9,FALSE))</f>
        <v>0</v>
      </c>
      <c r="U76" s="167" t="str">
        <f t="shared" si="37"/>
        <v/>
      </c>
      <c r="V76" s="173" t="str">
        <f>IF(U76="","",IF($I$8="A",(RANK(U76,U$11:U$333)+COUNTIF(U$11:U76,U76)-1),(RANK(U76,U$11:U$333,1)+COUNTIF(U$11:U76,U76)-1)))</f>
        <v/>
      </c>
      <c r="W76" s="174"/>
      <c r="X76" s="5" t="str">
        <f>IF(L76="","",VLOOKUP($L76,classifications!$C:$J,6,FALSE))</f>
        <v>Urban with Significant Rural</v>
      </c>
      <c r="Y76" t="str">
        <f t="shared" si="38"/>
        <v/>
      </c>
      <c r="Z76" s="39" t="str">
        <f>IF(Y76="","",IF(I$8="A",(RANK(Y76,Y$11:Y$333,1)+COUNTIF(Y$11:Y76,Y76)-1),(RANK(Y76,Y$11:Y$333)+COUNTIF(Y$11:Y76,Y76)-1)))</f>
        <v/>
      </c>
      <c r="AA76" s="177" t="str">
        <f>IF(L76="","",VLOOKUP($L76,classifications!C:I,7,FALSE))</f>
        <v>Urban with Significant Rural</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Kent</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South East</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68.421052631578945</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83.333333333333343</v>
      </c>
      <c r="G77" s="15"/>
      <c r="H77" s="41" t="str">
        <f t="shared" si="44"/>
        <v/>
      </c>
      <c r="I77" s="73" t="str">
        <f>IF(H77="","",IF($I$8="A",(RANK(H77,H$11:H$333,1)+COUNTIF(H$11:H77,H77)-1),(RANK(H77,H$11:H$333)+COUNTIF(H$11:H77,H77)-1)))</f>
        <v/>
      </c>
      <c r="J77" s="40"/>
      <c r="K77" s="35">
        <f t="shared" si="51"/>
        <v>67</v>
      </c>
      <c r="L77" t="str">
        <f t="shared" si="45"/>
        <v>North Hertfordshire</v>
      </c>
      <c r="M77" s="109">
        <f t="shared" si="46"/>
        <v>92.307692307692307</v>
      </c>
      <c r="N77" s="104">
        <f t="shared" si="31"/>
        <v>92.307692307692307</v>
      </c>
      <c r="O77" s="89" t="str">
        <f t="shared" si="32"/>
        <v/>
      </c>
      <c r="P77" s="89">
        <f t="shared" si="33"/>
        <v>92.307692307692307</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Urban with Significant Rural</v>
      </c>
      <c r="Y77" t="str">
        <f t="shared" si="38"/>
        <v/>
      </c>
      <c r="Z77" s="39" t="str">
        <f>IF(Y77="","",IF(I$8="A",(RANK(Y77,Y$11:Y$333,1)+COUNTIF(Y$11:Y77,Y77)-1),(RANK(Y77,Y$11:Y$333)+COUNTIF(Y$11:Y77,Y77)-1)))</f>
        <v/>
      </c>
      <c r="AA77" s="177" t="str">
        <f>IF(L77="","",VLOOKUP($L77,classifications!C:I,7,FALSE))</f>
        <v>Urban with Significant Rural</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Hertfordshire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of England</v>
      </c>
      <c r="AQ77" s="42">
        <f t="shared" si="42"/>
        <v>92.307692307692307</v>
      </c>
      <c r="AR77" s="39">
        <f>IF(AQ77="","",IF(I$8="A",(RANK(AQ77,AQ$11:AQ$333,1)+COUNTIF(AQ$11:AQ77,AQ77)-1),(RANK(AQ77,AQ$11:AQ$333)+COUNTIF(AQ$11:AQ77,AQ77)-1)))</f>
        <v>15</v>
      </c>
      <c r="AS77" s="3" t="str">
        <f t="shared" si="54"/>
        <v/>
      </c>
      <c r="AT77" s="39" t="str">
        <f t="shared" si="49"/>
        <v/>
      </c>
      <c r="AU77" s="42" t="str">
        <f t="shared" si="50"/>
        <v/>
      </c>
      <c r="AX77">
        <f>HLOOKUP($AX$9&amp;$AX$10,Data!$A$1:$ZT$1975,(MATCH($C77,Data!$A$1:$A$1975,0)),FALSE)</f>
        <v>83.333333333333343</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84.848484848484844</v>
      </c>
      <c r="G78" s="15"/>
      <c r="H78" s="41">
        <f t="shared" si="44"/>
        <v>84.848484848484844</v>
      </c>
      <c r="I78" s="73">
        <f>IF(H78="","",IF($I$8="A",(RANK(H78,H$11:H$333,1)+COUNTIF(H$11:H78,H78)-1),(RANK(H78,H$11:H$333)+COUNTIF(H$11:H78,H78)-1)))</f>
        <v>109</v>
      </c>
      <c r="J78" s="40"/>
      <c r="K78" s="35">
        <f t="shared" si="51"/>
        <v>68</v>
      </c>
      <c r="L78" t="str">
        <f t="shared" si="45"/>
        <v>Test Valley</v>
      </c>
      <c r="M78" s="109">
        <f t="shared" si="46"/>
        <v>92.307692307692307</v>
      </c>
      <c r="N78" s="104">
        <f t="shared" si="31"/>
        <v>92.307692307692307</v>
      </c>
      <c r="O78" s="89" t="str">
        <f t="shared" si="32"/>
        <v/>
      </c>
      <c r="P78" s="89">
        <f t="shared" si="33"/>
        <v>92.307692307692307</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Urban with Significant Rural</v>
      </c>
      <c r="Y78" t="str">
        <f t="shared" si="38"/>
        <v/>
      </c>
      <c r="Z78" s="39" t="str">
        <f>IF(Y78="","",IF(I$8="A",(RANK(Y78,Y$11:Y$333,1)+COUNTIF(Y$11:Y78,Y78)-1),(RANK(Y78,Y$11:Y$333)+COUNTIF(Y$11:Y78,Y78)-1)))</f>
        <v/>
      </c>
      <c r="AA78" s="177" t="str">
        <f>IF(L78="","",VLOOKUP($L78,classifications!C:I,7,FALSE))</f>
        <v>Urban with Significant Rural</v>
      </c>
      <c r="AB78" s="173" t="str">
        <f t="shared" si="39"/>
        <v/>
      </c>
      <c r="AC78" s="173" t="str">
        <f>IF(AB78="","",IF($I$8="A",(RANK(AB78,AB$11:AB$333)+COUNTIF(AB$11:AB78,AB78)-1),(RANK(AB78,AB$11:AB$333,1)+COUNTIF(AB$11:AB78,AB78)-1)))</f>
        <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Hampshire</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South East</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84.848484848484844</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94.594594594594597</v>
      </c>
      <c r="G79" s="15"/>
      <c r="H79" s="41" t="str">
        <f t="shared" si="44"/>
        <v/>
      </c>
      <c r="I79" s="73" t="str">
        <f>IF(H79="","",IF($I$8="A",(RANK(H79,H$11:H$333,1)+COUNTIF(H$11:H79,H79)-1),(RANK(H79,H$11:H$333)+COUNTIF(H$11:H79,H79)-1)))</f>
        <v/>
      </c>
      <c r="J79" s="40"/>
      <c r="K79" s="35">
        <f t="shared" si="51"/>
        <v>69</v>
      </c>
      <c r="L79" t="str">
        <f t="shared" si="45"/>
        <v>Warwick</v>
      </c>
      <c r="M79" s="109">
        <f t="shared" si="46"/>
        <v>91.891891891891902</v>
      </c>
      <c r="N79" s="104">
        <f t="shared" si="31"/>
        <v>91.891891891891902</v>
      </c>
      <c r="O79" s="89" t="str">
        <f t="shared" si="32"/>
        <v/>
      </c>
      <c r="P79" s="89">
        <f t="shared" si="33"/>
        <v>91.891891891891902</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Warwickshire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West Midlands</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94.594594594594597</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East Suffolk</v>
      </c>
      <c r="M80" s="109">
        <f t="shared" si="46"/>
        <v>91.83673469387756</v>
      </c>
      <c r="N80" s="104">
        <f t="shared" si="31"/>
        <v>91.83673469387756</v>
      </c>
      <c r="O80" s="89" t="str">
        <f t="shared" si="32"/>
        <v/>
      </c>
      <c r="P80" s="89">
        <f t="shared" si="33"/>
        <v>91.83673469387756</v>
      </c>
      <c r="Q80" s="89" t="str">
        <f t="shared" si="34"/>
        <v/>
      </c>
      <c r="R80" s="85" t="str">
        <f t="shared" si="35"/>
        <v/>
      </c>
      <c r="S80" s="41" t="str">
        <f t="shared" si="36"/>
        <v/>
      </c>
      <c r="T80" s="166" t="str">
        <f>IF(L80="","",VLOOKUP(L80,classifications!C:K,9,FALSE))</f>
        <v>Sparse</v>
      </c>
      <c r="U80" s="167">
        <f t="shared" si="37"/>
        <v>91.83673469387756</v>
      </c>
      <c r="V80" s="173">
        <f>IF(U80="","",IF($I$8="A",(RANK(U80,U$11:U$333)+COUNTIF(U$11:U80,U80)-1),(RANK(U80,U$11:U$333,1)+COUNTIF(U$11:U80,U80)-1)))</f>
        <v>30</v>
      </c>
      <c r="W80" s="174"/>
      <c r="X80" s="5" t="str">
        <f>IF(L80="","",VLOOKUP($L80,classifications!$C:$J,6,FALSE))</f>
        <v xml:space="preserve">Predominantly Rural </v>
      </c>
      <c r="Y80">
        <f t="shared" si="38"/>
        <v>91.83673469387756</v>
      </c>
      <c r="Z80" s="39">
        <f>IF(Y80="","",IF(I$8="A",(RANK(Y80,Y$11:Y$333,1)+COUNTIF(Y$11:Y80,Y80)-1),(RANK(Y80,Y$11:Y$333)+COUNTIF(Y$11:Y80,Y80)-1)))</f>
        <v>23</v>
      </c>
      <c r="AA80" s="177" t="str">
        <f>IF(L80="","",VLOOKUP($L80,classifications!C:I,7,FALSE))</f>
        <v xml:space="preserve">Predominantly Rural </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Suffolk</v>
      </c>
      <c r="AJ80" s="42">
        <f t="shared" si="41"/>
        <v>91.83673469387756</v>
      </c>
      <c r="AK80" s="39">
        <f>IF(AJ80="","",IF(I$8="A",(RANK(AJ80,AJ$11:AJ$333,1)+COUNTIF(AJ$11:AJ80,AJ80)-1),(RANK(AJ80,AJ$11:AJ$333)+COUNTIF(AJ$11:AJ80,AJ80)-1)))</f>
        <v>3</v>
      </c>
      <c r="AL80" s="3" t="str">
        <f t="shared" si="53"/>
        <v/>
      </c>
      <c r="AM80" t="str">
        <f t="shared" si="47"/>
        <v/>
      </c>
      <c r="AN80" t="str">
        <f t="shared" si="48"/>
        <v/>
      </c>
      <c r="AP80" s="5" t="str">
        <f>IF(L80="","",VLOOKUP($L80,classifications!$C:$E,3,FALSE))</f>
        <v>East of England</v>
      </c>
      <c r="AQ80" s="42">
        <f t="shared" si="42"/>
        <v>91.83673469387756</v>
      </c>
      <c r="AR80" s="39">
        <f>IF(AQ80="","",IF(I$8="A",(RANK(AQ80,AQ$11:AQ$333,1)+COUNTIF(AQ$11:AQ80,AQ80)-1),(RANK(AQ80,AQ$11:AQ$333)+COUNTIF(AQ$11:AQ80,AQ80)-1)))</f>
        <v>16</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96</v>
      </c>
      <c r="G81" s="15"/>
      <c r="H81" s="41">
        <f t="shared" si="44"/>
        <v>96</v>
      </c>
      <c r="I81" s="73">
        <f>IF(H81="","",IF($I$8="A",(RANK(H81,H$11:H$333,1)+COUNTIF(H$11:H81,H81)-1),(RANK(H81,H$11:H$333)+COUNTIF(H$11:H81,H81)-1)))</f>
        <v>38</v>
      </c>
      <c r="J81" s="40"/>
      <c r="K81" s="35">
        <f t="shared" si="51"/>
        <v>71</v>
      </c>
      <c r="L81" t="str">
        <f t="shared" si="45"/>
        <v>Chelmsford</v>
      </c>
      <c r="M81" s="109">
        <f t="shared" si="46"/>
        <v>91.666666666666657</v>
      </c>
      <c r="N81" s="104">
        <f t="shared" si="31"/>
        <v>91.666666666666657</v>
      </c>
      <c r="O81" s="89" t="str">
        <f t="shared" si="32"/>
        <v/>
      </c>
      <c r="P81" s="89">
        <f t="shared" si="33"/>
        <v>91.666666666666657</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Predominantly Urban</v>
      </c>
      <c r="Y81" t="str">
        <f t="shared" si="38"/>
        <v/>
      </c>
      <c r="Z81" s="39" t="str">
        <f>IF(Y81="","",IF(I$8="A",(RANK(Y81,Y$11:Y$333,1)+COUNTIF(Y$11:Y81,Y81)-1),(RANK(Y81,Y$11:Y$333)+COUNTIF(Y$11:Y81,Y81)-1)))</f>
        <v/>
      </c>
      <c r="AA81" s="177" t="str">
        <f>IF(L81="","",VLOOKUP($L81,classifications!C:I,7,FALSE))</f>
        <v>Predominantly Urban</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Essex</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East of England</v>
      </c>
      <c r="AQ81" s="42">
        <f t="shared" si="42"/>
        <v>91.666666666666657</v>
      </c>
      <c r="AR81" s="39">
        <f>IF(AQ81="","",IF(I$8="A",(RANK(AQ81,AQ$11:AQ$333,1)+COUNTIF(AQ$11:AQ81,AQ81)-1),(RANK(AQ81,AQ$11:AQ$333)+COUNTIF(AQ$11:AQ81,AQ81)-1)))</f>
        <v>17</v>
      </c>
      <c r="AS81" s="3" t="str">
        <f t="shared" si="54"/>
        <v/>
      </c>
      <c r="AT81" s="39" t="str">
        <f t="shared" si="49"/>
        <v/>
      </c>
      <c r="AU81" s="42" t="str">
        <f t="shared" si="50"/>
        <v/>
      </c>
      <c r="AX81">
        <f>HLOOKUP($AX$9&amp;$AX$10,Data!$A$1:$ZT$1975,(MATCH($C81,Data!$A$1:$A$1975,0)),FALSE)</f>
        <v>96</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Newark &amp; Sherwood</v>
      </c>
      <c r="M82" s="109">
        <f t="shared" si="46"/>
        <v>91.666666666666657</v>
      </c>
      <c r="N82" s="104">
        <f t="shared" si="31"/>
        <v>91.666666666666657</v>
      </c>
      <c r="O82" s="89" t="str">
        <f t="shared" si="32"/>
        <v/>
      </c>
      <c r="P82" s="89">
        <f t="shared" si="33"/>
        <v>91.666666666666657</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 xml:space="preserve">Predominantly Rural </v>
      </c>
      <c r="Y82">
        <f t="shared" si="38"/>
        <v>91.666666666666657</v>
      </c>
      <c r="Z82" s="39">
        <f>IF(Y82="","",IF(I$8="A",(RANK(Y82,Y$11:Y$333,1)+COUNTIF(Y$11:Y82,Y82)-1),(RANK(Y82,Y$11:Y$333)+COUNTIF(Y$11:Y82,Y82)-1)))</f>
        <v>24</v>
      </c>
      <c r="AA82" s="177" t="str">
        <f>IF(L82="","",VLOOKUP($L82,classifications!C:I,7,FALSE))</f>
        <v>Predominantly Rural</v>
      </c>
      <c r="AB82" s="173">
        <f t="shared" si="39"/>
        <v>91.666666666666657</v>
      </c>
      <c r="AC82" s="173">
        <f>IF(AB82="","",IF($I$8="A",(RANK(AB82,AB$11:AB$333)+COUNTIF(AB$11:AB82,AB82)-1),(RANK(AB82,AB$11:AB$333,1)+COUNTIF(AB$11:AB82,AB82)-1)))</f>
        <v>35</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Nottinghamshire</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East Midlands</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89.610389610389603</v>
      </c>
      <c r="G83" s="15"/>
      <c r="H83" s="41" t="str">
        <f t="shared" si="44"/>
        <v/>
      </c>
      <c r="I83" s="73" t="str">
        <f>IF(H83="","",IF($I$8="A",(RANK(H83,H$11:H$333,1)+COUNTIF(H$11:H83,H83)-1),(RANK(H83,H$11:H$333)+COUNTIF(H$11:H83,H83)-1)))</f>
        <v/>
      </c>
      <c r="J83" s="40"/>
      <c r="K83" s="35">
        <f t="shared" si="51"/>
        <v>73</v>
      </c>
      <c r="L83" t="str">
        <f t="shared" si="45"/>
        <v>Sevenoaks</v>
      </c>
      <c r="M83" s="109">
        <f t="shared" si="46"/>
        <v>91.666666666666657</v>
      </c>
      <c r="N83" s="104">
        <f t="shared" si="31"/>
        <v>91.666666666666657</v>
      </c>
      <c r="O83" s="89" t="str">
        <f t="shared" si="32"/>
        <v/>
      </c>
      <c r="P83" s="89">
        <f t="shared" si="33"/>
        <v>91.666666666666657</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 xml:space="preserve">Predominantly Rural </v>
      </c>
      <c r="Y83">
        <f t="shared" si="38"/>
        <v>91.666666666666657</v>
      </c>
      <c r="Z83" s="39">
        <f>IF(Y83="","",IF(I$8="A",(RANK(Y83,Y$11:Y$333,1)+COUNTIF(Y$11:Y83,Y83)-1),(RANK(Y83,Y$11:Y$333)+COUNTIF(Y$11:Y83,Y83)-1)))</f>
        <v>25</v>
      </c>
      <c r="AA83" s="177" t="str">
        <f>IF(L83="","",VLOOKUP($L83,classifications!C:I,7,FALSE))</f>
        <v>Predominantly Rural</v>
      </c>
      <c r="AB83" s="173">
        <f t="shared" si="39"/>
        <v>91.666666666666657</v>
      </c>
      <c r="AC83" s="173">
        <f>IF(AB83="","",IF($I$8="A",(RANK(AB83,AB$11:AB$333)+COUNTIF(AB$11:AB83,AB83)-1),(RANK(AB83,AB$11:AB$333,1)+COUNTIF(AB$11:AB83,AB83)-1)))</f>
        <v>36</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Kent</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South East</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89.610389610389603</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87.931034482758619</v>
      </c>
      <c r="G84" s="15"/>
      <c r="H84" s="41" t="str">
        <f t="shared" si="44"/>
        <v/>
      </c>
      <c r="I84" s="73" t="str">
        <f>IF(H84="","",IF($I$8="A",(RANK(H84,H$11:H$333,1)+COUNTIF(H$11:H84,H84)-1),(RANK(H84,H$11:H$333)+COUNTIF(H$11:H84,H84)-1)))</f>
        <v/>
      </c>
      <c r="J84" s="40"/>
      <c r="K84" s="35">
        <f t="shared" si="51"/>
        <v>74</v>
      </c>
      <c r="L84" t="str">
        <f t="shared" si="45"/>
        <v>Tonbridge &amp; Malling</v>
      </c>
      <c r="M84" s="109">
        <f t="shared" si="46"/>
        <v>91.666666666666657</v>
      </c>
      <c r="N84" s="104">
        <f t="shared" si="31"/>
        <v>91.666666666666657</v>
      </c>
      <c r="O84" s="89" t="str">
        <f t="shared" si="32"/>
        <v/>
      </c>
      <c r="P84" s="89">
        <f t="shared" si="33"/>
        <v>91.666666666666657</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Urban with Significant Rural</v>
      </c>
      <c r="Y84" t="str">
        <f t="shared" si="38"/>
        <v/>
      </c>
      <c r="Z84" s="39" t="str">
        <f>IF(Y84="","",IF(I$8="A",(RANK(Y84,Y$11:Y$333,1)+COUNTIF(Y$11:Y84,Y84)-1),(RANK(Y84,Y$11:Y$333)+COUNTIF(Y$11:Y84,Y84)-1)))</f>
        <v/>
      </c>
      <c r="AA84" s="177" t="str">
        <f>IF(L84="","",VLOOKUP($L84,classifications!C:I,7,FALSE))</f>
        <v>Urban with Significant Rural</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Kent</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East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87.931034482758619</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80.327868852459019</v>
      </c>
      <c r="G85" s="15"/>
      <c r="H85" s="41">
        <f t="shared" si="44"/>
        <v>80.327868852459019</v>
      </c>
      <c r="I85" s="73">
        <f>IF(H85="","",IF($I$8="A",(RANK(H85,H$11:H$333,1)+COUNTIF(H$11:H85,H85)-1),(RANK(H85,H$11:H$333)+COUNTIF(H$11:H85,H85)-1)))</f>
        <v>122</v>
      </c>
      <c r="J85" s="40"/>
      <c r="K85" s="35">
        <f t="shared" si="51"/>
        <v>75</v>
      </c>
      <c r="L85" t="str">
        <f t="shared" si="45"/>
        <v>Boston</v>
      </c>
      <c r="M85" s="109">
        <f t="shared" si="46"/>
        <v>91.428571428571431</v>
      </c>
      <c r="N85" s="104">
        <f t="shared" si="31"/>
        <v>91.428571428571431</v>
      </c>
      <c r="O85" s="89" t="str">
        <f t="shared" si="32"/>
        <v/>
      </c>
      <c r="P85" s="89">
        <f t="shared" si="33"/>
        <v>91.428571428571431</v>
      </c>
      <c r="Q85" s="89" t="str">
        <f t="shared" si="34"/>
        <v/>
      </c>
      <c r="R85" s="85" t="str">
        <f t="shared" si="35"/>
        <v/>
      </c>
      <c r="S85" s="41" t="str">
        <f t="shared" si="36"/>
        <v/>
      </c>
      <c r="T85" s="166" t="str">
        <f>IF(L85="","",VLOOKUP(L85,classifications!C:K,9,FALSE))</f>
        <v>Sparse</v>
      </c>
      <c r="U85" s="167">
        <f t="shared" si="37"/>
        <v>91.428571428571431</v>
      </c>
      <c r="V85" s="173">
        <f>IF(U85="","",IF($I$8="A",(RANK(U85,U$11:U$333)+COUNTIF(U$11:U85,U85)-1),(RANK(U85,U$11:U$333,1)+COUNTIF(U$11:U85,U85)-1)))</f>
        <v>29</v>
      </c>
      <c r="W85" s="174"/>
      <c r="X85" s="5" t="str">
        <f>IF(L85="","",VLOOKUP($L85,classifications!$C:$J,6,FALSE))</f>
        <v>Urban with Significant Rural</v>
      </c>
      <c r="Y85" t="str">
        <f t="shared" si="38"/>
        <v/>
      </c>
      <c r="Z85" s="39" t="str">
        <f>IF(Y85="","",IF(I$8="A",(RANK(Y85,Y$11:Y$333,1)+COUNTIF(Y$11:Y85,Y85)-1),(RANK(Y85,Y$11:Y$333)+COUNTIF(Y$11:Y85,Y85)-1)))</f>
        <v/>
      </c>
      <c r="AA85" s="177" t="str">
        <f>IF(L85="","",VLOOKUP($L85,classifications!C:I,7,FALSE))</f>
        <v>Urban with Significant Rural</v>
      </c>
      <c r="AB85" s="173" t="str">
        <f t="shared" si="39"/>
        <v/>
      </c>
      <c r="AC85" s="173" t="str">
        <f>IF(AB85="","",IF($I$8="A",(RANK(AB85,AB$11:AB$333)+COUNTIF(AB$11:AB85,AB85)-1),(RANK(AB85,AB$11:AB$333,1)+COUNTIF(AB$11:AB85,AB85)-1)))</f>
        <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Lincolnshire</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East Midlands</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80.327868852459019</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98.181818181818187</v>
      </c>
      <c r="G86" s="15"/>
      <c r="H86" s="41" t="str">
        <f t="shared" si="44"/>
        <v/>
      </c>
      <c r="I86" s="73" t="str">
        <f>IF(H86="","",IF($I$8="A",(RANK(H86,H$11:H$333,1)+COUNTIF(H$11:H86,H86)-1),(RANK(H86,H$11:H$333)+COUNTIF(H$11:H86,H86)-1)))</f>
        <v/>
      </c>
      <c r="J86" s="40"/>
      <c r="K86" s="35">
        <f t="shared" si="51"/>
        <v>76</v>
      </c>
      <c r="L86" t="str">
        <f t="shared" si="45"/>
        <v>South Holland</v>
      </c>
      <c r="M86" s="109">
        <f t="shared" si="46"/>
        <v>91.304347826086953</v>
      </c>
      <c r="N86" s="104">
        <f t="shared" si="31"/>
        <v>91.304347826086953</v>
      </c>
      <c r="O86" s="89" t="str">
        <f t="shared" si="32"/>
        <v/>
      </c>
      <c r="P86" s="89">
        <f t="shared" si="33"/>
        <v>91.304347826086953</v>
      </c>
      <c r="Q86" s="89" t="str">
        <f t="shared" si="34"/>
        <v/>
      </c>
      <c r="R86" s="85" t="str">
        <f t="shared" si="35"/>
        <v/>
      </c>
      <c r="S86" s="41" t="str">
        <f t="shared" si="36"/>
        <v/>
      </c>
      <c r="T86" s="166" t="str">
        <f>IF(L86="","",VLOOKUP(L86,classifications!C:K,9,FALSE))</f>
        <v>Sparse</v>
      </c>
      <c r="U86" s="167">
        <f t="shared" si="37"/>
        <v>91.304347826086953</v>
      </c>
      <c r="V86" s="173">
        <f>IF(U86="","",IF($I$8="A",(RANK(U86,U$11:U$333)+COUNTIF(U$11:U86,U86)-1),(RANK(U86,U$11:U$333,1)+COUNTIF(U$11:U86,U86)-1)))</f>
        <v>28</v>
      </c>
      <c r="W86" s="174"/>
      <c r="X86" s="5" t="str">
        <f>IF(L86="","",VLOOKUP($L86,classifications!$C:$J,6,FALSE))</f>
        <v xml:space="preserve">Predominantly Rural </v>
      </c>
      <c r="Y86">
        <f t="shared" si="38"/>
        <v>91.304347826086953</v>
      </c>
      <c r="Z86" s="39">
        <f>IF(Y86="","",IF(I$8="A",(RANK(Y86,Y$11:Y$333,1)+COUNTIF(Y$11:Y86,Y86)-1),(RANK(Y86,Y$11:Y$333)+COUNTIF(Y$11:Y86,Y86)-1)))</f>
        <v>26</v>
      </c>
      <c r="AA86" s="177" t="str">
        <f>IF(L86="","",VLOOKUP($L86,classifications!C:I,7,FALSE))</f>
        <v>Predominantly Rural</v>
      </c>
      <c r="AB86" s="173">
        <f t="shared" si="39"/>
        <v>91.304347826086953</v>
      </c>
      <c r="AC86" s="173">
        <f>IF(AB86="","",IF($I$8="A",(RANK(AB86,AB$11:AB$333)+COUNTIF(AB$11:AB86,AB86)-1),(RANK(AB86,AB$11:AB$333,1)+COUNTIF(AB$11:AB86,AB86)-1)))</f>
        <v>34</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Lincolnshire</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Midlands</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98.181818181818187</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86.274509803921575</v>
      </c>
      <c r="G87" s="15"/>
      <c r="H87" s="41" t="str">
        <f t="shared" si="44"/>
        <v/>
      </c>
      <c r="I87" s="73" t="str">
        <f>IF(H87="","",IF($I$8="A",(RANK(H87,H$11:H$333,1)+COUNTIF(H$11:H87,H87)-1),(RANK(H87,H$11:H$333)+COUNTIF(H$11:H87,H87)-1)))</f>
        <v/>
      </c>
      <c r="J87" s="40"/>
      <c r="K87" s="35">
        <f t="shared" si="51"/>
        <v>77</v>
      </c>
      <c r="L87" t="str">
        <f t="shared" si="45"/>
        <v>Babergh</v>
      </c>
      <c r="M87" s="109">
        <f t="shared" si="46"/>
        <v>90.909090909090907</v>
      </c>
      <c r="N87" s="104">
        <f t="shared" si="31"/>
        <v>90.909090909090907</v>
      </c>
      <c r="O87" s="89" t="str">
        <f t="shared" si="32"/>
        <v/>
      </c>
      <c r="P87" s="89">
        <f t="shared" si="33"/>
        <v>90.909090909090907</v>
      </c>
      <c r="Q87" s="89" t="str">
        <f t="shared" si="34"/>
        <v/>
      </c>
      <c r="R87" s="85" t="str">
        <f t="shared" si="35"/>
        <v/>
      </c>
      <c r="S87" s="41" t="str">
        <f t="shared" si="36"/>
        <v>u</v>
      </c>
      <c r="T87" s="166" t="str">
        <f>IF(L87="","",VLOOKUP(L87,classifications!C:K,9,FALSE))</f>
        <v>Sparse</v>
      </c>
      <c r="U87" s="167">
        <f t="shared" si="37"/>
        <v>90.909090909090907</v>
      </c>
      <c r="V87" s="173">
        <f>IF(U87="","",IF($I$8="A",(RANK(U87,U$11:U$333)+COUNTIF(U$11:U87,U87)-1),(RANK(U87,U$11:U$333,1)+COUNTIF(U$11:U87,U87)-1)))</f>
        <v>27</v>
      </c>
      <c r="W87" s="174"/>
      <c r="X87" s="5" t="str">
        <f>IF(L87="","",VLOOKUP($L87,classifications!$C:$J,6,FALSE))</f>
        <v xml:space="preserve">Predominantly Rural </v>
      </c>
      <c r="Y87">
        <f t="shared" si="38"/>
        <v>90.909090909090907</v>
      </c>
      <c r="Z87" s="39">
        <f>IF(Y87="","",IF(I$8="A",(RANK(Y87,Y$11:Y$333,1)+COUNTIF(Y$11:Y87,Y87)-1),(RANK(Y87,Y$11:Y$333)+COUNTIF(Y$11:Y87,Y87)-1)))</f>
        <v>27</v>
      </c>
      <c r="AA87" s="177" t="str">
        <f>IF(L87="","",VLOOKUP($L87,classifications!C:I,7,FALSE))</f>
        <v>Predominantly Rural</v>
      </c>
      <c r="AB87" s="173">
        <f t="shared" si="39"/>
        <v>90.909090909090907</v>
      </c>
      <c r="AC87" s="173">
        <f>IF(AB87="","",IF($I$8="A",(RANK(AB87,AB$11:AB$333)+COUNTIF(AB$11:AB87,AB87)-1),(RANK(AB87,AB$11:AB$333,1)+COUNTIF(AB$11:AB87,AB87)-1)))</f>
        <v>33</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Suffolk</v>
      </c>
      <c r="AJ87" s="42">
        <f t="shared" si="41"/>
        <v>90.909090909090907</v>
      </c>
      <c r="AK87" s="39">
        <f>IF(AJ87="","",IF(I$8="A",(RANK(AJ87,AJ$11:AJ$333,1)+COUNTIF(AJ$11:AJ87,AJ87)-1),(RANK(AJ87,AJ$11:AJ$333)+COUNTIF(AJ$11:AJ87,AJ87)-1)))</f>
        <v>4</v>
      </c>
      <c r="AL87" s="3" t="str">
        <f t="shared" si="53"/>
        <v/>
      </c>
      <c r="AM87" t="str">
        <f t="shared" si="47"/>
        <v/>
      </c>
      <c r="AN87" t="str">
        <f t="shared" si="48"/>
        <v/>
      </c>
      <c r="AP87" s="5" t="str">
        <f>IF(L87="","",VLOOKUP($L87,classifications!$C:$E,3,FALSE))</f>
        <v>East of England</v>
      </c>
      <c r="AQ87" s="42">
        <f t="shared" si="42"/>
        <v>90.909090909090907</v>
      </c>
      <c r="AR87" s="39">
        <f>IF(AQ87="","",IF(I$8="A",(RANK(AQ87,AQ$11:AQ$333,1)+COUNTIF(AQ$11:AQ87,AQ87)-1),(RANK(AQ87,AQ$11:AQ$333)+COUNTIF(AQ$11:AQ87,AQ87)-1)))</f>
        <v>18</v>
      </c>
      <c r="AS87" s="3" t="str">
        <f t="shared" si="54"/>
        <v/>
      </c>
      <c r="AT87" s="39" t="str">
        <f t="shared" si="49"/>
        <v/>
      </c>
      <c r="AU87" s="42" t="str">
        <f t="shared" si="50"/>
        <v/>
      </c>
      <c r="AX87">
        <f>HLOOKUP($AX$9&amp;$AX$10,Data!$A$1:$ZT$1975,(MATCH($C87,Data!$A$1:$A$1975,0)),FALSE)</f>
        <v>86.274509803921575</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Bromsgrove</v>
      </c>
      <c r="M88" s="109">
        <f t="shared" si="46"/>
        <v>90.909090909090907</v>
      </c>
      <c r="N88" s="104">
        <f t="shared" si="31"/>
        <v>90.909090909090907</v>
      </c>
      <c r="O88" s="89" t="str">
        <f t="shared" si="32"/>
        <v/>
      </c>
      <c r="P88" s="89">
        <f t="shared" si="33"/>
        <v>90.909090909090907</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Predominantly Urban</v>
      </c>
      <c r="Y88" t="str">
        <f t="shared" si="38"/>
        <v/>
      </c>
      <c r="Z88" s="39" t="str">
        <f>IF(Y88="","",IF(I$8="A",(RANK(Y88,Y$11:Y$333,1)+COUNTIF(Y$11:Y88,Y88)-1),(RANK(Y88,Y$11:Y$333)+COUNTIF(Y$11:Y88,Y88)-1)))</f>
        <v/>
      </c>
      <c r="AA88" s="177" t="str">
        <f>IF(L88="","",VLOOKUP($L88,classifications!C:I,7,FALSE))</f>
        <v>Predominantly Urban</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Worcestershire</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West Midlands</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98.148148148148152</v>
      </c>
      <c r="G89" s="15"/>
      <c r="H89" s="41">
        <f t="shared" si="44"/>
        <v>98.148148148148152</v>
      </c>
      <c r="I89" s="73">
        <f>IF(H89="","",IF($I$8="A",(RANK(H89,H$11:H$333,1)+COUNTIF(H$11:H89,H89)-1),(RANK(H89,H$11:H$333)+COUNTIF(H$11:H89,H89)-1)))</f>
        <v>26</v>
      </c>
      <c r="J89" s="40"/>
      <c r="K89" s="35">
        <f t="shared" si="51"/>
        <v>79</v>
      </c>
      <c r="L89" t="str">
        <f t="shared" si="45"/>
        <v>Lancaster</v>
      </c>
      <c r="M89" s="109">
        <f t="shared" si="46"/>
        <v>90.625</v>
      </c>
      <c r="N89" s="104">
        <f t="shared" si="31"/>
        <v>90.625</v>
      </c>
      <c r="O89" s="89" t="str">
        <f t="shared" si="32"/>
        <v/>
      </c>
      <c r="P89" s="89">
        <f t="shared" si="33"/>
        <v>90.625</v>
      </c>
      <c r="Q89" s="89" t="str">
        <f t="shared" si="34"/>
        <v/>
      </c>
      <c r="R89" s="85" t="str">
        <f t="shared" si="35"/>
        <v/>
      </c>
      <c r="S89" s="41" t="str">
        <f t="shared" si="36"/>
        <v/>
      </c>
      <c r="T89" s="166">
        <f>IF(L89="","",VLOOKUP(L89,classifications!C:K,9,FALSE))</f>
        <v>0</v>
      </c>
      <c r="U89" s="167" t="str">
        <f t="shared" si="37"/>
        <v/>
      </c>
      <c r="V89" s="173" t="str">
        <f>IF(U89="","",IF($I$8="A",(RANK(U89,U$11:U$333)+COUNTIF(U$11:U89,U89)-1),(RANK(U89,U$11:U$333,1)+COUNTIF(U$11:U89,U89)-1)))</f>
        <v/>
      </c>
      <c r="W89" s="174"/>
      <c r="X89" s="5" t="str">
        <f>IF(L89="","",VLOOKUP($L89,classifications!$C:$J,6,FALSE))</f>
        <v>Urban with Significant Rural</v>
      </c>
      <c r="Y89" t="str">
        <f t="shared" si="38"/>
        <v/>
      </c>
      <c r="Z89" s="39" t="str">
        <f>IF(Y89="","",IF(I$8="A",(RANK(Y89,Y$11:Y$333,1)+COUNTIF(Y$11:Y89,Y89)-1),(RANK(Y89,Y$11:Y$333)+COUNTIF(Y$11:Y89,Y89)-1)))</f>
        <v/>
      </c>
      <c r="AA89" s="177" t="str">
        <f>IF(L89="","",VLOOKUP($L89,classifications!C:I,7,FALSE))</f>
        <v>Urban with Significant Rural</v>
      </c>
      <c r="AB89" s="173" t="str">
        <f t="shared" si="39"/>
        <v/>
      </c>
      <c r="AC89" s="173" t="str">
        <f>IF(AB89="","",IF($I$8="A",(RANK(AB89,AB$11:AB$333)+COUNTIF(AB$11:AB89,AB89)-1),(RANK(AB89,AB$11:AB$333,1)+COUNTIF(AB$11:AB89,AB89)-1)))</f>
        <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Lancashire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North West</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98.148148148148152</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50</v>
      </c>
      <c r="G90" s="15"/>
      <c r="H90" s="41">
        <f t="shared" si="44"/>
        <v>50</v>
      </c>
      <c r="I90" s="73">
        <f>IF(H90="","",IF($I$8="A",(RANK(H90,H$11:H$333,1)+COUNTIF(H$11:H90,H90)-1),(RANK(H90,H$11:H$333)+COUNTIF(H$11:H90,H90)-1)))</f>
        <v>162</v>
      </c>
      <c r="J90" s="40"/>
      <c r="K90" s="35">
        <f t="shared" si="51"/>
        <v>80</v>
      </c>
      <c r="L90" t="str">
        <f t="shared" si="45"/>
        <v>South Derbyshire</v>
      </c>
      <c r="M90" s="109">
        <f t="shared" si="46"/>
        <v>90.625</v>
      </c>
      <c r="N90" s="104">
        <f t="shared" si="31"/>
        <v>90.625</v>
      </c>
      <c r="O90" s="89" t="str">
        <f t="shared" si="32"/>
        <v/>
      </c>
      <c r="P90" s="89">
        <f t="shared" si="33"/>
        <v>90.625</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Urban with Significant Rural</v>
      </c>
      <c r="Y90" t="str">
        <f t="shared" si="38"/>
        <v/>
      </c>
      <c r="Z90" s="39" t="str">
        <f>IF(Y90="","",IF(I$8="A",(RANK(Y90,Y$11:Y$333,1)+COUNTIF(Y$11:Y90,Y90)-1),(RANK(Y90,Y$11:Y$333)+COUNTIF(Y$11:Y90,Y90)-1)))</f>
        <v/>
      </c>
      <c r="AA90" s="177" t="str">
        <f>IF(L90="","",VLOOKUP($L90,classifications!C:I,7,FALSE))</f>
        <v>Urban with Significant Rural</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Derbyshire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Midlands</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50</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68</v>
      </c>
      <c r="G91" s="15"/>
      <c r="H91" s="41">
        <f t="shared" si="44"/>
        <v>68</v>
      </c>
      <c r="I91" s="73">
        <f>IF(H91="","",IF($I$8="A",(RANK(H91,H$11:H$333,1)+COUNTIF(H$11:H91,H91)-1),(RANK(H91,H$11:H$333)+COUNTIF(H$11:H91,H91)-1)))</f>
        <v>151</v>
      </c>
      <c r="J91" s="40"/>
      <c r="K91" s="35">
        <f t="shared" si="51"/>
        <v>81</v>
      </c>
      <c r="L91" t="str">
        <f t="shared" si="45"/>
        <v>Vale of White Horse</v>
      </c>
      <c r="M91" s="109">
        <f t="shared" si="46"/>
        <v>90.476190476190482</v>
      </c>
      <c r="N91" s="104">
        <f t="shared" si="31"/>
        <v>90.476190476190482</v>
      </c>
      <c r="O91" s="89" t="str">
        <f t="shared" si="32"/>
        <v/>
      </c>
      <c r="P91" s="89">
        <f t="shared" si="33"/>
        <v>90.476190476190482</v>
      </c>
      <c r="Q91" s="89" t="str">
        <f t="shared" si="34"/>
        <v/>
      </c>
      <c r="R91" s="85" t="str">
        <f t="shared" si="35"/>
        <v/>
      </c>
      <c r="S91" s="41" t="str">
        <f t="shared" si="36"/>
        <v/>
      </c>
      <c r="T91" s="166" t="str">
        <f>IF(L91="","",VLOOKUP(L91,classifications!C:K,9,FALSE))</f>
        <v>Sparse</v>
      </c>
      <c r="U91" s="167">
        <f t="shared" si="37"/>
        <v>90.476190476190482</v>
      </c>
      <c r="V91" s="173">
        <f>IF(U91="","",IF($I$8="A",(RANK(U91,U$11:U$333)+COUNTIF(U$11:U91,U91)-1),(RANK(U91,U$11:U$333,1)+COUNTIF(U$11:U91,U91)-1)))</f>
        <v>26</v>
      </c>
      <c r="W91" s="174"/>
      <c r="X91" s="5" t="str">
        <f>IF(L91="","",VLOOKUP($L91,classifications!$C:$J,6,FALSE))</f>
        <v xml:space="preserve">Predominantly Rural </v>
      </c>
      <c r="Y91">
        <f t="shared" si="38"/>
        <v>90.476190476190482</v>
      </c>
      <c r="Z91" s="39">
        <f>IF(Y91="","",IF(I$8="A",(RANK(Y91,Y$11:Y$333,1)+COUNTIF(Y$11:Y91,Y91)-1),(RANK(Y91,Y$11:Y$333)+COUNTIF(Y$11:Y91,Y91)-1)))</f>
        <v>28</v>
      </c>
      <c r="AA91" s="177" t="str">
        <f>IF(L91="","",VLOOKUP($L91,classifications!C:I,7,FALSE))</f>
        <v>Predominantly Rural</v>
      </c>
      <c r="AB91" s="173">
        <f t="shared" si="39"/>
        <v>90.476190476190482</v>
      </c>
      <c r="AC91" s="173">
        <f>IF(AB91="","",IF($I$8="A",(RANK(AB91,AB$11:AB$333)+COUNTIF(AB$11:AB91,AB91)-1),(RANK(AB91,AB$11:AB$333,1)+COUNTIF(AB$11:AB91,AB91)-1)))</f>
        <v>32</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Oxfordshire</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East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68</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67.741935483870961</v>
      </c>
      <c r="G92" s="15"/>
      <c r="H92" s="41">
        <f t="shared" si="44"/>
        <v>67.741935483870961</v>
      </c>
      <c r="I92" s="73">
        <f>IF(H92="","",IF($I$8="A",(RANK(H92,H$11:H$333,1)+COUNTIF(H$11:H92,H92)-1),(RANK(H92,H$11:H$333)+COUNTIF(H$11:H92,H92)-1)))</f>
        <v>152</v>
      </c>
      <c r="J92" s="40"/>
      <c r="K92" s="35">
        <f t="shared" si="51"/>
        <v>82</v>
      </c>
      <c r="L92" t="str">
        <f t="shared" si="45"/>
        <v>Broxbourne</v>
      </c>
      <c r="M92" s="109">
        <f t="shared" si="46"/>
        <v>90</v>
      </c>
      <c r="N92" s="104">
        <f t="shared" si="31"/>
        <v>90</v>
      </c>
      <c r="O92" s="89" t="str">
        <f t="shared" si="32"/>
        <v/>
      </c>
      <c r="P92" s="89">
        <f t="shared" si="33"/>
        <v>90</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Hertfordshire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East of England</v>
      </c>
      <c r="AQ92" s="42">
        <f t="shared" si="42"/>
        <v>90</v>
      </c>
      <c r="AR92" s="39">
        <f>IF(AQ92="","",IF(I$8="A",(RANK(AQ92,AQ$11:AQ$333,1)+COUNTIF(AQ$11:AQ92,AQ92)-1),(RANK(AQ92,AQ$11:AQ$333)+COUNTIF(AQ$11:AQ92,AQ92)-1)))</f>
        <v>19</v>
      </c>
      <c r="AS92" s="3" t="str">
        <f t="shared" si="54"/>
        <v/>
      </c>
      <c r="AT92" s="39" t="str">
        <f t="shared" si="49"/>
        <v/>
      </c>
      <c r="AU92" s="42" t="str">
        <f t="shared" si="50"/>
        <v/>
      </c>
      <c r="AX92">
        <f>HLOOKUP($AX$9&amp;$AX$10,Data!$A$1:$ZT$1975,(MATCH($C92,Data!$A$1:$A$1975,0)),FALSE)</f>
        <v>67.741935483870961</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61.95652173913043</v>
      </c>
      <c r="G93" s="15"/>
      <c r="H93" s="41">
        <f t="shared" si="44"/>
        <v>61.95652173913043</v>
      </c>
      <c r="I93" s="73">
        <f>IF(H93="","",IF($I$8="A",(RANK(H93,H$11:H$333,1)+COUNTIF(H$11:H93,H93)-1),(RANK(H93,H$11:H$333)+COUNTIF(H$11:H93,H93)-1)))</f>
        <v>155</v>
      </c>
      <c r="J93" s="40"/>
      <c r="K93" s="35">
        <f t="shared" si="51"/>
        <v>83</v>
      </c>
      <c r="L93" t="str">
        <f t="shared" si="45"/>
        <v>Cotswold</v>
      </c>
      <c r="M93" s="109">
        <f t="shared" si="46"/>
        <v>90</v>
      </c>
      <c r="N93" s="104">
        <f t="shared" si="31"/>
        <v>90</v>
      </c>
      <c r="O93" s="89" t="str">
        <f t="shared" si="32"/>
        <v/>
      </c>
      <c r="P93" s="89">
        <f t="shared" si="33"/>
        <v>90</v>
      </c>
      <c r="Q93" s="89" t="str">
        <f t="shared" si="34"/>
        <v/>
      </c>
      <c r="R93" s="85" t="str">
        <f t="shared" si="35"/>
        <v/>
      </c>
      <c r="S93" s="41" t="str">
        <f t="shared" si="36"/>
        <v/>
      </c>
      <c r="T93" s="166" t="str">
        <f>IF(L93="","",VLOOKUP(L93,classifications!C:K,9,FALSE))</f>
        <v>Sparse</v>
      </c>
      <c r="U93" s="167">
        <f t="shared" si="37"/>
        <v>90</v>
      </c>
      <c r="V93" s="173">
        <f>IF(U93="","",IF($I$8="A",(RANK(U93,U$11:U$333)+COUNTIF(U$11:U93,U93)-1),(RANK(U93,U$11:U$333,1)+COUNTIF(U$11:U93,U93)-1)))</f>
        <v>24</v>
      </c>
      <c r="W93" s="174"/>
      <c r="X93" s="5" t="str">
        <f>IF(L93="","",VLOOKUP($L93,classifications!$C:$J,6,FALSE))</f>
        <v xml:space="preserve">Predominantly Rural </v>
      </c>
      <c r="Y93">
        <f t="shared" si="38"/>
        <v>90</v>
      </c>
      <c r="Z93" s="39">
        <f>IF(Y93="","",IF(I$8="A",(RANK(Y93,Y$11:Y$333,1)+COUNTIF(Y$11:Y93,Y93)-1),(RANK(Y93,Y$11:Y$333)+COUNTIF(Y$11:Y93,Y93)-1)))</f>
        <v>29</v>
      </c>
      <c r="AA93" s="177" t="str">
        <f>IF(L93="","",VLOOKUP($L93,classifications!C:I,7,FALSE))</f>
        <v>Predominantly Rural</v>
      </c>
      <c r="AB93" s="173">
        <f t="shared" si="39"/>
        <v>90</v>
      </c>
      <c r="AC93" s="173">
        <f>IF(AB93="","",IF($I$8="A",(RANK(AB93,AB$11:AB$333)+COUNTIF(AB$11:AB93,AB93)-1),(RANK(AB93,AB$11:AB$333,1)+COUNTIF(AB$11:AB93,AB93)-1)))</f>
        <v>30</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Gloucestershire</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South West</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61.95652173913043</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96.644295302013433</v>
      </c>
      <c r="G94" s="15"/>
      <c r="H94" s="41" t="str">
        <f t="shared" si="44"/>
        <v/>
      </c>
      <c r="I94" s="73" t="str">
        <f>IF(H94="","",IF($I$8="A",(RANK(H94,H$11:H$333,1)+COUNTIF(H$11:H94,H94)-1),(RANK(H94,H$11:H$333)+COUNTIF(H$11:H94,H94)-1)))</f>
        <v/>
      </c>
      <c r="J94" s="40"/>
      <c r="K94" s="35">
        <f t="shared" si="51"/>
        <v>84</v>
      </c>
      <c r="L94" t="str">
        <f t="shared" si="45"/>
        <v>Havant</v>
      </c>
      <c r="M94" s="109">
        <f t="shared" si="46"/>
        <v>90</v>
      </c>
      <c r="N94" s="104">
        <f t="shared" si="31"/>
        <v>90</v>
      </c>
      <c r="O94" s="89" t="str">
        <f t="shared" si="32"/>
        <v/>
      </c>
      <c r="P94" s="89">
        <f t="shared" si="33"/>
        <v>90</v>
      </c>
      <c r="Q94" s="89" t="str">
        <f t="shared" si="34"/>
        <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Predominantly Urban</v>
      </c>
      <c r="Y94" t="str">
        <f t="shared" si="38"/>
        <v/>
      </c>
      <c r="Z94" s="39" t="str">
        <f>IF(Y94="","",IF(I$8="A",(RANK(Y94,Y$11:Y$333,1)+COUNTIF(Y$11:Y94,Y94)-1),(RANK(Y94,Y$11:Y$333)+COUNTIF(Y$11:Y94,Y94)-1)))</f>
        <v/>
      </c>
      <c r="AA94" s="177" t="str">
        <f>IF(L94="","",VLOOKUP($L94,classifications!C:I,7,FALSE))</f>
        <v>Predominantly Urban</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Hampshire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South East</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96.644295302013433</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100</v>
      </c>
      <c r="G95" s="15"/>
      <c r="H95" s="41">
        <f t="shared" si="44"/>
        <v>100</v>
      </c>
      <c r="I95" s="73">
        <f>IF(H95="","",IF($I$8="A",(RANK(H95,H$11:H$333,1)+COUNTIF(H$11:H95,H95)-1),(RANK(H95,H$11:H$333)+COUNTIF(H$11:H95,H95)-1)))</f>
        <v>7</v>
      </c>
      <c r="J95" s="40"/>
      <c r="K95" s="35">
        <f t="shared" si="51"/>
        <v>85</v>
      </c>
      <c r="L95" t="str">
        <f t="shared" si="45"/>
        <v>Wychavon</v>
      </c>
      <c r="M95" s="109">
        <f t="shared" si="46"/>
        <v>90</v>
      </c>
      <c r="N95" s="104">
        <f t="shared" si="31"/>
        <v>90</v>
      </c>
      <c r="O95" s="89" t="str">
        <f t="shared" si="32"/>
        <v/>
      </c>
      <c r="P95" s="89">
        <f t="shared" si="33"/>
        <v>90</v>
      </c>
      <c r="Q95" s="89" t="str">
        <f t="shared" si="34"/>
        <v/>
      </c>
      <c r="R95" s="85" t="str">
        <f t="shared" si="35"/>
        <v/>
      </c>
      <c r="S95" s="41" t="str">
        <f t="shared" si="36"/>
        <v/>
      </c>
      <c r="T95" s="166" t="str">
        <f>IF(L95="","",VLOOKUP(L95,classifications!C:K,9,FALSE))</f>
        <v>Sparse</v>
      </c>
      <c r="U95" s="167">
        <f t="shared" si="37"/>
        <v>90</v>
      </c>
      <c r="V95" s="173">
        <f>IF(U95="","",IF($I$8="A",(RANK(U95,U$11:U$333)+COUNTIF(U$11:U95,U95)-1),(RANK(U95,U$11:U$333,1)+COUNTIF(U$11:U95,U95)-1)))</f>
        <v>25</v>
      </c>
      <c r="W95" s="174"/>
      <c r="X95" s="5" t="str">
        <f>IF(L95="","",VLOOKUP($L95,classifications!$C:$J,6,FALSE))</f>
        <v xml:space="preserve">Predominantly Rural </v>
      </c>
      <c r="Y95">
        <f t="shared" si="38"/>
        <v>90</v>
      </c>
      <c r="Z95" s="39">
        <f>IF(Y95="","",IF(I$8="A",(RANK(Y95,Y$11:Y$333,1)+COUNTIF(Y$11:Y95,Y95)-1),(RANK(Y95,Y$11:Y$333)+COUNTIF(Y$11:Y95,Y95)-1)))</f>
        <v>30</v>
      </c>
      <c r="AA95" s="177" t="str">
        <f>IF(L95="","",VLOOKUP($L95,classifications!C:I,7,FALSE))</f>
        <v>Predominantly Rural</v>
      </c>
      <c r="AB95" s="173">
        <f t="shared" si="39"/>
        <v>90</v>
      </c>
      <c r="AC95" s="173">
        <f>IF(AB95="","",IF($I$8="A",(RANK(AB95,AB$11:AB$333)+COUNTIF(AB$11:AB95,AB95)-1),(RANK(AB95,AB$11:AB$333,1)+COUNTIF(AB$11:AB95,AB95)-1)))</f>
        <v>31</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Worcestershire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West Midlands</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100</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91.83673469387756</v>
      </c>
      <c r="G96" s="15"/>
      <c r="H96" s="41">
        <f t="shared" si="44"/>
        <v>91.83673469387756</v>
      </c>
      <c r="I96" s="73">
        <f>IF(H96="","",IF($I$8="A",(RANK(H96,H$11:H$333,1)+COUNTIF(H$11:H96,H96)-1),(RANK(H96,H$11:H$333)+COUNTIF(H$11:H96,H96)-1)))</f>
        <v>70</v>
      </c>
      <c r="J96" s="40"/>
      <c r="K96" s="35">
        <f t="shared" si="51"/>
        <v>86</v>
      </c>
      <c r="L96" t="str">
        <f t="shared" si="45"/>
        <v>Mid Suffolk</v>
      </c>
      <c r="M96" s="109">
        <f t="shared" si="46"/>
        <v>89.830508474576277</v>
      </c>
      <c r="N96" s="104">
        <f t="shared" si="31"/>
        <v>89.830508474576277</v>
      </c>
      <c r="O96" s="89" t="str">
        <f t="shared" si="32"/>
        <v/>
      </c>
      <c r="P96" s="89" t="str">
        <f t="shared" si="33"/>
        <v/>
      </c>
      <c r="Q96" s="89">
        <f t="shared" si="34"/>
        <v>89.830508474576277</v>
      </c>
      <c r="R96" s="85" t="str">
        <f t="shared" si="35"/>
        <v/>
      </c>
      <c r="S96" s="41" t="str">
        <f t="shared" si="36"/>
        <v/>
      </c>
      <c r="T96" s="166" t="str">
        <f>IF(L96="","",VLOOKUP(L96,classifications!C:K,9,FALSE))</f>
        <v>Sparse</v>
      </c>
      <c r="U96" s="167">
        <f t="shared" si="37"/>
        <v>89.830508474576277</v>
      </c>
      <c r="V96" s="173">
        <f>IF(U96="","",IF($I$8="A",(RANK(U96,U$11:U$333)+COUNTIF(U$11:U96,U96)-1),(RANK(U96,U$11:U$333,1)+COUNTIF(U$11:U96,U96)-1)))</f>
        <v>23</v>
      </c>
      <c r="W96" s="174"/>
      <c r="X96" s="5" t="str">
        <f>IF(L96="","",VLOOKUP($L96,classifications!$C:$J,6,FALSE))</f>
        <v xml:space="preserve">Predominantly Rural </v>
      </c>
      <c r="Y96">
        <f t="shared" si="38"/>
        <v>89.830508474576277</v>
      </c>
      <c r="Z96" s="39">
        <f>IF(Y96="","",IF(I$8="A",(RANK(Y96,Y$11:Y$333,1)+COUNTIF(Y$11:Y96,Y96)-1),(RANK(Y96,Y$11:Y$333)+COUNTIF(Y$11:Y96,Y96)-1)))</f>
        <v>31</v>
      </c>
      <c r="AA96" s="177" t="str">
        <f>IF(L96="","",VLOOKUP($L96,classifications!C:I,7,FALSE))</f>
        <v>Predominantly Rural</v>
      </c>
      <c r="AB96" s="173">
        <f t="shared" si="39"/>
        <v>89.830508474576277</v>
      </c>
      <c r="AC96" s="173">
        <f>IF(AB96="","",IF($I$8="A",(RANK(AB96,AB$11:AB$333)+COUNTIF(AB$11:AB96,AB96)-1),(RANK(AB96,AB$11:AB$333,1)+COUNTIF(AB$11:AB96,AB96)-1)))</f>
        <v>29</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Suffolk</v>
      </c>
      <c r="AJ96" s="42">
        <f t="shared" si="41"/>
        <v>89.830508474576277</v>
      </c>
      <c r="AK96" s="39">
        <f>IF(AJ96="","",IF(I$8="A",(RANK(AJ96,AJ$11:AJ$333,1)+COUNTIF(AJ$11:AJ96,AJ96)-1),(RANK(AJ96,AJ$11:AJ$333)+COUNTIF(AJ$11:AJ96,AJ96)-1)))</f>
        <v>5</v>
      </c>
      <c r="AL96" s="3" t="str">
        <f t="shared" si="53"/>
        <v/>
      </c>
      <c r="AM96" t="str">
        <f t="shared" si="47"/>
        <v/>
      </c>
      <c r="AN96" t="str">
        <f t="shared" si="48"/>
        <v/>
      </c>
      <c r="AP96" s="5" t="str">
        <f>IF(L96="","",VLOOKUP($L96,classifications!$C:$E,3,FALSE))</f>
        <v>East of England</v>
      </c>
      <c r="AQ96" s="42">
        <f t="shared" si="42"/>
        <v>89.830508474576277</v>
      </c>
      <c r="AR96" s="39">
        <f>IF(AQ96="","",IF(I$8="A",(RANK(AQ96,AQ$11:AQ$333,1)+COUNTIF(AQ$11:AQ96,AQ96)-1),(RANK(AQ96,AQ$11:AQ$333)+COUNTIF(AQ$11:AQ96,AQ96)-1)))</f>
        <v>20</v>
      </c>
      <c r="AS96" s="3" t="str">
        <f t="shared" si="54"/>
        <v/>
      </c>
      <c r="AT96" s="39" t="str">
        <f t="shared" si="49"/>
        <v/>
      </c>
      <c r="AU96" s="42" t="str">
        <f t="shared" si="50"/>
        <v/>
      </c>
      <c r="AX96">
        <f>HLOOKUP($AX$9&amp;$AX$10,Data!$A$1:$ZT$1975,(MATCH($C96,Data!$A$1:$A$1975,0)),FALSE)</f>
        <v>91.83673469387756</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Stafford</v>
      </c>
      <c r="M97" s="109">
        <f t="shared" si="46"/>
        <v>89.473684210526315</v>
      </c>
      <c r="N97" s="104">
        <f t="shared" si="31"/>
        <v>89.473684210526315</v>
      </c>
      <c r="O97" s="89" t="str">
        <f t="shared" si="32"/>
        <v/>
      </c>
      <c r="P97" s="89" t="str">
        <f t="shared" si="33"/>
        <v/>
      </c>
      <c r="Q97" s="89">
        <f t="shared" si="34"/>
        <v>89.473684210526315</v>
      </c>
      <c r="R97" s="85" t="str">
        <f t="shared" si="35"/>
        <v/>
      </c>
      <c r="S97" s="41" t="str">
        <f t="shared" si="36"/>
        <v/>
      </c>
      <c r="T97" s="166" t="str">
        <f>IF(L97="","",VLOOKUP(L97,classifications!C:K,9,FALSE))</f>
        <v>Sparse</v>
      </c>
      <c r="U97" s="167">
        <f t="shared" si="37"/>
        <v>89.473684210526315</v>
      </c>
      <c r="V97" s="173">
        <f>IF(U97="","",IF($I$8="A",(RANK(U97,U$11:U$333)+COUNTIF(U$11:U97,U97)-1),(RANK(U97,U$11:U$333,1)+COUNTIF(U$11:U97,U97)-1)))</f>
        <v>22</v>
      </c>
      <c r="W97" s="174"/>
      <c r="X97" s="5" t="str">
        <f>IF(L97="","",VLOOKUP($L97,classifications!$C:$J,6,FALSE))</f>
        <v>Urban with Significant Rural</v>
      </c>
      <c r="Y97" t="str">
        <f t="shared" si="38"/>
        <v/>
      </c>
      <c r="Z97" s="39" t="str">
        <f>IF(Y97="","",IF(I$8="A",(RANK(Y97,Y$11:Y$333,1)+COUNTIF(Y$11:Y97,Y97)-1),(RANK(Y97,Y$11:Y$333)+COUNTIF(Y$11:Y97,Y97)-1)))</f>
        <v/>
      </c>
      <c r="AA97" s="177" t="str">
        <f>IF(L97="","",VLOOKUP($L97,classifications!C:I,7,FALSE))</f>
        <v>Urban with Significant Rural</v>
      </c>
      <c r="AB97" s="173" t="str">
        <f t="shared" si="39"/>
        <v/>
      </c>
      <c r="AC97" s="173" t="str">
        <f>IF(AB97="","",IF($I$8="A",(RANK(AB97,AB$11:AB$333)+COUNTIF(AB$11:AB97,AB97)-1),(RANK(AB97,AB$11:AB$333,1)+COUNTIF(AB$11:AB97,AB97)-1)))</f>
        <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Staffordshire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West Midlands</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85.714285714285708</v>
      </c>
      <c r="G98" s="15"/>
      <c r="H98" s="41">
        <f t="shared" si="44"/>
        <v>85.714285714285708</v>
      </c>
      <c r="I98" s="73">
        <f>IF(H98="","",IF($I$8="A",(RANK(H98,H$11:H$333,1)+COUNTIF(H$11:H98,H98)-1),(RANK(H98,H$11:H$333)+COUNTIF(H$11:H98,H98)-1)))</f>
        <v>106</v>
      </c>
      <c r="J98" s="40"/>
      <c r="K98" s="35">
        <f t="shared" si="51"/>
        <v>88</v>
      </c>
      <c r="L98" t="str">
        <f t="shared" si="45"/>
        <v>Huntingdonshire</v>
      </c>
      <c r="M98" s="109">
        <f t="shared" si="46"/>
        <v>89.361702127659569</v>
      </c>
      <c r="N98" s="104">
        <f t="shared" si="31"/>
        <v>89.361702127659569</v>
      </c>
      <c r="O98" s="89" t="str">
        <f t="shared" si="32"/>
        <v/>
      </c>
      <c r="P98" s="89" t="str">
        <f t="shared" si="33"/>
        <v/>
      </c>
      <c r="Q98" s="89">
        <f t="shared" si="34"/>
        <v>89.361702127659569</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 xml:space="preserve">Predominantly Rural </v>
      </c>
      <c r="Y98">
        <f t="shared" si="38"/>
        <v>89.361702127659569</v>
      </c>
      <c r="Z98" s="39">
        <f>IF(Y98="","",IF(I$8="A",(RANK(Y98,Y$11:Y$333,1)+COUNTIF(Y$11:Y98,Y98)-1),(RANK(Y98,Y$11:Y$333)+COUNTIF(Y$11:Y98,Y98)-1)))</f>
        <v>32</v>
      </c>
      <c r="AA98" s="177" t="str">
        <f>IF(L98="","",VLOOKUP($L98,classifications!C:I,7,FALSE))</f>
        <v>Predominantly Rural</v>
      </c>
      <c r="AB98" s="173">
        <f t="shared" si="39"/>
        <v>89.361702127659569</v>
      </c>
      <c r="AC98" s="173">
        <f>IF(AB98="","",IF($I$8="A",(RANK(AB98,AB$11:AB$333)+COUNTIF(AB$11:AB98,AB98)-1),(RANK(AB98,AB$11:AB$333,1)+COUNTIF(AB$11:AB98,AB98)-1)))</f>
        <v>28</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Cambridgeshire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East of England</v>
      </c>
      <c r="AQ98" s="42">
        <f t="shared" si="42"/>
        <v>89.361702127659569</v>
      </c>
      <c r="AR98" s="39">
        <f>IF(AQ98="","",IF(I$8="A",(RANK(AQ98,AQ$11:AQ$333,1)+COUNTIF(AQ$11:AQ98,AQ98)-1),(RANK(AQ98,AQ$11:AQ$333)+COUNTIF(AQ$11:AQ98,AQ98)-1)))</f>
        <v>21</v>
      </c>
      <c r="AS98" s="3" t="str">
        <f t="shared" si="54"/>
        <v/>
      </c>
      <c r="AT98" s="39" t="str">
        <f t="shared" si="49"/>
        <v/>
      </c>
      <c r="AU98" s="42" t="str">
        <f t="shared" si="50"/>
        <v/>
      </c>
      <c r="AX98">
        <f>HLOOKUP($AX$9&amp;$AX$10,Data!$A$1:$ZT$1975,(MATCH($C98,Data!$A$1:$A$1975,0)),FALSE)</f>
        <v>85.714285714285708</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100</v>
      </c>
      <c r="G99" s="15"/>
      <c r="H99" s="41">
        <f t="shared" si="44"/>
        <v>100</v>
      </c>
      <c r="I99" s="73">
        <f>IF(H99="","",IF($I$8="A",(RANK(H99,H$11:H$333,1)+COUNTIF(H$11:H99,H99)-1),(RANK(H99,H$11:H$333)+COUNTIF(H$11:H99,H99)-1)))</f>
        <v>8</v>
      </c>
      <c r="J99" s="40"/>
      <c r="K99" s="35">
        <f t="shared" si="51"/>
        <v>89</v>
      </c>
      <c r="L99" t="str">
        <f t="shared" si="45"/>
        <v>Teignbridge</v>
      </c>
      <c r="M99" s="109">
        <f t="shared" si="46"/>
        <v>89.285714285714292</v>
      </c>
      <c r="N99" s="104">
        <f t="shared" si="31"/>
        <v>89.285714285714292</v>
      </c>
      <c r="O99" s="89" t="str">
        <f t="shared" si="32"/>
        <v/>
      </c>
      <c r="P99" s="89" t="str">
        <f t="shared" si="33"/>
        <v/>
      </c>
      <c r="Q99" s="89">
        <f t="shared" si="34"/>
        <v>89.285714285714292</v>
      </c>
      <c r="R99" s="85" t="str">
        <f t="shared" si="35"/>
        <v/>
      </c>
      <c r="S99" s="41" t="str">
        <f t="shared" si="36"/>
        <v/>
      </c>
      <c r="T99" s="166" t="str">
        <f>IF(L99="","",VLOOKUP(L99,classifications!C:K,9,FALSE))</f>
        <v>Sparse</v>
      </c>
      <c r="U99" s="167">
        <f t="shared" si="37"/>
        <v>89.285714285714292</v>
      </c>
      <c r="V99" s="173">
        <f>IF(U99="","",IF($I$8="A",(RANK(U99,U$11:U$333)+COUNTIF(U$11:U99,U99)-1),(RANK(U99,U$11:U$333,1)+COUNTIF(U$11:U99,U99)-1)))</f>
        <v>21</v>
      </c>
      <c r="W99" s="174"/>
      <c r="X99" s="5" t="str">
        <f>IF(L99="","",VLOOKUP($L99,classifications!$C:$J,6,FALSE))</f>
        <v xml:space="preserve">Predominantly Rural </v>
      </c>
      <c r="Y99">
        <f t="shared" si="38"/>
        <v>89.285714285714292</v>
      </c>
      <c r="Z99" s="39">
        <f>IF(Y99="","",IF(I$8="A",(RANK(Y99,Y$11:Y$333,1)+COUNTIF(Y$11:Y99,Y99)-1),(RANK(Y99,Y$11:Y$333)+COUNTIF(Y$11:Y99,Y99)-1)))</f>
        <v>33</v>
      </c>
      <c r="AA99" s="177" t="str">
        <f>IF(L99="","",VLOOKUP($L99,classifications!C:I,7,FALSE))</f>
        <v>Predominantly Rural</v>
      </c>
      <c r="AB99" s="173">
        <f t="shared" si="39"/>
        <v>89.285714285714292</v>
      </c>
      <c r="AC99" s="173">
        <f>IF(AB99="","",IF($I$8="A",(RANK(AB99,AB$11:AB$333)+COUNTIF(AB$11:AB99,AB99)-1),(RANK(AB99,AB$11:AB$333,1)+COUNTIF(AB$11:AB99,AB99)-1)))</f>
        <v>27</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Devon</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South West</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84.090909090909093</v>
      </c>
      <c r="G100" s="15"/>
      <c r="H100" s="41">
        <f t="shared" si="44"/>
        <v>84.090909090909093</v>
      </c>
      <c r="I100" s="73">
        <f>IF(H100="","",IF($I$8="A",(RANK(H100,H$11:H$333,1)+COUNTIF(H$11:H100,H100)-1),(RANK(H100,H$11:H$333)+COUNTIF(H$11:H100,H100)-1)))</f>
        <v>113</v>
      </c>
      <c r="J100" s="40"/>
      <c r="K100" s="35">
        <f t="shared" si="51"/>
        <v>90</v>
      </c>
      <c r="L100" t="str">
        <f t="shared" si="45"/>
        <v>Mid Devon</v>
      </c>
      <c r="M100" s="109">
        <f t="shared" si="46"/>
        <v>89.130434782608688</v>
      </c>
      <c r="N100" s="104">
        <f t="shared" si="31"/>
        <v>89.130434782608688</v>
      </c>
      <c r="O100" s="89" t="str">
        <f t="shared" si="32"/>
        <v/>
      </c>
      <c r="P100" s="89" t="str">
        <f t="shared" si="33"/>
        <v/>
      </c>
      <c r="Q100" s="89">
        <f t="shared" si="34"/>
        <v>89.130434782608688</v>
      </c>
      <c r="R100" s="85" t="str">
        <f t="shared" si="35"/>
        <v/>
      </c>
      <c r="S100" s="41" t="str">
        <f t="shared" si="36"/>
        <v/>
      </c>
      <c r="T100" s="166" t="str">
        <f>IF(L100="","",VLOOKUP(L100,classifications!C:K,9,FALSE))</f>
        <v>Sparse</v>
      </c>
      <c r="U100" s="167">
        <f t="shared" si="37"/>
        <v>89.130434782608688</v>
      </c>
      <c r="V100" s="173">
        <f>IF(U100="","",IF($I$8="A",(RANK(U100,U$11:U$333)+COUNTIF(U$11:U100,U100)-1),(RANK(U100,U$11:U$333,1)+COUNTIF(U$11:U100,U100)-1)))</f>
        <v>20</v>
      </c>
      <c r="W100" s="174"/>
      <c r="X100" s="5" t="str">
        <f>IF(L100="","",VLOOKUP($L100,classifications!$C:$J,6,FALSE))</f>
        <v xml:space="preserve">Predominantly Rural </v>
      </c>
      <c r="Y100">
        <f t="shared" si="38"/>
        <v>89.130434782608688</v>
      </c>
      <c r="Z100" s="39">
        <f>IF(Y100="","",IF(I$8="A",(RANK(Y100,Y$11:Y$333,1)+COUNTIF(Y$11:Y100,Y100)-1),(RANK(Y100,Y$11:Y$333)+COUNTIF(Y$11:Y100,Y100)-1)))</f>
        <v>34</v>
      </c>
      <c r="AA100" s="177" t="str">
        <f>IF(L100="","",VLOOKUP($L100,classifications!C:I,7,FALSE))</f>
        <v>Predominantly Rural</v>
      </c>
      <c r="AB100" s="173">
        <f t="shared" si="39"/>
        <v>89.130434782608688</v>
      </c>
      <c r="AC100" s="173">
        <f>IF(AB100="","",IF($I$8="A",(RANK(AB100,AB$11:AB$333)+COUNTIF(AB$11:AB100,AB100)-1),(RANK(AB100,AB$11:AB$333,1)+COUNTIF(AB$11:AB100,AB100)-1)))</f>
        <v>26</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Devon</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South West</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84.090909090909093</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100</v>
      </c>
      <c r="G101" s="15"/>
      <c r="H101" s="41" t="str">
        <f t="shared" si="44"/>
        <v/>
      </c>
      <c r="I101" s="73" t="str">
        <f>IF(H101="","",IF($I$8="A",(RANK(H101,H$11:H$333,1)+COUNTIF(H$11:H101,H101)-1),(RANK(H101,H$11:H$333)+COUNTIF(H$11:H101,H101)-1)))</f>
        <v/>
      </c>
      <c r="J101" s="40"/>
      <c r="K101" s="35">
        <f t="shared" si="51"/>
        <v>91</v>
      </c>
      <c r="L101" t="str">
        <f t="shared" si="45"/>
        <v>Tendring</v>
      </c>
      <c r="M101" s="109">
        <f t="shared" si="46"/>
        <v>88.888888888888886</v>
      </c>
      <c r="N101" s="104">
        <f t="shared" si="31"/>
        <v>88.888888888888886</v>
      </c>
      <c r="O101" s="89" t="str">
        <f t="shared" si="32"/>
        <v/>
      </c>
      <c r="P101" s="89" t="str">
        <f t="shared" si="33"/>
        <v/>
      </c>
      <c r="Q101" s="89">
        <f t="shared" si="34"/>
        <v>88.888888888888886</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 xml:space="preserve">Predominantly Rural </v>
      </c>
      <c r="Y101">
        <f t="shared" si="38"/>
        <v>88.888888888888886</v>
      </c>
      <c r="Z101" s="39">
        <f>IF(Y101="","",IF(I$8="A",(RANK(Y101,Y$11:Y$333,1)+COUNTIF(Y$11:Y101,Y101)-1),(RANK(Y101,Y$11:Y$333)+COUNTIF(Y$11:Y101,Y101)-1)))</f>
        <v>35</v>
      </c>
      <c r="AA101" s="177" t="str">
        <f>IF(L101="","",VLOOKUP($L101,classifications!C:I,7,FALSE))</f>
        <v>Predominantly Rural</v>
      </c>
      <c r="AB101" s="173">
        <f t="shared" si="39"/>
        <v>88.888888888888886</v>
      </c>
      <c r="AC101" s="173">
        <f>IF(AB101="","",IF($I$8="A",(RANK(AB101,AB$11:AB$333)+COUNTIF(AB$11:AB101,AB101)-1),(RANK(AB101,AB$11:AB$333,1)+COUNTIF(AB$11:AB101,AB101)-1)))</f>
        <v>25</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Essex</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East of England</v>
      </c>
      <c r="AQ101" s="42">
        <f t="shared" si="42"/>
        <v>88.888888888888886</v>
      </c>
      <c r="AR101" s="39">
        <f>IF(AQ101="","",IF(I$8="A",(RANK(AQ101,AQ$11:AQ$333,1)+COUNTIF(AQ$11:AQ101,AQ101)-1),(RANK(AQ101,AQ$11:AQ$333)+COUNTIF(AQ$11:AQ101,AQ101)-1)))</f>
        <v>22</v>
      </c>
      <c r="AS101" s="3" t="str">
        <f t="shared" si="54"/>
        <v/>
      </c>
      <c r="AT101" s="39" t="str">
        <f t="shared" si="49"/>
        <v/>
      </c>
      <c r="AU101" s="42" t="str">
        <f t="shared" si="50"/>
        <v/>
      </c>
      <c r="AX101">
        <f>HLOOKUP($AX$9&amp;$AX$10,Data!$A$1:$ZT$1975,(MATCH($C101,Data!$A$1:$A$1975,0)),FALSE)</f>
        <v>100</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88.235294117647058</v>
      </c>
      <c r="G102" s="15"/>
      <c r="H102" s="41">
        <f t="shared" si="44"/>
        <v>88.235294117647058</v>
      </c>
      <c r="I102" s="73">
        <f>IF(H102="","",IF($I$8="A",(RANK(H102,H$11:H$333,1)+COUNTIF(H$11:H102,H102)-1),(RANK(H102,H$11:H$333)+COUNTIF(H$11:H102,H102)-1)))</f>
        <v>95</v>
      </c>
      <c r="J102" s="40"/>
      <c r="K102" s="35">
        <f t="shared" si="51"/>
        <v>92</v>
      </c>
      <c r="L102" t="str">
        <f t="shared" si="45"/>
        <v>Breckland</v>
      </c>
      <c r="M102" s="109">
        <f t="shared" si="46"/>
        <v>88.709677419354833</v>
      </c>
      <c r="N102" s="104">
        <f t="shared" si="31"/>
        <v>88.709677419354833</v>
      </c>
      <c r="O102" s="89" t="str">
        <f t="shared" si="32"/>
        <v/>
      </c>
      <c r="P102" s="89" t="str">
        <f t="shared" si="33"/>
        <v/>
      </c>
      <c r="Q102" s="89">
        <f t="shared" si="34"/>
        <v>88.709677419354833</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 xml:space="preserve">Predominantly Rural </v>
      </c>
      <c r="Y102">
        <f t="shared" si="38"/>
        <v>88.709677419354833</v>
      </c>
      <c r="Z102" s="39">
        <f>IF(Y102="","",IF(I$8="A",(RANK(Y102,Y$11:Y$333,1)+COUNTIF(Y$11:Y102,Y102)-1),(RANK(Y102,Y$11:Y$333)+COUNTIF(Y$11:Y102,Y102)-1)))</f>
        <v>36</v>
      </c>
      <c r="AA102" s="177" t="str">
        <f>IF(L102="","",VLOOKUP($L102,classifications!C:I,7,FALSE))</f>
        <v>Predominantly Rural</v>
      </c>
      <c r="AB102" s="173">
        <f t="shared" si="39"/>
        <v>88.709677419354833</v>
      </c>
      <c r="AC102" s="173">
        <f>IF(AB102="","",IF($I$8="A",(RANK(AB102,AB$11:AB$333)+COUNTIF(AB$11:AB102,AB102)-1),(RANK(AB102,AB$11:AB$333,1)+COUNTIF(AB$11:AB102,AB102)-1)))</f>
        <v>24</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Norfolk</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of England</v>
      </c>
      <c r="AQ102" s="42">
        <f t="shared" si="42"/>
        <v>88.709677419354833</v>
      </c>
      <c r="AR102" s="39">
        <f>IF(AQ102="","",IF(I$8="A",(RANK(AQ102,AQ$11:AQ$333,1)+COUNTIF(AQ$11:AQ102,AQ102)-1),(RANK(AQ102,AQ$11:AQ$333)+COUNTIF(AQ$11:AQ102,AQ102)-1)))</f>
        <v>23</v>
      </c>
      <c r="AS102" s="3" t="str">
        <f t="shared" si="54"/>
        <v/>
      </c>
      <c r="AT102" s="39" t="str">
        <f t="shared" si="49"/>
        <v/>
      </c>
      <c r="AU102" s="42" t="str">
        <f t="shared" si="50"/>
        <v/>
      </c>
      <c r="AX102">
        <f>HLOOKUP($AX$9&amp;$AX$10,Data!$A$1:$ZT$1975,(MATCH($C102,Data!$A$1:$A$1975,0)),FALSE)</f>
        <v>88.235294117647058</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9</v>
      </c>
      <c r="J103" s="40"/>
      <c r="K103" s="35">
        <f t="shared" si="51"/>
        <v>93</v>
      </c>
      <c r="L103" t="str">
        <f t="shared" si="45"/>
        <v>South Oxfordshire</v>
      </c>
      <c r="M103" s="109">
        <f t="shared" si="46"/>
        <v>88.679245283018872</v>
      </c>
      <c r="N103" s="104">
        <f t="shared" si="31"/>
        <v>88.679245283018872</v>
      </c>
      <c r="O103" s="89" t="str">
        <f t="shared" si="32"/>
        <v/>
      </c>
      <c r="P103" s="89" t="str">
        <f t="shared" si="33"/>
        <v/>
      </c>
      <c r="Q103" s="89">
        <f t="shared" si="34"/>
        <v>88.679245283018872</v>
      </c>
      <c r="R103" s="85" t="str">
        <f t="shared" si="35"/>
        <v/>
      </c>
      <c r="S103" s="41" t="str">
        <f t="shared" si="36"/>
        <v/>
      </c>
      <c r="T103" s="166" t="str">
        <f>IF(L103="","",VLOOKUP(L103,classifications!C:K,9,FALSE))</f>
        <v>Sparse</v>
      </c>
      <c r="U103" s="167">
        <f t="shared" si="37"/>
        <v>88.679245283018872</v>
      </c>
      <c r="V103" s="173">
        <f>IF(U103="","",IF($I$8="A",(RANK(U103,U$11:U$333)+COUNTIF(U$11:U103,U103)-1),(RANK(U103,U$11:U$333,1)+COUNTIF(U$11:U103,U103)-1)))</f>
        <v>19</v>
      </c>
      <c r="W103" s="174"/>
      <c r="X103" s="5" t="str">
        <f>IF(L103="","",VLOOKUP($L103,classifications!$C:$J,6,FALSE))</f>
        <v xml:space="preserve">Predominantly Rural </v>
      </c>
      <c r="Y103">
        <f t="shared" si="38"/>
        <v>88.679245283018872</v>
      </c>
      <c r="Z103" s="39">
        <f>IF(Y103="","",IF(I$8="A",(RANK(Y103,Y$11:Y$333,1)+COUNTIF(Y$11:Y103,Y103)-1),(RANK(Y103,Y$11:Y$333)+COUNTIF(Y$11:Y103,Y103)-1)))</f>
        <v>37</v>
      </c>
      <c r="AA103" s="177" t="str">
        <f>IF(L103="","",VLOOKUP($L103,classifications!C:I,7,FALSE))</f>
        <v>Predominantly Rural</v>
      </c>
      <c r="AB103" s="173">
        <f t="shared" si="39"/>
        <v>88.679245283018872</v>
      </c>
      <c r="AC103" s="173">
        <f>IF(AB103="","",IF($I$8="A",(RANK(AB103,AB$11:AB$333)+COUNTIF(AB$11:AB103,AB103)-1),(RANK(AB103,AB$11:AB$333,1)+COUNTIF(AB$11:AB103,AB103)-1)))</f>
        <v>23</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Oxfordshire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South East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80.952380952380949</v>
      </c>
      <c r="G104" s="15"/>
      <c r="H104" s="41">
        <f t="shared" si="44"/>
        <v>80.952380952380949</v>
      </c>
      <c r="I104" s="73">
        <f>IF(H104="","",IF($I$8="A",(RANK(H104,H$11:H$333,1)+COUNTIF(H$11:H104,H104)-1),(RANK(H104,H$11:H$333)+COUNTIF(H$11:H104,H104)-1)))</f>
        <v>120</v>
      </c>
      <c r="J104" s="40"/>
      <c r="K104" s="35">
        <f t="shared" si="51"/>
        <v>94</v>
      </c>
      <c r="L104" t="str">
        <f t="shared" si="45"/>
        <v>Rugby</v>
      </c>
      <c r="M104" s="109">
        <f t="shared" si="46"/>
        <v>88.571428571428569</v>
      </c>
      <c r="N104" s="104">
        <f t="shared" si="31"/>
        <v>88.571428571428569</v>
      </c>
      <c r="O104" s="89" t="str">
        <f t="shared" si="32"/>
        <v/>
      </c>
      <c r="P104" s="89" t="str">
        <f t="shared" si="33"/>
        <v/>
      </c>
      <c r="Q104" s="89">
        <f t="shared" si="34"/>
        <v>88.571428571428569</v>
      </c>
      <c r="R104" s="85" t="str">
        <f t="shared" si="35"/>
        <v/>
      </c>
      <c r="S104" s="41" t="str">
        <f t="shared" si="36"/>
        <v/>
      </c>
      <c r="T104" s="166" t="str">
        <f>IF(L104="","",VLOOKUP(L104,classifications!C:K,9,FALSE))</f>
        <v>Sparse</v>
      </c>
      <c r="U104" s="167">
        <f t="shared" si="37"/>
        <v>88.571428571428569</v>
      </c>
      <c r="V104" s="173">
        <f>IF(U104="","",IF($I$8="A",(RANK(U104,U$11:U$333)+COUNTIF(U$11:U104,U104)-1),(RANK(U104,U$11:U$333,1)+COUNTIF(U$11:U104,U104)-1)))</f>
        <v>18</v>
      </c>
      <c r="W104" s="174"/>
      <c r="X104" s="5" t="str">
        <f>IF(L104="","",VLOOKUP($L104,classifications!$C:$J,6,FALSE))</f>
        <v>Predominantly Urban</v>
      </c>
      <c r="Y104" t="str">
        <f t="shared" si="38"/>
        <v/>
      </c>
      <c r="Z104" s="39" t="str">
        <f>IF(Y104="","",IF(I$8="A",(RANK(Y104,Y$11:Y$333,1)+COUNTIF(Y$11:Y104,Y104)-1),(RANK(Y104,Y$11:Y$333)+COUNTIF(Y$11:Y104,Y104)-1)))</f>
        <v/>
      </c>
      <c r="AA104" s="177" t="str">
        <f>IF(L104="","",VLOOKUP($L104,classifications!C:I,7,FALSE))</f>
        <v>Predominantly Urban</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Warwickshire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West Midlands</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80.952380952380949</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Epping Forest</v>
      </c>
      <c r="M105" s="109">
        <f t="shared" si="46"/>
        <v>88.235294117647058</v>
      </c>
      <c r="N105" s="104">
        <f t="shared" si="31"/>
        <v>88.235294117647058</v>
      </c>
      <c r="O105" s="89" t="str">
        <f t="shared" si="32"/>
        <v/>
      </c>
      <c r="P105" s="89" t="str">
        <f t="shared" si="33"/>
        <v/>
      </c>
      <c r="Q105" s="89">
        <f t="shared" si="34"/>
        <v>88.235294117647058</v>
      </c>
      <c r="R105" s="85" t="str">
        <f t="shared" si="35"/>
        <v/>
      </c>
      <c r="S105" s="41" t="str">
        <f t="shared" si="36"/>
        <v/>
      </c>
      <c r="T105" s="166">
        <f>IF(L105="","",VLOOKUP(L105,classifications!C:K,9,FALSE))</f>
        <v>0</v>
      </c>
      <c r="U105" s="167" t="str">
        <f t="shared" si="37"/>
        <v/>
      </c>
      <c r="V105" s="173" t="str">
        <f>IF(U105="","",IF($I$8="A",(RANK(U105,U$11:U$333)+COUNTIF(U$11:U105,U105)-1),(RANK(U105,U$11:U$333,1)+COUNTIF(U$11:U105,U105)-1)))</f>
        <v/>
      </c>
      <c r="W105" s="174"/>
      <c r="X105" s="5" t="str">
        <f>IF(L105="","",VLOOKUP($L105,classifications!$C:$J,6,FALSE))</f>
        <v>Urban with Significant Rural</v>
      </c>
      <c r="Y105" t="str">
        <f t="shared" si="38"/>
        <v/>
      </c>
      <c r="Z105" s="39" t="str">
        <f>IF(Y105="","",IF(I$8="A",(RANK(Y105,Y$11:Y$333,1)+COUNTIF(Y$11:Y105,Y105)-1),(RANK(Y105,Y$11:Y$333)+COUNTIF(Y$11:Y105,Y105)-1)))</f>
        <v/>
      </c>
      <c r="AA105" s="177" t="str">
        <f>IF(L105="","",VLOOKUP($L105,classifications!C:I,7,FALSE))</f>
        <v>Urban with Significant Rural</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Essex</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of England</v>
      </c>
      <c r="AQ105" s="42">
        <f t="shared" si="42"/>
        <v>88.235294117647058</v>
      </c>
      <c r="AR105" s="39">
        <f>IF(AQ105="","",IF(I$8="A",(RANK(AQ105,AQ$11:AQ$333,1)+COUNTIF(AQ$11:AQ105,AQ105)-1),(RANK(AQ105,AQ$11:AQ$333)+COUNTIF(AQ$11:AQ105,AQ105)-1)))</f>
        <v>24</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70.370370370370367</v>
      </c>
      <c r="G106" s="15"/>
      <c r="H106" s="41">
        <f t="shared" si="44"/>
        <v>70.370370370370367</v>
      </c>
      <c r="I106" s="73">
        <f>IF(H106="","",IF($I$8="A",(RANK(H106,H$11:H$333,1)+COUNTIF(H$11:H106,H106)-1),(RANK(H106,H$11:H$333)+COUNTIF(H$11:H106,H106)-1)))</f>
        <v>147</v>
      </c>
      <c r="J106" s="40"/>
      <c r="K106" s="35">
        <f t="shared" si="51"/>
        <v>96</v>
      </c>
      <c r="L106" t="str">
        <f t="shared" si="45"/>
        <v>Gravesham</v>
      </c>
      <c r="M106" s="109">
        <f t="shared" si="46"/>
        <v>88.235294117647058</v>
      </c>
      <c r="N106" s="104">
        <f t="shared" si="31"/>
        <v>88.235294117647058</v>
      </c>
      <c r="O106" s="89" t="str">
        <f t="shared" si="32"/>
        <v/>
      </c>
      <c r="P106" s="89" t="str">
        <f t="shared" si="33"/>
        <v/>
      </c>
      <c r="Q106" s="89">
        <f t="shared" si="34"/>
        <v>88.235294117647058</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Kent</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South East</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70.370370370370367</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95.833333333333343</v>
      </c>
      <c r="G107" s="15"/>
      <c r="H107" s="41">
        <f t="shared" si="44"/>
        <v>95.833333333333343</v>
      </c>
      <c r="I107" s="73">
        <f>IF(H107="","",IF($I$8="A",(RANK(H107,H$11:H$333,1)+COUNTIF(H$11:H107,H107)-1),(RANK(H107,H$11:H$333)+COUNTIF(H$11:H107,H107)-1)))</f>
        <v>41</v>
      </c>
      <c r="J107" s="40"/>
      <c r="K107" s="35">
        <f t="shared" si="51"/>
        <v>97</v>
      </c>
      <c r="L107" t="str">
        <f t="shared" si="45"/>
        <v>Hart</v>
      </c>
      <c r="M107" s="109">
        <f t="shared" si="46"/>
        <v>87.5</v>
      </c>
      <c r="N107" s="104">
        <f t="shared" si="31"/>
        <v>87.5</v>
      </c>
      <c r="O107" s="89" t="str">
        <f t="shared" si="32"/>
        <v/>
      </c>
      <c r="P107" s="89" t="str">
        <f t="shared" si="33"/>
        <v/>
      </c>
      <c r="Q107" s="89">
        <f t="shared" si="34"/>
        <v>87.5</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Urban with Significant Rural</v>
      </c>
      <c r="Y107" t="str">
        <f t="shared" si="38"/>
        <v/>
      </c>
      <c r="Z107" s="39" t="str">
        <f>IF(Y107="","",IF(I$8="A",(RANK(Y107,Y$11:Y$333,1)+COUNTIF(Y$11:Y107,Y107)-1),(RANK(Y107,Y$11:Y$333)+COUNTIF(Y$11:Y107,Y107)-1)))</f>
        <v/>
      </c>
      <c r="AA107" s="177" t="str">
        <f>IF(L107="","",VLOOKUP($L107,classifications!C:I,7,FALSE))</f>
        <v>Urban with Significant Rural</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Hampshire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South East</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95.833333333333343</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72.727272727272734</v>
      </c>
      <c r="G108" s="15"/>
      <c r="H108" s="41">
        <f t="shared" si="44"/>
        <v>72.727272727272734</v>
      </c>
      <c r="I108" s="73">
        <f>IF(H108="","",IF($I$8="A",(RANK(H108,H$11:H$333,1)+COUNTIF(H$11:H108,H108)-1),(RANK(H108,H$11:H$333)+COUNTIF(H$11:H108,H108)-1)))</f>
        <v>145</v>
      </c>
      <c r="J108" s="40"/>
      <c r="K108" s="35">
        <f t="shared" si="51"/>
        <v>98</v>
      </c>
      <c r="L108" t="str">
        <f t="shared" si="45"/>
        <v>North Devon</v>
      </c>
      <c r="M108" s="109">
        <f t="shared" si="46"/>
        <v>87.179487179487182</v>
      </c>
      <c r="N108" s="104">
        <f t="shared" si="31"/>
        <v>87.179487179487182</v>
      </c>
      <c r="O108" s="89" t="str">
        <f t="shared" si="32"/>
        <v/>
      </c>
      <c r="P108" s="89" t="str">
        <f t="shared" si="33"/>
        <v/>
      </c>
      <c r="Q108" s="89">
        <f t="shared" si="34"/>
        <v>87.179487179487182</v>
      </c>
      <c r="R108" s="85" t="str">
        <f t="shared" si="35"/>
        <v/>
      </c>
      <c r="S108" s="41" t="str">
        <f t="shared" si="36"/>
        <v/>
      </c>
      <c r="T108" s="166" t="str">
        <f>IF(L108="","",VLOOKUP(L108,classifications!C:K,9,FALSE))</f>
        <v>Sparse</v>
      </c>
      <c r="U108" s="167">
        <f t="shared" si="37"/>
        <v>87.179487179487182</v>
      </c>
      <c r="V108" s="173">
        <f>IF(U108="","",IF($I$8="A",(RANK(U108,U$11:U$333)+COUNTIF(U$11:U108,U108)-1),(RANK(U108,U$11:U$333,1)+COUNTIF(U$11:U108,U108)-1)))</f>
        <v>17</v>
      </c>
      <c r="W108" s="174"/>
      <c r="X108" s="5" t="str">
        <f>IF(L108="","",VLOOKUP($L108,classifications!$C:$J,6,FALSE))</f>
        <v xml:space="preserve">Predominantly Rural </v>
      </c>
      <c r="Y108">
        <f t="shared" si="38"/>
        <v>87.179487179487182</v>
      </c>
      <c r="Z108" s="39">
        <f>IF(Y108="","",IF(I$8="A",(RANK(Y108,Y$11:Y$333,1)+COUNTIF(Y$11:Y108,Y108)-1),(RANK(Y108,Y$11:Y$333)+COUNTIF(Y$11:Y108,Y108)-1)))</f>
        <v>38</v>
      </c>
      <c r="AA108" s="177" t="str">
        <f>IF(L108="","",VLOOKUP($L108,classifications!C:I,7,FALSE))</f>
        <v>Predominantly Rural</v>
      </c>
      <c r="AB108" s="173">
        <f t="shared" si="39"/>
        <v>87.179487179487182</v>
      </c>
      <c r="AC108" s="173">
        <f>IF(AB108="","",IF($I$8="A",(RANK(AB108,AB$11:AB$333)+COUNTIF(AB$11:AB108,AB108)-1),(RANK(AB108,AB$11:AB$333,1)+COUNTIF(AB$11:AB108,AB108)-1)))</f>
        <v>22</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Devon</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South West</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72.727272727272734</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92.307692307692307</v>
      </c>
      <c r="G109" s="15"/>
      <c r="H109" s="41">
        <f t="shared" si="44"/>
        <v>92.307692307692307</v>
      </c>
      <c r="I109" s="73">
        <f>IF(H109="","",IF($I$8="A",(RANK(H109,H$11:H$333,1)+COUNTIF(H$11:H109,H109)-1),(RANK(H109,H$11:H$333)+COUNTIF(H$11:H109,H109)-1)))</f>
        <v>66</v>
      </c>
      <c r="J109" s="40"/>
      <c r="K109" s="35">
        <f t="shared" si="51"/>
        <v>99</v>
      </c>
      <c r="L109" t="str">
        <f t="shared" si="45"/>
        <v>Guildford</v>
      </c>
      <c r="M109" s="109">
        <f t="shared" si="46"/>
        <v>86.842105263157904</v>
      </c>
      <c r="N109" s="104">
        <f t="shared" si="31"/>
        <v>86.842105263157904</v>
      </c>
      <c r="O109" s="89" t="str">
        <f t="shared" si="32"/>
        <v/>
      </c>
      <c r="P109" s="89" t="str">
        <f t="shared" si="33"/>
        <v/>
      </c>
      <c r="Q109" s="89">
        <f t="shared" si="34"/>
        <v>86.842105263157904</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Predominantly Urban</v>
      </c>
      <c r="Y109" t="str">
        <f t="shared" si="38"/>
        <v/>
      </c>
      <c r="Z109" s="39" t="str">
        <f>IF(Y109="","",IF(I$8="A",(RANK(Y109,Y$11:Y$333,1)+COUNTIF(Y$11:Y109,Y109)-1),(RANK(Y109,Y$11:Y$333)+COUNTIF(Y$11:Y109,Y109)-1)))</f>
        <v/>
      </c>
      <c r="AA109" s="177" t="str">
        <f>IF(L109="","",VLOOKUP($L109,classifications!C:I,7,FALSE))</f>
        <v>Predominantly Urban</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Surrey</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South East</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92.307692307692307</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96.774193548387103</v>
      </c>
      <c r="G110" s="15"/>
      <c r="H110" s="41">
        <f t="shared" si="44"/>
        <v>96.774193548387103</v>
      </c>
      <c r="I110" s="73">
        <f>IF(H110="","",IF($I$8="A",(RANK(H110,H$11:H$333,1)+COUNTIF(H$11:H110,H110)-1),(RANK(H110,H$11:H$333)+COUNTIF(H$11:H110,H110)-1)))</f>
        <v>31</v>
      </c>
      <c r="J110" s="40"/>
      <c r="K110" s="35">
        <f t="shared" si="51"/>
        <v>100</v>
      </c>
      <c r="L110" t="str">
        <f t="shared" si="45"/>
        <v>Fylde</v>
      </c>
      <c r="M110" s="109">
        <f t="shared" si="46"/>
        <v>86.666666666666671</v>
      </c>
      <c r="N110" s="104">
        <f t="shared" si="31"/>
        <v>86.666666666666671</v>
      </c>
      <c r="O110" s="89" t="str">
        <f t="shared" si="32"/>
        <v/>
      </c>
      <c r="P110" s="89" t="str">
        <f t="shared" si="33"/>
        <v/>
      </c>
      <c r="Q110" s="89">
        <f t="shared" si="34"/>
        <v>86.666666666666671</v>
      </c>
      <c r="R110" s="85" t="str">
        <f t="shared" si="35"/>
        <v/>
      </c>
      <c r="S110" s="41" t="str">
        <f t="shared" si="36"/>
        <v/>
      </c>
      <c r="T110" s="166">
        <f>IF(L110="","",VLOOKUP(L110,classifications!C:K,9,FALSE))</f>
        <v>0</v>
      </c>
      <c r="U110" s="167" t="str">
        <f t="shared" si="37"/>
        <v/>
      </c>
      <c r="V110" s="173" t="str">
        <f>IF(U110="","",IF($I$8="A",(RANK(U110,U$11:U$333)+COUNTIF(U$11:U110,U110)-1),(RANK(U110,U$11:U$333,1)+COUNTIF(U$11:U110,U110)-1)))</f>
        <v/>
      </c>
      <c r="W110" s="174"/>
      <c r="X110" s="5" t="str">
        <f>IF(L110="","",VLOOKUP($L110,classifications!$C:$J,6,FALSE))</f>
        <v>Predominantly Urban</v>
      </c>
      <c r="Y110" t="str">
        <f t="shared" si="38"/>
        <v/>
      </c>
      <c r="Z110" s="39" t="str">
        <f>IF(Y110="","",IF(I$8="A",(RANK(Y110,Y$11:Y$333,1)+COUNTIF(Y$11:Y110,Y110)-1),(RANK(Y110,Y$11:Y$333)+COUNTIF(Y$11:Y110,Y110)-1)))</f>
        <v/>
      </c>
      <c r="AA110" s="177" t="str">
        <f>IF(L110="","",VLOOKUP($L110,classifications!C:I,7,FALSE))</f>
        <v>Predominantly Urban</v>
      </c>
      <c r="AB110" s="173" t="str">
        <f t="shared" si="39"/>
        <v/>
      </c>
      <c r="AC110" s="173" t="str">
        <f>IF(AB110="","",IF($I$8="A",(RANK(AB110,AB$11:AB$333)+COUNTIF(AB$11:AB110,AB110)-1),(RANK(AB110,AB$11:AB$333,1)+COUNTIF(AB$11:AB110,AB110)-1)))</f>
        <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Lancashire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North West</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96.774193548387103</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86.666666666666671</v>
      </c>
      <c r="G111" s="15"/>
      <c r="H111" s="41">
        <f t="shared" si="44"/>
        <v>86.666666666666671</v>
      </c>
      <c r="I111" s="73">
        <f>IF(H111="","",IF($I$8="A",(RANK(H111,H$11:H$333,1)+COUNTIF(H$11:H111,H111)-1),(RANK(H111,H$11:H$333)+COUNTIF(H$11:H111,H111)-1)))</f>
        <v>100</v>
      </c>
      <c r="J111" s="40"/>
      <c r="K111" s="35">
        <f t="shared" si="51"/>
        <v>101</v>
      </c>
      <c r="L111" t="str">
        <f t="shared" si="45"/>
        <v>Stratford-on-Avon</v>
      </c>
      <c r="M111" s="109">
        <f t="shared" si="46"/>
        <v>86.36363636363636</v>
      </c>
      <c r="N111" s="104">
        <f t="shared" si="31"/>
        <v>86.36363636363636</v>
      </c>
      <c r="O111" s="89" t="str">
        <f t="shared" si="32"/>
        <v/>
      </c>
      <c r="P111" s="89" t="str">
        <f t="shared" si="33"/>
        <v/>
      </c>
      <c r="Q111" s="89">
        <f t="shared" si="34"/>
        <v>86.36363636363636</v>
      </c>
      <c r="R111" s="85" t="str">
        <f t="shared" si="35"/>
        <v/>
      </c>
      <c r="S111" s="41" t="str">
        <f t="shared" si="36"/>
        <v/>
      </c>
      <c r="T111" s="166" t="str">
        <f>IF(L111="","",VLOOKUP(L111,classifications!C:K,9,FALSE))</f>
        <v>Sparse</v>
      </c>
      <c r="U111" s="167">
        <f t="shared" si="37"/>
        <v>86.36363636363636</v>
      </c>
      <c r="V111" s="173">
        <f>IF(U111="","",IF($I$8="A",(RANK(U111,U$11:U$333)+COUNTIF(U$11:U111,U111)-1),(RANK(U111,U$11:U$333,1)+COUNTIF(U$11:U111,U111)-1)))</f>
        <v>16</v>
      </c>
      <c r="W111" s="174"/>
      <c r="X111" s="5" t="str">
        <f>IF(L111="","",VLOOKUP($L111,classifications!$C:$J,6,FALSE))</f>
        <v xml:space="preserve">Predominantly Rural </v>
      </c>
      <c r="Y111">
        <f t="shared" si="38"/>
        <v>86.36363636363636</v>
      </c>
      <c r="Z111" s="39">
        <f>IF(Y111="","",IF(I$8="A",(RANK(Y111,Y$11:Y$333,1)+COUNTIF(Y$11:Y111,Y111)-1),(RANK(Y111,Y$11:Y$333)+COUNTIF(Y$11:Y111,Y111)-1)))</f>
        <v>39</v>
      </c>
      <c r="AA111" s="177" t="str">
        <f>IF(L111="","",VLOOKUP($L111,classifications!C:I,7,FALSE))</f>
        <v>Predominantly Rural</v>
      </c>
      <c r="AB111" s="173">
        <f t="shared" si="39"/>
        <v>86.36363636363636</v>
      </c>
      <c r="AC111" s="173">
        <f>IF(AB111="","",IF($I$8="A",(RANK(AB111,AB$11:AB$333)+COUNTIF(AB$11:AB111,AB111)-1),(RANK(AB111,AB$11:AB$333,1)+COUNTIF(AB$11:AB111,AB111)-1)))</f>
        <v>21</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Warwickshire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West Midlands</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86.666666666666671</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King's Lynn &amp; West Norfolk</v>
      </c>
      <c r="M112" s="109">
        <f t="shared" si="46"/>
        <v>86.04651162790698</v>
      </c>
      <c r="N112" s="104">
        <f t="shared" si="31"/>
        <v>86.04651162790698</v>
      </c>
      <c r="O112" s="89" t="str">
        <f t="shared" si="32"/>
        <v/>
      </c>
      <c r="P112" s="89" t="str">
        <f t="shared" si="33"/>
        <v/>
      </c>
      <c r="Q112" s="89">
        <f t="shared" si="34"/>
        <v>86.04651162790698</v>
      </c>
      <c r="R112" s="85" t="str">
        <f t="shared" si="35"/>
        <v/>
      </c>
      <c r="S112" s="41" t="str">
        <f t="shared" si="36"/>
        <v/>
      </c>
      <c r="T112" s="166" t="str">
        <f>IF(L112="","",VLOOKUP(L112,classifications!C:K,9,FALSE))</f>
        <v>Sparse</v>
      </c>
      <c r="U112" s="167">
        <f t="shared" si="37"/>
        <v>86.04651162790698</v>
      </c>
      <c r="V112" s="173">
        <f>IF(U112="","",IF($I$8="A",(RANK(U112,U$11:U$333)+COUNTIF(U$11:U112,U112)-1),(RANK(U112,U$11:U$333,1)+COUNTIF(U$11:U112,U112)-1)))</f>
        <v>15</v>
      </c>
      <c r="W112" s="174"/>
      <c r="X112" s="5" t="str">
        <f>IF(L112="","",VLOOKUP($L112,classifications!$C:$J,6,FALSE))</f>
        <v xml:space="preserve">Predominantly Rural </v>
      </c>
      <c r="Y112">
        <f t="shared" si="38"/>
        <v>86.04651162790698</v>
      </c>
      <c r="Z112" s="39">
        <f>IF(Y112="","",IF(I$8="A",(RANK(Y112,Y$11:Y$333,1)+COUNTIF(Y$11:Y112,Y112)-1),(RANK(Y112,Y$11:Y$333)+COUNTIF(Y$11:Y112,Y112)-1)))</f>
        <v>40</v>
      </c>
      <c r="AA112" s="177" t="str">
        <f>IF(L112="","",VLOOKUP($L112,classifications!C:I,7,FALSE))</f>
        <v>Predominantly Rural</v>
      </c>
      <c r="AB112" s="173">
        <f t="shared" si="39"/>
        <v>86.04651162790698</v>
      </c>
      <c r="AC112" s="173">
        <f>IF(AB112="","",IF($I$8="A",(RANK(AB112,AB$11:AB$333)+COUNTIF(AB$11:AB112,AB112)-1),(RANK(AB112,AB$11:AB$333,1)+COUNTIF(AB$11:AB112,AB112)-1)))</f>
        <v>19</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Norfolk</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of England</v>
      </c>
      <c r="AQ112" s="42">
        <f t="shared" si="42"/>
        <v>86.04651162790698</v>
      </c>
      <c r="AR112" s="39">
        <f>IF(AQ112="","",IF(I$8="A",(RANK(AQ112,AQ$11:AQ$333,1)+COUNTIF(AQ$11:AQ112,AQ112)-1),(RANK(AQ112,AQ$11:AQ$333)+COUNTIF(AQ$11:AQ112,AQ112)-1)))</f>
        <v>25</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10</v>
      </c>
      <c r="J113" s="40"/>
      <c r="K113" s="35">
        <f t="shared" si="51"/>
        <v>103</v>
      </c>
      <c r="L113" t="str">
        <f t="shared" si="45"/>
        <v>Rushcliffe</v>
      </c>
      <c r="M113" s="109">
        <f t="shared" si="46"/>
        <v>86.04651162790698</v>
      </c>
      <c r="N113" s="104">
        <f t="shared" si="31"/>
        <v>86.04651162790698</v>
      </c>
      <c r="O113" s="89" t="str">
        <f t="shared" si="32"/>
        <v/>
      </c>
      <c r="P113" s="89" t="str">
        <f t="shared" si="33"/>
        <v/>
      </c>
      <c r="Q113" s="89">
        <f t="shared" si="34"/>
        <v>86.04651162790698</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 xml:space="preserve">Predominantly Rural </v>
      </c>
      <c r="Y113">
        <f t="shared" si="38"/>
        <v>86.04651162790698</v>
      </c>
      <c r="Z113" s="39">
        <f>IF(Y113="","",IF(I$8="A",(RANK(Y113,Y$11:Y$333,1)+COUNTIF(Y$11:Y113,Y113)-1),(RANK(Y113,Y$11:Y$333)+COUNTIF(Y$11:Y113,Y113)-1)))</f>
        <v>41</v>
      </c>
      <c r="AA113" s="177" t="str">
        <f>IF(L113="","",VLOOKUP($L113,classifications!C:I,7,FALSE))</f>
        <v>Predominantly Rural</v>
      </c>
      <c r="AB113" s="173">
        <f t="shared" si="39"/>
        <v>86.04651162790698</v>
      </c>
      <c r="AC113" s="173">
        <f>IF(AB113="","",IF($I$8="A",(RANK(AB113,AB$11:AB$333)+COUNTIF(AB$11:AB113,AB113)-1),(RANK(AB113,AB$11:AB$333,1)+COUNTIF(AB$11:AB113,AB113)-1)))</f>
        <v>20</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Nottinghamshire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East Midlands</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93.333333333333329</v>
      </c>
      <c r="G114" s="15"/>
      <c r="H114" s="41">
        <f t="shared" si="44"/>
        <v>93.333333333333329</v>
      </c>
      <c r="I114" s="73">
        <f>IF(H114="","",IF($I$8="A",(RANK(H114,H$11:H$333,1)+COUNTIF(H$11:H114,H114)-1),(RANK(H114,H$11:H$333)+COUNTIF(H$11:H114,H114)-1)))</f>
        <v>59</v>
      </c>
      <c r="J114" s="40"/>
      <c r="K114" s="35">
        <f t="shared" si="51"/>
        <v>104</v>
      </c>
      <c r="L114" t="str">
        <f t="shared" si="45"/>
        <v>Maidstone</v>
      </c>
      <c r="M114" s="109">
        <f t="shared" si="46"/>
        <v>85.9375</v>
      </c>
      <c r="N114" s="104">
        <f t="shared" si="31"/>
        <v>85.9375</v>
      </c>
      <c r="O114" s="89" t="str">
        <f t="shared" si="32"/>
        <v/>
      </c>
      <c r="P114" s="89" t="str">
        <f t="shared" si="33"/>
        <v/>
      </c>
      <c r="Q114" s="89">
        <f t="shared" si="34"/>
        <v>85.9375</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Urban with Significant Rural</v>
      </c>
      <c r="Y114" t="str">
        <f t="shared" si="38"/>
        <v/>
      </c>
      <c r="Z114" s="39" t="str">
        <f>IF(Y114="","",IF(I$8="A",(RANK(Y114,Y$11:Y$333,1)+COUNTIF(Y$11:Y114,Y114)-1),(RANK(Y114,Y$11:Y$333)+COUNTIF(Y$11:Y114,Y114)-1)))</f>
        <v/>
      </c>
      <c r="AA114" s="177" t="str">
        <f>IF(L114="","",VLOOKUP($L114,classifications!C:I,7,FALSE))</f>
        <v>Urban with Significant Rural</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Kent</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East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93.333333333333329</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Cheltenham</v>
      </c>
      <c r="M115" s="109">
        <f t="shared" si="46"/>
        <v>85.714285714285708</v>
      </c>
      <c r="N115" s="104">
        <f t="shared" si="31"/>
        <v>85.714285714285708</v>
      </c>
      <c r="O115" s="89" t="str">
        <f t="shared" si="32"/>
        <v/>
      </c>
      <c r="P115" s="89" t="str">
        <f t="shared" si="33"/>
        <v/>
      </c>
      <c r="Q115" s="89">
        <f t="shared" si="34"/>
        <v>85.714285714285708</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Predominantly Urban</v>
      </c>
      <c r="Y115" t="str">
        <f t="shared" si="38"/>
        <v/>
      </c>
      <c r="Z115" s="39" t="str">
        <f>IF(Y115="","",IF(I$8="A",(RANK(Y115,Y$11:Y$333,1)+COUNTIF(Y$11:Y115,Y115)-1),(RANK(Y115,Y$11:Y$333)+COUNTIF(Y$11:Y115,Y115)-1)))</f>
        <v/>
      </c>
      <c r="AA115" s="177" t="str">
        <f>IF(L115="","",VLOOKUP($L115,classifications!C:I,7,FALSE))</f>
        <v>Predominantly Urban</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Gloucestershire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South West</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75</v>
      </c>
      <c r="G116" s="15"/>
      <c r="H116" s="41">
        <f t="shared" si="44"/>
        <v>75</v>
      </c>
      <c r="I116" s="73">
        <f>IF(H116="","",IF($I$8="A",(RANK(H116,H$11:H$333,1)+COUNTIF(H$11:H116,H116)-1),(RANK(H116,H$11:H$333)+COUNTIF(H$11:H116,H116)-1)))</f>
        <v>140</v>
      </c>
      <c r="J116" s="40"/>
      <c r="K116" s="35">
        <f t="shared" si="51"/>
        <v>106</v>
      </c>
      <c r="L116" t="str">
        <f t="shared" si="45"/>
        <v>Eastbourne</v>
      </c>
      <c r="M116" s="109">
        <f t="shared" si="46"/>
        <v>85.714285714285708</v>
      </c>
      <c r="N116" s="104">
        <f t="shared" si="31"/>
        <v>85.714285714285708</v>
      </c>
      <c r="O116" s="89" t="str">
        <f t="shared" si="32"/>
        <v/>
      </c>
      <c r="P116" s="89" t="str">
        <f t="shared" si="33"/>
        <v/>
      </c>
      <c r="Q116" s="89">
        <f t="shared" si="34"/>
        <v>85.714285714285708</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Predominantly Urban</v>
      </c>
      <c r="Y116" t="str">
        <f t="shared" si="38"/>
        <v/>
      </c>
      <c r="Z116" s="39" t="str">
        <f>IF(Y116="","",IF(I$8="A",(RANK(Y116,Y$11:Y$333,1)+COUNTIF(Y$11:Y116,Y116)-1),(RANK(Y116,Y$11:Y$333)+COUNTIF(Y$11:Y116,Y116)-1)))</f>
        <v/>
      </c>
      <c r="AA116" s="177" t="str">
        <f>IF(L116="","",VLOOKUP($L116,classifications!C:I,7,FALSE))</f>
        <v>Predominantly Urban</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East Sussex</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South East</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75</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88.235294117647058</v>
      </c>
      <c r="G117" s="15"/>
      <c r="H117" s="41">
        <f t="shared" si="44"/>
        <v>88.235294117647058</v>
      </c>
      <c r="I117" s="73">
        <f>IF(H117="","",IF($I$8="A",(RANK(H117,H$11:H$333,1)+COUNTIF(H$11:H117,H117)-1),(RANK(H117,H$11:H$333)+COUNTIF(H$11:H117,H117)-1)))</f>
        <v>96</v>
      </c>
      <c r="J117" s="40"/>
      <c r="K117" s="35">
        <f t="shared" si="51"/>
        <v>107</v>
      </c>
      <c r="L117" t="str">
        <f t="shared" si="45"/>
        <v>Newcastle-under-Lyme</v>
      </c>
      <c r="M117" s="109">
        <f t="shared" si="46"/>
        <v>85.714285714285708</v>
      </c>
      <c r="N117" s="104">
        <f t="shared" si="31"/>
        <v>85.714285714285708</v>
      </c>
      <c r="O117" s="89" t="str">
        <f t="shared" si="32"/>
        <v/>
      </c>
      <c r="P117" s="89" t="str">
        <f t="shared" si="33"/>
        <v/>
      </c>
      <c r="Q117" s="89">
        <f t="shared" si="34"/>
        <v>85.714285714285708</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Predominantly Urban</v>
      </c>
      <c r="Y117" t="str">
        <f t="shared" si="38"/>
        <v/>
      </c>
      <c r="Z117" s="39" t="str">
        <f>IF(Y117="","",IF(I$8="A",(RANK(Y117,Y$11:Y$333,1)+COUNTIF(Y$11:Y117,Y117)-1),(RANK(Y117,Y$11:Y$333)+COUNTIF(Y$11:Y117,Y117)-1)))</f>
        <v/>
      </c>
      <c r="AA117" s="177" t="str">
        <f>IF(L117="","",VLOOKUP($L117,classifications!C:I,7,FALSE))</f>
        <v>Predominantly Urban</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Staffordshire</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West Midlands</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88.235294117647058</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95</v>
      </c>
      <c r="G118" s="15"/>
      <c r="H118" s="41">
        <f t="shared" si="44"/>
        <v>95</v>
      </c>
      <c r="I118" s="73">
        <f>IF(H118="","",IF($I$8="A",(RANK(H118,H$11:H$333,1)+COUNTIF(H$11:H118,H118)-1),(RANK(H118,H$11:H$333)+COUNTIF(H$11:H118,H118)-1)))</f>
        <v>45</v>
      </c>
      <c r="J118" s="40"/>
      <c r="K118" s="35">
        <f t="shared" si="51"/>
        <v>108</v>
      </c>
      <c r="L118" t="str">
        <f t="shared" si="45"/>
        <v>Norwich</v>
      </c>
      <c r="M118" s="109">
        <f t="shared" si="46"/>
        <v>85.714285714285708</v>
      </c>
      <c r="N118" s="104">
        <f t="shared" si="31"/>
        <v>85.714285714285708</v>
      </c>
      <c r="O118" s="89" t="str">
        <f t="shared" si="32"/>
        <v/>
      </c>
      <c r="P118" s="89" t="str">
        <f t="shared" si="33"/>
        <v/>
      </c>
      <c r="Q118" s="89">
        <f t="shared" si="34"/>
        <v>85.714285714285708</v>
      </c>
      <c r="R118" s="85" t="str">
        <f t="shared" si="35"/>
        <v/>
      </c>
      <c r="S118" s="41" t="str">
        <f t="shared" si="36"/>
        <v/>
      </c>
      <c r="T118" s="166">
        <f>IF(L118="","",VLOOKUP(L118,classifications!C:K,9,FALSE))</f>
        <v>0</v>
      </c>
      <c r="U118" s="167" t="str">
        <f t="shared" si="37"/>
        <v/>
      </c>
      <c r="V118" s="173" t="str">
        <f>IF(U118="","",IF($I$8="A",(RANK(U118,U$11:U$333)+COUNTIF(U$11:U118,U118)-1),(RANK(U118,U$11:U$333,1)+COUNTIF(U$11:U118,U118)-1)))</f>
        <v/>
      </c>
      <c r="W118" s="174"/>
      <c r="X118" s="5" t="str">
        <f>IF(L118="","",VLOOKUP($L118,classifications!$C:$J,6,FALSE))</f>
        <v>Predominantly Urban</v>
      </c>
      <c r="Y118" t="str">
        <f t="shared" si="38"/>
        <v/>
      </c>
      <c r="Z118" s="39" t="str">
        <f>IF(Y118="","",IF(I$8="A",(RANK(Y118,Y$11:Y$333,1)+COUNTIF(Y$11:Y118,Y118)-1),(RANK(Y118,Y$11:Y$333)+COUNTIF(Y$11:Y118,Y118)-1)))</f>
        <v/>
      </c>
      <c r="AA118" s="177" t="str">
        <f>IF(L118="","",VLOOKUP($L118,classifications!C:I,7,FALSE))</f>
        <v>Predominantly Urban</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Norfolk</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East of England</v>
      </c>
      <c r="AQ118" s="42">
        <f t="shared" si="42"/>
        <v>85.714285714285708</v>
      </c>
      <c r="AR118" s="39">
        <f>IF(AQ118="","",IF(I$8="A",(RANK(AQ118,AQ$11:AQ$333,1)+COUNTIF(AQ$11:AQ118,AQ118)-1),(RANK(AQ118,AQ$11:AQ$333)+COUNTIF(AQ$11:AQ118,AQ118)-1)))</f>
        <v>26</v>
      </c>
      <c r="AS118" s="3" t="str">
        <f t="shared" si="54"/>
        <v/>
      </c>
      <c r="AT118" s="39" t="str">
        <f t="shared" si="49"/>
        <v/>
      </c>
      <c r="AU118" s="42" t="str">
        <f t="shared" si="50"/>
        <v/>
      </c>
      <c r="AX118">
        <f>HLOOKUP($AX$9&amp;$AX$10,Data!$A$1:$ZT$1975,(MATCH($C118,Data!$A$1:$A$1975,0)),FALSE)</f>
        <v>95</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Dartford</v>
      </c>
      <c r="M119" s="109">
        <f t="shared" si="46"/>
        <v>84.848484848484844</v>
      </c>
      <c r="N119" s="104">
        <f t="shared" si="31"/>
        <v>84.848484848484844</v>
      </c>
      <c r="O119" s="89" t="str">
        <f t="shared" si="32"/>
        <v/>
      </c>
      <c r="P119" s="89" t="str">
        <f t="shared" si="33"/>
        <v/>
      </c>
      <c r="Q119" s="89">
        <f t="shared" si="34"/>
        <v>84.848484848484844</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Predominantly Urban</v>
      </c>
      <c r="Y119" t="str">
        <f t="shared" si="38"/>
        <v/>
      </c>
      <c r="Z119" s="39" t="str">
        <f>IF(Y119="","",IF(I$8="A",(RANK(Y119,Y$11:Y$333,1)+COUNTIF(Y$11:Y119,Y119)-1),(RANK(Y119,Y$11:Y$333)+COUNTIF(Y$11:Y119,Y119)-1)))</f>
        <v/>
      </c>
      <c r="AA119" s="177" t="str">
        <f>IF(L119="","",VLOOKUP($L119,classifications!C:I,7,FALSE))</f>
        <v>Predominantly Urban</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Kent</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South East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86.842105263157904</v>
      </c>
      <c r="G120" s="15"/>
      <c r="H120" s="41">
        <f t="shared" si="44"/>
        <v>86.842105263157904</v>
      </c>
      <c r="I120" s="73">
        <f>IF(H120="","",IF($I$8="A",(RANK(H120,H$11:H$333,1)+COUNTIF(H$11:H120,H120)-1),(RANK(H120,H$11:H$333)+COUNTIF(H$11:H120,H120)-1)))</f>
        <v>99</v>
      </c>
      <c r="J120" s="40"/>
      <c r="K120" s="35">
        <f t="shared" si="51"/>
        <v>110</v>
      </c>
      <c r="L120" t="str">
        <f t="shared" si="45"/>
        <v>Stroud</v>
      </c>
      <c r="M120" s="109">
        <f t="shared" si="46"/>
        <v>84.848484848484844</v>
      </c>
      <c r="N120" s="104">
        <f t="shared" si="31"/>
        <v>84.848484848484844</v>
      </c>
      <c r="O120" s="89" t="str">
        <f t="shared" si="32"/>
        <v/>
      </c>
      <c r="P120" s="89" t="str">
        <f t="shared" si="33"/>
        <v/>
      </c>
      <c r="Q120" s="89">
        <f t="shared" si="34"/>
        <v>84.848484848484844</v>
      </c>
      <c r="R120" s="85" t="str">
        <f t="shared" si="35"/>
        <v/>
      </c>
      <c r="S120" s="41" t="str">
        <f t="shared" si="36"/>
        <v/>
      </c>
      <c r="T120" s="166" t="str">
        <f>IF(L120="","",VLOOKUP(L120,classifications!C:K,9,FALSE))</f>
        <v>Sparse</v>
      </c>
      <c r="U120" s="167">
        <f t="shared" si="37"/>
        <v>84.848484848484844</v>
      </c>
      <c r="V120" s="173">
        <f>IF(U120="","",IF($I$8="A",(RANK(U120,U$11:U$333)+COUNTIF(U$11:U120,U120)-1),(RANK(U120,U$11:U$333,1)+COUNTIF(U$11:U120,U120)-1)))</f>
        <v>14</v>
      </c>
      <c r="W120" s="174"/>
      <c r="X120" s="5" t="str">
        <f>IF(L120="","",VLOOKUP($L120,classifications!$C:$J,6,FALSE))</f>
        <v>Urban with Significant Rural</v>
      </c>
      <c r="Y120" t="str">
        <f t="shared" si="38"/>
        <v/>
      </c>
      <c r="Z120" s="39" t="str">
        <f>IF(Y120="","",IF(I$8="A",(RANK(Y120,Y$11:Y$333,1)+COUNTIF(Y$11:Y120,Y120)-1),(RANK(Y120,Y$11:Y$333)+COUNTIF(Y$11:Y120,Y120)-1)))</f>
        <v/>
      </c>
      <c r="AA120" s="177" t="str">
        <f>IF(L120="","",VLOOKUP($L120,classifications!C:I,7,FALSE))</f>
        <v>Urban with Significant Rural</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Gloucestershire</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West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86.842105263157904</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92.857142857142861</v>
      </c>
      <c r="G121" s="15"/>
      <c r="H121" s="41" t="str">
        <f t="shared" si="44"/>
        <v/>
      </c>
      <c r="I121" s="73" t="str">
        <f>IF(H121="","",IF($I$8="A",(RANK(H121,H$11:H$333,1)+COUNTIF(H$11:H121,H121)-1),(RANK(H121,H$11:H$333)+COUNTIF(H$11:H121,H121)-1)))</f>
        <v/>
      </c>
      <c r="J121" s="40"/>
      <c r="K121" s="35">
        <f t="shared" si="51"/>
        <v>111</v>
      </c>
      <c r="L121" t="str">
        <f t="shared" si="45"/>
        <v>Broxtowe</v>
      </c>
      <c r="M121" s="109">
        <f t="shared" si="46"/>
        <v>84.615384615384613</v>
      </c>
      <c r="N121" s="104">
        <f t="shared" si="31"/>
        <v>84.615384615384613</v>
      </c>
      <c r="O121" s="89" t="str">
        <f t="shared" si="32"/>
        <v/>
      </c>
      <c r="P121" s="89" t="str">
        <f t="shared" si="33"/>
        <v/>
      </c>
      <c r="Q121" s="89">
        <f t="shared" si="34"/>
        <v>84.615384615384613</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Predominantly Urban</v>
      </c>
      <c r="Y121" t="str">
        <f t="shared" si="38"/>
        <v/>
      </c>
      <c r="Z121" s="39" t="str">
        <f>IF(Y121="","",IF(I$8="A",(RANK(Y121,Y$11:Y$333,1)+COUNTIF(Y$11:Y121,Y121)-1),(RANK(Y121,Y$11:Y$333)+COUNTIF(Y$11:Y121,Y121)-1)))</f>
        <v/>
      </c>
      <c r="AA121" s="177" t="str">
        <f>IF(L121="","",VLOOKUP($L121,classifications!C:I,7,FALSE))</f>
        <v>Predominantly Urban</v>
      </c>
      <c r="AB121" s="173" t="str">
        <f t="shared" si="39"/>
        <v/>
      </c>
      <c r="AC121" s="173" t="str">
        <f>IF(AB121="","",IF($I$8="A",(RANK(AB121,AB$11:AB$333)+COUNTIF(AB$11:AB121,AB121)-1),(RANK(AB121,AB$11:AB$333,1)+COUNTIF(AB$11:AB121,AB121)-1)))</f>
        <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Nottinghamshire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East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92.857142857142861</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t="str">
        <f t="shared" si="44"/>
        <v/>
      </c>
      <c r="I122" s="73" t="str">
        <f>IF(H122="","",IF($I$8="A",(RANK(H122,H$11:H$333,1)+COUNTIF(H$11:H122,H122)-1),(RANK(H122,H$11:H$333)+COUNTIF(H$11:H122,H122)-1)))</f>
        <v/>
      </c>
      <c r="J122" s="40"/>
      <c r="K122" s="35">
        <f t="shared" si="51"/>
        <v>112</v>
      </c>
      <c r="L122" t="str">
        <f t="shared" si="45"/>
        <v>South Kesteven</v>
      </c>
      <c r="M122" s="109">
        <f t="shared" si="46"/>
        <v>84.375</v>
      </c>
      <c r="N122" s="104">
        <f t="shared" ref="N122:N185" si="55">IF(L122="","",IF($H$8="%%",M122*100,M122))</f>
        <v>84.375</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84.375</v>
      </c>
      <c r="R122" s="85" t="str">
        <f t="shared" ref="R122:R185" si="59">IF(I$8="A",IF(N122&gt;$Q$10,N122,""),IF(N122&lt;$Q$10,N122,""))</f>
        <v/>
      </c>
      <c r="S122" s="41" t="str">
        <f t="shared" ref="S122:S185" si="60">IF(L122=D$3,"u","")</f>
        <v/>
      </c>
      <c r="T122" s="166" t="str">
        <f>IF(L122="","",VLOOKUP(L122,classifications!C:K,9,FALSE))</f>
        <v>Sparse</v>
      </c>
      <c r="U122" s="167">
        <f t="shared" ref="U122:U185" si="61">IF(T122="Sparse",M122,"")</f>
        <v>84.375</v>
      </c>
      <c r="V122" s="173">
        <f>IF(U122="","",IF($I$8="A",(RANK(U122,U$11:U$333)+COUNTIF(U$11:U122,U122)-1),(RANK(U122,U$11:U$333,1)+COUNTIF(U$11:U122,U122)-1)))</f>
        <v>13</v>
      </c>
      <c r="W122" s="174"/>
      <c r="X122" s="5" t="str">
        <f>IF(L122="","",VLOOKUP($L122,classifications!$C:$J,6,FALSE))</f>
        <v xml:space="preserve">Predominantly Rural </v>
      </c>
      <c r="Y122">
        <f t="shared" ref="Y122:Y185" si="62">IF($D$1="UA",IF(X122="Predominantly Rural ",M122,IF(X122="Predominantly Rural ",M122,IF(X122="Urban with Significant Rural",M122,""))),IF($D$1="SD",IF(X122=$H$3,M122,"")))</f>
        <v>84.375</v>
      </c>
      <c r="Z122" s="39">
        <f>IF(Y122="","",IF(I$8="A",(RANK(Y122,Y$11:Y$333,1)+COUNTIF(Y$11:Y122,Y122)-1),(RANK(Y122,Y$11:Y$333)+COUNTIF(Y$11:Y122,Y122)-1)))</f>
        <v>42</v>
      </c>
      <c r="AA122" s="177" t="str">
        <f>IF(L122="","",VLOOKUP($L122,classifications!C:I,7,FALSE))</f>
        <v>Predominantly Rural</v>
      </c>
      <c r="AB122" s="173">
        <f t="shared" ref="AB122:AB185" si="63">IF(AA122=$J$3,M122,"")</f>
        <v>84.375</v>
      </c>
      <c r="AC122" s="173">
        <f>IF(AB122="","",IF($I$8="A",(RANK(AB122,AB$11:AB$333)+COUNTIF(AB$11:AB122,AB122)-1),(RANK(AB122,AB$11:AB$333,1)+COUNTIF(AB$11:AB122,AB122)-1)))</f>
        <v>18</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Lincolnshire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East Midlands</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Elmbridge</v>
      </c>
      <c r="M123" s="109">
        <f t="shared" si="46"/>
        <v>84.090909090909093</v>
      </c>
      <c r="N123" s="104">
        <f t="shared" si="55"/>
        <v>84.090909090909093</v>
      </c>
      <c r="O123" s="89" t="str">
        <f t="shared" si="56"/>
        <v/>
      </c>
      <c r="P123" s="89" t="str">
        <f t="shared" si="57"/>
        <v/>
      </c>
      <c r="Q123" s="89">
        <f t="shared" si="58"/>
        <v>84.090909090909093</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Predominantly Urban</v>
      </c>
      <c r="Y123" t="str">
        <f t="shared" si="62"/>
        <v/>
      </c>
      <c r="Z123" s="39" t="str">
        <f>IF(Y123="","",IF(I$8="A",(RANK(Y123,Y$11:Y$333,1)+COUNTIF(Y$11:Y123,Y123)-1),(RANK(Y123,Y$11:Y$333)+COUNTIF(Y$11:Y123,Y123)-1)))</f>
        <v/>
      </c>
      <c r="AA123" s="177" t="str">
        <f>IF(L123="","",VLOOKUP($L123,classifications!C:I,7,FALSE))</f>
        <v>Predominantly Urban</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Surrey</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East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Basildon</v>
      </c>
      <c r="M124" s="109">
        <f t="shared" si="46"/>
        <v>84</v>
      </c>
      <c r="N124" s="104">
        <f t="shared" si="55"/>
        <v>84</v>
      </c>
      <c r="O124" s="89" t="str">
        <f t="shared" si="56"/>
        <v/>
      </c>
      <c r="P124" s="89" t="str">
        <f t="shared" si="57"/>
        <v/>
      </c>
      <c r="Q124" s="89">
        <f t="shared" si="58"/>
        <v>84</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Predominantly Urban</v>
      </c>
      <c r="Y124" t="str">
        <f t="shared" si="62"/>
        <v/>
      </c>
      <c r="Z124" s="39" t="str">
        <f>IF(Y124="","",IF(I$8="A",(RANK(Y124,Y$11:Y$333,1)+COUNTIF(Y$11:Y124,Y124)-1),(RANK(Y124,Y$11:Y$333)+COUNTIF(Y$11:Y124,Y124)-1)))</f>
        <v/>
      </c>
      <c r="AA124" s="177" t="str">
        <f>IF(L124="","",VLOOKUP($L124,classifications!C:I,7,FALSE))</f>
        <v>Predominantly Urban</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Essex</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East of England</v>
      </c>
      <c r="AQ124" s="42">
        <f t="shared" si="66"/>
        <v>84</v>
      </c>
      <c r="AR124" s="39">
        <f>IF(AQ124="","",IF(I$8="A",(RANK(AQ124,AQ$11:AQ$333,1)+COUNTIF(AQ$11:AQ124,AQ124)-1),(RANK(AQ124,AQ$11:AQ$333)+COUNTIF(AQ$11:AQ124,AQ124)-1)))</f>
        <v>27</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57.499999999999993</v>
      </c>
      <c r="G125" s="15"/>
      <c r="H125" s="41">
        <f t="shared" si="44"/>
        <v>57.499999999999993</v>
      </c>
      <c r="I125" s="73">
        <f>IF(H125="","",IF($I$8="A",(RANK(H125,H$11:H$333,1)+COUNTIF(H$11:H125,H125)-1),(RANK(H125,H$11:H$333)+COUNTIF(H$11:H125,H125)-1)))</f>
        <v>160</v>
      </c>
      <c r="J125" s="40"/>
      <c r="K125" s="35">
        <f t="shared" si="51"/>
        <v>115</v>
      </c>
      <c r="L125" t="str">
        <f t="shared" si="45"/>
        <v>Cambridge</v>
      </c>
      <c r="M125" s="109">
        <f t="shared" si="46"/>
        <v>83.870967741935488</v>
      </c>
      <c r="N125" s="104">
        <f t="shared" si="55"/>
        <v>83.870967741935488</v>
      </c>
      <c r="O125" s="89" t="str">
        <f t="shared" si="56"/>
        <v/>
      </c>
      <c r="P125" s="89" t="str">
        <f t="shared" si="57"/>
        <v/>
      </c>
      <c r="Q125" s="89">
        <f t="shared" si="58"/>
        <v>83.870967741935488</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Cambridgeshire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East of England</v>
      </c>
      <c r="AQ125" s="42">
        <f t="shared" si="66"/>
        <v>83.870967741935488</v>
      </c>
      <c r="AR125" s="39">
        <f>IF(AQ125="","",IF(I$8="A",(RANK(AQ125,AQ$11:AQ$333,1)+COUNTIF(AQ$11:AQ125,AQ125)-1),(RANK(AQ125,AQ$11:AQ$333)+COUNTIF(AQ$11:AQ125,AQ125)-1)))</f>
        <v>28</v>
      </c>
      <c r="AS125" s="3" t="str">
        <f t="shared" si="54"/>
        <v/>
      </c>
      <c r="AT125" s="39" t="str">
        <f t="shared" si="49"/>
        <v/>
      </c>
      <c r="AU125" s="42" t="str">
        <f t="shared" si="50"/>
        <v/>
      </c>
      <c r="AX125">
        <f>HLOOKUP($AX$9&amp;$AX$10,Data!$A$1:$ZT$1975,(MATCH($C125,Data!$A$1:$A$1975,0)),FALSE)</f>
        <v>57.499999999999993</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Mole Valley</v>
      </c>
      <c r="M126" s="109">
        <f t="shared" si="46"/>
        <v>83.333333333333343</v>
      </c>
      <c r="N126" s="104">
        <f t="shared" si="55"/>
        <v>83.333333333333343</v>
      </c>
      <c r="O126" s="89" t="str">
        <f t="shared" si="56"/>
        <v/>
      </c>
      <c r="P126" s="89" t="str">
        <f t="shared" si="57"/>
        <v/>
      </c>
      <c r="Q126" s="89">
        <f t="shared" si="58"/>
        <v>83.333333333333343</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Urban with Significant Rural</v>
      </c>
      <c r="Y126" t="str">
        <f t="shared" si="62"/>
        <v/>
      </c>
      <c r="Z126" s="39" t="str">
        <f>IF(Y126="","",IF(I$8="A",(RANK(Y126,Y$11:Y$333,1)+COUNTIF(Y$11:Y126,Y126)-1),(RANK(Y126,Y$11:Y$333)+COUNTIF(Y$11:Y126,Y126)-1)))</f>
        <v/>
      </c>
      <c r="AA126" s="177" t="str">
        <f>IF(L126="","",VLOOKUP($L126,classifications!C:I,7,FALSE))</f>
        <v>Urban with Significant Rural</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Surrey</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East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94.444444444444443</v>
      </c>
      <c r="G127" s="15"/>
      <c r="H127" s="41">
        <f t="shared" si="44"/>
        <v>94.444444444444443</v>
      </c>
      <c r="I127" s="73">
        <f>IF(H127="","",IF($I$8="A",(RANK(H127,H$11:H$333,1)+COUNTIF(H$11:H127,H127)-1),(RANK(H127,H$11:H$333)+COUNTIF(H$11:H127,H127)-1)))</f>
        <v>50</v>
      </c>
      <c r="J127" s="40"/>
      <c r="K127" s="35">
        <f t="shared" si="51"/>
        <v>117</v>
      </c>
      <c r="L127" t="str">
        <f t="shared" si="45"/>
        <v>West Oxfordshire</v>
      </c>
      <c r="M127" s="109">
        <f t="shared" si="46"/>
        <v>83.333333333333343</v>
      </c>
      <c r="N127" s="104">
        <f t="shared" si="55"/>
        <v>83.333333333333343</v>
      </c>
      <c r="O127" s="89" t="str">
        <f t="shared" si="56"/>
        <v/>
      </c>
      <c r="P127" s="89" t="str">
        <f t="shared" si="57"/>
        <v/>
      </c>
      <c r="Q127" s="89">
        <f t="shared" si="58"/>
        <v>83.333333333333343</v>
      </c>
      <c r="R127" s="85" t="str">
        <f t="shared" si="59"/>
        <v/>
      </c>
      <c r="S127" s="41" t="str">
        <f t="shared" si="60"/>
        <v/>
      </c>
      <c r="T127" s="166" t="str">
        <f>IF(L127="","",VLOOKUP(L127,classifications!C:K,9,FALSE))</f>
        <v>Sparse</v>
      </c>
      <c r="U127" s="167">
        <f t="shared" si="61"/>
        <v>83.333333333333343</v>
      </c>
      <c r="V127" s="173">
        <f>IF(U127="","",IF($I$8="A",(RANK(U127,U$11:U$333)+COUNTIF(U$11:U127,U127)-1),(RANK(U127,U$11:U$333,1)+COUNTIF(U$11:U127,U127)-1)))</f>
        <v>12</v>
      </c>
      <c r="W127" s="174"/>
      <c r="X127" s="5" t="str">
        <f>IF(L127="","",VLOOKUP($L127,classifications!$C:$J,6,FALSE))</f>
        <v xml:space="preserve">Predominantly Rural </v>
      </c>
      <c r="Y127">
        <f t="shared" si="62"/>
        <v>83.333333333333343</v>
      </c>
      <c r="Z127" s="39">
        <f>IF(Y127="","",IF(I$8="A",(RANK(Y127,Y$11:Y$333,1)+COUNTIF(Y$11:Y127,Y127)-1),(RANK(Y127,Y$11:Y$333)+COUNTIF(Y$11:Y127,Y127)-1)))</f>
        <v>43</v>
      </c>
      <c r="AA127" s="177" t="str">
        <f>IF(L127="","",VLOOKUP($L127,classifications!C:I,7,FALSE))</f>
        <v>Predominantly Rural</v>
      </c>
      <c r="AB127" s="173">
        <f t="shared" si="63"/>
        <v>83.333333333333343</v>
      </c>
      <c r="AC127" s="173">
        <f>IF(AB127="","",IF($I$8="A",(RANK(AB127,AB$11:AB$333)+COUNTIF(AB$11:AB127,AB127)-1),(RANK(AB127,AB$11:AB$333,1)+COUNTIF(AB$11:AB127,AB127)-1)))</f>
        <v>17</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Oxfordshire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South East</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94.444444444444443</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83.333333333333343</v>
      </c>
      <c r="G128" s="15"/>
      <c r="H128" s="41" t="str">
        <f t="shared" si="44"/>
        <v/>
      </c>
      <c r="I128" s="73" t="str">
        <f>IF(H128="","",IF($I$8="A",(RANK(H128,H$11:H$333,1)+COUNTIF(H$11:H128,H128)-1),(RANK(H128,H$11:H$333)+COUNTIF(H$11:H128,H128)-1)))</f>
        <v/>
      </c>
      <c r="J128" s="40"/>
      <c r="K128" s="35">
        <f t="shared" si="51"/>
        <v>118</v>
      </c>
      <c r="L128" t="str">
        <f t="shared" si="45"/>
        <v>Maldon</v>
      </c>
      <c r="M128" s="109">
        <f t="shared" si="46"/>
        <v>81.395348837209298</v>
      </c>
      <c r="N128" s="104">
        <f t="shared" si="55"/>
        <v>81.395348837209298</v>
      </c>
      <c r="O128" s="89" t="str">
        <f t="shared" si="56"/>
        <v/>
      </c>
      <c r="P128" s="89" t="str">
        <f t="shared" si="57"/>
        <v/>
      </c>
      <c r="Q128" s="89">
        <f t="shared" si="58"/>
        <v>81.395348837209298</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 xml:space="preserve">Predominantly Rural </v>
      </c>
      <c r="Y128">
        <f t="shared" si="62"/>
        <v>81.395348837209298</v>
      </c>
      <c r="Z128" s="39">
        <f>IF(Y128="","",IF(I$8="A",(RANK(Y128,Y$11:Y$333,1)+COUNTIF(Y$11:Y128,Y128)-1),(RANK(Y128,Y$11:Y$333)+COUNTIF(Y$11:Y128,Y128)-1)))</f>
        <v>44</v>
      </c>
      <c r="AA128" s="177" t="str">
        <f>IF(L128="","",VLOOKUP($L128,classifications!C:I,7,FALSE))</f>
        <v>Predominantly Rural</v>
      </c>
      <c r="AB128" s="173">
        <f t="shared" si="63"/>
        <v>81.395348837209298</v>
      </c>
      <c r="AC128" s="173">
        <f>IF(AB128="","",IF($I$8="A",(RANK(AB128,AB$11:AB$333)+COUNTIF(AB$11:AB128,AB128)-1),(RANK(AB128,AB$11:AB$333,1)+COUNTIF(AB$11:AB128,AB128)-1)))</f>
        <v>16</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Essex</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of England</v>
      </c>
      <c r="AQ128" s="42">
        <f t="shared" si="66"/>
        <v>81.395348837209298</v>
      </c>
      <c r="AR128" s="39">
        <f>IF(AQ128="","",IF(I$8="A",(RANK(AQ128,AQ$11:AQ$333,1)+COUNTIF(AQ$11:AQ128,AQ128)-1),(RANK(AQ128,AQ$11:AQ$333)+COUNTIF(AQ$11:AQ128,AQ128)-1)))</f>
        <v>29</v>
      </c>
      <c r="AS128" s="3" t="str">
        <f t="shared" si="54"/>
        <v/>
      </c>
      <c r="AT128" s="39" t="str">
        <f t="shared" si="49"/>
        <v/>
      </c>
      <c r="AU128" s="42" t="str">
        <f t="shared" si="50"/>
        <v/>
      </c>
      <c r="AX128">
        <f>HLOOKUP($AX$9&amp;$AX$10,Data!$A$1:$ZT$1975,(MATCH($C128,Data!$A$1:$A$1975,0)),FALSE)</f>
        <v>83.333333333333343</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87.5</v>
      </c>
      <c r="G129" s="15"/>
      <c r="H129" s="41">
        <f t="shared" si="44"/>
        <v>87.5</v>
      </c>
      <c r="I129" s="73">
        <f>IF(H129="","",IF($I$8="A",(RANK(H129,H$11:H$333,1)+COUNTIF(H$11:H129,H129)-1),(RANK(H129,H$11:H$333)+COUNTIF(H$11:H129,H129)-1)))</f>
        <v>97</v>
      </c>
      <c r="J129" s="40"/>
      <c r="K129" s="35">
        <f t="shared" si="51"/>
        <v>119</v>
      </c>
      <c r="L129" t="str">
        <f t="shared" si="45"/>
        <v>Basingstoke &amp; Deane</v>
      </c>
      <c r="M129" s="109">
        <f t="shared" si="46"/>
        <v>80.952380952380949</v>
      </c>
      <c r="N129" s="104">
        <f t="shared" si="55"/>
        <v>80.952380952380949</v>
      </c>
      <c r="O129" s="89" t="str">
        <f t="shared" si="56"/>
        <v/>
      </c>
      <c r="P129" s="89" t="str">
        <f t="shared" si="57"/>
        <v/>
      </c>
      <c r="Q129" s="89">
        <f t="shared" si="58"/>
        <v>80.952380952380949</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Urban with Significant Rural</v>
      </c>
      <c r="Y129" t="str">
        <f t="shared" si="62"/>
        <v/>
      </c>
      <c r="Z129" s="39" t="str">
        <f>IF(Y129="","",IF(I$8="A",(RANK(Y129,Y$11:Y$333,1)+COUNTIF(Y$11:Y129,Y129)-1),(RANK(Y129,Y$11:Y$333)+COUNTIF(Y$11:Y129,Y129)-1)))</f>
        <v/>
      </c>
      <c r="AA129" s="177" t="str">
        <f>IF(L129="","",VLOOKUP($L129,classifications!C:I,7,FALSE))</f>
        <v>Urban with Significant Rural</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Hampshire</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East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87.5</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Erewash</v>
      </c>
      <c r="M130" s="109">
        <f t="shared" si="46"/>
        <v>80.952380952380949</v>
      </c>
      <c r="N130" s="104">
        <f t="shared" si="55"/>
        <v>80.952380952380949</v>
      </c>
      <c r="O130" s="89" t="str">
        <f t="shared" si="56"/>
        <v/>
      </c>
      <c r="P130" s="89" t="str">
        <f t="shared" si="57"/>
        <v/>
      </c>
      <c r="Q130" s="89">
        <f t="shared" si="58"/>
        <v>80.952380952380949</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Derbyshire</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East Midlands</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100</v>
      </c>
      <c r="G131" s="15"/>
      <c r="H131" s="41">
        <f t="shared" si="44"/>
        <v>100</v>
      </c>
      <c r="I131" s="73">
        <f>IF(H131="","",IF($I$8="A",(RANK(H131,H$11:H$333,1)+COUNTIF(H$11:H131,H131)-1),(RANK(H131,H$11:H$333)+COUNTIF(H$11:H131,H131)-1)))</f>
        <v>11</v>
      </c>
      <c r="J131" s="40"/>
      <c r="K131" s="35">
        <f t="shared" si="51"/>
        <v>121</v>
      </c>
      <c r="L131" t="str">
        <f t="shared" si="45"/>
        <v>Nuneaton &amp; Bedworth</v>
      </c>
      <c r="M131" s="109">
        <f t="shared" si="46"/>
        <v>80.769230769230774</v>
      </c>
      <c r="N131" s="104">
        <f t="shared" si="55"/>
        <v>80.769230769230774</v>
      </c>
      <c r="O131" s="89" t="str">
        <f t="shared" si="56"/>
        <v/>
      </c>
      <c r="P131" s="89" t="str">
        <f t="shared" si="57"/>
        <v/>
      </c>
      <c r="Q131" s="89">
        <f t="shared" si="58"/>
        <v>80.769230769230774</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Predominantly Urban</v>
      </c>
      <c r="Y131" t="str">
        <f t="shared" si="62"/>
        <v/>
      </c>
      <c r="Z131" s="39" t="str">
        <f>IF(Y131="","",IF(I$8="A",(RANK(Y131,Y$11:Y$333,1)+COUNTIF(Y$11:Y131,Y131)-1),(RANK(Y131,Y$11:Y$333)+COUNTIF(Y$11:Y131,Y131)-1)))</f>
        <v/>
      </c>
      <c r="AA131" s="177" t="str">
        <f>IF(L131="","",VLOOKUP($L131,classifications!C:I,7,FALSE))</f>
        <v>Predominantly Urban</v>
      </c>
      <c r="AB131" s="173" t="str">
        <f t="shared" si="63"/>
        <v/>
      </c>
      <c r="AC131" s="173" t="str">
        <f>IF(AB131="","",IF($I$8="A",(RANK(AB131,AB$11:AB$333)+COUNTIF(AB$11:AB131,AB131)-1),(RANK(AB131,AB$11:AB$333,1)+COUNTIF(AB$11:AB131,AB131)-1)))</f>
        <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Warwickshire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West Midlands</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100</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90</v>
      </c>
      <c r="G132" s="15"/>
      <c r="H132" s="41">
        <f t="shared" si="44"/>
        <v>90</v>
      </c>
      <c r="I132" s="73">
        <f>IF(H132="","",IF($I$8="A",(RANK(H132,H$11:H$333,1)+COUNTIF(H$11:H132,H132)-1),(RANK(H132,H$11:H$333)+COUNTIF(H$11:H132,H132)-1)))</f>
        <v>84</v>
      </c>
      <c r="J132" s="40"/>
      <c r="K132" s="35">
        <f t="shared" si="51"/>
        <v>122</v>
      </c>
      <c r="L132" t="str">
        <f t="shared" si="45"/>
        <v>Dover</v>
      </c>
      <c r="M132" s="109">
        <f t="shared" si="46"/>
        <v>80.327868852459019</v>
      </c>
      <c r="N132" s="104">
        <f t="shared" si="55"/>
        <v>80.327868852459019</v>
      </c>
      <c r="O132" s="89" t="str">
        <f t="shared" si="56"/>
        <v/>
      </c>
      <c r="P132" s="89" t="str">
        <f t="shared" si="57"/>
        <v/>
      </c>
      <c r="Q132" s="89">
        <f t="shared" si="58"/>
        <v>80.327868852459019</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Kent</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South East</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90</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96.296296296296291</v>
      </c>
      <c r="G133" s="15"/>
      <c r="H133" s="41" t="str">
        <f t="shared" si="44"/>
        <v/>
      </c>
      <c r="I133" s="73" t="str">
        <f>IF(H133="","",IF($I$8="A",(RANK(H133,H$11:H$333,1)+COUNTIF(H$11:H133,H133)-1),(RANK(H133,H$11:H$333)+COUNTIF(H$11:H133,H133)-1)))</f>
        <v/>
      </c>
      <c r="J133" s="40"/>
      <c r="K133" s="35">
        <f t="shared" si="51"/>
        <v>123</v>
      </c>
      <c r="L133" t="str">
        <f t="shared" si="45"/>
        <v>Hyndburn</v>
      </c>
      <c r="M133" s="109">
        <f t="shared" si="46"/>
        <v>80</v>
      </c>
      <c r="N133" s="104">
        <f t="shared" si="55"/>
        <v>80</v>
      </c>
      <c r="O133" s="89" t="str">
        <f t="shared" si="56"/>
        <v/>
      </c>
      <c r="P133" s="89" t="str">
        <f t="shared" si="57"/>
        <v/>
      </c>
      <c r="Q133" s="89">
        <f t="shared" si="58"/>
        <v>80</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Predominantly Urban</v>
      </c>
      <c r="Y133" t="str">
        <f t="shared" si="62"/>
        <v/>
      </c>
      <c r="Z133" s="39" t="str">
        <f>IF(Y133="","",IF(I$8="A",(RANK(Y133,Y$11:Y$333,1)+COUNTIF(Y$11:Y133,Y133)-1),(RANK(Y133,Y$11:Y$333)+COUNTIF(Y$11:Y133,Y133)-1)))</f>
        <v/>
      </c>
      <c r="AA133" s="177" t="str">
        <f>IF(L133="","",VLOOKUP($L133,classifications!C:I,7,FALSE))</f>
        <v>Predominantly Urban</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Lancashire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North West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96.296296296296291</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81.632653061224488</v>
      </c>
      <c r="G134" s="15"/>
      <c r="H134" s="41" t="str">
        <f t="shared" si="44"/>
        <v/>
      </c>
      <c r="I134" s="73" t="str">
        <f>IF(H134="","",IF($I$8="A",(RANK(H134,H$11:H$333,1)+COUNTIF(H$11:H134,H134)-1),(RANK(H134,H$11:H$333)+COUNTIF(H$11:H134,H134)-1)))</f>
        <v/>
      </c>
      <c r="J134" s="40"/>
      <c r="K134" s="35">
        <f t="shared" si="51"/>
        <v>124</v>
      </c>
      <c r="L134" t="str">
        <f t="shared" si="45"/>
        <v>Rushmoor</v>
      </c>
      <c r="M134" s="109">
        <f t="shared" si="46"/>
        <v>80</v>
      </c>
      <c r="N134" s="104">
        <f t="shared" si="55"/>
        <v>80</v>
      </c>
      <c r="O134" s="89" t="str">
        <f t="shared" si="56"/>
        <v/>
      </c>
      <c r="P134" s="89" t="str">
        <f t="shared" si="57"/>
        <v/>
      </c>
      <c r="Q134" s="89">
        <f t="shared" si="58"/>
        <v>80</v>
      </c>
      <c r="R134" s="85" t="str">
        <f t="shared" si="59"/>
        <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Hampshire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South East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81.632653061224488</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Three Rivers</v>
      </c>
      <c r="M135" s="109">
        <f t="shared" si="46"/>
        <v>80</v>
      </c>
      <c r="N135" s="104">
        <f t="shared" si="55"/>
        <v>80</v>
      </c>
      <c r="O135" s="89" t="str">
        <f t="shared" si="56"/>
        <v/>
      </c>
      <c r="P135" s="89" t="str">
        <f t="shared" si="57"/>
        <v/>
      </c>
      <c r="Q135" s="89">
        <f t="shared" si="58"/>
        <v>80</v>
      </c>
      <c r="R135" s="85" t="str">
        <f t="shared" si="59"/>
        <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Hertfordshire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East of England</v>
      </c>
      <c r="AQ135" s="42">
        <f t="shared" si="66"/>
        <v>80</v>
      </c>
      <c r="AR135" s="39">
        <f>IF(AQ135="","",IF(I$8="A",(RANK(AQ135,AQ$11:AQ$333,1)+COUNTIF(AQ$11:AQ135,AQ135)-1),(RANK(AQ135,AQ$11:AQ$333)+COUNTIF(AQ$11:AQ135,AQ135)-1)))</f>
        <v>30</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95.238095238095227</v>
      </c>
      <c r="G136" s="15"/>
      <c r="H136" s="41">
        <f t="shared" si="44"/>
        <v>95.238095238095227</v>
      </c>
      <c r="I136" s="73">
        <f>IF(H136="","",IF($I$8="A",(RANK(H136,H$11:H$333,1)+COUNTIF(H$11:H136,H136)-1),(RANK(H136,H$11:H$333)+COUNTIF(H$11:H136,H136)-1)))</f>
        <v>44</v>
      </c>
      <c r="J136" s="40"/>
      <c r="K136" s="35">
        <f t="shared" si="51"/>
        <v>126</v>
      </c>
      <c r="L136" t="str">
        <f t="shared" si="45"/>
        <v>Worcester</v>
      </c>
      <c r="M136" s="109">
        <f t="shared" si="46"/>
        <v>80</v>
      </c>
      <c r="N136" s="104">
        <f t="shared" si="55"/>
        <v>80</v>
      </c>
      <c r="O136" s="89" t="str">
        <f t="shared" si="56"/>
        <v/>
      </c>
      <c r="P136" s="89" t="str">
        <f t="shared" si="57"/>
        <v/>
      </c>
      <c r="Q136" s="89">
        <f t="shared" si="58"/>
        <v>80</v>
      </c>
      <c r="R136" s="85" t="str">
        <f t="shared" si="59"/>
        <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Predominantly Urban</v>
      </c>
      <c r="Y136" t="str">
        <f t="shared" si="62"/>
        <v/>
      </c>
      <c r="Z136" s="39" t="str">
        <f>IF(Y136="","",IF(I$8="A",(RANK(Y136,Y$11:Y$333,1)+COUNTIF(Y$11:Y136,Y136)-1),(RANK(Y136,Y$11:Y$333)+COUNTIF(Y$11:Y136,Y136)-1)))</f>
        <v/>
      </c>
      <c r="AA136" s="177" t="str">
        <f>IF(L136="","",VLOOKUP($L136,classifications!C:I,7,FALSE))</f>
        <v>Predominantly Urban</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Worcestershire</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West Midlands</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95.238095238095227</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12</v>
      </c>
      <c r="J137" s="40"/>
      <c r="K137" s="35">
        <f t="shared" si="51"/>
        <v>127</v>
      </c>
      <c r="L137" t="str">
        <f t="shared" si="45"/>
        <v>Stevenage</v>
      </c>
      <c r="M137" s="109">
        <f t="shared" si="46"/>
        <v>78.94736842105263</v>
      </c>
      <c r="N137" s="104">
        <f t="shared" si="55"/>
        <v>78.94736842105263</v>
      </c>
      <c r="O137" s="89" t="str">
        <f t="shared" si="56"/>
        <v/>
      </c>
      <c r="P137" s="89" t="str">
        <f t="shared" si="57"/>
        <v/>
      </c>
      <c r="Q137" s="89" t="str">
        <f t="shared" si="58"/>
        <v/>
      </c>
      <c r="R137" s="85">
        <f t="shared" si="59"/>
        <v>78.94736842105263</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Predominantly Urban</v>
      </c>
      <c r="Y137" t="str">
        <f t="shared" si="62"/>
        <v/>
      </c>
      <c r="Z137" s="39" t="str">
        <f>IF(Y137="","",IF(I$8="A",(RANK(Y137,Y$11:Y$333,1)+COUNTIF(Y$11:Y137,Y137)-1),(RANK(Y137,Y$11:Y$333)+COUNTIF(Y$11:Y137,Y137)-1)))</f>
        <v/>
      </c>
      <c r="AA137" s="177" t="str">
        <f>IF(L137="","",VLOOKUP($L137,classifications!C:I,7,FALSE))</f>
        <v>Predominantly Urban</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Hertfordshire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East of England</v>
      </c>
      <c r="AQ137" s="42">
        <f t="shared" si="66"/>
        <v>78.94736842105263</v>
      </c>
      <c r="AR137" s="39">
        <f>IF(AQ137="","",IF(I$8="A",(RANK(AQ137,AQ$11:AQ$333,1)+COUNTIF(AQ$11:AQ137,AQ137)-1),(RANK(AQ137,AQ$11:AQ$333)+COUNTIF(AQ$11:AQ137,AQ137)-1)))</f>
        <v>31</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97.297297297297305</v>
      </c>
      <c r="G138" s="15"/>
      <c r="H138" s="41" t="str">
        <f t="shared" si="44"/>
        <v/>
      </c>
      <c r="I138" s="73" t="str">
        <f>IF(H138="","",IF($I$8="A",(RANK(H138,H$11:H$333,1)+COUNTIF(H$11:H138,H138)-1),(RANK(H138,H$11:H$333)+COUNTIF(H$11:H138,H138)-1)))</f>
        <v/>
      </c>
      <c r="J138" s="40"/>
      <c r="K138" s="35">
        <f t="shared" si="51"/>
        <v>128</v>
      </c>
      <c r="L138" t="str">
        <f t="shared" si="45"/>
        <v>Hinckley &amp; Bosworth</v>
      </c>
      <c r="M138" s="109">
        <f t="shared" si="46"/>
        <v>78</v>
      </c>
      <c r="N138" s="104">
        <f t="shared" si="55"/>
        <v>78</v>
      </c>
      <c r="O138" s="89" t="str">
        <f t="shared" si="56"/>
        <v/>
      </c>
      <c r="P138" s="89" t="str">
        <f t="shared" si="57"/>
        <v/>
      </c>
      <c r="Q138" s="89" t="str">
        <f t="shared" si="58"/>
        <v/>
      </c>
      <c r="R138" s="85">
        <f t="shared" si="59"/>
        <v>78</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 xml:space="preserve">Predominantly Rural </v>
      </c>
      <c r="Y138">
        <f t="shared" si="62"/>
        <v>78</v>
      </c>
      <c r="Z138" s="39">
        <f>IF(Y138="","",IF(I$8="A",(RANK(Y138,Y$11:Y$333,1)+COUNTIF(Y$11:Y138,Y138)-1),(RANK(Y138,Y$11:Y$333)+COUNTIF(Y$11:Y138,Y138)-1)))</f>
        <v>45</v>
      </c>
      <c r="AA138" s="177" t="str">
        <f>IF(L138="","",VLOOKUP($L138,classifications!C:I,7,FALSE))</f>
        <v>Predominantly Rural</v>
      </c>
      <c r="AB138" s="173">
        <f t="shared" si="63"/>
        <v>78</v>
      </c>
      <c r="AC138" s="173">
        <f>IF(AB138="","",IF($I$8="A",(RANK(AB138,AB$11:AB$333)+COUNTIF(AB$11:AB138,AB138)-1),(RANK(AB138,AB$11:AB$333,1)+COUNTIF(AB$11:AB138,AB138)-1)))</f>
        <v>15</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Leicestershire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Midlands</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97.297297297297305</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78</v>
      </c>
      <c r="G139" s="15"/>
      <c r="H139" s="41">
        <f t="shared" ref="H139:H202" si="68">IF(D139=$D$1,HLOOKUP($D$6,$AX$10:$ZZ$337,ROW()-9,FALSE),"")</f>
        <v>78</v>
      </c>
      <c r="I139" s="73">
        <f>IF(H139="","",IF($I$8="A",(RANK(H139,H$11:H$333,1)+COUNTIF(H$11:H139,H139)-1),(RANK(H139,H$11:H$333)+COUNTIF(H$11:H139,H139)-1)))</f>
        <v>128</v>
      </c>
      <c r="J139" s="40"/>
      <c r="K139" s="35">
        <f t="shared" si="51"/>
        <v>129</v>
      </c>
      <c r="L139" t="str">
        <f t="shared" ref="L139:L202" si="69">IF(K139="","",INDEX(C$11:C$327,MATCH(K139,I$11:I$333,0)))</f>
        <v>North Warwickshire</v>
      </c>
      <c r="M139" s="109">
        <f t="shared" ref="M139:M202" si="70">IF(L139="","",IF(VLOOKUP(L139,C:D,2,FALSE)=$F$3,VLOOKUP(L139,C:H,6,FALSE),""))</f>
        <v>77.777777777777786</v>
      </c>
      <c r="N139" s="104">
        <f t="shared" si="55"/>
        <v>77.777777777777786</v>
      </c>
      <c r="O139" s="89" t="str">
        <f t="shared" si="56"/>
        <v/>
      </c>
      <c r="P139" s="89" t="str">
        <f t="shared" si="57"/>
        <v/>
      </c>
      <c r="Q139" s="89" t="str">
        <f t="shared" si="58"/>
        <v/>
      </c>
      <c r="R139" s="85">
        <f t="shared" si="59"/>
        <v>77.777777777777786</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 xml:space="preserve">Predominantly Rural </v>
      </c>
      <c r="Y139">
        <f t="shared" si="62"/>
        <v>77.777777777777786</v>
      </c>
      <c r="Z139" s="39">
        <f>IF(Y139="","",IF(I$8="A",(RANK(Y139,Y$11:Y$333,1)+COUNTIF(Y$11:Y139,Y139)-1),(RANK(Y139,Y$11:Y$333)+COUNTIF(Y$11:Y139,Y139)-1)))</f>
        <v>46</v>
      </c>
      <c r="AA139" s="177" t="str">
        <f>IF(L139="","",VLOOKUP($L139,classifications!C:I,7,FALSE))</f>
        <v>Predominantly Rural</v>
      </c>
      <c r="AB139" s="173">
        <f t="shared" si="63"/>
        <v>77.777777777777786</v>
      </c>
      <c r="AC139" s="173">
        <f>IF(AB139="","",IF($I$8="A",(RANK(AB139,AB$11:AB$333)+COUNTIF(AB$11:AB139,AB139)-1),(RANK(AB139,AB$11:AB$333,1)+COUNTIF(AB$11:AB139,AB139)-1)))</f>
        <v>14</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Warwickshire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West Midlands</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78</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97.916666666666657</v>
      </c>
      <c r="G140" s="15"/>
      <c r="H140" s="41">
        <f t="shared" si="68"/>
        <v>97.916666666666657</v>
      </c>
      <c r="I140" s="73">
        <f>IF(H140="","",IF($I$8="A",(RANK(H140,H$11:H$333,1)+COUNTIF(H$11:H140,H140)-1),(RANK(H140,H$11:H$333)+COUNTIF(H$11:H140,H140)-1)))</f>
        <v>27</v>
      </c>
      <c r="J140" s="40"/>
      <c r="K140" s="35">
        <f t="shared" ref="K140:K203" si="75">IF(K139="","",IF(K139+1&gt;(COUNT(H$11:H$333)),"",K139+1))</f>
        <v>130</v>
      </c>
      <c r="L140" t="str">
        <f t="shared" si="69"/>
        <v>Thanet</v>
      </c>
      <c r="M140" s="109">
        <f t="shared" si="70"/>
        <v>77.777777777777786</v>
      </c>
      <c r="N140" s="104">
        <f t="shared" si="55"/>
        <v>77.777777777777786</v>
      </c>
      <c r="O140" s="89" t="str">
        <f t="shared" si="56"/>
        <v/>
      </c>
      <c r="P140" s="89" t="str">
        <f t="shared" si="57"/>
        <v/>
      </c>
      <c r="Q140" s="89" t="str">
        <f t="shared" si="58"/>
        <v/>
      </c>
      <c r="R140" s="85">
        <f t="shared" si="59"/>
        <v>77.777777777777786</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Predominantly Urban</v>
      </c>
      <c r="Y140" t="str">
        <f t="shared" si="62"/>
        <v/>
      </c>
      <c r="Z140" s="39" t="str">
        <f>IF(Y140="","",IF(I$8="A",(RANK(Y140,Y$11:Y$333,1)+COUNTIF(Y$11:Y140,Y140)-1),(RANK(Y140,Y$11:Y$333)+COUNTIF(Y$11:Y140,Y140)-1)))</f>
        <v/>
      </c>
      <c r="AA140" s="177" t="str">
        <f>IF(L140="","",VLOOKUP($L140,classifications!C:I,7,FALSE))</f>
        <v>Predominantly Urban</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Kent</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East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97.916666666666657</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80.555555555555557</v>
      </c>
      <c r="G141" s="15"/>
      <c r="H141" s="41" t="str">
        <f t="shared" si="68"/>
        <v/>
      </c>
      <c r="I141" s="73" t="str">
        <f>IF(H141="","",IF($I$8="A",(RANK(H141,H$11:H$333,1)+COUNTIF(H$11:H141,H141)-1),(RANK(H141,H$11:H$333)+COUNTIF(H$11:H141,H141)-1)))</f>
        <v/>
      </c>
      <c r="J141" s="40"/>
      <c r="K141" s="35">
        <f t="shared" si="75"/>
        <v>131</v>
      </c>
      <c r="L141" t="str">
        <f t="shared" si="69"/>
        <v>Lewes</v>
      </c>
      <c r="M141" s="109">
        <f t="shared" si="70"/>
        <v>77.272727272727266</v>
      </c>
      <c r="N141" s="104">
        <f t="shared" si="55"/>
        <v>77.272727272727266</v>
      </c>
      <c r="O141" s="89" t="str">
        <f t="shared" si="56"/>
        <v/>
      </c>
      <c r="P141" s="89" t="str">
        <f t="shared" si="57"/>
        <v/>
      </c>
      <c r="Q141" s="89" t="str">
        <f t="shared" si="58"/>
        <v/>
      </c>
      <c r="R141" s="85">
        <f t="shared" si="59"/>
        <v>77.272727272727266</v>
      </c>
      <c r="S141" s="41" t="str">
        <f t="shared" si="60"/>
        <v/>
      </c>
      <c r="T141" s="166" t="str">
        <f>IF(L141="","",VLOOKUP(L141,classifications!C:K,9,FALSE))</f>
        <v>Sparse</v>
      </c>
      <c r="U141" s="167">
        <f t="shared" si="61"/>
        <v>77.272727272727266</v>
      </c>
      <c r="V141" s="173">
        <f>IF(U141="","",IF($I$8="A",(RANK(U141,U$11:U$333)+COUNTIF(U$11:U141,U141)-1),(RANK(U141,U$11:U$333,1)+COUNTIF(U$11:U141,U141)-1)))</f>
        <v>11</v>
      </c>
      <c r="W141" s="174"/>
      <c r="X141" s="5" t="str">
        <f>IF(L141="","",VLOOKUP($L141,classifications!$C:$J,6,FALSE))</f>
        <v>Urban with Significant Rural</v>
      </c>
      <c r="Y141" t="str">
        <f t="shared" si="62"/>
        <v/>
      </c>
      <c r="Z141" s="39" t="str">
        <f>IF(Y141="","",IF(I$8="A",(RANK(Y141,Y$11:Y$333,1)+COUNTIF(Y$11:Y141,Y141)-1),(RANK(Y141,Y$11:Y$333)+COUNTIF(Y$11:Y141,Y141)-1)))</f>
        <v/>
      </c>
      <c r="AA141" s="177" t="str">
        <f>IF(L141="","",VLOOKUP($L141,classifications!C:I,7,FALSE))</f>
        <v>Urban with Significant Rural</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East Sussex</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South East</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80.555555555555557</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89.361702127659569</v>
      </c>
      <c r="G142" s="15"/>
      <c r="H142" s="41">
        <f t="shared" si="68"/>
        <v>89.361702127659569</v>
      </c>
      <c r="I142" s="73">
        <f>IF(H142="","",IF($I$8="A",(RANK(H142,H$11:H$333,1)+COUNTIF(H$11:H142,H142)-1),(RANK(H142,H$11:H$333)+COUNTIF(H$11:H142,H142)-1)))</f>
        <v>88</v>
      </c>
      <c r="J142" s="40"/>
      <c r="K142" s="35">
        <f t="shared" si="75"/>
        <v>132</v>
      </c>
      <c r="L142" t="str">
        <f t="shared" si="69"/>
        <v>Reigate &amp; Banstead</v>
      </c>
      <c r="M142" s="109">
        <f t="shared" si="70"/>
        <v>77.272727272727266</v>
      </c>
      <c r="N142" s="104">
        <f t="shared" si="55"/>
        <v>77.272727272727266</v>
      </c>
      <c r="O142" s="89" t="str">
        <f t="shared" si="56"/>
        <v/>
      </c>
      <c r="P142" s="89" t="str">
        <f t="shared" si="57"/>
        <v/>
      </c>
      <c r="Q142" s="89" t="str">
        <f t="shared" si="58"/>
        <v/>
      </c>
      <c r="R142" s="85">
        <f t="shared" si="59"/>
        <v>77.272727272727266</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Surrey</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89.361702127659569</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80</v>
      </c>
      <c r="G143" s="15"/>
      <c r="H143" s="41">
        <f t="shared" si="68"/>
        <v>80</v>
      </c>
      <c r="I143" s="73">
        <f>IF(H143="","",IF($I$8="A",(RANK(H143,H$11:H$333,1)+COUNTIF(H$11:H143,H143)-1),(RANK(H143,H$11:H$333)+COUNTIF(H$11:H143,H143)-1)))</f>
        <v>123</v>
      </c>
      <c r="J143" s="40"/>
      <c r="K143" s="35">
        <f t="shared" si="75"/>
        <v>133</v>
      </c>
      <c r="L143" t="str">
        <f t="shared" si="69"/>
        <v>Malvern Hills</v>
      </c>
      <c r="M143" s="109">
        <f t="shared" si="70"/>
        <v>77.142857142857153</v>
      </c>
      <c r="N143" s="104">
        <f t="shared" si="55"/>
        <v>77.142857142857153</v>
      </c>
      <c r="O143" s="89" t="str">
        <f t="shared" si="56"/>
        <v/>
      </c>
      <c r="P143" s="89" t="str">
        <f t="shared" si="57"/>
        <v/>
      </c>
      <c r="Q143" s="89" t="str">
        <f t="shared" si="58"/>
        <v/>
      </c>
      <c r="R143" s="85">
        <f t="shared" si="59"/>
        <v>77.142857142857153</v>
      </c>
      <c r="S143" s="41" t="str">
        <f t="shared" si="60"/>
        <v/>
      </c>
      <c r="T143" s="166" t="str">
        <f>IF(L143="","",VLOOKUP(L143,classifications!C:K,9,FALSE))</f>
        <v>Sparse</v>
      </c>
      <c r="U143" s="167">
        <f t="shared" si="61"/>
        <v>77.142857142857153</v>
      </c>
      <c r="V143" s="173">
        <f>IF(U143="","",IF($I$8="A",(RANK(U143,U$11:U$333)+COUNTIF(U$11:U143,U143)-1),(RANK(U143,U$11:U$333,1)+COUNTIF(U$11:U143,U143)-1)))</f>
        <v>10</v>
      </c>
      <c r="W143" s="174"/>
      <c r="X143" s="5" t="str">
        <f>IF(L143="","",VLOOKUP($L143,classifications!$C:$J,6,FALSE))</f>
        <v xml:space="preserve">Predominantly Rural </v>
      </c>
      <c r="Y143">
        <f t="shared" si="62"/>
        <v>77.142857142857153</v>
      </c>
      <c r="Z143" s="39">
        <f>IF(Y143="","",IF(I$8="A",(RANK(Y143,Y$11:Y$333,1)+COUNTIF(Y$11:Y143,Y143)-1),(RANK(Y143,Y$11:Y$333)+COUNTIF(Y$11:Y143,Y143)-1)))</f>
        <v>47</v>
      </c>
      <c r="AA143" s="177" t="str">
        <f>IF(L143="","",VLOOKUP($L143,classifications!C:I,7,FALSE))</f>
        <v>Predominantly Rural</v>
      </c>
      <c r="AB143" s="173">
        <f t="shared" si="63"/>
        <v>77.142857142857153</v>
      </c>
      <c r="AC143" s="173">
        <f>IF(AB143="","",IF($I$8="A",(RANK(AB143,AB$11:AB$333)+COUNTIF(AB$11:AB143,AB143)-1),(RANK(AB143,AB$11:AB$333,1)+COUNTIF(AB$11:AB143,AB143)-1)))</f>
        <v>13</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Worcestershire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West Midlands</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80</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95.652173913043484</v>
      </c>
      <c r="G144" s="15"/>
      <c r="H144" s="41">
        <f t="shared" si="68"/>
        <v>95.652173913043484</v>
      </c>
      <c r="I144" s="73">
        <f>IF(H144="","",IF($I$8="A",(RANK(H144,H$11:H$333,1)+COUNTIF(H$11:H144,H144)-1),(RANK(H144,H$11:H$333)+COUNTIF(H$11:H144,H144)-1)))</f>
        <v>42</v>
      </c>
      <c r="J144" s="40"/>
      <c r="K144" s="35">
        <f t="shared" si="75"/>
        <v>134</v>
      </c>
      <c r="L144" t="str">
        <f t="shared" si="69"/>
        <v>Lincoln</v>
      </c>
      <c r="M144" s="109">
        <f t="shared" si="70"/>
        <v>76.470588235294116</v>
      </c>
      <c r="N144" s="104">
        <f t="shared" si="55"/>
        <v>76.470588235294116</v>
      </c>
      <c r="O144" s="89" t="str">
        <f t="shared" si="56"/>
        <v/>
      </c>
      <c r="P144" s="89" t="str">
        <f t="shared" si="57"/>
        <v/>
      </c>
      <c r="Q144" s="89" t="str">
        <f t="shared" si="58"/>
        <v/>
      </c>
      <c r="R144" s="85">
        <f t="shared" si="59"/>
        <v>76.470588235294116</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Lincolnshire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East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95.652173913043484</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80.645161290322577</v>
      </c>
      <c r="G145" s="15"/>
      <c r="H145" s="41" t="str">
        <f t="shared" si="68"/>
        <v/>
      </c>
      <c r="I145" s="73" t="str">
        <f>IF(H145="","",IF($I$8="A",(RANK(H145,H$11:H$333,1)+COUNTIF(H$11:H145,H145)-1),(RANK(H145,H$11:H$333)+COUNTIF(H$11:H145,H145)-1)))</f>
        <v/>
      </c>
      <c r="J145" s="40"/>
      <c r="K145" s="35">
        <f t="shared" si="75"/>
        <v>135</v>
      </c>
      <c r="L145" t="str">
        <f t="shared" si="69"/>
        <v>Chorley</v>
      </c>
      <c r="M145" s="109">
        <f t="shared" si="70"/>
        <v>76.19047619047619</v>
      </c>
      <c r="N145" s="104">
        <f t="shared" si="55"/>
        <v>76.19047619047619</v>
      </c>
      <c r="O145" s="89" t="str">
        <f t="shared" si="56"/>
        <v/>
      </c>
      <c r="P145" s="89" t="str">
        <f t="shared" si="57"/>
        <v/>
      </c>
      <c r="Q145" s="89" t="str">
        <f t="shared" si="58"/>
        <v/>
      </c>
      <c r="R145" s="85">
        <f t="shared" si="59"/>
        <v>76.19047619047619</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Urban with Significant Rural</v>
      </c>
      <c r="Y145" t="str">
        <f t="shared" si="62"/>
        <v/>
      </c>
      <c r="Z145" s="39" t="str">
        <f>IF(Y145="","",IF(I$8="A",(RANK(Y145,Y$11:Y$333,1)+COUNTIF(Y$11:Y145,Y145)-1),(RANK(Y145,Y$11:Y$333)+COUNTIF(Y$11:Y145,Y145)-1)))</f>
        <v/>
      </c>
      <c r="AA145" s="177" t="str">
        <f>IF(L145="","",VLOOKUP($L145,classifications!C:I,7,FALSE))</f>
        <v>Urban with Significant Rural</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Lancashire</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North West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80.645161290322577</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50</v>
      </c>
      <c r="G146" s="15"/>
      <c r="H146" s="41" t="str">
        <f t="shared" si="68"/>
        <v/>
      </c>
      <c r="I146" s="73" t="str">
        <f>IF(H146="","",IF($I$8="A",(RANK(H146,H$11:H$333,1)+COUNTIF(H$11:H146,H146)-1),(RANK(H146,H$11:H$333)+COUNTIF(H$11:H146,H146)-1)))</f>
        <v/>
      </c>
      <c r="J146" s="40"/>
      <c r="K146" s="35">
        <f t="shared" si="75"/>
        <v>136</v>
      </c>
      <c r="L146" t="str">
        <f t="shared" si="69"/>
        <v>Uttlesford</v>
      </c>
      <c r="M146" s="109">
        <f t="shared" si="70"/>
        <v>76.08695652173914</v>
      </c>
      <c r="N146" s="104">
        <f t="shared" si="55"/>
        <v>76.08695652173914</v>
      </c>
      <c r="O146" s="89" t="str">
        <f t="shared" si="56"/>
        <v/>
      </c>
      <c r="P146" s="89" t="str">
        <f t="shared" si="57"/>
        <v/>
      </c>
      <c r="Q146" s="89" t="str">
        <f t="shared" si="58"/>
        <v/>
      </c>
      <c r="R146" s="85">
        <f t="shared" si="59"/>
        <v>76.08695652173914</v>
      </c>
      <c r="S146" s="41" t="str">
        <f t="shared" si="60"/>
        <v/>
      </c>
      <c r="T146" s="166" t="str">
        <f>IF(L146="","",VLOOKUP(L146,classifications!C:K,9,FALSE))</f>
        <v>Sparse</v>
      </c>
      <c r="U146" s="167">
        <f t="shared" si="61"/>
        <v>76.08695652173914</v>
      </c>
      <c r="V146" s="173">
        <f>IF(U146="","",IF($I$8="A",(RANK(U146,U$11:U$333)+COUNTIF(U$11:U146,U146)-1),(RANK(U146,U$11:U$333,1)+COUNTIF(U$11:U146,U146)-1)))</f>
        <v>9</v>
      </c>
      <c r="W146" s="174"/>
      <c r="X146" s="5" t="str">
        <f>IF(L146="","",VLOOKUP($L146,classifications!$C:$J,6,FALSE))</f>
        <v xml:space="preserve">Predominantly Rural </v>
      </c>
      <c r="Y146">
        <f t="shared" si="62"/>
        <v>76.08695652173914</v>
      </c>
      <c r="Z146" s="39">
        <f>IF(Y146="","",IF(I$8="A",(RANK(Y146,Y$11:Y$333,1)+COUNTIF(Y$11:Y146,Y146)-1),(RANK(Y146,Y$11:Y$333)+COUNTIF(Y$11:Y146,Y146)-1)))</f>
        <v>48</v>
      </c>
      <c r="AA146" s="177" t="str">
        <f>IF(L146="","",VLOOKUP($L146,classifications!C:I,7,FALSE))</f>
        <v>Predominantly Rural</v>
      </c>
      <c r="AB146" s="173">
        <f t="shared" si="63"/>
        <v>76.08695652173914</v>
      </c>
      <c r="AC146" s="173">
        <f>IF(AB146="","",IF($I$8="A",(RANK(AB146,AB$11:AB$333)+COUNTIF(AB$11:AB146,AB146)-1),(RANK(AB146,AB$11:AB$333,1)+COUNTIF(AB$11:AB146,AB146)-1)))</f>
        <v>12</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Essex</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East of England</v>
      </c>
      <c r="AQ146" s="42">
        <f t="shared" si="66"/>
        <v>76.08695652173914</v>
      </c>
      <c r="AR146" s="39">
        <f>IF(AQ146="","",IF(I$8="A",(RANK(AQ146,AQ$11:AQ$333,1)+COUNTIF(AQ$11:AQ146,AQ146)-1),(RANK(AQ146,AQ$11:AQ$333)+COUNTIF(AQ$11:AQ146,AQ146)-1)))</f>
        <v>32</v>
      </c>
      <c r="AS146" s="3" t="str">
        <f t="shared" si="78"/>
        <v/>
      </c>
      <c r="AT146" s="39" t="str">
        <f t="shared" si="73"/>
        <v/>
      </c>
      <c r="AU146" s="42" t="str">
        <f t="shared" si="74"/>
        <v/>
      </c>
      <c r="AX146">
        <f>HLOOKUP($AX$9&amp;$AX$10,Data!$A$1:$ZT$1975,(MATCH($C146,Data!$A$1:$A$1975,0)),FALSE)</f>
        <v>50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96.15384615384616</v>
      </c>
      <c r="G147" s="15"/>
      <c r="H147" s="41" t="str">
        <f t="shared" si="68"/>
        <v/>
      </c>
      <c r="I147" s="73" t="str">
        <f>IF(H147="","",IF($I$8="A",(RANK(H147,H$11:H$333,1)+COUNTIF(H$11:H147,H147)-1),(RANK(H147,H$11:H$333)+COUNTIF(H$11:H147,H147)-1)))</f>
        <v/>
      </c>
      <c r="J147" s="40"/>
      <c r="K147" s="35">
        <f t="shared" si="75"/>
        <v>137</v>
      </c>
      <c r="L147" t="str">
        <f t="shared" si="69"/>
        <v>South Cambridgeshire</v>
      </c>
      <c r="M147" s="109">
        <f t="shared" si="70"/>
        <v>75.806451612903231</v>
      </c>
      <c r="N147" s="104">
        <f t="shared" si="55"/>
        <v>75.806451612903231</v>
      </c>
      <c r="O147" s="89" t="str">
        <f t="shared" si="56"/>
        <v/>
      </c>
      <c r="P147" s="89" t="str">
        <f t="shared" si="57"/>
        <v/>
      </c>
      <c r="Q147" s="89" t="str">
        <f t="shared" si="58"/>
        <v/>
      </c>
      <c r="R147" s="85">
        <f t="shared" si="59"/>
        <v>75.806451612903231</v>
      </c>
      <c r="S147" s="41" t="str">
        <f t="shared" si="60"/>
        <v/>
      </c>
      <c r="T147" s="166" t="str">
        <f>IF(L147="","",VLOOKUP(L147,classifications!C:K,9,FALSE))</f>
        <v>Sparse</v>
      </c>
      <c r="U147" s="167">
        <f t="shared" si="61"/>
        <v>75.806451612903231</v>
      </c>
      <c r="V147" s="173">
        <f>IF(U147="","",IF($I$8="A",(RANK(U147,U$11:U$333)+COUNTIF(U$11:U147,U147)-1),(RANK(U147,U$11:U$333,1)+COUNTIF(U$11:U147,U147)-1)))</f>
        <v>8</v>
      </c>
      <c r="W147" s="174"/>
      <c r="X147" s="5" t="str">
        <f>IF(L147="","",VLOOKUP($L147,classifications!$C:$J,6,FALSE))</f>
        <v xml:space="preserve">Predominantly Rural </v>
      </c>
      <c r="Y147">
        <f t="shared" si="62"/>
        <v>75.806451612903231</v>
      </c>
      <c r="Z147" s="39">
        <f>IF(Y147="","",IF(I$8="A",(RANK(Y147,Y$11:Y$333,1)+COUNTIF(Y$11:Y147,Y147)-1),(RANK(Y147,Y$11:Y$333)+COUNTIF(Y$11:Y147,Y147)-1)))</f>
        <v>49</v>
      </c>
      <c r="AA147" s="177" t="str">
        <f>IF(L147="","",VLOOKUP($L147,classifications!C:I,7,FALSE))</f>
        <v>Predominantly Rural</v>
      </c>
      <c r="AB147" s="173">
        <f t="shared" si="63"/>
        <v>75.806451612903231</v>
      </c>
      <c r="AC147" s="173">
        <f>IF(AB147="","",IF($I$8="A",(RANK(AB147,AB$11:AB$333)+COUNTIF(AB$11:AB147,AB147)-1),(RANK(AB147,AB$11:AB$333,1)+COUNTIF(AB$11:AB147,AB147)-1)))</f>
        <v>11</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Cambridgeshire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East of England</v>
      </c>
      <c r="AQ147" s="42">
        <f t="shared" si="66"/>
        <v>75.806451612903231</v>
      </c>
      <c r="AR147" s="39">
        <f>IF(AQ147="","",IF(I$8="A",(RANK(AQ147,AQ$11:AQ$333,1)+COUNTIF(AQ$11:AQ147,AQ147)-1),(RANK(AQ147,AQ$11:AQ$333)+COUNTIF(AQ$11:AQ147,AQ147)-1)))</f>
        <v>33</v>
      </c>
      <c r="AS147" s="3" t="str">
        <f t="shared" si="78"/>
        <v/>
      </c>
      <c r="AT147" s="39" t="str">
        <f t="shared" si="73"/>
        <v/>
      </c>
      <c r="AU147" s="42" t="str">
        <f t="shared" si="74"/>
        <v/>
      </c>
      <c r="AX147">
        <f>HLOOKUP($AX$9&amp;$AX$10,Data!$A$1:$ZT$1975,(MATCH($C147,Data!$A$1:$A$1975,0)),FALSE)</f>
        <v>96.15384615384616</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f t="shared" si="75"/>
        <v>138</v>
      </c>
      <c r="L148" t="str">
        <f t="shared" si="69"/>
        <v>Ashfield</v>
      </c>
      <c r="M148" s="109">
        <f t="shared" si="70"/>
        <v>75</v>
      </c>
      <c r="N148" s="104">
        <f t="shared" si="55"/>
        <v>75</v>
      </c>
      <c r="O148" s="89" t="str">
        <f t="shared" si="56"/>
        <v/>
      </c>
      <c r="P148" s="89" t="str">
        <f t="shared" si="57"/>
        <v/>
      </c>
      <c r="Q148" s="89" t="str">
        <f t="shared" si="58"/>
        <v/>
      </c>
      <c r="R148" s="85">
        <f t="shared" si="59"/>
        <v>75</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Predominantly Urban</v>
      </c>
      <c r="Y148" t="str">
        <f t="shared" si="62"/>
        <v/>
      </c>
      <c r="Z148" s="39" t="str">
        <f>IF(Y148="","",IF(I$8="A",(RANK(Y148,Y$11:Y$333,1)+COUNTIF(Y$11:Y148,Y148)-1),(RANK(Y148,Y$11:Y$333)+COUNTIF(Y$11:Y148,Y148)-1)))</f>
        <v/>
      </c>
      <c r="AA148" s="177" t="str">
        <f>IF(L148="","",VLOOKUP($L148,classifications!C:I,7,FALSE))</f>
        <v>Predominantly Urban</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Nottinghamshire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East Midlands</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Crawley</v>
      </c>
      <c r="M149" s="109">
        <f t="shared" si="70"/>
        <v>75</v>
      </c>
      <c r="N149" s="104">
        <f t="shared" si="55"/>
        <v>75</v>
      </c>
      <c r="O149" s="89" t="str">
        <f t="shared" si="56"/>
        <v/>
      </c>
      <c r="P149" s="89" t="str">
        <f t="shared" si="57"/>
        <v/>
      </c>
      <c r="Q149" s="89" t="str">
        <f t="shared" si="58"/>
        <v/>
      </c>
      <c r="R149" s="85">
        <f t="shared" si="59"/>
        <v>75</v>
      </c>
      <c r="S149" s="41" t="str">
        <f t="shared" si="60"/>
        <v/>
      </c>
      <c r="T149" s="166">
        <f>IF(L149="","",VLOOKUP(L149,classifications!C:K,9,FALSE))</f>
        <v>0</v>
      </c>
      <c r="U149" s="167" t="str">
        <f t="shared" si="61"/>
        <v/>
      </c>
      <c r="V149" s="173" t="str">
        <f>IF(U149="","",IF($I$8="A",(RANK(U149,U$11:U$333)+COUNTIF(U$11:U149,U149)-1),(RANK(U149,U$11:U$333,1)+COUNTIF(U$11:U149,U149)-1)))</f>
        <v/>
      </c>
      <c r="W149" s="174"/>
      <c r="X149" s="5" t="str">
        <f>IF(L149="","",VLOOKUP($L149,classifications!$C:$J,6,FALSE))</f>
        <v>Predominantly Urban</v>
      </c>
      <c r="Y149" t="str">
        <f t="shared" si="62"/>
        <v/>
      </c>
      <c r="Z149" s="39" t="str">
        <f>IF(Y149="","",IF(I$8="A",(RANK(Y149,Y$11:Y$333,1)+COUNTIF(Y$11:Y149,Y149)-1),(RANK(Y149,Y$11:Y$333)+COUNTIF(Y$11:Y149,Y149)-1)))</f>
        <v/>
      </c>
      <c r="AA149" s="177" t="str">
        <f>IF(L149="","",VLOOKUP($L149,classifications!C:I,7,FALSE))</f>
        <v>Predominantly Urban</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West Sussex</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South East</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86.04651162790698</v>
      </c>
      <c r="G150" s="15"/>
      <c r="H150" s="41">
        <f t="shared" si="68"/>
        <v>86.04651162790698</v>
      </c>
      <c r="I150" s="73">
        <f>IF(H150="","",IF($I$8="A",(RANK(H150,H$11:H$333,1)+COUNTIF(H$11:H150,H150)-1),(RANK(H150,H$11:H$333)+COUNTIF(H$11:H150,H150)-1)))</f>
        <v>102</v>
      </c>
      <c r="J150" s="40"/>
      <c r="K150" s="35">
        <f t="shared" si="75"/>
        <v>140</v>
      </c>
      <c r="L150" t="str">
        <f t="shared" si="69"/>
        <v>Gosport</v>
      </c>
      <c r="M150" s="109">
        <f t="shared" si="70"/>
        <v>75</v>
      </c>
      <c r="N150" s="104">
        <f t="shared" si="55"/>
        <v>75</v>
      </c>
      <c r="O150" s="89" t="str">
        <f t="shared" si="56"/>
        <v/>
      </c>
      <c r="P150" s="89" t="str">
        <f t="shared" si="57"/>
        <v/>
      </c>
      <c r="Q150" s="89" t="str">
        <f t="shared" si="58"/>
        <v/>
      </c>
      <c r="R150" s="85">
        <f t="shared" si="59"/>
        <v>75</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Hampshire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South East</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86.04651162790698</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89.743589743589752</v>
      </c>
      <c r="G151" s="15"/>
      <c r="H151" s="41" t="str">
        <f t="shared" si="68"/>
        <v/>
      </c>
      <c r="I151" s="73" t="str">
        <f>IF(H151="","",IF($I$8="A",(RANK(H151,H$11:H$333,1)+COUNTIF(H$11:H151,H151)-1),(RANK(H151,H$11:H$333)+COUNTIF(H$11:H151,H151)-1)))</f>
        <v/>
      </c>
      <c r="J151" s="40"/>
      <c r="K151" s="35">
        <f t="shared" si="75"/>
        <v>141</v>
      </c>
      <c r="L151" t="str">
        <f t="shared" si="69"/>
        <v>South Ribble</v>
      </c>
      <c r="M151" s="109">
        <f t="shared" si="70"/>
        <v>75</v>
      </c>
      <c r="N151" s="104">
        <f t="shared" si="55"/>
        <v>75</v>
      </c>
      <c r="O151" s="89" t="str">
        <f t="shared" si="56"/>
        <v/>
      </c>
      <c r="P151" s="89" t="str">
        <f t="shared" si="57"/>
        <v/>
      </c>
      <c r="Q151" s="89" t="str">
        <f t="shared" si="58"/>
        <v/>
      </c>
      <c r="R151" s="85">
        <f t="shared" si="59"/>
        <v>75</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Predominantly Urban</v>
      </c>
      <c r="Y151" t="str">
        <f t="shared" si="62"/>
        <v/>
      </c>
      <c r="Z151" s="39" t="str">
        <f>IF(Y151="","",IF(I$8="A",(RANK(Y151,Y$11:Y$333,1)+COUNTIF(Y$11:Y151,Y151)-1),(RANK(Y151,Y$11:Y$333)+COUNTIF(Y$11:Y151,Y151)-1)))</f>
        <v/>
      </c>
      <c r="AA151" s="177" t="str">
        <f>IF(L151="","",VLOOKUP($L151,classifications!C:I,7,FALSE))</f>
        <v>Predominantly Urban</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Lancashire</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North West</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89.743589743589752</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96.296296296296291</v>
      </c>
      <c r="G152" s="15"/>
      <c r="H152" s="41" t="str">
        <f t="shared" si="68"/>
        <v/>
      </c>
      <c r="I152" s="73" t="str">
        <f>IF(H152="","",IF($I$8="A",(RANK(H152,H$11:H$333,1)+COUNTIF(H$11:H152,H152)-1),(RANK(H152,H$11:H$333)+COUNTIF(H$11:H152,H152)-1)))</f>
        <v/>
      </c>
      <c r="J152" s="40"/>
      <c r="K152" s="35">
        <f t="shared" si="75"/>
        <v>142</v>
      </c>
      <c r="L152" t="str">
        <f t="shared" si="69"/>
        <v>Swale</v>
      </c>
      <c r="M152" s="109">
        <f t="shared" si="70"/>
        <v>75</v>
      </c>
      <c r="N152" s="104">
        <f t="shared" si="55"/>
        <v>75</v>
      </c>
      <c r="O152" s="89" t="str">
        <f t="shared" si="56"/>
        <v/>
      </c>
      <c r="P152" s="89" t="str">
        <f t="shared" si="57"/>
        <v/>
      </c>
      <c r="Q152" s="89" t="str">
        <f t="shared" si="58"/>
        <v/>
      </c>
      <c r="R152" s="85">
        <f t="shared" si="59"/>
        <v>75</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 xml:space="preserve">Predominantly Rural </v>
      </c>
      <c r="Y152">
        <f t="shared" si="62"/>
        <v>75</v>
      </c>
      <c r="Z152" s="39">
        <f>IF(Y152="","",IF(I$8="A",(RANK(Y152,Y$11:Y$333,1)+COUNTIF(Y$11:Y152,Y152)-1),(RANK(Y152,Y$11:Y$333)+COUNTIF(Y$11:Y152,Y152)-1)))</f>
        <v>50</v>
      </c>
      <c r="AA152" s="177" t="str">
        <f>IF(L152="","",VLOOKUP($L152,classifications!C:I,7,FALSE))</f>
        <v>Predominantly Rural</v>
      </c>
      <c r="AB152" s="173">
        <f t="shared" si="63"/>
        <v>75</v>
      </c>
      <c r="AC152" s="173">
        <f>IF(AB152="","",IF($I$8="A",(RANK(AB152,AB$11:AB$333)+COUNTIF(AB$11:AB152,AB152)-1),(RANK(AB152,AB$11:AB$333,1)+COUNTIF(AB$11:AB152,AB152)-1)))</f>
        <v>10</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Kent</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South East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96.296296296296291</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88.888888888888886</v>
      </c>
      <c r="G153" s="15"/>
      <c r="H153" s="41" t="str">
        <f t="shared" si="68"/>
        <v/>
      </c>
      <c r="I153" s="73" t="str">
        <f>IF(H153="","",IF($I$8="A",(RANK(H153,H$11:H$333,1)+COUNTIF(H$11:H153,H153)-1),(RANK(H153,H$11:H$333)+COUNTIF(H$11:H153,H153)-1)))</f>
        <v/>
      </c>
      <c r="J153" s="40"/>
      <c r="K153" s="35">
        <f t="shared" si="75"/>
        <v>143</v>
      </c>
      <c r="L153" t="str">
        <f t="shared" si="69"/>
        <v>Worthing</v>
      </c>
      <c r="M153" s="109">
        <f t="shared" si="70"/>
        <v>75</v>
      </c>
      <c r="N153" s="104">
        <f t="shared" si="55"/>
        <v>75</v>
      </c>
      <c r="O153" s="89" t="str">
        <f t="shared" si="56"/>
        <v/>
      </c>
      <c r="P153" s="89" t="str">
        <f t="shared" si="57"/>
        <v/>
      </c>
      <c r="Q153" s="89" t="str">
        <f t="shared" si="58"/>
        <v/>
      </c>
      <c r="R153" s="85">
        <f t="shared" si="59"/>
        <v>75</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West Sussex</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88.888888888888886</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96.428571428571431</v>
      </c>
      <c r="G154" s="15"/>
      <c r="H154" s="41" t="str">
        <f t="shared" si="68"/>
        <v/>
      </c>
      <c r="I154" s="73" t="str">
        <f>IF(H154="","",IF($I$8="A",(RANK(H154,H$11:H$333,1)+COUNTIF(H$11:H154,H154)-1),(RANK(H154,H$11:H$333)+COUNTIF(H$11:H154,H154)-1)))</f>
        <v/>
      </c>
      <c r="J154" s="40"/>
      <c r="K154" s="35">
        <f t="shared" si="75"/>
        <v>144</v>
      </c>
      <c r="L154" t="str">
        <f t="shared" si="69"/>
        <v>South Hams</v>
      </c>
      <c r="M154" s="109">
        <f t="shared" si="70"/>
        <v>73.529411764705884</v>
      </c>
      <c r="N154" s="104">
        <f t="shared" si="55"/>
        <v>73.529411764705884</v>
      </c>
      <c r="O154" s="89" t="str">
        <f t="shared" si="56"/>
        <v/>
      </c>
      <c r="P154" s="89" t="str">
        <f t="shared" si="57"/>
        <v/>
      </c>
      <c r="Q154" s="89" t="str">
        <f t="shared" si="58"/>
        <v/>
      </c>
      <c r="R154" s="85">
        <f t="shared" si="59"/>
        <v>73.529411764705884</v>
      </c>
      <c r="S154" s="41" t="str">
        <f t="shared" si="60"/>
        <v/>
      </c>
      <c r="T154" s="166" t="str">
        <f>IF(L154="","",VLOOKUP(L154,classifications!C:K,9,FALSE))</f>
        <v>Sparse</v>
      </c>
      <c r="U154" s="167">
        <f t="shared" si="61"/>
        <v>73.529411764705884</v>
      </c>
      <c r="V154" s="173">
        <f>IF(U154="","",IF($I$8="A",(RANK(U154,U$11:U$333)+COUNTIF(U$11:U154,U154)-1),(RANK(U154,U$11:U$333,1)+COUNTIF(U$11:U154,U154)-1)))</f>
        <v>7</v>
      </c>
      <c r="W154" s="174"/>
      <c r="X154" s="5" t="str">
        <f>IF(L154="","",VLOOKUP($L154,classifications!$C:$J,6,FALSE))</f>
        <v xml:space="preserve">Predominantly Rural </v>
      </c>
      <c r="Y154">
        <f t="shared" si="62"/>
        <v>73.529411764705884</v>
      </c>
      <c r="Z154" s="39">
        <f>IF(Y154="","",IF(I$8="A",(RANK(Y154,Y$11:Y$333,1)+COUNTIF(Y$11:Y154,Y154)-1),(RANK(Y154,Y$11:Y$333)+COUNTIF(Y$11:Y154,Y154)-1)))</f>
        <v>51</v>
      </c>
      <c r="AA154" s="177" t="str">
        <f>IF(L154="","",VLOOKUP($L154,classifications!C:I,7,FALSE))</f>
        <v>Predominantly Rural</v>
      </c>
      <c r="AB154" s="173">
        <f t="shared" si="63"/>
        <v>73.529411764705884</v>
      </c>
      <c r="AC154" s="173">
        <f>IF(AB154="","",IF($I$8="A",(RANK(AB154,AB$11:AB$333)+COUNTIF(AB$11:AB154,AB154)-1),(RANK(AB154,AB$11:AB$333,1)+COUNTIF(AB$11:AB154,AB154)-1)))</f>
        <v>9</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Devon</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South West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96.428571428571431</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f t="shared" si="75"/>
        <v>145</v>
      </c>
      <c r="L155" t="str">
        <f t="shared" si="69"/>
        <v>Fenland</v>
      </c>
      <c r="M155" s="109">
        <f t="shared" si="70"/>
        <v>72.727272727272734</v>
      </c>
      <c r="N155" s="104">
        <f t="shared" si="55"/>
        <v>72.727272727272734</v>
      </c>
      <c r="O155" s="89" t="str">
        <f t="shared" si="56"/>
        <v/>
      </c>
      <c r="P155" s="89" t="str">
        <f t="shared" si="57"/>
        <v/>
      </c>
      <c r="Q155" s="89" t="str">
        <f t="shared" si="58"/>
        <v/>
      </c>
      <c r="R155" s="85">
        <f t="shared" si="59"/>
        <v>72.727272727272734</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 xml:space="preserve">Predominantly Rural </v>
      </c>
      <c r="Y155">
        <f t="shared" si="62"/>
        <v>72.727272727272734</v>
      </c>
      <c r="Z155" s="39">
        <f>IF(Y155="","",IF(I$8="A",(RANK(Y155,Y$11:Y$333,1)+COUNTIF(Y$11:Y155,Y155)-1),(RANK(Y155,Y$11:Y$333)+COUNTIF(Y$11:Y155,Y155)-1)))</f>
        <v>52</v>
      </c>
      <c r="AA155" s="177" t="str">
        <f>IF(L155="","",VLOOKUP($L155,classifications!C:I,7,FALSE))</f>
        <v>Predominantly Rural</v>
      </c>
      <c r="AB155" s="173">
        <f t="shared" si="63"/>
        <v>72.727272727272734</v>
      </c>
      <c r="AC155" s="173">
        <f>IF(AB155="","",IF($I$8="A",(RANK(AB155,AB$11:AB$333)+COUNTIF(AB$11:AB155,AB155)-1),(RANK(AB155,AB$11:AB$333,1)+COUNTIF(AB$11:AB155,AB155)-1)))</f>
        <v>8</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Cambridgeshire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East of England</v>
      </c>
      <c r="AQ155" s="42">
        <f t="shared" si="66"/>
        <v>72.727272727272734</v>
      </c>
      <c r="AR155" s="39">
        <f>IF(AQ155="","",IF(I$8="A",(RANK(AQ155,AQ$11:AQ$333,1)+COUNTIF(AQ$11:AQ155,AQ155)-1),(RANK(AQ155,AQ$11:AQ$333)+COUNTIF(AQ$11:AQ155,AQ155)-1)))</f>
        <v>34</v>
      </c>
      <c r="AS155" s="3" t="str">
        <f t="shared" si="78"/>
        <v/>
      </c>
      <c r="AT155" s="39" t="str">
        <f t="shared" si="73"/>
        <v/>
      </c>
      <c r="AU155" s="42" t="str">
        <f t="shared" si="74"/>
        <v/>
      </c>
      <c r="AX155">
        <f>HLOOKUP($AX$9&amp;$AX$10,Data!$A$1:$ZT$1975,(MATCH($C155,Data!$A$1:$A$1975,0)),FALSE)</f>
        <v>100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Tandridge</v>
      </c>
      <c r="M156" s="109">
        <f t="shared" si="70"/>
        <v>70.833333333333343</v>
      </c>
      <c r="N156" s="104">
        <f t="shared" si="55"/>
        <v>70.833333333333343</v>
      </c>
      <c r="O156" s="89" t="str">
        <f t="shared" si="56"/>
        <v/>
      </c>
      <c r="P156" s="89" t="str">
        <f t="shared" si="57"/>
        <v/>
      </c>
      <c r="Q156" s="89" t="str">
        <f t="shared" si="58"/>
        <v/>
      </c>
      <c r="R156" s="85">
        <f t="shared" si="59"/>
        <v>70.833333333333343</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Urban with Significant Rural</v>
      </c>
      <c r="Y156" t="str">
        <f t="shared" si="62"/>
        <v/>
      </c>
      <c r="Z156" s="39" t="str">
        <f>IF(Y156="","",IF(I$8="A",(RANK(Y156,Y$11:Y$333,1)+COUNTIF(Y$11:Y156,Y156)-1),(RANK(Y156,Y$11:Y$333)+COUNTIF(Y$11:Y156,Y156)-1)))</f>
        <v/>
      </c>
      <c r="AA156" s="177" t="str">
        <f>IF(L156="","",VLOOKUP($L156,classifications!C:I,7,FALSE))</f>
        <v>Urban with Significant Rural</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Surrey</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South East</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90.625</v>
      </c>
      <c r="G157" s="15"/>
      <c r="H157" s="41">
        <f t="shared" si="68"/>
        <v>90.625</v>
      </c>
      <c r="I157" s="73">
        <f>IF(H157="","",IF($I$8="A",(RANK(H157,H$11:H$333,1)+COUNTIF(H$11:H157,H157)-1),(RANK(H157,H$11:H$333)+COUNTIF(H$11:H157,H157)-1)))</f>
        <v>79</v>
      </c>
      <c r="J157" s="40"/>
      <c r="K157" s="35">
        <f t="shared" si="75"/>
        <v>147</v>
      </c>
      <c r="L157" t="str">
        <f t="shared" si="69"/>
        <v>Exeter</v>
      </c>
      <c r="M157" s="109">
        <f t="shared" si="70"/>
        <v>70.370370370370367</v>
      </c>
      <c r="N157" s="104">
        <f t="shared" si="55"/>
        <v>70.370370370370367</v>
      </c>
      <c r="O157" s="89" t="str">
        <f t="shared" si="56"/>
        <v/>
      </c>
      <c r="P157" s="89" t="str">
        <f t="shared" si="57"/>
        <v/>
      </c>
      <c r="Q157" s="89" t="str">
        <f t="shared" si="58"/>
        <v/>
      </c>
      <c r="R157" s="85">
        <f t="shared" si="59"/>
        <v>70.370370370370367</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Predominantly Urban</v>
      </c>
      <c r="Y157" t="str">
        <f t="shared" si="62"/>
        <v/>
      </c>
      <c r="Z157" s="39" t="str">
        <f>IF(Y157="","",IF(I$8="A",(RANK(Y157,Y$11:Y$333,1)+COUNTIF(Y$11:Y157,Y157)-1),(RANK(Y157,Y$11:Y$333)+COUNTIF(Y$11:Y157,Y157)-1)))</f>
        <v/>
      </c>
      <c r="AA157" s="177" t="str">
        <f>IF(L157="","",VLOOKUP($L157,classifications!C:I,7,FALSE))</f>
        <v>Predominantly Urban</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Devon</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South West</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90.625</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94.915254237288138</v>
      </c>
      <c r="G158" s="15"/>
      <c r="H158" s="41" t="str">
        <f t="shared" si="68"/>
        <v/>
      </c>
      <c r="I158" s="73" t="str">
        <f>IF(H158="","",IF($I$8="A",(RANK(H158,H$11:H$333,1)+COUNTIF(H$11:H158,H158)-1),(RANK(H158,H$11:H$333)+COUNTIF(H$11:H158,H158)-1)))</f>
        <v/>
      </c>
      <c r="J158" s="40"/>
      <c r="K158" s="35">
        <f t="shared" si="75"/>
        <v>148</v>
      </c>
      <c r="L158" t="str">
        <f t="shared" si="69"/>
        <v>Watford</v>
      </c>
      <c r="M158" s="109">
        <f t="shared" si="70"/>
        <v>70</v>
      </c>
      <c r="N158" s="104">
        <f t="shared" si="55"/>
        <v>70</v>
      </c>
      <c r="O158" s="89" t="str">
        <f t="shared" si="56"/>
        <v/>
      </c>
      <c r="P158" s="89" t="str">
        <f t="shared" si="57"/>
        <v/>
      </c>
      <c r="Q158" s="89" t="str">
        <f t="shared" si="58"/>
        <v/>
      </c>
      <c r="R158" s="85">
        <f t="shared" si="59"/>
        <v>70</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Predominantly Urban</v>
      </c>
      <c r="Y158" t="str">
        <f t="shared" si="62"/>
        <v/>
      </c>
      <c r="Z158" s="39" t="str">
        <f>IF(Y158="","",IF(I$8="A",(RANK(Y158,Y$11:Y$333,1)+COUNTIF(Y$11:Y158,Y158)-1),(RANK(Y158,Y$11:Y$333)+COUNTIF(Y$11:Y158,Y158)-1)))</f>
        <v/>
      </c>
      <c r="AA158" s="177" t="str">
        <f>IF(L158="","",VLOOKUP($L158,classifications!C:I,7,FALSE))</f>
        <v>Predominantly Urban</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Hertfordshire</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of England</v>
      </c>
      <c r="AQ158" s="42">
        <f t="shared" si="66"/>
        <v>70</v>
      </c>
      <c r="AR158" s="39">
        <f>IF(AQ158="","",IF(I$8="A",(RANK(AQ158,AQ$11:AQ$333,1)+COUNTIF(AQ$11:AQ158,AQ158)-1),(RANK(AQ158,AQ$11:AQ$333)+COUNTIF(AQ$11:AQ158,AQ158)-1)))</f>
        <v>35</v>
      </c>
      <c r="AS158" s="3" t="str">
        <f t="shared" si="78"/>
        <v/>
      </c>
      <c r="AT158" s="39" t="str">
        <f t="shared" si="73"/>
        <v/>
      </c>
      <c r="AU158" s="42" t="str">
        <f t="shared" si="74"/>
        <v/>
      </c>
      <c r="AX158">
        <f>HLOOKUP($AX$9&amp;$AX$10,Data!$A$1:$ZT$1975,(MATCH($C158,Data!$A$1:$A$1975,0)),FALSE)</f>
        <v>94.915254237288138</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91.489361702127653</v>
      </c>
      <c r="G159" s="15"/>
      <c r="H159" s="41" t="str">
        <f t="shared" si="68"/>
        <v/>
      </c>
      <c r="I159" s="73" t="str">
        <f>IF(H159="","",IF($I$8="A",(RANK(H159,H$11:H$333,1)+COUNTIF(H$11:H159,H159)-1),(RANK(H159,H$11:H$333)+COUNTIF(H$11:H159,H159)-1)))</f>
        <v/>
      </c>
      <c r="J159" s="40"/>
      <c r="K159" s="35">
        <f t="shared" si="75"/>
        <v>149</v>
      </c>
      <c r="L159" t="str">
        <f t="shared" si="69"/>
        <v>Chichester</v>
      </c>
      <c r="M159" s="109">
        <f t="shared" si="70"/>
        <v>68.421052631578945</v>
      </c>
      <c r="N159" s="104">
        <f t="shared" si="55"/>
        <v>68.421052631578945</v>
      </c>
      <c r="O159" s="89" t="str">
        <f t="shared" si="56"/>
        <v/>
      </c>
      <c r="P159" s="89" t="str">
        <f t="shared" si="57"/>
        <v/>
      </c>
      <c r="Q159" s="89" t="str">
        <f t="shared" si="58"/>
        <v/>
      </c>
      <c r="R159" s="85">
        <f t="shared" si="59"/>
        <v>68.421052631578945</v>
      </c>
      <c r="S159" s="41" t="str">
        <f t="shared" si="60"/>
        <v/>
      </c>
      <c r="T159" s="166" t="str">
        <f>IF(L159="","",VLOOKUP(L159,classifications!C:K,9,FALSE))</f>
        <v>Sparse</v>
      </c>
      <c r="U159" s="167">
        <f t="shared" si="61"/>
        <v>68.421052631578945</v>
      </c>
      <c r="V159" s="173">
        <f>IF(U159="","",IF($I$8="A",(RANK(U159,U$11:U$333)+COUNTIF(U$11:U159,U159)-1),(RANK(U159,U$11:U$333,1)+COUNTIF(U$11:U159,U159)-1)))</f>
        <v>6</v>
      </c>
      <c r="W159" s="174"/>
      <c r="X159" s="5" t="str">
        <f>IF(L159="","",VLOOKUP($L159,classifications!$C:$J,6,FALSE))</f>
        <v xml:space="preserve">Predominantly Rural </v>
      </c>
      <c r="Y159">
        <f t="shared" si="62"/>
        <v>68.421052631578945</v>
      </c>
      <c r="Z159" s="39">
        <f>IF(Y159="","",IF(I$8="A",(RANK(Y159,Y$11:Y$333,1)+COUNTIF(Y$11:Y159,Y159)-1),(RANK(Y159,Y$11:Y$333)+COUNTIF(Y$11:Y159,Y159)-1)))</f>
        <v>53</v>
      </c>
      <c r="AA159" s="177" t="str">
        <f>IF(L159="","",VLOOKUP($L159,classifications!C:I,7,FALSE))</f>
        <v>Predominantly Rural</v>
      </c>
      <c r="AB159" s="173">
        <f t="shared" si="63"/>
        <v>68.421052631578945</v>
      </c>
      <c r="AC159" s="173">
        <f>IF(AB159="","",IF($I$8="A",(RANK(AB159,AB$11:AB$333)+COUNTIF(AB$11:AB159,AB159)-1),(RANK(AB159,AB$11:AB$333,1)+COUNTIF(AB$11:AB159,AB159)-1)))</f>
        <v>7</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West Sussex</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South East</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91.489361702127653</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Dacorum</v>
      </c>
      <c r="M160" s="109">
        <f t="shared" si="70"/>
        <v>68.421052631578945</v>
      </c>
      <c r="N160" s="104">
        <f t="shared" si="55"/>
        <v>68.421052631578945</v>
      </c>
      <c r="O160" s="89" t="str">
        <f t="shared" si="56"/>
        <v/>
      </c>
      <c r="P160" s="89" t="str">
        <f t="shared" si="57"/>
        <v/>
      </c>
      <c r="Q160" s="89" t="str">
        <f t="shared" si="58"/>
        <v/>
      </c>
      <c r="R160" s="85">
        <f t="shared" si="59"/>
        <v>68.421052631578945</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Urban with Significant Rural</v>
      </c>
      <c r="Y160" t="str">
        <f t="shared" si="62"/>
        <v/>
      </c>
      <c r="Z160" s="39" t="str">
        <f>IF(Y160="","",IF(I$8="A",(RANK(Y160,Y$11:Y$333,1)+COUNTIF(Y$11:Y160,Y160)-1),(RANK(Y160,Y$11:Y$333)+COUNTIF(Y$11:Y160,Y160)-1)))</f>
        <v/>
      </c>
      <c r="AA160" s="177" t="str">
        <f>IF(L160="","",VLOOKUP($L160,classifications!C:I,7,FALSE))</f>
        <v>Urban with Significant Rural</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Hertfordshire</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East of England</v>
      </c>
      <c r="AQ160" s="42">
        <f t="shared" si="66"/>
        <v>68.421052631578945</v>
      </c>
      <c r="AR160" s="39">
        <f>IF(AQ160="","",IF(I$8="A",(RANK(AQ160,AQ$11:AQ$333,1)+COUNTIF(AQ$11:AQ160,AQ160)-1),(RANK(AQ160,AQ$11:AQ$333)+COUNTIF(AQ$11:AQ160,AQ160)-1)))</f>
        <v>36</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77.272727272727266</v>
      </c>
      <c r="G161" s="15"/>
      <c r="H161" s="41">
        <f t="shared" si="68"/>
        <v>77.272727272727266</v>
      </c>
      <c r="I161" s="73">
        <f>IF(H161="","",IF($I$8="A",(RANK(H161,H$11:H$333,1)+COUNTIF(H$11:H161,H161)-1),(RANK(H161,H$11:H$333)+COUNTIF(H$11:H161,H161)-1)))</f>
        <v>131</v>
      </c>
      <c r="J161" s="40"/>
      <c r="K161" s="35">
        <f t="shared" si="75"/>
        <v>151</v>
      </c>
      <c r="L161" t="str">
        <f t="shared" si="69"/>
        <v>East Hampshire</v>
      </c>
      <c r="M161" s="109">
        <f t="shared" si="70"/>
        <v>68</v>
      </c>
      <c r="N161" s="104">
        <f t="shared" si="55"/>
        <v>68</v>
      </c>
      <c r="O161" s="89" t="str">
        <f t="shared" si="56"/>
        <v/>
      </c>
      <c r="P161" s="89" t="str">
        <f t="shared" si="57"/>
        <v/>
      </c>
      <c r="Q161" s="89" t="str">
        <f t="shared" si="58"/>
        <v/>
      </c>
      <c r="R161" s="85">
        <f t="shared" si="59"/>
        <v>68</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 xml:space="preserve">Predominantly Rural </v>
      </c>
      <c r="Y161">
        <f t="shared" si="62"/>
        <v>68</v>
      </c>
      <c r="Z161" s="39">
        <f>IF(Y161="","",IF(I$8="A",(RANK(Y161,Y$11:Y$333,1)+COUNTIF(Y$11:Y161,Y161)-1),(RANK(Y161,Y$11:Y$333)+COUNTIF(Y$11:Y161,Y161)-1)))</f>
        <v>54</v>
      </c>
      <c r="AA161" s="177" t="str">
        <f>IF(L161="","",VLOOKUP($L161,classifications!C:I,7,FALSE))</f>
        <v>Predominantly Rural</v>
      </c>
      <c r="AB161" s="173">
        <f t="shared" si="63"/>
        <v>68</v>
      </c>
      <c r="AC161" s="173">
        <f>IF(AB161="","",IF($I$8="A",(RANK(AB161,AB$11:AB$333)+COUNTIF(AB$11:AB161,AB161)-1),(RANK(AB161,AB$11:AB$333,1)+COUNTIF(AB$11:AB161,AB161)-1)))</f>
        <v>6</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Hampshire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South East</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77.272727272727266</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93.75</v>
      </c>
      <c r="G162" s="15"/>
      <c r="H162" s="41" t="str">
        <f t="shared" si="68"/>
        <v/>
      </c>
      <c r="I162" s="73" t="str">
        <f>IF(H162="","",IF($I$8="A",(RANK(H162,H$11:H$333,1)+COUNTIF(H$11:H162,H162)-1),(RANK(H162,H$11:H$333)+COUNTIF(H$11:H162,H162)-1)))</f>
        <v/>
      </c>
      <c r="J162" s="40"/>
      <c r="K162" s="35">
        <f t="shared" si="75"/>
        <v>152</v>
      </c>
      <c r="L162" t="str">
        <f t="shared" si="69"/>
        <v>East Hertfordshire</v>
      </c>
      <c r="M162" s="109">
        <f t="shared" si="70"/>
        <v>67.741935483870961</v>
      </c>
      <c r="N162" s="104">
        <f t="shared" si="55"/>
        <v>67.741935483870961</v>
      </c>
      <c r="O162" s="89" t="str">
        <f t="shared" si="56"/>
        <v/>
      </c>
      <c r="P162" s="89" t="str">
        <f t="shared" si="57"/>
        <v/>
      </c>
      <c r="Q162" s="89" t="str">
        <f t="shared" si="58"/>
        <v/>
      </c>
      <c r="R162" s="85">
        <f t="shared" si="59"/>
        <v>67.741935483870961</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Urban with Significant Rural</v>
      </c>
      <c r="Y162" t="str">
        <f t="shared" si="62"/>
        <v/>
      </c>
      <c r="Z162" s="39" t="str">
        <f>IF(Y162="","",IF(I$8="A",(RANK(Y162,Y$11:Y$333,1)+COUNTIF(Y$11:Y162,Y162)-1),(RANK(Y162,Y$11:Y$333)+COUNTIF(Y$11:Y162,Y162)-1)))</f>
        <v/>
      </c>
      <c r="AA162" s="177" t="str">
        <f>IF(L162="","",VLOOKUP($L162,classifications!C:I,7,FALSE))</f>
        <v>Urban with Significant Rural</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Hertfordshire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East of England</v>
      </c>
      <c r="AQ162" s="42">
        <f t="shared" si="66"/>
        <v>67.741935483870961</v>
      </c>
      <c r="AR162" s="39">
        <f>IF(AQ162="","",IF(I$8="A",(RANK(AQ162,AQ$11:AQ$333,1)+COUNTIF(AQ$11:AQ162,AQ162)-1),(RANK(AQ162,AQ$11:AQ$333)+COUNTIF(AQ$11:AQ162,AQ162)-1)))</f>
        <v>37</v>
      </c>
      <c r="AS162" s="3" t="str">
        <f t="shared" si="78"/>
        <v/>
      </c>
      <c r="AT162" s="39" t="str">
        <f t="shared" si="73"/>
        <v/>
      </c>
      <c r="AU162" s="42" t="str">
        <f t="shared" si="74"/>
        <v/>
      </c>
      <c r="AX162">
        <f>HLOOKUP($AX$9&amp;$AX$10,Data!$A$1:$ZT$1975,(MATCH($C162,Data!$A$1:$A$1975,0)),FALSE)</f>
        <v>93.75</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95.454545454545453</v>
      </c>
      <c r="G163" s="15"/>
      <c r="H163" s="41">
        <f t="shared" si="68"/>
        <v>95.454545454545453</v>
      </c>
      <c r="I163" s="73">
        <f>IF(H163="","",IF($I$8="A",(RANK(H163,H$11:H$333,1)+COUNTIF(H$11:H163,H163)-1),(RANK(H163,H$11:H$333)+COUNTIF(H$11:H163,H163)-1)))</f>
        <v>43</v>
      </c>
      <c r="J163" s="40"/>
      <c r="K163" s="35">
        <f t="shared" si="75"/>
        <v>153</v>
      </c>
      <c r="L163" t="str">
        <f t="shared" si="69"/>
        <v>Ribble Valley</v>
      </c>
      <c r="M163" s="109">
        <f t="shared" si="70"/>
        <v>66.666666666666657</v>
      </c>
      <c r="N163" s="104">
        <f t="shared" si="55"/>
        <v>66.666666666666657</v>
      </c>
      <c r="O163" s="89" t="str">
        <f t="shared" si="56"/>
        <v/>
      </c>
      <c r="P163" s="89" t="str">
        <f t="shared" si="57"/>
        <v/>
      </c>
      <c r="Q163" s="89" t="str">
        <f t="shared" si="58"/>
        <v/>
      </c>
      <c r="R163" s="85">
        <f t="shared" si="59"/>
        <v>66.666666666666657</v>
      </c>
      <c r="S163" s="41" t="str">
        <f t="shared" si="60"/>
        <v/>
      </c>
      <c r="T163" s="166" t="str">
        <f>IF(L163="","",VLOOKUP(L163,classifications!C:K,9,FALSE))</f>
        <v>Sparse</v>
      </c>
      <c r="U163" s="167">
        <f t="shared" si="61"/>
        <v>66.666666666666657</v>
      </c>
      <c r="V163" s="173">
        <f>IF(U163="","",IF($I$8="A",(RANK(U163,U$11:U$333)+COUNTIF(U$11:U163,U163)-1),(RANK(U163,U$11:U$333,1)+COUNTIF(U$11:U163,U163)-1)))</f>
        <v>5</v>
      </c>
      <c r="W163" s="174"/>
      <c r="X163" s="5" t="str">
        <f>IF(L163="","",VLOOKUP($L163,classifications!$C:$J,6,FALSE))</f>
        <v xml:space="preserve">Predominantly Rural </v>
      </c>
      <c r="Y163">
        <f t="shared" si="62"/>
        <v>66.666666666666657</v>
      </c>
      <c r="Z163" s="39">
        <f>IF(Y163="","",IF(I$8="A",(RANK(Y163,Y$11:Y$333,1)+COUNTIF(Y$11:Y163,Y163)-1),(RANK(Y163,Y$11:Y$333)+COUNTIF(Y$11:Y163,Y163)-1)))</f>
        <v>55</v>
      </c>
      <c r="AA163" s="177" t="str">
        <f>IF(L163="","",VLOOKUP($L163,classifications!C:I,7,FALSE))</f>
        <v>Predominantly Rural</v>
      </c>
      <c r="AB163" s="173">
        <f t="shared" si="63"/>
        <v>66.666666666666657</v>
      </c>
      <c r="AC163" s="173">
        <f>IF(AB163="","",IF($I$8="A",(RANK(AB163,AB$11:AB$333)+COUNTIF(AB$11:AB163,AB163)-1),(RANK(AB163,AB$11:AB$333,1)+COUNTIF(AB$11:AB163,AB163)-1)))</f>
        <v>5</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Lancashire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North West</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95.454545454545453</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76.470588235294116</v>
      </c>
      <c r="G164" s="15"/>
      <c r="H164" s="41">
        <f t="shared" si="68"/>
        <v>76.470588235294116</v>
      </c>
      <c r="I164" s="73">
        <f>IF(H164="","",IF($I$8="A",(RANK(H164,H$11:H$333,1)+COUNTIF(H$11:H164,H164)-1),(RANK(H164,H$11:H$333)+COUNTIF(H$11:H164,H164)-1)))</f>
        <v>134</v>
      </c>
      <c r="J164" s="40"/>
      <c r="K164" s="35">
        <f t="shared" si="75"/>
        <v>154</v>
      </c>
      <c r="L164" t="str">
        <f t="shared" si="69"/>
        <v>St Albans</v>
      </c>
      <c r="M164" s="109">
        <f t="shared" si="70"/>
        <v>65.384615384615387</v>
      </c>
      <c r="N164" s="104">
        <f t="shared" si="55"/>
        <v>65.384615384615387</v>
      </c>
      <c r="O164" s="89" t="str">
        <f t="shared" si="56"/>
        <v/>
      </c>
      <c r="P164" s="89" t="str">
        <f t="shared" si="57"/>
        <v/>
      </c>
      <c r="Q164" s="89" t="str">
        <f t="shared" si="58"/>
        <v/>
      </c>
      <c r="R164" s="85">
        <f t="shared" si="59"/>
        <v>65.384615384615387</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Predominantly Urban</v>
      </c>
      <c r="Y164" t="str">
        <f t="shared" si="62"/>
        <v/>
      </c>
      <c r="Z164" s="39" t="str">
        <f>IF(Y164="","",IF(I$8="A",(RANK(Y164,Y$11:Y$333,1)+COUNTIF(Y$11:Y164,Y164)-1),(RANK(Y164,Y$11:Y$333)+COUNTIF(Y$11:Y164,Y164)-1)))</f>
        <v/>
      </c>
      <c r="AA164" s="177" t="str">
        <f>IF(L164="","",VLOOKUP($L164,classifications!C:I,7,FALSE))</f>
        <v>Predominantly Urban</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Hertfordshire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East of England</v>
      </c>
      <c r="AQ164" s="42">
        <f t="shared" si="66"/>
        <v>65.384615384615387</v>
      </c>
      <c r="AR164" s="39">
        <f>IF(AQ164="","",IF(I$8="A",(RANK(AQ164,AQ$11:AQ$333,1)+COUNTIF(AQ$11:AQ164,AQ164)-1),(RANK(AQ164,AQ$11:AQ$333)+COUNTIF(AQ$11:AQ164,AQ164)-1)))</f>
        <v>38</v>
      </c>
      <c r="AS164" s="3" t="str">
        <f t="shared" si="78"/>
        <v/>
      </c>
      <c r="AT164" s="39" t="str">
        <f t="shared" si="73"/>
        <v/>
      </c>
      <c r="AU164" s="42" t="str">
        <f t="shared" si="74"/>
        <v/>
      </c>
      <c r="AX164">
        <f>HLOOKUP($AX$9&amp;$AX$10,Data!$A$1:$ZT$1975,(MATCH($C164,Data!$A$1:$A$1975,0)),FALSE)</f>
        <v>76.470588235294116</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East Lindsey</v>
      </c>
      <c r="M165" s="109">
        <f t="shared" si="70"/>
        <v>61.95652173913043</v>
      </c>
      <c r="N165" s="104">
        <f t="shared" si="55"/>
        <v>61.95652173913043</v>
      </c>
      <c r="O165" s="89" t="str">
        <f t="shared" si="56"/>
        <v/>
      </c>
      <c r="P165" s="89" t="str">
        <f t="shared" si="57"/>
        <v/>
      </c>
      <c r="Q165" s="89" t="str">
        <f t="shared" si="58"/>
        <v/>
      </c>
      <c r="R165" s="85">
        <f t="shared" si="59"/>
        <v>61.95652173913043</v>
      </c>
      <c r="S165" s="41" t="str">
        <f t="shared" si="60"/>
        <v/>
      </c>
      <c r="T165" s="166" t="str">
        <f>IF(L165="","",VLOOKUP(L165,classifications!C:K,9,FALSE))</f>
        <v>Sparse</v>
      </c>
      <c r="U165" s="167">
        <f t="shared" si="61"/>
        <v>61.95652173913043</v>
      </c>
      <c r="V165" s="173">
        <f>IF(U165="","",IF($I$8="A",(RANK(U165,U$11:U$333)+COUNTIF(U$11:U165,U165)-1),(RANK(U165,U$11:U$333,1)+COUNTIF(U$11:U165,U165)-1)))</f>
        <v>4</v>
      </c>
      <c r="W165" s="174"/>
      <c r="X165" s="5" t="str">
        <f>IF(L165="","",VLOOKUP($L165,classifications!$C:$J,6,FALSE))</f>
        <v xml:space="preserve">Predominantly Rural </v>
      </c>
      <c r="Y165">
        <f t="shared" si="62"/>
        <v>61.95652173913043</v>
      </c>
      <c r="Z165" s="39">
        <f>IF(Y165="","",IF(I$8="A",(RANK(Y165,Y$11:Y$333,1)+COUNTIF(Y$11:Y165,Y165)-1),(RANK(Y165,Y$11:Y$333)+COUNTIF(Y$11:Y165,Y165)-1)))</f>
        <v>56</v>
      </c>
      <c r="AA165" s="177" t="str">
        <f>IF(L165="","",VLOOKUP($L165,classifications!C:I,7,FALSE))</f>
        <v>Predominantly Rural</v>
      </c>
      <c r="AB165" s="173">
        <f t="shared" si="63"/>
        <v>61.95652173913043</v>
      </c>
      <c r="AC165" s="173">
        <f>IF(AB165="","",IF($I$8="A",(RANK(AB165,AB$11:AB$333)+COUNTIF(AB$11:AB165,AB165)-1),(RANK(AB165,AB$11:AB$333,1)+COUNTIF(AB$11:AB165,AB165)-1)))</f>
        <v>4</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Lincolnshire</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East Midlands</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80.851063829787222</v>
      </c>
      <c r="G166" s="15"/>
      <c r="H166" s="41" t="str">
        <f t="shared" si="68"/>
        <v/>
      </c>
      <c r="I166" s="73" t="str">
        <f>IF(H166="","",IF($I$8="A",(RANK(H166,H$11:H$333,1)+COUNTIF(H$11:H166,H166)-1),(RANK(H166,H$11:H$333)+COUNTIF(H$11:H166,H166)-1)))</f>
        <v/>
      </c>
      <c r="J166" s="40"/>
      <c r="K166" s="35">
        <f t="shared" si="75"/>
        <v>156</v>
      </c>
      <c r="L166" t="str">
        <f t="shared" si="69"/>
        <v>Arun</v>
      </c>
      <c r="M166" s="109">
        <f t="shared" si="70"/>
        <v>60.9375</v>
      </c>
      <c r="N166" s="104">
        <f t="shared" si="55"/>
        <v>60.9375</v>
      </c>
      <c r="O166" s="89" t="str">
        <f t="shared" si="56"/>
        <v/>
      </c>
      <c r="P166" s="89" t="str">
        <f t="shared" si="57"/>
        <v/>
      </c>
      <c r="Q166" s="89" t="str">
        <f t="shared" si="58"/>
        <v/>
      </c>
      <c r="R166" s="85">
        <f t="shared" si="59"/>
        <v>60.9375</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West Sussex</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South East</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80.851063829787222</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84.375</v>
      </c>
      <c r="G167" s="15"/>
      <c r="H167" s="41" t="str">
        <f t="shared" si="68"/>
        <v/>
      </c>
      <c r="I167" s="73" t="str">
        <f>IF(H167="","",IF($I$8="A",(RANK(H167,H$11:H$333,1)+COUNTIF(H$11:H167,H167)-1),(RANK(H167,H$11:H$333)+COUNTIF(H$11:H167,H167)-1)))</f>
        <v/>
      </c>
      <c r="J167" s="40"/>
      <c r="K167" s="35">
        <f t="shared" si="75"/>
        <v>157</v>
      </c>
      <c r="L167" t="str">
        <f t="shared" si="69"/>
        <v>Tewkesbury</v>
      </c>
      <c r="M167" s="109">
        <f t="shared" si="70"/>
        <v>60.526315789473685</v>
      </c>
      <c r="N167" s="104">
        <f t="shared" si="55"/>
        <v>60.526315789473685</v>
      </c>
      <c r="O167" s="89" t="str">
        <f t="shared" si="56"/>
        <v/>
      </c>
      <c r="P167" s="89" t="str">
        <f t="shared" si="57"/>
        <v/>
      </c>
      <c r="Q167" s="89" t="str">
        <f t="shared" si="58"/>
        <v/>
      </c>
      <c r="R167" s="85">
        <f t="shared" si="59"/>
        <v>60.526315789473685</v>
      </c>
      <c r="S167" s="41" t="str">
        <f t="shared" si="60"/>
        <v/>
      </c>
      <c r="T167" s="166" t="str">
        <f>IF(L167="","",VLOOKUP(L167,classifications!C:K,9,FALSE))</f>
        <v>Sparse</v>
      </c>
      <c r="U167" s="167">
        <f t="shared" si="61"/>
        <v>60.526315789473685</v>
      </c>
      <c r="V167" s="173">
        <f>IF(U167="","",IF($I$8="A",(RANK(U167,U$11:U$333)+COUNTIF(U$11:U167,U167)-1),(RANK(U167,U$11:U$333,1)+COUNTIF(U$11:U167,U167)-1)))</f>
        <v>3</v>
      </c>
      <c r="W167" s="174"/>
      <c r="X167" s="5" t="str">
        <f>IF(L167="","",VLOOKUP($L167,classifications!$C:$J,6,FALSE))</f>
        <v xml:space="preserve">Predominantly Rural </v>
      </c>
      <c r="Y167">
        <f t="shared" si="62"/>
        <v>60.526315789473685</v>
      </c>
      <c r="Z167" s="39">
        <f>IF(Y167="","",IF(I$8="A",(RANK(Y167,Y$11:Y$333,1)+COUNTIF(Y$11:Y167,Y167)-1),(RANK(Y167,Y$11:Y$333)+COUNTIF(Y$11:Y167,Y167)-1)))</f>
        <v>57</v>
      </c>
      <c r="AA167" s="177" t="str">
        <f>IF(L167="","",VLOOKUP($L167,classifications!C:I,7,FALSE))</f>
        <v>Predominantly Rural</v>
      </c>
      <c r="AB167" s="173">
        <f t="shared" si="63"/>
        <v>60.526315789473685</v>
      </c>
      <c r="AC167" s="173">
        <f>IF(AB167="","",IF($I$8="A",(RANK(AB167,AB$11:AB$333)+COUNTIF(AB$11:AB167,AB167)-1),(RANK(AB167,AB$11:AB$333,1)+COUNTIF(AB$11:AB167,AB167)-1)))</f>
        <v>3</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Gloucestershire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South West</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84.375</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85.9375</v>
      </c>
      <c r="G168" s="15"/>
      <c r="H168" s="41">
        <f t="shared" si="68"/>
        <v>85.9375</v>
      </c>
      <c r="I168" s="73">
        <f>IF(H168="","",IF($I$8="A",(RANK(H168,H$11:H$333,1)+COUNTIF(H$11:H168,H168)-1),(RANK(H168,H$11:H$333)+COUNTIF(H$11:H168,H168)-1)))</f>
        <v>104</v>
      </c>
      <c r="J168" s="40"/>
      <c r="K168" s="35">
        <f t="shared" si="75"/>
        <v>158</v>
      </c>
      <c r="L168" t="str">
        <f t="shared" si="69"/>
        <v>Ashford</v>
      </c>
      <c r="M168" s="109">
        <f t="shared" si="70"/>
        <v>60</v>
      </c>
      <c r="N168" s="104">
        <f t="shared" si="55"/>
        <v>60</v>
      </c>
      <c r="O168" s="89" t="str">
        <f t="shared" si="56"/>
        <v/>
      </c>
      <c r="P168" s="89" t="str">
        <f t="shared" si="57"/>
        <v/>
      </c>
      <c r="Q168" s="89" t="str">
        <f t="shared" si="58"/>
        <v/>
      </c>
      <c r="R168" s="85">
        <f t="shared" si="59"/>
        <v>60</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Urban with Significant Rural</v>
      </c>
      <c r="Y168" t="str">
        <f t="shared" si="62"/>
        <v/>
      </c>
      <c r="Z168" s="39" t="str">
        <f>IF(Y168="","",IF(I$8="A",(RANK(Y168,Y$11:Y$333,1)+COUNTIF(Y$11:Y168,Y168)-1),(RANK(Y168,Y$11:Y$333)+COUNTIF(Y$11:Y168,Y168)-1)))</f>
        <v/>
      </c>
      <c r="AA168" s="177" t="str">
        <f>IF(L168="","",VLOOKUP($L168,classifications!C:I,7,FALSE))</f>
        <v>Urban with Significant Rural</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Kent</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South East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85.9375</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81.395348837209298</v>
      </c>
      <c r="G169" s="15"/>
      <c r="H169" s="41">
        <f t="shared" si="68"/>
        <v>81.395348837209298</v>
      </c>
      <c r="I169" s="73">
        <f>IF(H169="","",IF($I$8="A",(RANK(H169,H$11:H$333,1)+COUNTIF(H$11:H169,H169)-1),(RANK(H169,H$11:H$333)+COUNTIF(H$11:H169,H169)-1)))</f>
        <v>118</v>
      </c>
      <c r="J169" s="40"/>
      <c r="K169" s="35">
        <f t="shared" si="75"/>
        <v>159</v>
      </c>
      <c r="L169" t="str">
        <f t="shared" si="69"/>
        <v>Wyre Forest</v>
      </c>
      <c r="M169" s="109">
        <f t="shared" si="70"/>
        <v>60</v>
      </c>
      <c r="N169" s="104">
        <f t="shared" si="55"/>
        <v>60</v>
      </c>
      <c r="O169" s="89" t="str">
        <f t="shared" si="56"/>
        <v/>
      </c>
      <c r="P169" s="89" t="str">
        <f t="shared" si="57"/>
        <v/>
      </c>
      <c r="Q169" s="89" t="str">
        <f t="shared" si="58"/>
        <v/>
      </c>
      <c r="R169" s="85">
        <f t="shared" si="59"/>
        <v>60</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Urban with Significant Rural</v>
      </c>
      <c r="Y169" t="str">
        <f t="shared" si="62"/>
        <v/>
      </c>
      <c r="Z169" s="39" t="str">
        <f>IF(Y169="","",IF(I$8="A",(RANK(Y169,Y$11:Y$333,1)+COUNTIF(Y$11:Y169,Y169)-1),(RANK(Y169,Y$11:Y$333)+COUNTIF(Y$11:Y169,Y169)-1)))</f>
        <v/>
      </c>
      <c r="AA169" s="177" t="str">
        <f>IF(L169="","",VLOOKUP($L169,classifications!C:I,7,FALSE))</f>
        <v>Urban with Significant Rural</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Worcestershire</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West Midlands</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81.395348837209298</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77.142857142857153</v>
      </c>
      <c r="G170" s="15"/>
      <c r="H170" s="41">
        <f t="shared" si="68"/>
        <v>77.142857142857153</v>
      </c>
      <c r="I170" s="73">
        <f>IF(H170="","",IF($I$8="A",(RANK(H170,H$11:H$333,1)+COUNTIF(H$11:H170,H170)-1),(RANK(H170,H$11:H$333)+COUNTIF(H$11:H170,H170)-1)))</f>
        <v>133</v>
      </c>
      <c r="J170" s="40"/>
      <c r="K170" s="35">
        <f t="shared" si="75"/>
        <v>160</v>
      </c>
      <c r="L170" t="str">
        <f t="shared" si="69"/>
        <v>Harborough</v>
      </c>
      <c r="M170" s="109">
        <f t="shared" si="70"/>
        <v>57.499999999999993</v>
      </c>
      <c r="N170" s="104">
        <f t="shared" si="55"/>
        <v>57.499999999999993</v>
      </c>
      <c r="O170" s="89" t="str">
        <f t="shared" si="56"/>
        <v/>
      </c>
      <c r="P170" s="89" t="str">
        <f t="shared" si="57"/>
        <v/>
      </c>
      <c r="Q170" s="89" t="str">
        <f t="shared" si="58"/>
        <v/>
      </c>
      <c r="R170" s="85">
        <f t="shared" si="59"/>
        <v>57.499999999999993</v>
      </c>
      <c r="S170" s="41" t="str">
        <f t="shared" si="60"/>
        <v/>
      </c>
      <c r="T170" s="166" t="str">
        <f>IF(L170="","",VLOOKUP(L170,classifications!C:K,9,FALSE))</f>
        <v>Sparse</v>
      </c>
      <c r="U170" s="167">
        <f t="shared" si="61"/>
        <v>57.499999999999993</v>
      </c>
      <c r="V170" s="173">
        <f>IF(U170="","",IF($I$8="A",(RANK(U170,U$11:U$333)+COUNTIF(U$11:U170,U170)-1),(RANK(U170,U$11:U$333,1)+COUNTIF(U$11:U170,U170)-1)))</f>
        <v>2</v>
      </c>
      <c r="W170" s="174"/>
      <c r="X170" s="5" t="str">
        <f>IF(L170="","",VLOOKUP($L170,classifications!$C:$J,6,FALSE))</f>
        <v xml:space="preserve">Predominantly Rural </v>
      </c>
      <c r="Y170">
        <f t="shared" si="62"/>
        <v>57.499999999999993</v>
      </c>
      <c r="Z170" s="39">
        <f>IF(Y170="","",IF(I$8="A",(RANK(Y170,Y$11:Y$333,1)+COUNTIF(Y$11:Y170,Y170)-1),(RANK(Y170,Y$11:Y$333)+COUNTIF(Y$11:Y170,Y170)-1)))</f>
        <v>58</v>
      </c>
      <c r="AA170" s="177" t="str">
        <f>IF(L170="","",VLOOKUP($L170,classifications!C:I,7,FALSE))</f>
        <v>Predominantly Rural</v>
      </c>
      <c r="AB170" s="173">
        <f t="shared" si="63"/>
        <v>57.499999999999993</v>
      </c>
      <c r="AC170" s="173">
        <f>IF(AB170="","",IF($I$8="A",(RANK(AB170,AB$11:AB$333)+COUNTIF(AB$11:AB170,AB170)-1),(RANK(AB170,AB$11:AB$333,1)+COUNTIF(AB$11:AB170,AB170)-1)))</f>
        <v>2</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Leicestershire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77.142857142857153</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87.096774193548384</v>
      </c>
      <c r="G171" s="15"/>
      <c r="H171" s="41" t="str">
        <f t="shared" si="68"/>
        <v/>
      </c>
      <c r="I171" s="73" t="str">
        <f>IF(H171="","",IF($I$8="A",(RANK(H171,H$11:H$333,1)+COUNTIF(H$11:H171,H171)-1),(RANK(H171,H$11:H$333)+COUNTIF(H$11:H171,H171)-1)))</f>
        <v/>
      </c>
      <c r="J171" s="40"/>
      <c r="K171" s="35">
        <f t="shared" si="75"/>
        <v>161</v>
      </c>
      <c r="L171" t="str">
        <f t="shared" si="69"/>
        <v>West Lancashire</v>
      </c>
      <c r="M171" s="109">
        <f t="shared" si="70"/>
        <v>54.54545454545454</v>
      </c>
      <c r="N171" s="104">
        <f t="shared" si="55"/>
        <v>54.54545454545454</v>
      </c>
      <c r="O171" s="89" t="str">
        <f t="shared" si="56"/>
        <v/>
      </c>
      <c r="P171" s="89" t="str">
        <f t="shared" si="57"/>
        <v/>
      </c>
      <c r="Q171" s="89" t="str">
        <f t="shared" si="58"/>
        <v/>
      </c>
      <c r="R171" s="85">
        <f t="shared" si="59"/>
        <v>54.54545454545454</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Urban with Significant Rural</v>
      </c>
      <c r="Y171" t="str">
        <f t="shared" si="62"/>
        <v/>
      </c>
      <c r="Z171" s="39" t="str">
        <f>IF(Y171="","",IF(I$8="A",(RANK(Y171,Y$11:Y$333,1)+COUNTIF(Y$11:Y171,Y171)-1),(RANK(Y171,Y$11:Y$333)+COUNTIF(Y$11:Y171,Y171)-1)))</f>
        <v/>
      </c>
      <c r="AA171" s="177" t="str">
        <f>IF(L171="","",VLOOKUP($L171,classifications!C:I,7,FALSE))</f>
        <v>Urban with Significant Rural</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Lancashire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North West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87.096774193548384</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13</v>
      </c>
      <c r="J172" s="40"/>
      <c r="K172" s="35">
        <f t="shared" si="75"/>
        <v>162</v>
      </c>
      <c r="L172" t="str">
        <f t="shared" si="69"/>
        <v>East Devon</v>
      </c>
      <c r="M172" s="109">
        <f t="shared" si="70"/>
        <v>50</v>
      </c>
      <c r="N172" s="104">
        <f t="shared" si="55"/>
        <v>50</v>
      </c>
      <c r="O172" s="89" t="str">
        <f t="shared" si="56"/>
        <v/>
      </c>
      <c r="P172" s="89" t="str">
        <f t="shared" si="57"/>
        <v/>
      </c>
      <c r="Q172" s="89" t="str">
        <f t="shared" si="58"/>
        <v/>
      </c>
      <c r="R172" s="85">
        <f t="shared" si="59"/>
        <v>50</v>
      </c>
      <c r="S172" s="41" t="str">
        <f t="shared" si="60"/>
        <v/>
      </c>
      <c r="T172" s="166" t="str">
        <f>IF(L172="","",VLOOKUP(L172,classifications!C:K,9,FALSE))</f>
        <v>Sparse</v>
      </c>
      <c r="U172" s="167">
        <f t="shared" si="61"/>
        <v>50</v>
      </c>
      <c r="V172" s="173">
        <f>IF(U172="","",IF($I$8="A",(RANK(U172,U$11:U$333)+COUNTIF(U$11:U172,U172)-1),(RANK(U172,U$11:U$333,1)+COUNTIF(U$11:U172,U172)-1)))</f>
        <v>1</v>
      </c>
      <c r="W172" s="174"/>
      <c r="X172" s="5" t="str">
        <f>IF(L172="","",VLOOKUP($L172,classifications!$C:$J,6,FALSE))</f>
        <v xml:space="preserve">Predominantly Rural </v>
      </c>
      <c r="Y172">
        <f t="shared" si="62"/>
        <v>50</v>
      </c>
      <c r="Z172" s="39">
        <f>IF(Y172="","",IF(I$8="A",(RANK(Y172,Y$11:Y$333,1)+COUNTIF(Y$11:Y172,Y172)-1),(RANK(Y172,Y$11:Y$333)+COUNTIF(Y$11:Y172,Y172)-1)))</f>
        <v>59</v>
      </c>
      <c r="AA172" s="177" t="str">
        <f>IF(L172="","",VLOOKUP($L172,classifications!C:I,7,FALSE))</f>
        <v>Predominantly Rural</v>
      </c>
      <c r="AB172" s="173">
        <f t="shared" si="63"/>
        <v>50</v>
      </c>
      <c r="AC172" s="173">
        <f>IF(AB172="","",IF($I$8="A",(RANK(AB172,AB$11:AB$333)+COUNTIF(AB$11:AB172,AB172)-1),(RANK(AB172,AB$11:AB$333,1)+COUNTIF(AB$11:AB172,AB172)-1)))</f>
        <v>1</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Devon</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South West</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90.196078431372555</v>
      </c>
      <c r="G173" s="15"/>
      <c r="H173" s="41" t="str">
        <f t="shared" si="68"/>
        <v/>
      </c>
      <c r="I173" s="73" t="str">
        <f>IF(H173="","",IF($I$8="A",(RANK(H173,H$11:H$333,1)+COUNTIF(H$11:H173,H173)-1),(RANK(H173,H$11:H$333)+COUNTIF(H$11:H173,H173)-1)))</f>
        <v/>
      </c>
      <c r="J173" s="40"/>
      <c r="K173" s="35">
        <f t="shared" si="75"/>
        <v>163</v>
      </c>
      <c r="L173" t="str">
        <f t="shared" si="69"/>
        <v>Rossendale</v>
      </c>
      <c r="M173" s="109">
        <f t="shared" si="70"/>
        <v>33.333333333333329</v>
      </c>
      <c r="N173" s="104">
        <f t="shared" si="55"/>
        <v>33.333333333333329</v>
      </c>
      <c r="O173" s="89" t="str">
        <f t="shared" si="56"/>
        <v/>
      </c>
      <c r="P173" s="89" t="str">
        <f t="shared" si="57"/>
        <v/>
      </c>
      <c r="Q173" s="89" t="str">
        <f t="shared" si="58"/>
        <v/>
      </c>
      <c r="R173" s="85">
        <f t="shared" si="59"/>
        <v>33.333333333333329</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Lancashire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North West</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90.196078431372555</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96.666666666666671</v>
      </c>
      <c r="G174" s="15"/>
      <c r="H174" s="41">
        <f t="shared" si="68"/>
        <v>96.666666666666671</v>
      </c>
      <c r="I174" s="73">
        <f>IF(H174="","",IF($I$8="A",(RANK(H174,H$11:H$333,1)+COUNTIF(H$11:H174,H174)-1),(RANK(H174,H$11:H$333)+COUNTIF(H$11:H174,H174)-1)))</f>
        <v>32</v>
      </c>
      <c r="J174" s="40"/>
      <c r="K174" s="35">
        <f t="shared" si="75"/>
        <v>164</v>
      </c>
      <c r="L174" t="str">
        <f t="shared" si="69"/>
        <v>Castle Point</v>
      </c>
      <c r="M174" s="109">
        <f t="shared" si="70"/>
        <v>20</v>
      </c>
      <c r="N174" s="104">
        <f t="shared" si="55"/>
        <v>20</v>
      </c>
      <c r="O174" s="89" t="str">
        <f t="shared" si="56"/>
        <v/>
      </c>
      <c r="P174" s="89" t="str">
        <f t="shared" si="57"/>
        <v/>
      </c>
      <c r="Q174" s="89" t="str">
        <f t="shared" si="58"/>
        <v/>
      </c>
      <c r="R174" s="85">
        <f t="shared" si="59"/>
        <v>20</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Essex</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of England</v>
      </c>
      <c r="AQ174" s="42">
        <f t="shared" si="66"/>
        <v>20</v>
      </c>
      <c r="AR174" s="39">
        <f>IF(AQ174="","",IF(I$8="A",(RANK(AQ174,AQ$11:AQ$333,1)+COUNTIF(AQ$11:AQ174,AQ174)-1),(RANK(AQ174,AQ$11:AQ$333)+COUNTIF(AQ$11:AQ174,AQ174)-1)))</f>
        <v>39</v>
      </c>
      <c r="AS174" s="3" t="str">
        <f t="shared" si="78"/>
        <v/>
      </c>
      <c r="AT174" s="39" t="str">
        <f t="shared" si="73"/>
        <v/>
      </c>
      <c r="AU174" s="42" t="str">
        <f t="shared" si="74"/>
        <v/>
      </c>
      <c r="AX174">
        <f>HLOOKUP($AX$9&amp;$AX$10,Data!$A$1:$ZT$1975,(MATCH($C174,Data!$A$1:$A$1975,0)),FALSE)</f>
        <v>96.666666666666671</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94.117647058823522</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94.117647058823522</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89.130434782608688</v>
      </c>
      <c r="G176" s="15"/>
      <c r="H176" s="41">
        <f t="shared" si="68"/>
        <v>89.130434782608688</v>
      </c>
      <c r="I176" s="73">
        <f>IF(H176="","",IF($I$8="A",(RANK(H176,H$11:H$333,1)+COUNTIF(H$11:H176,H176)-1),(RANK(H176,H$11:H$333)+COUNTIF(H$11:H176,H176)-1)))</f>
        <v>90</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89.130434782608688</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89.830508474576277</v>
      </c>
      <c r="G177" s="15"/>
      <c r="H177" s="41">
        <f t="shared" si="68"/>
        <v>89.830508474576277</v>
      </c>
      <c r="I177" s="73">
        <f>IF(H177="","",IF($I$8="A",(RANK(H177,H$11:H$333,1)+COUNTIF(H$11:H177,H177)-1),(RANK(H177,H$11:H$333)+COUNTIF(H$11:H177,H177)-1)))</f>
        <v>86</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89.830508474576277</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97.916666666666657</v>
      </c>
      <c r="G178" s="15"/>
      <c r="H178" s="41">
        <f t="shared" si="68"/>
        <v>97.916666666666657</v>
      </c>
      <c r="I178" s="73">
        <f>IF(H178="","",IF($I$8="A",(RANK(H178,H$11:H$333,1)+COUNTIF(H$11:H178,H178)-1),(RANK(H178,H$11:H$333)+COUNTIF(H$11:H178,H178)-1)))</f>
        <v>28</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97.916666666666657</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50</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50</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96.15384615384616</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96.15384615384616</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83.333333333333343</v>
      </c>
      <c r="G181" s="15"/>
      <c r="H181" s="41">
        <f t="shared" si="68"/>
        <v>83.333333333333343</v>
      </c>
      <c r="I181" s="73">
        <f>IF(H181="","",IF($I$8="A",(RANK(H181,H$11:H$333,1)+COUNTIF(H$11:H181,H181)-1),(RANK(H181,H$11:H$333)+COUNTIF(H$11:H181,H181)-1)))</f>
        <v>116</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83.333333333333343</v>
      </c>
    </row>
    <row r="182" spans="1:50">
      <c r="A182" s="55" t="str">
        <f>$D$1&amp;172</f>
        <v>SD172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f t="shared" si="68"/>
        <v>100</v>
      </c>
      <c r="I182" s="73">
        <f>IF(H182="","",IF($I$8="A",(RANK(H182,H$11:H$333,1)+COUNTIF(H$11:H182,H182)-1),(RANK(H182,H$11:H$333)+COUNTIF(H$11:H182,H182)-1)))</f>
        <v>14</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91.666666666666657</v>
      </c>
      <c r="G183" s="15"/>
      <c r="H183" s="41">
        <f t="shared" si="68"/>
        <v>91.666666666666657</v>
      </c>
      <c r="I183" s="73">
        <f>IF(H183="","",IF($I$8="A",(RANK(H183,H$11:H$333,1)+COUNTIF(H$11:H183,H183)-1),(RANK(H183,H$11:H$333)+COUNTIF(H$11:H183,H183)-1)))</f>
        <v>72</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91.666666666666657</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75.757575757575751</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75.757575757575751</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85.714285714285708</v>
      </c>
      <c r="G185" s="15"/>
      <c r="H185" s="41">
        <f t="shared" si="68"/>
        <v>85.714285714285708</v>
      </c>
      <c r="I185" s="73">
        <f>IF(H185="","",IF($I$8="A",(RANK(H185,H$11:H$333,1)+COUNTIF(H$11:H185,H185)-1),(RANK(H185,H$11:H$333)+COUNTIF(H$11:H185,H185)-1)))</f>
        <v>107</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85.714285714285708</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87.179487179487182</v>
      </c>
      <c r="G188" s="15"/>
      <c r="H188" s="41">
        <f t="shared" si="68"/>
        <v>87.179487179487182</v>
      </c>
      <c r="I188" s="73">
        <f>IF(H188="","",IF($I$8="A",(RANK(H188,H$11:H$333,1)+COUNTIF(H$11:H188,H188)-1),(RANK(H188,H$11:H$333)+COUNTIF(H$11:H188,H188)-1)))</f>
        <v>98</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87.179487179487182</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97.435897435897431</v>
      </c>
      <c r="G189" s="15"/>
      <c r="H189" s="41">
        <f t="shared" si="68"/>
        <v>97.435897435897431</v>
      </c>
      <c r="I189" s="73">
        <f>IF(H189="","",IF($I$8="A",(RANK(H189,H$11:H$333,1)+COUNTIF(H$11:H189,H189)-1),(RANK(H189,H$11:H$333)+COUNTIF(H$11:H189,H189)-1)))</f>
        <v>29</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97.435897435897431</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97.435897435897431</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97.435897435897431</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92.307692307692307</v>
      </c>
      <c r="G191" s="15"/>
      <c r="H191" s="41">
        <f t="shared" si="68"/>
        <v>92.307692307692307</v>
      </c>
      <c r="I191" s="73">
        <f>IF(H191="","",IF($I$8="A",(RANK(H191,H$11:H$333,1)+COUNTIF(H$11:H191,H191)-1),(RANK(H191,H$11:H$333)+COUNTIF(H$11:H191,H191)-1)))</f>
        <v>67</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92.307692307692307</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96.15384615384616</v>
      </c>
      <c r="G192" s="15"/>
      <c r="H192" s="41">
        <f t="shared" si="68"/>
        <v>96.15384615384616</v>
      </c>
      <c r="I192" s="73">
        <f>IF(H192="","",IF($I$8="A",(RANK(H192,H$11:H$333,1)+COUNTIF(H$11:H192,H192)-1),(RANK(H192,H$11:H$333)+COUNTIF(H$11:H192,H192)-1)))</f>
        <v>37</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96.15384615384616</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85.714285714285708</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85.714285714285708</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15</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97.872340425531917</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97.872340425531917</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79.545454545454547</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79.545454545454547</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77.777777777777786</v>
      </c>
      <c r="G198" s="15"/>
      <c r="H198" s="41">
        <f t="shared" si="68"/>
        <v>77.777777777777786</v>
      </c>
      <c r="I198" s="73">
        <f>IF(H198="","",IF($I$8="A",(RANK(H198,H$11:H$333,1)+COUNTIF(H$11:H198,H198)-1),(RANK(H198,H$11:H$333)+COUNTIF(H$11:H198,H198)-1)))</f>
        <v>129</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77.777777777777786</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94</v>
      </c>
      <c r="G199" s="15"/>
      <c r="H199" s="41">
        <f t="shared" si="68"/>
        <v>94</v>
      </c>
      <c r="I199" s="73">
        <f>IF(H199="","",IF($I$8="A",(RANK(H199,H$11:H$333,1)+COUNTIF(H$11:H199,H199)-1),(RANK(H199,H$11:H$333)+COUNTIF(H$11:H199,H199)-1)))</f>
        <v>53</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94</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78.84615384615384</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78.84615384615384</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84.693877551020407</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84.693877551020407</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85.714285714285708</v>
      </c>
      <c r="G202" s="15"/>
      <c r="H202" s="41">
        <f t="shared" si="68"/>
        <v>85.714285714285708</v>
      </c>
      <c r="I202" s="73">
        <f>IF(H202="","",IF($I$8="A",(RANK(H202,H$11:H$333,1)+COUNTIF(H$11:H202,H202)-1),(RANK(H202,H$11:H$333)+COUNTIF(H$11:H202,H202)-1)))</f>
        <v>108</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85.714285714285708</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97.872340425531917</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97.872340425531917</v>
      </c>
    </row>
    <row r="204" spans="1:50">
      <c r="A204" s="55" t="str">
        <f>$D$1&amp;194</f>
        <v>SD194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80.769230769230774</v>
      </c>
      <c r="G205" s="15"/>
      <c r="H205" s="41">
        <f t="shared" si="92"/>
        <v>80.769230769230774</v>
      </c>
      <c r="I205" s="73">
        <f>IF(H205="","",IF($I$8="A",(RANK(H205,H$11:H$333,1)+COUNTIF(H$11:H205,H205)-1),(RANK(H205,H$11:H$333)+COUNTIF(H$11:H205,H205)-1)))</f>
        <v>121</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80.769230769230774</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f t="shared" si="92"/>
        <v>100</v>
      </c>
      <c r="I206" s="73">
        <f>IF(H206="","",IF($I$8="A",(RANK(H206,H$11:H$333,1)+COUNTIF(H$11:H206,H206)-1),(RANK(H206,H$11:H$333)+COUNTIF(H$11:H206,H206)-1)))</f>
        <v>16</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96.428571428571431</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96.428571428571431</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96.666666666666671</v>
      </c>
      <c r="G208" s="15"/>
      <c r="H208" s="41">
        <f t="shared" si="92"/>
        <v>96.666666666666671</v>
      </c>
      <c r="I208" s="73">
        <f>IF(H208="","",IF($I$8="A",(RANK(H208,H$11:H$333,1)+COUNTIF(H$11:H208,H208)-1),(RANK(H208,H$11:H$333)+COUNTIF(H$11:H208,H208)-1)))</f>
        <v>33</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96.666666666666671</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92.592592592592595</v>
      </c>
      <c r="G210" s="15"/>
      <c r="H210" s="41">
        <f t="shared" si="92"/>
        <v>92.592592592592595</v>
      </c>
      <c r="I210" s="73">
        <f>IF(H210="","",IF($I$8="A",(RANK(H210,H$11:H$333,1)+COUNTIF(H$11:H210,H210)-1),(RANK(H210,H$11:H$333)+COUNTIF(H$11:H210,H210)-1)))</f>
        <v>63</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92.592592592592595</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93.181818181818173</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93.181818181818173</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93.548387096774192</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93.548387096774192</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60</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60</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97.142857142857139</v>
      </c>
      <c r="G214" s="15"/>
      <c r="H214" s="41">
        <f t="shared" si="92"/>
        <v>97.142857142857139</v>
      </c>
      <c r="I214" s="73">
        <f>IF(H214="","",IF($I$8="A",(RANK(H214,H$11:H$333,1)+COUNTIF(H$11:H214,H214)-1),(RANK(H214,H$11:H$333)+COUNTIF(H$11:H214,H214)-1)))</f>
        <v>30</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97.142857142857139</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95.238095238095227</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95.238095238095227</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84</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84</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f t="shared" si="92"/>
        <v>100</v>
      </c>
      <c r="I218" s="73">
        <f>IF(H218="","",IF($I$8="A",(RANK(H218,H$11:H$333,1)+COUNTIF(H$11:H218,H218)-1),(RANK(H218,H$11:H$333)+COUNTIF(H$11:H218,H218)-1)))</f>
        <v>17</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77.272727272727266</v>
      </c>
      <c r="G219" s="15"/>
      <c r="H219" s="41">
        <f t="shared" si="92"/>
        <v>77.272727272727266</v>
      </c>
      <c r="I219" s="73">
        <f>IF(H219="","",IF($I$8="A",(RANK(H219,H$11:H$333,1)+COUNTIF(H$11:H219,H219)-1),(RANK(H219,H$11:H$333)+COUNTIF(H$11:H219,H219)-1)))</f>
        <v>132</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77.272727272727266</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66.666666666666657</v>
      </c>
      <c r="G220" s="15"/>
      <c r="H220" s="41">
        <f t="shared" si="92"/>
        <v>66.666666666666657</v>
      </c>
      <c r="I220" s="73">
        <f>IF(H220="","",IF($I$8="A",(RANK(H220,H$11:H$333,1)+COUNTIF(H$11:H220,H220)-1),(RANK(H220,H$11:H$333)+COUNTIF(H$11:H220,H220)-1)))</f>
        <v>153</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66.666666666666657</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93.75</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93.75</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81.081081081081081</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81.081081081081081</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95</v>
      </c>
      <c r="G223" s="15"/>
      <c r="H223" s="41">
        <f t="shared" si="92"/>
        <v>95</v>
      </c>
      <c r="I223" s="73">
        <f>IF(H223="","",IF($I$8="A",(RANK(H223,H$11:H$333,1)+COUNTIF(H$11:H223,H223)-1),(RANK(H223,H$11:H$333)+COUNTIF(H$11:H223,H223)-1)))</f>
        <v>46</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95</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33.333333333333329</v>
      </c>
      <c r="G224" s="15"/>
      <c r="H224" s="41">
        <f t="shared" si="92"/>
        <v>33.333333333333329</v>
      </c>
      <c r="I224" s="73">
        <f>IF(H224="","",IF($I$8="A",(RANK(H224,H$11:H$333,1)+COUNTIF(H$11:H224,H224)-1),(RANK(H224,H$11:H$333)+COUNTIF(H$11:H224,H224)-1)))</f>
        <v>163</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33.333333333333329</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f t="shared" si="92"/>
        <v>100</v>
      </c>
      <c r="I225" s="73">
        <f>IF(H225="","",IF($I$8="A",(RANK(H225,H$11:H$333,1)+COUNTIF(H$11:H225,H225)-1),(RANK(H225,H$11:H$333)+COUNTIF(H$11:H225,H225)-1)))</f>
        <v>18</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88.571428571428569</v>
      </c>
      <c r="G227" s="15"/>
      <c r="H227" s="41">
        <f t="shared" si="92"/>
        <v>88.571428571428569</v>
      </c>
      <c r="I227" s="73">
        <f>IF(H227="","",IF($I$8="A",(RANK(H227,H$11:H$333,1)+COUNTIF(H$11:H227,H227)-1),(RANK(H227,H$11:H$333)+COUNTIF(H$11:H227,H227)-1)))</f>
        <v>94</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88.571428571428569</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92.592592592592595</v>
      </c>
      <c r="G228" s="15"/>
      <c r="H228" s="41">
        <f t="shared" si="92"/>
        <v>92.592592592592595</v>
      </c>
      <c r="I228" s="73">
        <f>IF(H228="","",IF($I$8="A",(RANK(H228,H$11:H$333,1)+COUNTIF(H$11:H228,H228)-1),(RANK(H228,H$11:H$333)+COUNTIF(H$11:H228,H228)-1)))</f>
        <v>64</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92.592592592592595</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86.04651162790698</v>
      </c>
      <c r="G229" s="15"/>
      <c r="H229" s="41">
        <f t="shared" si="92"/>
        <v>86.04651162790698</v>
      </c>
      <c r="I229" s="73">
        <f>IF(H229="","",IF($I$8="A",(RANK(H229,H$11:H$333,1)+COUNTIF(H$11:H229,H229)-1),(RANK(H229,H$11:H$333)+COUNTIF(H$11:H229,H229)-1)))</f>
        <v>103</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86.04651162790698</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80</v>
      </c>
      <c r="G230" s="15"/>
      <c r="H230" s="41">
        <f t="shared" si="92"/>
        <v>80</v>
      </c>
      <c r="I230" s="73">
        <f>IF(H230="","",IF($I$8="A",(RANK(H230,H$11:H$333,1)+COUNTIF(H$11:H230,H230)-1),(RANK(H230,H$11:H$333)+COUNTIF(H$11:H230,H230)-1)))</f>
        <v>124</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80</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91.17647058823529</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91.17647058823529</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72</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72</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90.243902439024396</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90.243902439024396</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96.774193548387103</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96.774193548387103</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91.666666666666657</v>
      </c>
      <c r="G235" s="15"/>
      <c r="H235" s="41">
        <f t="shared" si="92"/>
        <v>91.666666666666657</v>
      </c>
      <c r="I235" s="73">
        <f>IF(H235="","",IF($I$8="A",(RANK(H235,H$11:H$333,1)+COUNTIF(H$11:H235,H235)-1),(RANK(H235,H$11:H$333)+COUNTIF(H$11:H235,H235)-1)))</f>
        <v>73</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91.666666666666657</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91.764705882352942</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91.764705882352942</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77.51937984496125</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77.51937984496125</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95.238095238095227</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95.238095238095227</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100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100</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81.818181818181827</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81.818181818181827</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75.806451612903231</v>
      </c>
      <c r="G241" s="15"/>
      <c r="H241" s="41">
        <f t="shared" si="92"/>
        <v>75.806451612903231</v>
      </c>
      <c r="I241" s="73">
        <f>IF(H241="","",IF($I$8="A",(RANK(H241,H$11:H$333,1)+COUNTIF(H$11:H241,H241)-1),(RANK(H241,H$11:H$333)+COUNTIF(H$11:H241,H241)-1)))</f>
        <v>137</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75.806451612903231</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90.625</v>
      </c>
      <c r="G242" s="15"/>
      <c r="H242" s="41">
        <f t="shared" si="92"/>
        <v>90.625</v>
      </c>
      <c r="I242" s="73">
        <f>IF(H242="","",IF($I$8="A",(RANK(H242,H$11:H$333,1)+COUNTIF(H$11:H242,H242)-1),(RANK(H242,H$11:H$333)+COUNTIF(H$11:H242,H242)-1)))</f>
        <v>80</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90.625</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94.20289855072464</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94.20289855072464</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73.529411764705884</v>
      </c>
      <c r="G244" s="15"/>
      <c r="H244" s="41">
        <f t="shared" si="92"/>
        <v>73.529411764705884</v>
      </c>
      <c r="I244" s="73">
        <f>IF(H244="","",IF($I$8="A",(RANK(H244,H$11:H$333,1)+COUNTIF(H$11:H244,H244)-1),(RANK(H244,H$11:H$333)+COUNTIF(H$11:H244,H244)-1)))</f>
        <v>144</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73.529411764705884</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91.304347826086953</v>
      </c>
      <c r="G245" s="15"/>
      <c r="H245" s="41">
        <f t="shared" si="92"/>
        <v>91.304347826086953</v>
      </c>
      <c r="I245" s="73">
        <f>IF(H245="","",IF($I$8="A",(RANK(H245,H$11:H$333,1)+COUNTIF(H$11:H245,H245)-1),(RANK(H245,H$11:H$333)+COUNTIF(H$11:H245,H245)-1)))</f>
        <v>76</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91.304347826086953</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84.375</v>
      </c>
      <c r="G246" s="15"/>
      <c r="H246" s="41">
        <f t="shared" si="92"/>
        <v>84.375</v>
      </c>
      <c r="I246" s="73">
        <f>IF(H246="","",IF($I$8="A",(RANK(H246,H$11:H$333,1)+COUNTIF(H$11:H246,H246)-1),(RANK(H246,H$11:H$333)+COUNTIF(H$11:H246,H246)-1)))</f>
        <v>112</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84.375</v>
      </c>
    </row>
    <row r="247" spans="1:50">
      <c r="A247" s="55" t="str">
        <f>$D$1&amp;237</f>
        <v>SD237</v>
      </c>
      <c r="B247" s="56">
        <f>IF(ISERROR(VLOOKUP(A247,classifications!A:C,3,FALSE)),0,VLOOKUP(A247,classifications!A:C,3,FALSE))</f>
        <v>0</v>
      </c>
      <c r="C247" t="s">
        <v>144</v>
      </c>
      <c r="D247" t="str">
        <f>VLOOKUP($C247,classifications!$C:$J,4,FALSE)</f>
        <v>SD</v>
      </c>
      <c r="E247" t="str">
        <f>VLOOKUP(C247,classifications!C:K,9,FALSE)</f>
        <v>Sparse</v>
      </c>
      <c r="F247">
        <f t="shared" si="91"/>
        <v>94.594594594594597</v>
      </c>
      <c r="G247" s="15"/>
      <c r="H247" s="41">
        <f t="shared" si="92"/>
        <v>94.594594594594597</v>
      </c>
      <c r="I247" s="73">
        <f>IF(H247="","",IF($I$8="A",(RANK(H247,H$11:H$333,1)+COUNTIF(H$11:H247,H247)-1),(RANK(H247,H$11:H$333)+COUNTIF(H$11:H247,H247)-1)))</f>
        <v>47</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94.594594594594597</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88.679245283018872</v>
      </c>
      <c r="G248" s="15"/>
      <c r="H248" s="41">
        <f t="shared" si="92"/>
        <v>88.679245283018872</v>
      </c>
      <c r="I248" s="73">
        <f>IF(H248="","",IF($I$8="A",(RANK(H248,H$11:H$333,1)+COUNTIF(H$11:H248,H248)-1),(RANK(H248,H$11:H$333)+COUNTIF(H$11:H248,H248)-1)))</f>
        <v>93</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88.679245283018872</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75</v>
      </c>
      <c r="G249" s="15"/>
      <c r="H249" s="41">
        <f t="shared" si="92"/>
        <v>75</v>
      </c>
      <c r="I249" s="73">
        <f>IF(H249="","",IF($I$8="A",(RANK(H249,H$11:H$333,1)+COUNTIF(H$11:H249,H249)-1),(RANK(H249,H$11:H$333)+COUNTIF(H$11:H249,H249)-1)))</f>
        <v>141</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75</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94.444444444444443</v>
      </c>
      <c r="G250" s="15"/>
      <c r="H250" s="41">
        <f t="shared" si="92"/>
        <v>94.444444444444443</v>
      </c>
      <c r="I250" s="73">
        <f>IF(H250="","",IF($I$8="A",(RANK(H250,H$11:H$333,1)+COUNTIF(H$11:H250,H250)-1),(RANK(H250,H$11:H$333)+COUNTIF(H$11:H250,H250)-1)))</f>
        <v>51</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94.444444444444443</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70.212765957446805</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70.212765957446805</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19</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65.384615384615387</v>
      </c>
      <c r="G256" s="15"/>
      <c r="H256" s="41">
        <f t="shared" si="92"/>
        <v>65.384615384615387</v>
      </c>
      <c r="I256" s="73">
        <f>IF(H256="","",IF($I$8="A",(RANK(H256,H$11:H$333,1)+COUNTIF(H$11:H256,H256)-1),(RANK(H256,H$11:H$333)+COUNTIF(H$11:H256,H256)-1)))</f>
        <v>154</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65.384615384615387</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93.333333333333329</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93.333333333333329</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89.473684210526315</v>
      </c>
      <c r="G258" s="15"/>
      <c r="H258" s="41">
        <f t="shared" si="92"/>
        <v>89.473684210526315</v>
      </c>
      <c r="I258" s="73">
        <f>IF(H258="","",IF($I$8="A",(RANK(H258,H$11:H$333,1)+COUNTIF(H$11:H258,H258)-1),(RANK(H258,H$11:H$333)+COUNTIF(H$11:H258,H258)-1)))</f>
        <v>87</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89.473684210526315</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20</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78.94736842105263</v>
      </c>
      <c r="G261" s="15"/>
      <c r="H261" s="41">
        <f t="shared" si="92"/>
        <v>78.94736842105263</v>
      </c>
      <c r="I261" s="73">
        <f>IF(H261="","",IF($I$8="A",(RANK(H261,H$11:H$333,1)+COUNTIF(H$11:H261,H261)-1),(RANK(H261,H$11:H$333)+COUNTIF(H$11:H261,H261)-1)))</f>
        <v>127</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78.94736842105263</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93.333333333333329</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93.333333333333329</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81.818181818181827</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81.818181818181827</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86.36363636363636</v>
      </c>
      <c r="G265" s="15"/>
      <c r="H265" s="41">
        <f t="shared" si="92"/>
        <v>86.36363636363636</v>
      </c>
      <c r="I265" s="73">
        <f>IF(H265="","",IF($I$8="A",(RANK(H265,H$11:H$333,1)+COUNTIF(H$11:H265,H265)-1),(RANK(H265,H$11:H$333)+COUNTIF(H$11:H265,H265)-1)))</f>
        <v>101</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86.36363636363636</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84.848484848484844</v>
      </c>
      <c r="G266" s="15"/>
      <c r="H266" s="41">
        <f t="shared" si="92"/>
        <v>84.848484848484844</v>
      </c>
      <c r="I266" s="73">
        <f>IF(H266="","",IF($I$8="A",(RANK(H266,H$11:H$333,1)+COUNTIF(H$11:H266,H266)-1),(RANK(H266,H$11:H$333)+COUNTIF(H$11:H266,H266)-1)))</f>
        <v>110</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84.848484848484844</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30" si="117">IF(K267="","",INDEX(C$11:C$327,MATCH(K267,I$11:I$333,0)))</f>
        <v/>
      </c>
      <c r="M267" s="109" t="str">
        <f t="shared" ref="M267:M330"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30" si="119">IF(ISNA(IF(AL267="","",INDEX(L$11:L$333,MATCH(AL267,AK$11:AK$333,0)))),"",(IF(AL267="","",INDEX(L$11:L$333,MATCH(AL267,AK$11:AK$333,0)))))</f>
        <v/>
      </c>
      <c r="AN267" t="str">
        <f t="shared" ref="AN267:AN330"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30" si="121">IF(AS267="","",INDEX(L$11:L$333,MATCH(AS267,AR$11:AR$333,0)))</f>
        <v/>
      </c>
      <c r="AU267" s="42" t="str">
        <f t="shared" ref="AU267:AU330"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31"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92.592592592592595</v>
      </c>
      <c r="G270" s="15"/>
      <c r="H270" s="41">
        <f t="shared" si="116"/>
        <v>92.592592592592595</v>
      </c>
      <c r="I270" s="73">
        <f>IF(H270="","",IF($I$8="A",(RANK(H270,H$11:H$333,1)+COUNTIF(H$11:H270,H270)-1),(RANK(H270,H$11:H$333)+COUNTIF(H$11:H270,H270)-1)))</f>
        <v>65</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92.592592592592595</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75</v>
      </c>
      <c r="G272" s="15"/>
      <c r="H272" s="41">
        <f t="shared" si="116"/>
        <v>75</v>
      </c>
      <c r="I272" s="73">
        <f>IF(H272="","",IF($I$8="A",(RANK(H272,H$11:H$333,1)+COUNTIF(H$11:H272,H272)-1),(RANK(H272,H$11:H$333)+COUNTIF(H$11:H272,H272)-1)))</f>
        <v>142</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75</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96.428571428571431</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96.428571428571431</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21</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70.833333333333343</v>
      </c>
      <c r="G276" s="15"/>
      <c r="H276" s="41">
        <f t="shared" si="116"/>
        <v>70.833333333333343</v>
      </c>
      <c r="I276" s="73">
        <f>IF(H276="","",IF($I$8="A",(RANK(H276,H$11:H$333,1)+COUNTIF(H$11:H276,H276)-1),(RANK(H276,H$11:H$333)+COUNTIF(H$11:H276,H276)-1)))</f>
        <v>146</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70.833333333333343</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89.285714285714292</v>
      </c>
      <c r="G277" s="15"/>
      <c r="H277" s="41">
        <f t="shared" si="116"/>
        <v>89.285714285714292</v>
      </c>
      <c r="I277" s="73">
        <f>IF(H277="","",IF($I$8="A",(RANK(H277,H$11:H$333,1)+COUNTIF(H$11:H277,H277)-1),(RANK(H277,H$11:H$333)+COUNTIF(H$11:H277,H277)-1)))</f>
        <v>89</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89.285714285714292</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88.888888888888886</v>
      </c>
      <c r="G279" s="15"/>
      <c r="H279" s="41">
        <f t="shared" si="116"/>
        <v>88.888888888888886</v>
      </c>
      <c r="I279" s="73">
        <f>IF(H279="","",IF($I$8="A",(RANK(H279,H$11:H$333,1)+COUNTIF(H$11:H279,H279)-1),(RANK(H279,H$11:H$333)+COUNTIF(H$11:H279,H279)-1)))</f>
        <v>91</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88.888888888888886</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92.307692307692307</v>
      </c>
      <c r="G280" s="15"/>
      <c r="H280" s="41">
        <f t="shared" si="116"/>
        <v>92.307692307692307</v>
      </c>
      <c r="I280" s="73">
        <f>IF(H280="","",IF($I$8="A",(RANK(H280,H$11:H$333,1)+COUNTIF(H$11:H280,H280)-1),(RANK(H280,H$11:H$333)+COUNTIF(H$11:H280,H280)-1)))</f>
        <v>68</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92.307692307692307</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60.526315789473685</v>
      </c>
      <c r="G281" s="15"/>
      <c r="H281" s="41">
        <f t="shared" si="116"/>
        <v>60.526315789473685</v>
      </c>
      <c r="I281" s="73">
        <f>IF(H281="","",IF($I$8="A",(RANK(H281,H$11:H$333,1)+COUNTIF(H$11:H281,H281)-1),(RANK(H281,H$11:H$333)+COUNTIF(H$11:H281,H281)-1)))</f>
        <v>157</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60.526315789473685</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77.777777777777786</v>
      </c>
      <c r="G282" s="15"/>
      <c r="H282" s="41">
        <f t="shared" si="116"/>
        <v>77.777777777777786</v>
      </c>
      <c r="I282" s="73">
        <f>IF(H282="","",IF($I$8="A",(RANK(H282,H$11:H$333,1)+COUNTIF(H$11:H282,H282)-1),(RANK(H282,H$11:H$333)+COUNTIF(H$11:H282,H282)-1)))</f>
        <v>130</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77.777777777777786</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80</v>
      </c>
      <c r="G283" s="15"/>
      <c r="H283" s="41">
        <f t="shared" si="116"/>
        <v>80</v>
      </c>
      <c r="I283" s="73">
        <f>IF(H283="","",IF($I$8="A",(RANK(H283,H$11:H$333,1)+COUNTIF(H$11:H283,H283)-1),(RANK(H283,H$11:H$333)+COUNTIF(H$11:H283,H283)-1)))</f>
        <v>125</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80</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94.871794871794862</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94.871794871794862</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91.666666666666657</v>
      </c>
      <c r="G285" s="15"/>
      <c r="H285" s="41">
        <f t="shared" si="116"/>
        <v>91.666666666666657</v>
      </c>
      <c r="I285" s="73">
        <f>IF(H285="","",IF($I$8="A",(RANK(H285,H$11:H$333,1)+COUNTIF(H$11:H285,H285)-1),(RANK(H285,H$11:H$333)+COUNTIF(H$11:H285,H285)-1)))</f>
        <v>74</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91.666666666666657</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95.833333333333343</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95.833333333333343</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93.181818181818173</v>
      </c>
      <c r="G287" s="15"/>
      <c r="H287" s="41">
        <f t="shared" si="116"/>
        <v>93.181818181818173</v>
      </c>
      <c r="I287" s="73">
        <f>IF(H287="","",IF($I$8="A",(RANK(H287,H$11:H$333,1)+COUNTIF(H$11:H287,H287)-1),(RANK(H287,H$11:H$333)+COUNTIF(H$11:H287,H287)-1)))</f>
        <v>60</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93.181818181818173</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97.61904761904762</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97.61904761904762</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96.36363636363636</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96.36363636363636</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f t="shared" si="116"/>
        <v>100</v>
      </c>
      <c r="I290" s="73">
        <f>IF(H290="","",IF($I$8="A",(RANK(H290,H$11:H$333,1)+COUNTIF(H$11:H290,H290)-1),(RANK(H290,H$11:H$333)+COUNTIF(H$11:H290,H290)-1)))</f>
        <v>22</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76.08695652173914</v>
      </c>
      <c r="G291" s="15"/>
      <c r="H291" s="41">
        <f t="shared" si="116"/>
        <v>76.08695652173914</v>
      </c>
      <c r="I291" s="73">
        <f>IF(H291="","",IF($I$8="A",(RANK(H291,H$11:H$333,1)+COUNTIF(H$11:H291,H291)-1),(RANK(H291,H$11:H$333)+COUNTIF(H$11:H291,H291)-1)))</f>
        <v>136</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76.08695652173914</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90.476190476190482</v>
      </c>
      <c r="G292" s="15"/>
      <c r="H292" s="41">
        <f t="shared" si="116"/>
        <v>90.476190476190482</v>
      </c>
      <c r="I292" s="73">
        <f>IF(H292="","",IF($I$8="A",(RANK(H292,H$11:H$333,1)+COUNTIF(H$11:H292,H292)-1),(RANK(H292,H$11:H$333)+COUNTIF(H$11:H292,H292)-1)))</f>
        <v>81</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90.476190476190482</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87.037037037037038</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87.037037037037038</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56.756756756756758</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56.756756756756758</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97.058823529411768</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97.058823529411768</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97.142857142857139</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97.142857142857139</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91.891891891891902</v>
      </c>
      <c r="G298" s="15"/>
      <c r="H298" s="41">
        <f t="shared" si="116"/>
        <v>91.891891891891902</v>
      </c>
      <c r="I298" s="73">
        <f>IF(H298="","",IF($I$8="A",(RANK(H298,H$11:H$333,1)+COUNTIF(H$11:H298,H298)-1),(RANK(H298,H$11:H$333)+COUNTIF(H$11:H298,H298)-1)))</f>
        <v>69</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91.891891891891902</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70</v>
      </c>
      <c r="G300" s="15"/>
      <c r="H300" s="41">
        <f t="shared" si="116"/>
        <v>70</v>
      </c>
      <c r="I300" s="73">
        <f>IF(H300="","",IF($I$8="A",(RANK(H300,H$11:H$333,1)+COUNTIF(H$11:H300,H300)-1),(RANK(H300,H$11:H$333)+COUNTIF(H$11:H300,H300)-1)))</f>
        <v>148</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70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94</v>
      </c>
      <c r="G301" s="15"/>
      <c r="H301" s="41">
        <f t="shared" si="116"/>
        <v>94</v>
      </c>
      <c r="I301" s="73">
        <f>IF(H301="","",IF($I$8="A",(RANK(H301,H$11:H$333,1)+COUNTIF(H$11:H301,H301)-1),(RANK(H301,H$11:H$333)+COUNTIF(H$11:H301,H301)-1)))</f>
        <v>54</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94</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94.20289855072464</v>
      </c>
      <c r="G302" s="15"/>
      <c r="H302" s="41">
        <f t="shared" si="116"/>
        <v>94.20289855072464</v>
      </c>
      <c r="I302" s="73">
        <f>IF(H302="","",IF($I$8="A",(RANK(H302,H$11:H$333,1)+COUNTIF(H$11:H302,H302)-1),(RANK(H302,H$11:H$333)+COUNTIF(H$11:H302,H302)-1)))</f>
        <v>52</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94.20289855072464</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96.296296296296291</v>
      </c>
      <c r="G303" s="15"/>
      <c r="H303" s="41">
        <f t="shared" si="116"/>
        <v>96.296296296296291</v>
      </c>
      <c r="I303" s="73">
        <f>IF(H303="","",IF($I$8="A",(RANK(H303,H$11:H$333,1)+COUNTIF(H$11:H303,H303)-1),(RANK(H303,H$11:H$333)+COUNTIF(H$11:H303,H303)-1)))</f>
        <v>36</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96.296296296296291</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80.898876404494374</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80.898876404494374</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f t="shared" si="116"/>
        <v>100</v>
      </c>
      <c r="I305" s="73">
        <f>IF(H305="","",IF($I$8="A",(RANK(H305,H$11:H$333,1)+COUNTIF(H$11:H305,H305)-1),(RANK(H305,H$11:H$333)+COUNTIF(H$11:H305,H305)-1)))</f>
        <v>23</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54.54545454545454</v>
      </c>
      <c r="G306" s="15"/>
      <c r="H306" s="41">
        <f t="shared" si="116"/>
        <v>54.54545454545454</v>
      </c>
      <c r="I306" s="73">
        <f>IF(H306="","",IF($I$8="A",(RANK(H306,H$11:H$333,1)+COUNTIF(H$11:H306,H306)-1),(RANK(H306,H$11:H$333)+COUNTIF(H$11:H306,H306)-1)))</f>
        <v>161</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54.54545454545454</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96.551724137931032</v>
      </c>
      <c r="G307" s="15"/>
      <c r="H307" s="41">
        <f t="shared" si="116"/>
        <v>96.551724137931032</v>
      </c>
      <c r="I307" s="73">
        <f>IF(H307="","",IF($I$8="A",(RANK(H307,H$11:H$333,1)+COUNTIF(H$11:H307,H307)-1),(RANK(H307,H$11:H$333)+COUNTIF(H$11:H307,H307)-1)))</f>
        <v>34</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96.551724137931032</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64.761904761904759</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64.761904761904759</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83.333333333333343</v>
      </c>
      <c r="G309" s="15"/>
      <c r="H309" s="41">
        <f t="shared" si="116"/>
        <v>83.333333333333343</v>
      </c>
      <c r="I309" s="73">
        <f>IF(H309="","",IF($I$8="A",(RANK(H309,H$11:H$333,1)+COUNTIF(H$11:H309,H309)-1),(RANK(H309,H$11:H$333)+COUNTIF(H$11:H309,H309)-1)))</f>
        <v>117</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83.333333333333343</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94.545454545454547</v>
      </c>
      <c r="G310" s="15"/>
      <c r="H310" s="41">
        <f t="shared" si="116"/>
        <v>94.545454545454547</v>
      </c>
      <c r="I310" s="73">
        <f>IF(H310="","",IF($I$8="A",(RANK(H310,H$11:H$333,1)+COUNTIF(H$11:H310,H310)-1),(RANK(H310,H$11:H$333)+COUNTIF(H$11:H310,H310)-1)))</f>
        <v>48</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94.545454545454547</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85.714285714285708</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85.714285714285708</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91.428571428571431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91.428571428571431</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68.644067796610159</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68.644067796610159</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100</v>
      </c>
      <c r="G315" s="15"/>
      <c r="H315" s="41">
        <f t="shared" si="116"/>
        <v>100</v>
      </c>
      <c r="I315" s="73">
        <f>IF(H315="","",IF($I$8="A",(RANK(H315,H$11:H$333,1)+COUNTIF(H$11:H315,H315)-1),(RANK(H315,H$11:H$333)+COUNTIF(H$11:H315,H315)-1)))</f>
        <v>24</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100</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90.243902439024396</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90.243902439024396</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80</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80</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f t="shared" si="116"/>
        <v>100</v>
      </c>
      <c r="I318" s="73">
        <f>IF(H318="","",IF($I$8="A",(RANK(H318,H$11:H$333,1)+COUNTIF(H$11:H318,H318)-1),(RANK(H318,H$11:H$333)+COUNTIF(H$11:H318,H318)-1)))</f>
        <v>25</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93.939393939393938</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93.939393939393938</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80</v>
      </c>
      <c r="G321" s="15"/>
      <c r="H321" s="41">
        <f t="shared" si="116"/>
        <v>80</v>
      </c>
      <c r="I321" s="73">
        <f>IF(H321="","",IF($I$8="A",(RANK(H321,H$11:H$333,1)+COUNTIF(H$11:H321,H321)-1),(RANK(H321,H$11:H$333)+COUNTIF(H$11:H321,H321)-1)))</f>
        <v>126</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80</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75</v>
      </c>
      <c r="G323" s="15"/>
      <c r="H323" s="41">
        <f t="shared" si="116"/>
        <v>75</v>
      </c>
      <c r="I323" s="73">
        <f>IF(H323="","",IF($I$8="A",(RANK(H323,H$11:H$333,1)+COUNTIF(H$11:H323,H323)-1),(RANK(H323,H$11:H$333)+COUNTIF(H$11:H323,H323)-1)))</f>
        <v>143</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75</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90</v>
      </c>
      <c r="G324" s="15"/>
      <c r="H324" s="41">
        <f t="shared" si="116"/>
        <v>90</v>
      </c>
      <c r="I324" s="73">
        <f>IF(H324="","",IF($I$8="A",(RANK(H324,H$11:H$333,1)+COUNTIF(H$11:H324,H324)-1),(RANK(H324,H$11:H$333)+COUNTIF(H$11:H324,H324)-1)))</f>
        <v>85</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90</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93.103448275862064</v>
      </c>
      <c r="G325" s="15"/>
      <c r="H325" s="41">
        <f t="shared" si="116"/>
        <v>93.103448275862064</v>
      </c>
      <c r="I325" s="73">
        <f>IF(H325="","",IF($I$8="A",(RANK(H325,H$11:H$333,1)+COUNTIF(H$11:H325,H325)-1),(RANK(H325,H$11:H$333)+COUNTIF(H$11:H325,H325)-1)))</f>
        <v>61</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93.103448275862064</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60</v>
      </c>
      <c r="G326" s="15"/>
      <c r="H326" s="41">
        <f t="shared" si="116"/>
        <v>60</v>
      </c>
      <c r="I326" s="73">
        <f>IF(H326="","",IF($I$8="A",(RANK(H326,H$11:H$333,1)+COUNTIF(H$11:H326,H326)-1),(RANK(H326,H$11:H$333)+COUNTIF(H$11:H326,H326)-1)))</f>
        <v>159</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60</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92.307692307692307</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92.307692307692307</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3" sqref="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E5" sqref="E5"/>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June 2023</v>
      </c>
      <c r="D1" s="136" t="str">
        <f t="shared" ref="D1:BI1" si="0">D4&amp;D5</f>
        <v>Minor Developments - % decisions in timeYear Ending June 2023</v>
      </c>
      <c r="E1" s="136" t="str">
        <f t="shared" si="0"/>
        <v>Other Developments - % decisions in timeYear Ending June 2023</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93.75</v>
      </c>
      <c r="D7">
        <v>95.555555555555557</v>
      </c>
      <c r="E7">
        <v>95.792880258899672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77.729257641921407</v>
      </c>
      <c r="E8">
        <v>98.352553542009886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60.9375</v>
      </c>
      <c r="D9">
        <v>74.493927125506076</v>
      </c>
      <c r="E9">
        <v>93.197278911564624</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75</v>
      </c>
      <c r="D10">
        <v>65.476190476190482</v>
      </c>
      <c r="E10">
        <v>78.260869565217391</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60</v>
      </c>
      <c r="D11">
        <v>65.662650602409627</v>
      </c>
      <c r="E11">
        <v>87.056128293241699</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90.909090909090907</v>
      </c>
      <c r="D12">
        <v>87.6</v>
      </c>
      <c r="E12">
        <v>96.969696969696969</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78.571428571428569</v>
      </c>
      <c r="D14">
        <v>79.166666666666657</v>
      </c>
      <c r="E14">
        <v>76.565008025682175</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92.129629629629633</v>
      </c>
      <c r="E15">
        <v>93.155893536121667</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84</v>
      </c>
      <c r="D16">
        <v>64.397905759162299</v>
      </c>
      <c r="E16">
        <v>81.607629427792915</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80.952380952380949</v>
      </c>
      <c r="D17">
        <v>79.117647058823522</v>
      </c>
      <c r="E17">
        <v>89.312169312169303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93.61702127659575</v>
      </c>
      <c r="D18">
        <v>90.212765957446805</v>
      </c>
      <c r="E18">
        <v>93.853427895981085</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96.666666666666671</v>
      </c>
      <c r="D19">
        <v>86.563307493540051</v>
      </c>
      <c r="E19">
        <v>83.61904761904762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90.740740740740748</v>
      </c>
      <c r="D20">
        <v>69.611307420494697</v>
      </c>
      <c r="E20">
        <v>85.529157667386613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86.037735849056602</v>
      </c>
      <c r="E21">
        <v>93.231441048034938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95.683453237410077</v>
      </c>
      <c r="D22">
        <v>90.033975084937708</v>
      </c>
      <c r="E22">
        <v>89.485981308411212</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95.714285714285722</v>
      </c>
      <c r="E23">
        <v>96.15384615384616</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98.089171974522287</v>
      </c>
      <c r="E24">
        <v>96.009389671361504</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95</v>
      </c>
      <c r="D25">
        <v>78.723404255319153</v>
      </c>
      <c r="E25">
        <v>90.625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89.81481481481481</v>
      </c>
      <c r="E26">
        <v>96.491228070175438</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90.476190476190482</v>
      </c>
      <c r="D27">
        <v>86.241610738255034</v>
      </c>
      <c r="E27">
        <v>88.059701492537314</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91.428571428571431</v>
      </c>
      <c r="D28">
        <v>84.090909090909093</v>
      </c>
      <c r="E28">
        <v>92.553191489361694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82.242990654205599</v>
      </c>
      <c r="D29">
        <v>78.048780487804876</v>
      </c>
      <c r="E29">
        <v>87.010078387458009</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88.888888888888886</v>
      </c>
      <c r="D30">
        <v>71.311475409836063</v>
      </c>
      <c r="E30">
        <v>81.53564899451554</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68.421052631578945</v>
      </c>
      <c r="D31">
        <v>87.122207621550601</v>
      </c>
      <c r="E31">
        <v>93.20866141732283</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93.650793650793645</v>
      </c>
      <c r="D32">
        <v>89.181286549707607</v>
      </c>
      <c r="E32">
        <v>92.984542211652794</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88.709677419354833</v>
      </c>
      <c r="D33">
        <v>87.002096436058693</v>
      </c>
      <c r="E33">
        <v>95.30988274706867</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96.428571428571431</v>
      </c>
      <c r="D34">
        <v>78.812572759022117</v>
      </c>
      <c r="E34">
        <v>84.52278589853826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98.31460674157303</v>
      </c>
      <c r="E35">
        <v>99.681528662420376</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89.65517241379311</v>
      </c>
      <c r="D36">
        <v>90.895061728395063</v>
      </c>
      <c r="E36">
        <v>90.149006622516552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94.545454545454547</v>
      </c>
      <c r="D37">
        <v>51.162790697674424</v>
      </c>
      <c r="E37">
        <v>66.177669111654453</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92.592592592592595</v>
      </c>
      <c r="D38">
        <v>82.608695652173907</v>
      </c>
      <c r="E38">
        <v>86.956521739130437</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90</v>
      </c>
      <c r="D39">
        <v>81.86440677966101</v>
      </c>
      <c r="E39">
        <v>89.237875288683597</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90.909090909090907</v>
      </c>
      <c r="D40">
        <v>90</v>
      </c>
      <c r="E40">
        <v>84.454756380510446</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90</v>
      </c>
      <c r="D41">
        <v>78.985507246376812</v>
      </c>
      <c r="E41">
        <v>85.864978902953581</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84.615384615384613</v>
      </c>
      <c r="D42">
        <v>91.139240506329116</v>
      </c>
      <c r="E42">
        <v>97.058823529411768</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87.41721854304636</v>
      </c>
      <c r="D43">
        <v>84.254920337394566</v>
      </c>
      <c r="E43">
        <v>91.709497206703915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94.444444444444443</v>
      </c>
      <c r="D44">
        <v>91.489361702127653</v>
      </c>
      <c r="E44">
        <v>92.990654205607484</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90</v>
      </c>
      <c r="D45">
        <v>99.418604651162795</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86.666666666666671</v>
      </c>
      <c r="D46">
        <v>79.240506329113927</v>
      </c>
      <c r="E46">
        <v>85.314685314685306</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83.870967741935488</v>
      </c>
      <c r="D47">
        <v>69.798657718120808</v>
      </c>
      <c r="E47">
        <v>80.072904009720531</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96.666666666666671</v>
      </c>
      <c r="D48">
        <v>83.667621776504291</v>
      </c>
      <c r="E48">
        <v>62.461220268872808</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100</v>
      </c>
      <c r="D49">
        <v>87</v>
      </c>
      <c r="E49">
        <v>94.339622641509436</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93.333333333333329</v>
      </c>
      <c r="D50">
        <v>80.078125</v>
      </c>
      <c r="E50">
        <v>88.608870967741936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20</v>
      </c>
      <c r="D51">
        <v>40.594059405940598</v>
      </c>
      <c r="E51">
        <v>67.561521252796425</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88.461538461538453</v>
      </c>
      <c r="D52">
        <v>85.607940446650119</v>
      </c>
      <c r="E52">
        <v>94.628099173553721</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95.833333333333343</v>
      </c>
      <c r="D53">
        <v>78.761061946902657</v>
      </c>
      <c r="E53">
        <v>88.888888888888886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91.666666666666657</v>
      </c>
      <c r="D54">
        <v>77.363184079601993</v>
      </c>
      <c r="E54">
        <v>89.670138888888886</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85.714285714285708</v>
      </c>
      <c r="D55">
        <v>82.122905027932958</v>
      </c>
      <c r="E55">
        <v>85.69832402234637</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95.833333333333343</v>
      </c>
      <c r="D56">
        <v>89.560439560439562</v>
      </c>
      <c r="E56">
        <v>92.638036809815944</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96.078431372549019</v>
      </c>
      <c r="D57">
        <v>82.624544349939242</v>
      </c>
      <c r="E57">
        <v>81.652892561983464</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91.111111111111114</v>
      </c>
      <c r="D58">
        <v>90.295358649789023</v>
      </c>
      <c r="E58">
        <v>89.033787788974507</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96.296296296296291</v>
      </c>
      <c r="D59">
        <v>87.826086956521749</v>
      </c>
      <c r="E59">
        <v>85.714285714285708</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68.421052631578945</v>
      </c>
      <c r="D60">
        <v>75.324675324675326</v>
      </c>
      <c r="E60">
        <v>81.232876712328775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76.19047619047619</v>
      </c>
      <c r="D61">
        <v>99.509803921568633</v>
      </c>
      <c r="E61">
        <v>99.282296650717711</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85.064935064935071</v>
      </c>
      <c r="E62">
        <v>90.384615384615387</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97.741935483870961</v>
      </c>
      <c r="E63">
        <v>97.067448680351902</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80.838323353293418</v>
      </c>
      <c r="D64">
        <v>81.420545746388441</v>
      </c>
      <c r="E64">
        <v>89.686228936664719</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90</v>
      </c>
      <c r="D65">
        <v>82.808716707021787</v>
      </c>
      <c r="E65">
        <v>77.333333333333329</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96.825396825396822</v>
      </c>
      <c r="D66">
        <v>91.732283464566933</v>
      </c>
      <c r="E66">
        <v>95.855472901168966</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75</v>
      </c>
      <c r="D67">
        <v>92.307692307692307</v>
      </c>
      <c r="E67">
        <v>81.25</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90.909090909090907</v>
      </c>
      <c r="D68">
        <v>70.346598202824126</v>
      </c>
      <c r="E68">
        <v>85.356200527704488</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84.615384615384613</v>
      </c>
      <c r="D69">
        <v>85.826771653543304</v>
      </c>
      <c r="E69">
        <v>85.645933014354071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68.421052631578945</v>
      </c>
      <c r="D70">
        <v>65.048543689320397</v>
      </c>
      <c r="E70">
        <v>78.397565922920904</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83.333333333333343</v>
      </c>
      <c r="D71">
        <v>82.142857142857139</v>
      </c>
      <c r="E71">
        <v>93.195266272189343</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84.848484848484844</v>
      </c>
      <c r="D72">
        <v>72</v>
      </c>
      <c r="E72">
        <v>82.744282744282742</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94.594594594594597</v>
      </c>
      <c r="D73">
        <v>80.308880308880305</v>
      </c>
      <c r="E73">
        <v>83.65937859608745</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96</v>
      </c>
      <c r="D74">
        <v>85.777777777777771</v>
      </c>
      <c r="E74">
        <v>90.858725761772845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89.610389610389603</v>
      </c>
      <c r="D75">
        <v>84.473684210526315</v>
      </c>
      <c r="E75">
        <v>89.646464646464651</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87.931034482758619</v>
      </c>
      <c r="D76">
        <v>79.533941236068898</v>
      </c>
      <c r="E76">
        <v>82.582938388625593</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80.327868852459019</v>
      </c>
      <c r="D77">
        <v>80.714285714285722</v>
      </c>
      <c r="E77">
        <v>87.464387464387457</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98.181818181818187</v>
      </c>
      <c r="D78">
        <v>93.27354260089686</v>
      </c>
      <c r="E78">
        <v>96.320630749014455</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86.274509803921575</v>
      </c>
      <c r="D79">
        <v>87.914230019493175</v>
      </c>
      <c r="E79">
        <v>87.936046511627907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95.020746887966794</v>
      </c>
      <c r="E80">
        <v>96.697774587221815</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98.148148148148152</v>
      </c>
      <c r="D81">
        <v>86.92307692307692</v>
      </c>
      <c r="E81">
        <v>90.613026819923377</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50</v>
      </c>
      <c r="D82">
        <v>67.216117216117226</v>
      </c>
      <c r="E82">
        <v>70</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68</v>
      </c>
      <c r="D83">
        <v>77.777777777777786</v>
      </c>
      <c r="E83">
        <v>78.805394990366082</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67.741935483870961</v>
      </c>
      <c r="D84">
        <v>68.54219948849105</v>
      </c>
      <c r="E84">
        <v>75.675675675675677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61.95652173913043</v>
      </c>
      <c r="D85">
        <v>74.441687344913149</v>
      </c>
      <c r="E85">
        <v>81.566820276497694</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96.644295302013433</v>
      </c>
      <c r="D86">
        <v>89.813664596273284</v>
      </c>
      <c r="E86">
        <v>94.649061848505909</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94.693877551020407</v>
      </c>
      <c r="E87">
        <v>93.973634651600761</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91.83673469387756</v>
      </c>
      <c r="D88">
        <v>77.962962962962962</v>
      </c>
      <c r="E88">
        <v>80.573819485953379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85.714285714285708</v>
      </c>
      <c r="D89">
        <v>82.258064516129039</v>
      </c>
      <c r="E89">
        <v>89.959839357429715</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89.380530973451329</v>
      </c>
      <c r="E90">
        <v>97.719298245614041</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84.090909090909093</v>
      </c>
      <c r="D91">
        <v>83.526011560693647</v>
      </c>
      <c r="E91">
        <v>85.060060060060067</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84.757118927973195</v>
      </c>
      <c r="E92">
        <v>87.520391517128871</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88.235294117647058</v>
      </c>
      <c r="D93">
        <v>68.22660098522168</v>
      </c>
      <c r="E93">
        <v>78.001679261125105</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85.507246376811594</v>
      </c>
      <c r="E94">
        <v>96.180555555555557</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80.952380952380949</v>
      </c>
      <c r="D95">
        <v>81.818181818181827</v>
      </c>
      <c r="E95">
        <v>82.776349614395883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70.370370370370367</v>
      </c>
      <c r="D96">
        <v>67.424242424242422</v>
      </c>
      <c r="E96">
        <v>78.034682080924853</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95.833333333333343</v>
      </c>
      <c r="D97">
        <v>94.642857142857139</v>
      </c>
      <c r="E97">
        <v>98.330241187384047</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58.146067415730343</v>
      </c>
      <c r="E98">
        <v>81.44654088050315</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92.307692307692307</v>
      </c>
      <c r="D99">
        <v>86.010362694300511</v>
      </c>
      <c r="E99">
        <v>87.910189982728852</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96.774193548387103</v>
      </c>
      <c r="D100">
        <v>93.181818181818173</v>
      </c>
      <c r="E100">
        <v>91.898148148148152</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86.666666666666671</v>
      </c>
      <c r="D101">
        <v>92.696629213483149</v>
      </c>
      <c r="E101">
        <v>97.567567567567565</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95.412844036697251</v>
      </c>
      <c r="E102">
        <v>90.70904645476773</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86.458333333333343</v>
      </c>
      <c r="E103">
        <v>83.877551020408163</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93.333333333333329</v>
      </c>
      <c r="D104">
        <v>88.349514563106794</v>
      </c>
      <c r="E104">
        <v>86.182669789227162</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75</v>
      </c>
      <c r="D105">
        <v>86.440677966101703</v>
      </c>
      <c r="E105">
        <v>86.274509803921575</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88.235294117647058</v>
      </c>
      <c r="D106">
        <v>92.258064516129039</v>
      </c>
      <c r="E106">
        <v>96.632996632996637</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95</v>
      </c>
      <c r="D107">
        <v>85.161290322580641</v>
      </c>
      <c r="E107">
        <v>79.220779220779221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91.283292978208237</v>
      </c>
      <c r="E108">
        <v>90.264730999146025</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86.842105263157904</v>
      </c>
      <c r="D109">
        <v>66.071428571428569</v>
      </c>
      <c r="E109">
        <v>72.756206238064919</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92.857142857142861</v>
      </c>
      <c r="D110">
        <v>80.327868852459019</v>
      </c>
      <c r="E110">
        <v>84.692417739628041</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80</v>
      </c>
      <c r="D111">
        <v>60.493827160493829</v>
      </c>
      <c r="E111">
        <v>58.849557522123895</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92.307692307692307</v>
      </c>
      <c r="E112">
        <v>92.577733199598796</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57.499999999999993</v>
      </c>
      <c r="D113">
        <v>54.358974358974358</v>
      </c>
      <c r="E113">
        <v>70.422535211267601</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78.589420654911834</v>
      </c>
      <c r="E114">
        <v>86.166365280289327</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94.444444444444443</v>
      </c>
      <c r="D115">
        <v>94.382022471910105</v>
      </c>
      <c r="E115">
        <v>98.347107438016536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83.333333333333343</v>
      </c>
      <c r="D116">
        <v>77.657266811279825</v>
      </c>
      <c r="E116">
        <v>80.388978930307943</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87.5</v>
      </c>
      <c r="D117">
        <v>82.481751824817522</v>
      </c>
      <c r="E117">
        <v>81.16308470290771</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98.484848484848484</v>
      </c>
      <c r="E118">
        <v>100</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82.608695652173907</v>
      </c>
      <c r="E119">
        <v>90.333333333333329</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90</v>
      </c>
      <c r="D120">
        <v>80</v>
      </c>
      <c r="E120">
        <v>90.778688524590166</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96.296296296296291</v>
      </c>
      <c r="D121">
        <v>88.828337874659397</v>
      </c>
      <c r="E121">
        <v>95.740223463687144</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81.632653061224488</v>
      </c>
      <c r="D122">
        <v>67.213114754098356</v>
      </c>
      <c r="E122">
        <v>66.03088101725703</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95.238095238095227</v>
      </c>
      <c r="D123">
        <v>95.294117647058812</v>
      </c>
      <c r="E123">
        <v>94.476744186046517</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78.400000000000006</v>
      </c>
      <c r="E124">
        <v>87.465181058495816</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97.297297297297305</v>
      </c>
      <c r="D125">
        <v>85.381355932203391</v>
      </c>
      <c r="E125">
        <v>90.162980209545978</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78</v>
      </c>
      <c r="D126">
        <v>68.013468013468014</v>
      </c>
      <c r="E126">
        <v>80.543933054393307</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97.916666666666657</v>
      </c>
      <c r="D127">
        <v>90.268456375838923</v>
      </c>
      <c r="E127">
        <v>96.100917431192656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80.555555555555557</v>
      </c>
      <c r="D128">
        <v>90.178571428571431</v>
      </c>
      <c r="E128">
        <v>92.507204610951007</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89.361702127659569</v>
      </c>
      <c r="D129">
        <v>72.121212121212125</v>
      </c>
      <c r="E129">
        <v>86.437029063509158</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80</v>
      </c>
      <c r="D130">
        <v>69.512195121951208</v>
      </c>
      <c r="E130">
        <v>52.020202020202021</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95.652173913043484</v>
      </c>
      <c r="D131">
        <v>94.85294117647058</v>
      </c>
      <c r="E131">
        <v>95.687331536388143</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80.645161290322577</v>
      </c>
      <c r="D132">
        <v>88.829787234042556</v>
      </c>
      <c r="E132">
        <v>96.751412429378533</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50</v>
      </c>
      <c r="D133">
        <v>75</v>
      </c>
      <c r="E133">
        <v>75</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96.15384615384616</v>
      </c>
      <c r="D134">
        <v>97.429305912596391</v>
      </c>
      <c r="E134">
        <v>93.402777777777786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92.575406032482604</v>
      </c>
      <c r="E135">
        <v>89.20911528150134</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86.04651162790698</v>
      </c>
      <c r="D136">
        <v>81.904761904761898</v>
      </c>
      <c r="E136">
        <v>88.115246098439371</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89.743589743589752</v>
      </c>
      <c r="D137">
        <v>88.780487804878049</v>
      </c>
      <c r="E137">
        <v>90.561224489795919</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96.296296296296291</v>
      </c>
      <c r="D138">
        <v>91.616766467065872</v>
      </c>
      <c r="E138">
        <v>94.20415224913495</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88.888888888888886</v>
      </c>
      <c r="D139">
        <v>80.756013745704465</v>
      </c>
      <c r="E139">
        <v>88.396349413298566</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96.428571428571431</v>
      </c>
      <c r="D140">
        <v>97.058823529411768</v>
      </c>
      <c r="E140">
        <v>98.675496688741731</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90.773067331670816</v>
      </c>
      <c r="E141">
        <v>92.286751361161521</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90.625</v>
      </c>
      <c r="D142">
        <v>87.07224334600761</v>
      </c>
      <c r="E142">
        <v>92.321755027422299</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94.915254237288138</v>
      </c>
      <c r="D143">
        <v>87.844611528822057</v>
      </c>
      <c r="E143">
        <v>90.878686530860449</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91.489361702127653</v>
      </c>
      <c r="D144">
        <v>67.979002624671921</v>
      </c>
      <c r="E144">
        <v>81.120943952802364</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77.272727272727266</v>
      </c>
      <c r="D145">
        <v>74.418604651162795</v>
      </c>
      <c r="E145">
        <v>83.582089552238799</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93.75</v>
      </c>
      <c r="D146">
        <v>91.460396039603964</v>
      </c>
      <c r="E146">
        <v>91.448692152917516</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95.454545454545453</v>
      </c>
      <c r="D147">
        <v>87.439613526570042</v>
      </c>
      <c r="E147">
        <v>95.978062157221217</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76.470588235294116</v>
      </c>
      <c r="D148">
        <v>65.486725663716811</v>
      </c>
      <c r="E148">
        <v>79.179810725552045</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80.851063829787222</v>
      </c>
      <c r="D149">
        <v>78.054862842892774</v>
      </c>
      <c r="E149">
        <v>80.718475073313783</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70</v>
      </c>
      <c r="D150">
        <v>65.853658536585371</v>
      </c>
      <c r="E150">
        <v>67.391304347826093</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84.375</v>
      </c>
      <c r="D151">
        <v>88.505747126436788</v>
      </c>
      <c r="E151">
        <v>95.970149253731336</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85.9375</v>
      </c>
      <c r="D152">
        <v>90.31476997578693</v>
      </c>
      <c r="E152">
        <v>97.302904564315355</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81.395348837209298</v>
      </c>
      <c r="D153">
        <v>76.689189189189193</v>
      </c>
      <c r="E153">
        <v>91.850220264317187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77.142857142857153</v>
      </c>
      <c r="D154">
        <v>80.578512396694208</v>
      </c>
      <c r="E154">
        <v>82.273603082851636</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87.096774193548384</v>
      </c>
      <c r="D155">
        <v>80.035971223021591</v>
      </c>
      <c r="E155">
        <v>84.096198603568666</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97.826086956521735</v>
      </c>
      <c r="E156">
        <v>97.682119205298008</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90.196078431372555</v>
      </c>
      <c r="D157">
        <v>82.417582417582409</v>
      </c>
      <c r="E157">
        <v>96.614583333333343</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96.666666666666671</v>
      </c>
      <c r="D158">
        <v>91.390728476821195</v>
      </c>
      <c r="E158">
        <v>94.85294117647058</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94.117647058823522</v>
      </c>
      <c r="D159">
        <v>82.62411347517731</v>
      </c>
      <c r="E159">
        <v>89.810017271157179</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89.130434782608688</v>
      </c>
      <c r="D160">
        <v>95.718654434250766</v>
      </c>
      <c r="E160">
        <v>91.803278688524586</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89.830508474576277</v>
      </c>
      <c r="D161">
        <v>95.026178010471213</v>
      </c>
      <c r="E161">
        <v>97.155688622754482</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97.916666666666657</v>
      </c>
      <c r="D162">
        <v>98.545454545454547</v>
      </c>
      <c r="E162">
        <v>99.610894941634243</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50</v>
      </c>
      <c r="D163">
        <v>74.603174603174608</v>
      </c>
      <c r="E163">
        <v>73.062730627306266</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96.15384615384616</v>
      </c>
      <c r="D164">
        <v>90.588235294117652</v>
      </c>
      <c r="E164">
        <v>92.321428571428584</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83.333333333333343</v>
      </c>
      <c r="D165">
        <v>92.384105960264904</v>
      </c>
      <c r="E165">
        <v>95.501285347043705</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89.162561576354676</v>
      </c>
      <c r="E166">
        <v>88.727272727272734</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91.666666666666657</v>
      </c>
      <c r="D167">
        <v>93.770491803278688</v>
      </c>
      <c r="E167">
        <v>92.49563699825481</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75.757575757575751</v>
      </c>
      <c r="D168">
        <v>70</v>
      </c>
      <c r="E168">
        <v>78.581560283687949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85.714285714285708</v>
      </c>
      <c r="D169">
        <v>95.035460992907801</v>
      </c>
      <c r="E169">
        <v>94.13333333333334</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66.304347826086953</v>
      </c>
      <c r="E170">
        <v>77.796610169491515</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87.179487179487182</v>
      </c>
      <c r="D171">
        <v>92.070484581497809</v>
      </c>
      <c r="E171">
        <v>94.5518453427065</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97.435897435897431</v>
      </c>
      <c r="D172">
        <v>75.129533678756474</v>
      </c>
      <c r="E172">
        <v>87.637969094922738</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97.435897435897431</v>
      </c>
      <c r="D173">
        <v>100</v>
      </c>
      <c r="E173">
        <v>99.375</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92.307692307692307</v>
      </c>
      <c r="D174">
        <v>89.075630252100851</v>
      </c>
      <c r="E174">
        <v>95.254237288135585</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96.15384615384616</v>
      </c>
      <c r="D175">
        <v>87.16814159292035</v>
      </c>
      <c r="E175">
        <v>93.516699410609036</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85.714285714285708</v>
      </c>
      <c r="D176">
        <v>81.458966565349542</v>
      </c>
      <c r="E176">
        <v>89.090909090909093</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94.407894736842096</v>
      </c>
      <c r="E177">
        <v>97.28059332509271</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97.872340425531917</v>
      </c>
      <c r="D178">
        <v>76.772616136919311</v>
      </c>
      <c r="E178">
        <v>85.059288537549406</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79.545454545454547</v>
      </c>
      <c r="D179">
        <v>87.826086956521749</v>
      </c>
      <c r="E179">
        <v>92.701525054466231</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99.212598425196859</v>
      </c>
      <c r="E180">
        <v>99.685039370078741</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77.777777777777786</v>
      </c>
      <c r="D181">
        <v>80.392156862745097</v>
      </c>
      <c r="E181">
        <v>85.049833887043192</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94</v>
      </c>
      <c r="D182">
        <v>87.640449438202253</v>
      </c>
      <c r="E182">
        <v>91.634241245136181</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78.84615384615384</v>
      </c>
      <c r="D183">
        <v>81.97424892703863</v>
      </c>
      <c r="E183">
        <v>87.865655471289273</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84.693877551020407</v>
      </c>
      <c r="D184">
        <v>73.958333333333343</v>
      </c>
      <c r="E184">
        <v>80.214621059691481</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85.714285714285708</v>
      </c>
      <c r="D185">
        <v>95.199999999999989</v>
      </c>
      <c r="E185">
        <v>89.320388349514573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97.872340425531917</v>
      </c>
      <c r="D186">
        <v>86.037735849056602</v>
      </c>
      <c r="E186">
        <v>83.376963350785331</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80.769230769230774</v>
      </c>
      <c r="D187">
        <v>90.196078431372555</v>
      </c>
      <c r="E187">
        <v>93.798449612403104</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92.682926829268297</v>
      </c>
      <c r="E188">
        <v>94.520547945205479</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96.428571428571431</v>
      </c>
      <c r="D189">
        <v>94.977168949771681</v>
      </c>
      <c r="E189">
        <v>95.081967213114751</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96.666666666666671</v>
      </c>
      <c r="D190">
        <v>84.291187739463595</v>
      </c>
      <c r="E190">
        <v>87.757575757575751</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92.592592592592595</v>
      </c>
      <c r="D191">
        <v>84.360189573459721</v>
      </c>
      <c r="E191">
        <v>85.342019543973947</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93.181818181818173</v>
      </c>
      <c r="D192">
        <v>83.561643835616437</v>
      </c>
      <c r="E192">
        <v>90.119250425894379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93.548387096774192</v>
      </c>
      <c r="D193">
        <v>89.867841409691636</v>
      </c>
      <c r="E193">
        <v>91.562932226832643</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60</v>
      </c>
      <c r="D194">
        <v>77.142857142857153</v>
      </c>
      <c r="E194">
        <v>71.173848439821697</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97.142857142857139</v>
      </c>
      <c r="D195">
        <v>96.226415094339629</v>
      </c>
      <c r="E195">
        <v>96.338672768878723</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95.238095238095227</v>
      </c>
      <c r="D196">
        <v>81.286549707602347</v>
      </c>
      <c r="E196">
        <v>82.684824902723733</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84</v>
      </c>
      <c r="D197">
        <v>74.876847290640399</v>
      </c>
      <c r="E197">
        <v>89.560029828486208</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88.235294117647058</v>
      </c>
      <c r="E198">
        <v>91.21447028423772</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87.878787878787875</v>
      </c>
      <c r="E199">
        <v>90.196078431372555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77.272727272727266</v>
      </c>
      <c r="D200">
        <v>83.07692307692308</v>
      </c>
      <c r="E200">
        <v>91.900647948164149</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66.666666666666657</v>
      </c>
      <c r="D201">
        <v>74.879227053140099</v>
      </c>
      <c r="E201">
        <v>75.979112271540473</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93.75</v>
      </c>
      <c r="D202">
        <v>84.354628422425037</v>
      </c>
      <c r="E202">
        <v>91.173184357541899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81.081081081081081</v>
      </c>
      <c r="D203">
        <v>84.523809523809518</v>
      </c>
      <c r="E203">
        <v>87.804878048780495</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95</v>
      </c>
      <c r="D204">
        <v>90</v>
      </c>
      <c r="E204">
        <v>88.075313807531387</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33.333333333333329</v>
      </c>
      <c r="D205">
        <v>78.400000000000006</v>
      </c>
      <c r="E205">
        <v>84.860557768924309</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80.160857908847177</v>
      </c>
      <c r="E206">
        <v>87.259615384615387</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88.571428571428569</v>
      </c>
      <c r="D208">
        <v>80.978260869565219</v>
      </c>
      <c r="E208">
        <v>87.353629976580791</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92.592592592592595</v>
      </c>
      <c r="D209">
        <v>90.526315789473685</v>
      </c>
      <c r="E209">
        <v>89.661319073083774</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86.04651162790698</v>
      </c>
      <c r="D210">
        <v>82.10116731517509</v>
      </c>
      <c r="E210">
        <v>87.858117326057297</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80</v>
      </c>
      <c r="D211">
        <v>89.887640449438194</v>
      </c>
      <c r="E211">
        <v>95.73770491803279</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91.17647058823529</v>
      </c>
      <c r="D212">
        <v>90.551181102362193</v>
      </c>
      <c r="E212">
        <v>93.61702127659575</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72</v>
      </c>
      <c r="D213">
        <v>84.558823529411768</v>
      </c>
      <c r="E213">
        <v>85.6</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90.243902439024396</v>
      </c>
      <c r="D214">
        <v>89.16083916083916</v>
      </c>
      <c r="E214">
        <v>89.372599231754151</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96.774193548387103</v>
      </c>
      <c r="D215">
        <v>89.082969432314414</v>
      </c>
      <c r="E215">
        <v>95.810955961331899</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91.666666666666657</v>
      </c>
      <c r="D216">
        <v>91.011235955056179</v>
      </c>
      <c r="E216">
        <v>94.803017602682317</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91.764705882352942</v>
      </c>
      <c r="D217">
        <v>75.251509054325965</v>
      </c>
      <c r="E217">
        <v>76.353790613718402</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77.51937984496125</v>
      </c>
      <c r="D218">
        <v>79.366602687140116</v>
      </c>
      <c r="E218">
        <v>89.152542372881356</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95.238095238095227</v>
      </c>
      <c r="D219">
        <v>65.753424657534239</v>
      </c>
      <c r="E219">
        <v>72.905525846702318</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90.212765957446805</v>
      </c>
      <c r="E220">
        <v>87.748058671268339</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81.818181818181827</v>
      </c>
      <c r="D221">
        <v>81.746031746031747</v>
      </c>
      <c r="E221">
        <v>89.280245022970902</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75.806451612903231</v>
      </c>
      <c r="D222">
        <v>68.571428571428569</v>
      </c>
      <c r="E222">
        <v>79.982440737489028</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90.625</v>
      </c>
      <c r="D223">
        <v>72.452830188679243</v>
      </c>
      <c r="E223">
        <v>88.675958188153317</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94.20289855072464</v>
      </c>
      <c r="D224">
        <v>89.591836734693871</v>
      </c>
      <c r="E224">
        <v>92.980935875216645</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73.529411764705884</v>
      </c>
      <c r="D225">
        <v>91.529411764705884</v>
      </c>
      <c r="E225">
        <v>89.095127610208806</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91.304347826086953</v>
      </c>
      <c r="D226">
        <v>92.57294429708223</v>
      </c>
      <c r="E226">
        <v>94.900849858356935</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84.375</v>
      </c>
      <c r="D227">
        <v>81.911262798634809</v>
      </c>
      <c r="E227">
        <v>83.127572016460903</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94.594594594594597</v>
      </c>
      <c r="D228">
        <v>83.620689655172413</v>
      </c>
      <c r="E228">
        <v>90.255785627283799</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88.679245283018872</v>
      </c>
      <c r="D229">
        <v>84.633027522935777</v>
      </c>
      <c r="E229">
        <v>91.409691629955944</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75</v>
      </c>
      <c r="D230">
        <v>83.229813664596278</v>
      </c>
      <c r="E230">
        <v>88.378378378378372</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94.444444444444443</v>
      </c>
      <c r="D231">
        <v>91.666666666666657</v>
      </c>
      <c r="E231">
        <v>94.623655913978496</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93.181818181818173</v>
      </c>
      <c r="E232">
        <v>94.300518134715034</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94.871794871794862</v>
      </c>
      <c r="E233">
        <v>96.36363636363636</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98.86363636363636</v>
      </c>
      <c r="E234">
        <v>98.783454987834546</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70.212765957446805</v>
      </c>
      <c r="D235">
        <v>81.83391003460207</v>
      </c>
      <c r="E235">
        <v>83.853006681514472</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98.026315789473685</v>
      </c>
      <c r="E236">
        <v>98.513011152416354</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65.384615384615387</v>
      </c>
      <c r="D237">
        <v>61.805555555555557</v>
      </c>
      <c r="E237">
        <v>68.925233644859816</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93.333333333333329</v>
      </c>
      <c r="D238">
        <v>94.366197183098592</v>
      </c>
      <c r="E238">
        <v>97.031963470319639</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89.473684210526315</v>
      </c>
      <c r="D239">
        <v>68.695652173913047</v>
      </c>
      <c r="E239">
        <v>75.226039783001809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90.954773869346738</v>
      </c>
      <c r="E240">
        <v>89.432989690721655</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78.94736842105263</v>
      </c>
      <c r="D241">
        <v>78.333333333333329</v>
      </c>
      <c r="E241">
        <v>95.528455284552848</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93.333333333333329</v>
      </c>
      <c r="D242">
        <v>91.967871485943775</v>
      </c>
      <c r="E242">
        <v>83.320811419984977</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81.818181818181827</v>
      </c>
      <c r="D243">
        <v>75</v>
      </c>
      <c r="E243">
        <v>85.504587155963307</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96.860986547085204</v>
      </c>
      <c r="E244">
        <v>96.732026143790847</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86.36363636363636</v>
      </c>
      <c r="D245">
        <v>79.424778761061944</v>
      </c>
      <c r="E245">
        <v>80.107526881720432</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84.848484848484844</v>
      </c>
      <c r="D246">
        <v>91.666666666666657</v>
      </c>
      <c r="E246">
        <v>91.611058150619641</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94.318181818181827</v>
      </c>
      <c r="E247">
        <v>94.20289855072464</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92.592592592592595</v>
      </c>
      <c r="D248">
        <v>91.269841269841265</v>
      </c>
      <c r="E248">
        <v>90.572390572390574</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86.785714285714292</v>
      </c>
      <c r="E249">
        <v>96.257197696737038</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75</v>
      </c>
      <c r="D250">
        <v>92.195121951219519</v>
      </c>
      <c r="E250">
        <v>95.330739299610897</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96.428571428571431</v>
      </c>
      <c r="D251">
        <v>93.377483443708613</v>
      </c>
      <c r="E251">
        <v>93.108728943338434</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91.83673469387756</v>
      </c>
      <c r="E252">
        <v>95.867768595041326</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70.833333333333343</v>
      </c>
      <c r="D254">
        <v>71.889400921658989</v>
      </c>
      <c r="E254">
        <v>86.39240506329115</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89.285714285714292</v>
      </c>
      <c r="D255">
        <v>53.873239436619713</v>
      </c>
      <c r="E255">
        <v>62.998405103668262</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94.797687861271669</v>
      </c>
      <c r="E256">
        <v>99.171842650103514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88.888888888888886</v>
      </c>
      <c r="D257">
        <v>72.727272727272734</v>
      </c>
      <c r="E257">
        <v>86.053412462908014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92.307692307692307</v>
      </c>
      <c r="D258">
        <v>89.776357827476033</v>
      </c>
      <c r="E258">
        <v>95.828877005347593</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60.526315789473685</v>
      </c>
      <c r="D259">
        <v>68.899521531100476</v>
      </c>
      <c r="E259">
        <v>81.425891181988746</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77.777777777777786</v>
      </c>
      <c r="D260">
        <v>64.59854014598541</v>
      </c>
      <c r="E260">
        <v>80.320000000000007</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80</v>
      </c>
      <c r="D261">
        <v>97.810218978102199</v>
      </c>
      <c r="E261">
        <v>98.169934640522868</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94.871794871794862</v>
      </c>
      <c r="D262">
        <v>98.876404494382015</v>
      </c>
      <c r="E262">
        <v>99.473684210526315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91.666666666666657</v>
      </c>
      <c r="D263">
        <v>88.38174273858921</v>
      </c>
      <c r="E263">
        <v>92.841880341880341</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95.833333333333343</v>
      </c>
      <c r="D264">
        <v>76.824034334763951</v>
      </c>
      <c r="E264">
        <v>83.579638752052546</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93.181818181818173</v>
      </c>
      <c r="D265">
        <v>92.857142857142861</v>
      </c>
      <c r="E265">
        <v>91.17647058823529</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97.61904761904762</v>
      </c>
      <c r="D266">
        <v>88.58560794044665</v>
      </c>
      <c r="E266">
        <v>89.776951672862452</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96.36363636363636</v>
      </c>
      <c r="D267">
        <v>78.205128205128204</v>
      </c>
      <c r="E267">
        <v>79.759036144578317</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96.978851963746223</v>
      </c>
      <c r="E268">
        <v>97.661365762394752</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76.08695652173914</v>
      </c>
      <c r="D269">
        <v>80.803571428571431</v>
      </c>
      <c r="E269">
        <v>85.853131749460047</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90.476190476190482</v>
      </c>
      <c r="D270">
        <v>85.375494071146235</v>
      </c>
      <c r="E270">
        <v>92.857142857142861</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87.037037037037038</v>
      </c>
      <c r="D271">
        <v>90.816326530612244</v>
      </c>
      <c r="E271">
        <v>89.426321709786265</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56.756756756756758</v>
      </c>
      <c r="D272">
        <v>54.24528301886793</v>
      </c>
      <c r="E272">
        <v>88.455772113943027</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85.714285714285708</v>
      </c>
      <c r="E273">
        <v>93.997734994337492</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97.058823529411768</v>
      </c>
      <c r="D274">
        <v>78.023133543638281</v>
      </c>
      <c r="E274">
        <v>78.198713366690498</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97.142857142857139</v>
      </c>
      <c r="D275">
        <v>81.87919463087249</v>
      </c>
      <c r="E275">
        <v>79.498861047835987</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91.891891891891902</v>
      </c>
      <c r="D276">
        <v>92.73504273504274</v>
      </c>
      <c r="E276">
        <v>93.721461187214615</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70</v>
      </c>
      <c r="D277">
        <v>91.095890410958901</v>
      </c>
      <c r="E277">
        <v>98.013245033112582</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94</v>
      </c>
      <c r="D278">
        <v>90.332326283987925</v>
      </c>
      <c r="E278">
        <v>95.335515548281506</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94.20289855072464</v>
      </c>
      <c r="D279">
        <v>85.8</v>
      </c>
      <c r="E279">
        <v>93.488372093023258</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96.296296296296291</v>
      </c>
      <c r="D280">
        <v>88.652482269503537</v>
      </c>
      <c r="E280">
        <v>96.165644171779135</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80.898876404494374</v>
      </c>
      <c r="D281">
        <v>77.777777777777786</v>
      </c>
      <c r="E281">
        <v>80.777096114519438</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84.73684210526315</v>
      </c>
      <c r="E282">
        <v>93.939393939393938</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54.54545454545454</v>
      </c>
      <c r="D283">
        <v>64.251207729468589</v>
      </c>
      <c r="E283">
        <v>79.559118236472955</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96.551724137931032</v>
      </c>
      <c r="D284">
        <v>96.864111498257842</v>
      </c>
      <c r="E284">
        <v>97.613882863340564</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64.761904761904759</v>
      </c>
      <c r="D285">
        <v>69.266770670826844</v>
      </c>
      <c r="E285">
        <v>69.602122015915128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83.333333333333343</v>
      </c>
      <c r="D286">
        <v>85.576923076923066</v>
      </c>
      <c r="E286">
        <v>89.494949494949495</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94.545454545454547</v>
      </c>
      <c r="D287">
        <v>86.879432624113477</v>
      </c>
      <c r="E287">
        <v>87.921022067363523</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85.714285714285708</v>
      </c>
      <c r="D288">
        <v>77.231907025884837</v>
      </c>
      <c r="E288">
        <v>71.771978021978029</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100</v>
      </c>
      <c r="D289">
        <v>91.489361702127653</v>
      </c>
      <c r="E289">
        <v>84.210526315789465</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91.428571428571431</v>
      </c>
      <c r="D290">
        <v>82.846715328467155</v>
      </c>
      <c r="E290">
        <v>93.500738552437227</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68.644067796610159</v>
      </c>
      <c r="D291">
        <v>78.784860557768923</v>
      </c>
      <c r="E291">
        <v>75.71875</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84.507042253521121</v>
      </c>
      <c r="E292">
        <v>92.742796157950906</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90.243902439024396</v>
      </c>
      <c r="D293">
        <v>70.989761092150175</v>
      </c>
      <c r="E293">
        <v>80.807311500380806</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80</v>
      </c>
      <c r="D294">
        <v>81</v>
      </c>
      <c r="E294">
        <v>80.078125</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88.617886178861795</v>
      </c>
      <c r="E295">
        <v>84.604904632152582</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98.268398268398272</v>
      </c>
      <c r="E296">
        <v>99.202551834130787</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93.939393939393938</v>
      </c>
      <c r="D297">
        <v>84.137931034482762</v>
      </c>
      <c r="E297">
        <v>80.169491525423737</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80</v>
      </c>
      <c r="D298">
        <v>86.206896551724128</v>
      </c>
      <c r="E298">
        <v>94.145199063231857</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75</v>
      </c>
      <c r="D299">
        <v>80.454545454545453</v>
      </c>
      <c r="E299">
        <v>87.85249457700651</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90</v>
      </c>
      <c r="D300">
        <v>80.691642651296831</v>
      </c>
      <c r="E300">
        <v>79.137691237830325</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93.103448275862064</v>
      </c>
      <c r="D301">
        <v>79.005524861878456</v>
      </c>
      <c r="E301">
        <v>82.608695652173907</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60</v>
      </c>
      <c r="D302">
        <v>71.337579617834393</v>
      </c>
      <c r="E302">
        <v>87.679083094555878</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92.307692307692307</v>
      </c>
      <c r="D303">
        <v>79.381443298969074</v>
      </c>
      <c r="E303">
        <v>87.5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3" sqref="K3"/>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SD20</v>
      </c>
      <c r="B173" s="22" t="str">
        <f>J173&amp;(COUNTIF(J$2:J173,J173))</f>
        <v>Hampshire9</v>
      </c>
      <c r="C173" t="s">
        <v>106</v>
      </c>
      <c r="D173" t="s">
        <v>106</v>
      </c>
      <c r="E173" s="25" t="s">
        <v>0</v>
      </c>
      <c r="F173" s="25" t="s">
        <v>379</v>
      </c>
      <c r="G173" s="25" t="s">
        <v>5</v>
      </c>
      <c r="H173" s="26" t="s">
        <v>892</v>
      </c>
      <c r="I173" s="27" t="s">
        <v>892</v>
      </c>
      <c r="J173" s="3" t="s">
        <v>313</v>
      </c>
      <c r="K173" t="s">
        <v>335</v>
      </c>
    </row>
    <row r="174" spans="1:11" ht="14.4">
      <c r="A174" s="22" t="str">
        <f>F174&amp;(COUNTIFS(F$2:F174,F174,K$2:K174,"Sparse"))</f>
        <v>SD20</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SD20</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SD21</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SD21</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SD21</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SD22</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SD23</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SD23</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SD23</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1" ht="14.4">
      <c r="A193" s="22" t="str">
        <f>F193&amp;(COUNTIFS(F$2:F193,F193,K$2:K193,"Sparse"))</f>
        <v>SD23</v>
      </c>
      <c r="B193" s="22" t="str">
        <f>J193&amp;(COUNTIF(J$2:J193,J193))</f>
        <v>Norfolk7</v>
      </c>
      <c r="C193" s="27" t="s">
        <v>117</v>
      </c>
      <c r="D193" s="27" t="s">
        <v>117</v>
      </c>
      <c r="E193" s="25" t="s">
        <v>368</v>
      </c>
      <c r="F193" s="25" t="s">
        <v>379</v>
      </c>
      <c r="G193" s="25" t="s">
        <v>5</v>
      </c>
      <c r="H193" s="27" t="s">
        <v>382</v>
      </c>
      <c r="I193" s="27" t="s">
        <v>382</v>
      </c>
      <c r="J193" t="s">
        <v>319</v>
      </c>
    </row>
    <row r="194" spans="1:11"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1" ht="14.4">
      <c r="A195" s="22" t="str">
        <f>F195&amp;(COUNTIFS(F$2:F195,F195,K$2:K195,"Sparse"))</f>
        <v>SC6</v>
      </c>
      <c r="B195" s="22" t="str">
        <f>J195&amp;(COUNTIF(J$2:J195,J195))</f>
        <v>Nottinghamshire7</v>
      </c>
      <c r="C195" s="27" t="s">
        <v>323</v>
      </c>
      <c r="D195" s="27" t="s">
        <v>323</v>
      </c>
      <c r="E195" s="25" t="s">
        <v>366</v>
      </c>
      <c r="F195" s="25" t="s">
        <v>387</v>
      </c>
      <c r="G195" s="25" t="s">
        <v>301</v>
      </c>
      <c r="H195" s="27" t="s">
        <v>892</v>
      </c>
      <c r="I195" s="27" t="s">
        <v>892</v>
      </c>
      <c r="J195" t="s">
        <v>323</v>
      </c>
      <c r="K195" t="s">
        <v>335</v>
      </c>
    </row>
    <row r="196" spans="1:11" ht="14.4">
      <c r="A196" s="22" t="str">
        <f>F196&amp;(COUNTIFS(F$2:F196,F196,K$2:K196,"Sparse"))</f>
        <v>SD23</v>
      </c>
      <c r="B196" s="22" t="str">
        <f>J196&amp;(COUNTIF(J$2:J196,J196))</f>
        <v>Warwickshire2</v>
      </c>
      <c r="C196" t="s">
        <v>346</v>
      </c>
      <c r="D196" t="s">
        <v>346</v>
      </c>
      <c r="E196" s="25" t="s">
        <v>367</v>
      </c>
      <c r="F196" s="25" t="s">
        <v>379</v>
      </c>
      <c r="G196" s="25" t="s">
        <v>5</v>
      </c>
      <c r="H196" s="26" t="s">
        <v>382</v>
      </c>
      <c r="I196" s="27" t="s">
        <v>382</v>
      </c>
      <c r="J196" s="3" t="s">
        <v>330</v>
      </c>
    </row>
    <row r="197" spans="1:11" ht="14.4">
      <c r="A197" s="22" t="str">
        <f>F197&amp;(COUNTIFS(F$2:F197,F197,K$2:K197,"Sparse"))</f>
        <v>SD23</v>
      </c>
      <c r="B197" s="22" t="str">
        <f>J197&amp;(COUNTIF(J$2:J197,J197))</f>
        <v>Leicestershire8</v>
      </c>
      <c r="C197" t="s">
        <v>347</v>
      </c>
      <c r="D197" t="s">
        <v>347</v>
      </c>
      <c r="E197" s="25" t="s">
        <v>366</v>
      </c>
      <c r="F197" s="25" t="s">
        <v>379</v>
      </c>
      <c r="G197" s="25" t="s">
        <v>5</v>
      </c>
      <c r="H197" s="26" t="s">
        <v>382</v>
      </c>
      <c r="I197" s="27" t="s">
        <v>382</v>
      </c>
      <c r="J197" t="s">
        <v>317</v>
      </c>
    </row>
    <row r="198" spans="1:11"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1" ht="14.4">
      <c r="A199" s="22" t="str">
        <f>F199&amp;(COUNTIFS(F$2:F199,F199,K$2:K199,"Sparse"))</f>
        <v>SD23</v>
      </c>
      <c r="B199" s="22" t="str">
        <f>J199&amp;(COUNTIF(J$2:J199,J199))</f>
        <v>Oxfordshire2</v>
      </c>
      <c r="C199" s="27" t="s">
        <v>118</v>
      </c>
      <c r="D199" s="27" t="s">
        <v>118</v>
      </c>
      <c r="E199" s="25" t="s">
        <v>0</v>
      </c>
      <c r="F199" s="25" t="s">
        <v>379</v>
      </c>
      <c r="G199" s="25" t="s">
        <v>5</v>
      </c>
      <c r="H199" s="27" t="s">
        <v>382</v>
      </c>
      <c r="I199" s="27" t="s">
        <v>382</v>
      </c>
      <c r="J199" t="s">
        <v>324</v>
      </c>
    </row>
    <row r="200" spans="1:11" ht="14.4">
      <c r="A200" s="22" t="str">
        <f>F200&amp;(COUNTIFS(F$2:F200,F200,K$2:K200,"Sparse"))</f>
        <v>SC6</v>
      </c>
      <c r="B200" s="22" t="str">
        <f>J200&amp;(COUNTIF(J$2:J200,J200))</f>
        <v>Oxfordshire3</v>
      </c>
      <c r="C200" t="s">
        <v>324</v>
      </c>
      <c r="D200" t="s">
        <v>324</v>
      </c>
      <c r="E200" s="25" t="s">
        <v>0</v>
      </c>
      <c r="F200" s="25" t="s">
        <v>387</v>
      </c>
      <c r="G200" s="25" t="s">
        <v>301</v>
      </c>
      <c r="H200" s="26" t="s">
        <v>380</v>
      </c>
      <c r="I200" s="27" t="s">
        <v>380</v>
      </c>
      <c r="J200" t="s">
        <v>324</v>
      </c>
    </row>
    <row r="201" spans="1:11" ht="14.4">
      <c r="A201" s="22" t="str">
        <f>F201&amp;(COUNTIFS(F$2:F201,F201,K$2:K201,"Sparse"))</f>
        <v>SD23</v>
      </c>
      <c r="B201" s="22" t="str">
        <f>J201&amp;(COUNTIF(J$2:J201,J201))</f>
        <v>Lancashire7</v>
      </c>
      <c r="C201" t="s">
        <v>119</v>
      </c>
      <c r="D201" t="s">
        <v>119</v>
      </c>
      <c r="E201" s="25" t="s">
        <v>374</v>
      </c>
      <c r="F201" s="25" t="s">
        <v>379</v>
      </c>
      <c r="G201" s="25" t="s">
        <v>5</v>
      </c>
      <c r="H201" s="26" t="s">
        <v>382</v>
      </c>
      <c r="I201" s="27" t="s">
        <v>382</v>
      </c>
      <c r="J201" t="s">
        <v>316</v>
      </c>
    </row>
    <row r="202" spans="1:11"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1"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1"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1" ht="14.4">
      <c r="A205" s="22" t="str">
        <f>F205&amp;(COUNTIFS(F$2:F205,F205,K$2:K205,"Sparse"))</f>
        <v>SD23</v>
      </c>
      <c r="B205" s="22" t="str">
        <f>J205&amp;(COUNTIF(J$2:J205,J205))</f>
        <v>Lancashire8</v>
      </c>
      <c r="C205" t="s">
        <v>120</v>
      </c>
      <c r="D205" t="s">
        <v>120</v>
      </c>
      <c r="E205" s="25" t="s">
        <v>374</v>
      </c>
      <c r="F205" s="25" t="s">
        <v>379</v>
      </c>
      <c r="G205" s="25" t="s">
        <v>5</v>
      </c>
      <c r="H205" s="26" t="s">
        <v>382</v>
      </c>
      <c r="I205" s="27" t="s">
        <v>382</v>
      </c>
      <c r="J205" t="s">
        <v>316</v>
      </c>
    </row>
    <row r="206" spans="1:11"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1"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1"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SD23</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SD23</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SD24</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SD24</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SD24</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SD25</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SD26</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SD26</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SD26</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SD26</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SD26</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SD27</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SD27</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SD28</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SD29</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SD30</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SD31</v>
      </c>
      <c r="B238" s="22" t="str">
        <f>J238&amp;(COUNTIF(J$2:J238,J238))</f>
        <v>Norfolk8</v>
      </c>
      <c r="C238" t="s">
        <v>144</v>
      </c>
      <c r="D238" t="s">
        <v>144</v>
      </c>
      <c r="E238" s="25" t="s">
        <v>368</v>
      </c>
      <c r="F238" s="25" t="s">
        <v>379</v>
      </c>
      <c r="G238" s="25" t="s">
        <v>5</v>
      </c>
      <c r="H238" s="26" t="s">
        <v>891</v>
      </c>
      <c r="I238" s="27" t="s">
        <v>380</v>
      </c>
      <c r="J238" s="3" t="s">
        <v>319</v>
      </c>
      <c r="K238" t="s">
        <v>335</v>
      </c>
    </row>
    <row r="239" spans="1:11" ht="14.4">
      <c r="A239" s="22" t="str">
        <f>F239&amp;(COUNTIFS(F$2:F239,F239,K$2:K239,"Sparse"))</f>
        <v>SD32</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SD32</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SD32</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SD32</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SD32</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SD33</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SC7</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SD33</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SD33</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SD34</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SD35</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SC8</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SC8</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SD35</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SD35</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SD35</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SD35</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SD36</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SD36</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SD36</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SD37</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SD37</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SD37</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SD37</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SD38</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SD38</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SD39</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SD40</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SD40</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SC8</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SD40</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SD40</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SD41</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SD41</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SD42</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SD42</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SD43</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SD44</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SD45</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SC8</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2023-09-19T13:18:40Z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