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923/"/>
    </mc:Choice>
  </mc:AlternateContent>
  <xr:revisionPtr revIDLastSave="44" documentId="8_{E3133A97-D103-4F47-B693-A8059354ACC8}" xr6:coauthVersionLast="47" xr6:coauthVersionMax="47" xr10:uidLastSave="{F9C4754E-7A7D-4775-B0AF-F62251DF6C6E}"/>
  <workbookProtection workbookAlgorithmName="SHA-512" workbookHashValue="WgCgimRmKmMFpZUp/UdaA8txFaehPUbKsHIyl6DtXbVqQLRzwrOQR/Pzaz45mZvVoag51gw8XDkkmEBF52TfBQ==" workbookSaltValue="VDE0yjF1ti6ktWb2DUyF2A==" workbookSpinCount="100000" lockStructure="1"/>
  <bookViews>
    <workbookView xWindow="28680" yWindow="-120" windowWidth="38640" windowHeight="2112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E69" i="16"/>
  <c r="H69" i="16"/>
  <c r="I69" i="16" s="1"/>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E216" i="16"/>
  <c r="H216" i="16"/>
  <c r="I216" i="16" s="1"/>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H157" i="16" s="1"/>
  <c r="AX296" i="16"/>
  <c r="F296" i="16" s="1"/>
  <c r="AX273" i="16"/>
  <c r="AX133" i="16"/>
  <c r="F133" i="16" s="1"/>
  <c r="AX307" i="16"/>
  <c r="F307" i="16" s="1"/>
  <c r="AX162" i="16"/>
  <c r="F162" i="16" s="1"/>
  <c r="AX84" i="16"/>
  <c r="AX265" i="16"/>
  <c r="F265" i="16" s="1"/>
  <c r="AX218" i="16"/>
  <c r="F218" i="16" s="1"/>
  <c r="AX250" i="16"/>
  <c r="F250" i="16" s="1"/>
  <c r="AX130" i="16"/>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AX143" i="16"/>
  <c r="H143" i="16" s="1"/>
  <c r="AX213" i="16"/>
  <c r="AX268" i="16"/>
  <c r="F268" i="16" s="1"/>
  <c r="AX97" i="16"/>
  <c r="F97" i="16" s="1"/>
  <c r="AX288" i="16"/>
  <c r="F288" i="16" s="1"/>
  <c r="AX159" i="16"/>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AX163" i="16"/>
  <c r="F163" i="16" s="1"/>
  <c r="AX129" i="16"/>
  <c r="H129" i="16" s="1"/>
  <c r="AX131" i="16"/>
  <c r="H131" i="16" s="1"/>
  <c r="AX190" i="16"/>
  <c r="AX260" i="16"/>
  <c r="H260" i="16" s="1"/>
  <c r="AX92" i="16"/>
  <c r="F92" i="16" s="1"/>
  <c r="AX278" i="16"/>
  <c r="AX149" i="16"/>
  <c r="F149" i="16" s="1"/>
  <c r="AX64" i="16"/>
  <c r="AX232" i="16"/>
  <c r="F232" i="16" s="1"/>
  <c r="AX298" i="16"/>
  <c r="F298" i="16" s="1"/>
  <c r="AX237" i="16"/>
  <c r="AX118" i="16"/>
  <c r="H118" i="16" s="1"/>
  <c r="AX304" i="16"/>
  <c r="AX137" i="16"/>
  <c r="H137" i="16" s="1"/>
  <c r="AX287" i="16"/>
  <c r="F287" i="16" s="1"/>
  <c r="AX151" i="16"/>
  <c r="AX264" i="16"/>
  <c r="AX148" i="16"/>
  <c r="F148" i="16" s="1"/>
  <c r="AX292" i="16"/>
  <c r="F292" i="16" s="1"/>
  <c r="AX124" i="16"/>
  <c r="F124" i="16" s="1"/>
  <c r="AX326" i="16"/>
  <c r="F326" i="16" s="1"/>
  <c r="AX160" i="16"/>
  <c r="F160" i="16" s="1"/>
  <c r="AX319" i="16"/>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AX269" i="16"/>
  <c r="F269" i="16" s="1"/>
  <c r="AX109" i="16"/>
  <c r="H109" i="16" s="1"/>
  <c r="AX303" i="16"/>
  <c r="H303" i="16" s="1"/>
  <c r="AX136" i="16"/>
  <c r="F136" i="16" s="1"/>
  <c r="AX263" i="16"/>
  <c r="AX103" i="16"/>
  <c r="F103" i="16" s="1"/>
  <c r="AX271" i="16"/>
  <c r="F271" i="16" s="1"/>
  <c r="AX222" i="16"/>
  <c r="F222" i="16" s="1"/>
  <c r="AX77" i="16"/>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AX193" i="16"/>
  <c r="AX249" i="16"/>
  <c r="F249" i="16" s="1"/>
  <c r="AX98" i="16"/>
  <c r="F98" i="16" s="1"/>
  <c r="AX289" i="16"/>
  <c r="F289" i="16" s="1"/>
  <c r="AX114" i="16"/>
  <c r="F114" i="16" s="1"/>
  <c r="AX241" i="16"/>
  <c r="F241" i="16" s="1"/>
  <c r="AX95" i="16"/>
  <c r="F95" i="16" s="1"/>
  <c r="AX253" i="16"/>
  <c r="AX217" i="16"/>
  <c r="AX67" i="16"/>
  <c r="F67" i="16" s="1"/>
  <c r="AX212" i="16"/>
  <c r="AX135" i="16"/>
  <c r="F135" i="16" s="1"/>
  <c r="AX121" i="16"/>
  <c r="F121" i="16" s="1"/>
  <c r="AX102" i="16"/>
  <c r="F102" i="16" s="1"/>
  <c r="AX100" i="16"/>
  <c r="F100" i="16" s="1"/>
  <c r="AX202" i="16"/>
  <c r="F202" i="16" s="1"/>
  <c r="AX284" i="16"/>
  <c r="AX257" i="16"/>
  <c r="F257" i="16" s="1"/>
  <c r="AX81" i="16"/>
  <c r="F81" i="16" s="1"/>
  <c r="AX226" i="16"/>
  <c r="F226" i="16" s="1"/>
  <c r="AX112" i="16"/>
  <c r="F112" i="16" s="1"/>
  <c r="AX231" i="16"/>
  <c r="AX127" i="16"/>
  <c r="F127" i="16" s="1"/>
  <c r="AX179" i="16"/>
  <c r="AX246" i="16"/>
  <c r="F246" i="16" s="1"/>
  <c r="AX68" i="16"/>
  <c r="H68" i="16" s="1"/>
  <c r="AX279" i="16"/>
  <c r="F279" i="16" s="1"/>
  <c r="AX111" i="16"/>
  <c r="F111" i="16" s="1"/>
  <c r="AX225" i="16"/>
  <c r="F225" i="16" s="1"/>
  <c r="AX75" i="16"/>
  <c r="F75" i="16" s="1"/>
  <c r="AX215" i="16"/>
  <c r="AX205" i="16"/>
  <c r="F205" i="16" s="1"/>
  <c r="AX198" i="16"/>
  <c r="F198" i="16" s="1"/>
  <c r="AX207" i="16"/>
  <c r="F207" i="16" s="1"/>
  <c r="AX128" i="16"/>
  <c r="F128" i="16" s="1"/>
  <c r="AX325" i="16"/>
  <c r="F325" i="16" s="1"/>
  <c r="AX94" i="16"/>
  <c r="AX302" i="16"/>
  <c r="H302" i="16" s="1"/>
  <c r="AX183" i="16"/>
  <c r="F183" i="16" s="1"/>
  <c r="AX166" i="16"/>
  <c r="F166" i="16" s="1"/>
  <c r="AX252" i="16"/>
  <c r="AX79" i="16"/>
  <c r="AX204" i="16"/>
  <c r="F204" i="16" s="1"/>
  <c r="AX104" i="16"/>
  <c r="F104" i="16" s="1"/>
  <c r="AX221" i="16"/>
  <c r="F221" i="16" s="1"/>
  <c r="AX101" i="16"/>
  <c r="F101" i="16" s="1"/>
  <c r="AX286" i="16"/>
  <c r="AX236" i="16"/>
  <c r="F236" i="16" s="1"/>
  <c r="AX155" i="16"/>
  <c r="F155" i="16" s="1"/>
  <c r="AX266" i="16"/>
  <c r="H266" i="16" s="1"/>
  <c r="AX106" i="16"/>
  <c r="F106" i="16" s="1"/>
  <c r="AX203" i="16"/>
  <c r="AX70" i="16"/>
  <c r="F70" i="16" s="1"/>
  <c r="AX181" i="16"/>
  <c r="F181" i="16" s="1"/>
  <c r="AX192" i="16"/>
  <c r="F192" i="16" s="1"/>
  <c r="AX291" i="16"/>
  <c r="H291" i="16" s="1"/>
  <c r="AX186" i="16"/>
  <c r="F186" i="16" s="1"/>
  <c r="AX123" i="16"/>
  <c r="F123" i="16" s="1"/>
  <c r="AX314" i="16"/>
  <c r="AX89" i="16"/>
  <c r="F89" i="16" s="1"/>
  <c r="AX297" i="16"/>
  <c r="AX180" i="16"/>
  <c r="AX138" i="16"/>
  <c r="F138" i="16" s="1"/>
  <c r="AX234" i="16"/>
  <c r="F234" i="16" s="1"/>
  <c r="AX66" i="16"/>
  <c r="F66" i="16" s="1"/>
  <c r="AX188" i="16"/>
  <c r="F188" i="16" s="1"/>
  <c r="AX71" i="16"/>
  <c r="AX216" i="16"/>
  <c r="F216" i="16" s="1"/>
  <c r="AX96" i="16"/>
  <c r="F96" i="16" s="1"/>
  <c r="AX276" i="16"/>
  <c r="F276" i="16" s="1"/>
  <c r="AX223" i="16"/>
  <c r="H223" i="16" s="1"/>
  <c r="AX117" i="16"/>
  <c r="F117" i="16" s="1"/>
  <c r="AX256" i="16"/>
  <c r="F256" i="16" s="1"/>
  <c r="AX90" i="16"/>
  <c r="H90" i="16" s="1"/>
  <c r="AX195" i="16"/>
  <c r="AX59" i="16"/>
  <c r="AX176" i="16"/>
  <c r="F176" i="16" s="1"/>
  <c r="AX189" i="16"/>
  <c r="H189" i="16" s="1"/>
  <c r="AX281" i="16"/>
  <c r="F281" i="16" s="1"/>
  <c r="AX178" i="16"/>
  <c r="F178" i="16" s="1"/>
  <c r="AX116" i="16"/>
  <c r="F116" i="16" s="1"/>
  <c r="AX309" i="16"/>
  <c r="H309" i="16" s="1"/>
  <c r="AX69" i="16"/>
  <c r="F69" i="16" s="1"/>
  <c r="AX275" i="16"/>
  <c r="F275" i="16" s="1"/>
  <c r="AX167" i="16"/>
  <c r="AX108" i="16"/>
  <c r="F108" i="16" s="1"/>
  <c r="AX229" i="16"/>
  <c r="F229" i="16" s="1"/>
  <c r="AX315" i="16"/>
  <c r="H315" i="16" s="1"/>
  <c r="AX185" i="16"/>
  <c r="F185" i="16" s="1"/>
  <c r="AX63" i="16"/>
  <c r="F63" i="16" s="1"/>
  <c r="AX211" i="16"/>
  <c r="AX93" i="16"/>
  <c r="H93" i="16" s="1"/>
  <c r="H182" i="16"/>
  <c r="F132" i="16"/>
  <c r="F141" i="16"/>
  <c r="F143" i="16"/>
  <c r="F137" i="16"/>
  <c r="AX243" i="16"/>
  <c r="AX206" i="16"/>
  <c r="F206" i="16" s="1"/>
  <c r="AX88" i="16"/>
  <c r="F88" i="16" s="1"/>
  <c r="AX233" i="16"/>
  <c r="F233" i="16" s="1"/>
  <c r="AX85" i="16"/>
  <c r="F85" i="16" s="1"/>
  <c r="AX184" i="16"/>
  <c r="F184" i="16" s="1"/>
  <c r="AX308" i="16"/>
  <c r="AX300" i="16"/>
  <c r="H300" i="16" s="1"/>
  <c r="AX154" i="16"/>
  <c r="F154" i="16" s="1"/>
  <c r="AX168" i="16"/>
  <c r="F168" i="16" s="1"/>
  <c r="AX173" i="16"/>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AX76" i="16"/>
  <c r="F76" i="16" s="1"/>
  <c r="H318" i="16"/>
  <c r="H62" i="16"/>
  <c r="F129" i="16"/>
  <c r="F200" i="16"/>
  <c r="AX238" i="16"/>
  <c r="AX201" i="16"/>
  <c r="AX83" i="16"/>
  <c r="F83" i="16" s="1"/>
  <c r="AX228" i="16"/>
  <c r="F228" i="16" s="1"/>
  <c r="AX80" i="16"/>
  <c r="F80" i="16" s="1"/>
  <c r="AX171" i="16"/>
  <c r="F171" i="16" s="1"/>
  <c r="AX301" i="16"/>
  <c r="F301" i="16" s="1"/>
  <c r="AX293" i="16"/>
  <c r="F293" i="16" s="1"/>
  <c r="AX152" i="16"/>
  <c r="F152" i="16" s="1"/>
  <c r="AX316" i="16"/>
  <c r="AX165" i="16"/>
  <c r="F165" i="16" s="1"/>
  <c r="AX105" i="16"/>
  <c r="F105" i="16" s="1"/>
  <c r="AX283" i="16"/>
  <c r="F283" i="16" s="1"/>
  <c r="AX261" i="16"/>
  <c r="F261" i="16" s="1"/>
  <c r="AX262" i="16"/>
  <c r="F262" i="16" s="1"/>
  <c r="AX142" i="16"/>
  <c r="H142" i="16" s="1"/>
  <c r="AX322" i="16"/>
  <c r="F322" i="16" s="1"/>
  <c r="AX199" i="16"/>
  <c r="F199" i="16" s="1"/>
  <c r="AX327" i="16"/>
  <c r="AX175" i="16"/>
  <c r="F175" i="16" s="1"/>
  <c r="AX299" i="16"/>
  <c r="F299" i="16" s="1"/>
  <c r="AX172" i="16"/>
  <c r="F172" i="16" s="1"/>
  <c r="AX60" i="16"/>
  <c r="F60" i="16" s="1"/>
  <c r="AX12" i="16"/>
  <c r="AX54" i="16"/>
  <c r="F54" i="16" s="1"/>
  <c r="AX19" i="16"/>
  <c r="F19" i="16" s="1"/>
  <c r="AX22" i="16"/>
  <c r="F22" i="16" s="1"/>
  <c r="AX28" i="16"/>
  <c r="F28" i="16" s="1"/>
  <c r="AX38" i="16"/>
  <c r="F38" i="16" s="1"/>
  <c r="AX39" i="16"/>
  <c r="F39" i="16" s="1"/>
  <c r="AX29" i="16"/>
  <c r="H29" i="16" s="1"/>
  <c r="AX31" i="16"/>
  <c r="AX26" i="16"/>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AX41" i="16"/>
  <c r="H41" i="16" s="1"/>
  <c r="AX35" i="16"/>
  <c r="AX51" i="16"/>
  <c r="F51" i="16" s="1"/>
  <c r="AX46" i="16"/>
  <c r="H46" i="16" s="1"/>
  <c r="AX25" i="16"/>
  <c r="AX27" i="16"/>
  <c r="F27" i="16" s="1"/>
  <c r="AX49" i="16"/>
  <c r="AX36" i="16"/>
  <c r="AX13" i="16"/>
  <c r="F13" i="16" s="1"/>
  <c r="AX42" i="16"/>
  <c r="H11" i="16"/>
  <c r="H8" i="16"/>
  <c r="D22" i="8"/>
  <c r="D21" i="8"/>
  <c r="X9" i="16"/>
  <c r="AI9" i="16"/>
  <c r="AP9" i="16"/>
  <c r="J10" i="8"/>
  <c r="F314" i="16" l="1"/>
  <c r="H314" i="16"/>
  <c r="F286" i="16"/>
  <c r="H286" i="16"/>
  <c r="F212" i="16"/>
  <c r="H212" i="16"/>
  <c r="F77" i="16"/>
  <c r="H77" i="16"/>
  <c r="F84" i="16"/>
  <c r="H84" i="16"/>
  <c r="F36" i="16"/>
  <c r="H36" i="16"/>
  <c r="F217" i="16"/>
  <c r="H217" i="16"/>
  <c r="F319" i="16"/>
  <c r="H319" i="16"/>
  <c r="F308" i="16"/>
  <c r="H308" i="16"/>
  <c r="F253" i="16"/>
  <c r="H253" i="16"/>
  <c r="F159" i="16"/>
  <c r="H159" i="16"/>
  <c r="F215" i="16"/>
  <c r="H215" i="16"/>
  <c r="F263" i="16"/>
  <c r="H263" i="16"/>
  <c r="F64" i="16"/>
  <c r="H64" i="16"/>
  <c r="F273" i="16"/>
  <c r="H273" i="16"/>
  <c r="F25" i="16"/>
  <c r="H25" i="16"/>
  <c r="F79" i="16"/>
  <c r="H79" i="16"/>
  <c r="F122" i="16"/>
  <c r="H122" i="16"/>
  <c r="F252" i="16"/>
  <c r="H252" i="16"/>
  <c r="F278" i="16"/>
  <c r="H278" i="16"/>
  <c r="F42" i="16"/>
  <c r="H42" i="16"/>
  <c r="F167" i="16"/>
  <c r="H167" i="16"/>
  <c r="F196" i="16"/>
  <c r="H196" i="16"/>
  <c r="F49" i="16"/>
  <c r="H49" i="16"/>
  <c r="F65" i="16"/>
  <c r="H65" i="16"/>
  <c r="F240" i="16"/>
  <c r="H240" i="16"/>
  <c r="F211" i="16"/>
  <c r="H211" i="16"/>
  <c r="F71" i="16"/>
  <c r="H71" i="16"/>
  <c r="F35" i="16"/>
  <c r="H35" i="16"/>
  <c r="F238" i="16"/>
  <c r="H238" i="16"/>
  <c r="F59" i="16"/>
  <c r="H59" i="16"/>
  <c r="F203" i="16"/>
  <c r="H203" i="16"/>
  <c r="F264" i="16"/>
  <c r="H264" i="16"/>
  <c r="F213" i="16"/>
  <c r="H213" i="16"/>
  <c r="F31" i="16"/>
  <c r="H31" i="16"/>
  <c r="F173" i="16"/>
  <c r="H173" i="16"/>
  <c r="F237" i="16"/>
  <c r="H237" i="16"/>
  <c r="F201" i="16"/>
  <c r="H201" i="16"/>
  <c r="F284" i="16"/>
  <c r="H284" i="16"/>
  <c r="F12" i="16"/>
  <c r="H12" i="16"/>
  <c r="F43" i="16"/>
  <c r="H43" i="16"/>
  <c r="F145" i="16"/>
  <c r="H145" i="16"/>
  <c r="F151" i="16"/>
  <c r="H151" i="16"/>
  <c r="F130" i="16"/>
  <c r="H130" i="16"/>
  <c r="F297" i="16"/>
  <c r="H297" i="16"/>
  <c r="F327" i="16"/>
  <c r="H327" i="16"/>
  <c r="F231" i="16"/>
  <c r="H231" i="16"/>
  <c r="F195" i="16"/>
  <c r="H195" i="16"/>
  <c r="F30" i="16"/>
  <c r="H30" i="16"/>
  <c r="F316" i="16"/>
  <c r="H316" i="16"/>
  <c r="F243" i="16"/>
  <c r="H243" i="16"/>
  <c r="F180" i="16"/>
  <c r="H180" i="16"/>
  <c r="F87" i="16"/>
  <c r="AG11" i="16" s="1"/>
  <c r="H87" i="16"/>
  <c r="F190" i="16"/>
  <c r="H190" i="16"/>
  <c r="F26" i="16"/>
  <c r="H26" i="16"/>
  <c r="F94" i="16"/>
  <c r="H94" i="16"/>
  <c r="F193" i="16"/>
  <c r="H193" i="16"/>
  <c r="F179" i="16"/>
  <c r="H179" i="16"/>
  <c r="F134" i="16"/>
  <c r="H134" i="16"/>
  <c r="F304" i="16"/>
  <c r="H304" i="16"/>
  <c r="H250" i="16"/>
  <c r="H272" i="16"/>
  <c r="F157" i="16"/>
  <c r="H161"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L35" i="8" l="1"/>
  <c r="I243" i="16"/>
  <c r="I36" i="16"/>
  <c r="I64" i="16"/>
  <c r="I94" i="16"/>
  <c r="I319" i="16"/>
  <c r="I193" i="16"/>
  <c r="I30" i="16"/>
  <c r="I286" i="16"/>
  <c r="I217" i="16"/>
  <c r="I297" i="16"/>
  <c r="I213" i="16"/>
  <c r="I49" i="16"/>
  <c r="I284" i="16"/>
  <c r="I159" i="16"/>
  <c r="I134" i="16"/>
  <c r="I79" i="16"/>
  <c r="I26" i="16"/>
  <c r="I87" i="16"/>
  <c r="I145" i="16"/>
  <c r="I180" i="16"/>
  <c r="I77" i="16"/>
  <c r="I43" i="16"/>
  <c r="I273" i="16"/>
  <c r="I304" i="16"/>
  <c r="I195" i="16"/>
  <c r="I231" i="16"/>
  <c r="I35" i="16"/>
  <c r="I59" i="16"/>
  <c r="I200" i="16"/>
  <c r="I308" i="16"/>
  <c r="I253" i="16"/>
  <c r="I25" i="16"/>
  <c r="I327" i="16"/>
  <c r="I237" i="16"/>
  <c r="I263" i="16"/>
  <c r="I71" i="16"/>
  <c r="I31" i="16"/>
  <c r="I190" i="16"/>
  <c r="I167" i="16"/>
  <c r="I201" i="16"/>
  <c r="I240" i="16"/>
  <c r="I12" i="16"/>
  <c r="I151" i="16"/>
  <c r="I65" i="16"/>
  <c r="I122" i="16"/>
  <c r="I264" i="16"/>
  <c r="I215" i="16"/>
  <c r="I314" i="16"/>
  <c r="I179" i="16"/>
  <c r="I130" i="16"/>
  <c r="I316" i="16"/>
  <c r="I212" i="16"/>
  <c r="I211" i="16"/>
  <c r="I84" i="16"/>
  <c r="I173" i="16"/>
  <c r="I203" i="16"/>
  <c r="I42" i="16"/>
  <c r="I196" i="16"/>
  <c r="I278" i="16"/>
  <c r="I252" i="16"/>
  <c r="I238"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AB12" i="16" s="1"/>
  <c r="AC12" i="16" s="1"/>
  <c r="M12" i="16"/>
  <c r="N12" i="16" s="1"/>
  <c r="X12" i="16"/>
  <c r="Y12" i="16" s="1"/>
  <c r="Z12" i="16" s="1"/>
  <c r="AI12" i="16"/>
  <c r="T12" i="16"/>
  <c r="U12" i="16" s="1"/>
  <c r="V12" i="16" s="1"/>
  <c r="K15" i="16"/>
  <c r="L14" i="16"/>
  <c r="S13" i="16"/>
  <c r="T13" i="16"/>
  <c r="AI13" i="16"/>
  <c r="X13" i="16"/>
  <c r="M13" i="16"/>
  <c r="N13" i="16" s="1"/>
  <c r="AA13" i="16"/>
  <c r="AP13" i="16"/>
  <c r="X11" i="16"/>
  <c r="E66" i="8"/>
  <c r="Y66" i="8" s="1"/>
  <c r="T11" i="16"/>
  <c r="AI11" i="16"/>
  <c r="S11" i="16"/>
  <c r="AP11" i="16"/>
  <c r="M11" i="16"/>
  <c r="U66" i="8" s="1"/>
  <c r="AJ12" i="16" l="1"/>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Y59" i="16" s="1"/>
  <c r="Z59" i="16" s="1"/>
  <c r="M59" i="16"/>
  <c r="N59" i="16" s="1"/>
  <c r="AP59" i="16"/>
  <c r="AQ59" i="16" s="1"/>
  <c r="AR59" i="16" s="1"/>
  <c r="AA59" i="16"/>
  <c r="Y57" i="16"/>
  <c r="AB57" i="16"/>
  <c r="AQ57" i="16"/>
  <c r="U57" i="16"/>
  <c r="AJ59" i="16" l="1"/>
  <c r="AB59" i="16"/>
  <c r="U59" i="16"/>
  <c r="L61" i="16"/>
  <c r="K62" i="16"/>
  <c r="M60" i="16"/>
  <c r="N60" i="16" s="1"/>
  <c r="AA60" i="16"/>
  <c r="AP60" i="16"/>
  <c r="S60" i="16"/>
  <c r="T60" i="16"/>
  <c r="U60" i="16" s="1"/>
  <c r="V60" i="16" s="1"/>
  <c r="AI60" i="16"/>
  <c r="X60" i="16"/>
  <c r="AJ60" i="16" l="1"/>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AQ69" i="16" s="1"/>
  <c r="AR69" i="16" s="1"/>
  <c r="S69" i="16"/>
  <c r="T69" i="16"/>
  <c r="AA69" i="16"/>
  <c r="AI69" i="16"/>
  <c r="X69" i="16"/>
  <c r="AJ69" i="16" l="1"/>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AK75" i="16" s="1"/>
  <c r="S75" i="16"/>
  <c r="X75" i="16"/>
  <c r="AA75" i="16"/>
  <c r="AP75" i="16"/>
  <c r="AQ75" i="16" s="1"/>
  <c r="AR75" i="16" s="1"/>
  <c r="AB75" i="16" l="1"/>
  <c r="Y75" i="16"/>
  <c r="U75" i="16"/>
  <c r="T76" i="16"/>
  <c r="AI76" i="16"/>
  <c r="AJ76" i="16" s="1"/>
  <c r="M76" i="16"/>
  <c r="N76" i="16" s="1"/>
  <c r="AA76" i="16"/>
  <c r="AP76" i="16"/>
  <c r="S76" i="16"/>
  <c r="X76" i="16"/>
  <c r="L77" i="16"/>
  <c r="K78" i="16"/>
  <c r="AK76" i="16" l="1"/>
  <c r="Y76" i="16"/>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Z15" i="16"/>
  <c r="AC15" i="16"/>
  <c r="V20" i="16"/>
  <c r="V22" i="16"/>
  <c r="Z16" i="16"/>
  <c r="Z18" i="16"/>
  <c r="Z19" i="16"/>
  <c r="AC16" i="16"/>
  <c r="AC19" i="16"/>
  <c r="AC18" i="16"/>
  <c r="V16" i="16"/>
  <c r="V18" i="16"/>
  <c r="V19" i="16"/>
  <c r="AR49" i="16"/>
  <c r="V14" i="16"/>
  <c r="V15" i="16"/>
  <c r="V30" i="16"/>
  <c r="AQ79" i="16" l="1"/>
  <c r="AK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I87" i="16"/>
  <c r="S87" i="16"/>
  <c r="T87" i="16"/>
  <c r="U86" i="16"/>
  <c r="AB86" i="16"/>
  <c r="Y86" i="16"/>
  <c r="AQ87" i="16" l="1"/>
  <c r="AJ87" i="16"/>
  <c r="AB87" i="16"/>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X122" i="16"/>
  <c r="AA122" i="16"/>
  <c r="K124" i="16"/>
  <c r="L123" i="16"/>
  <c r="Y122" i="16" l="1"/>
  <c r="AB122" i="16"/>
  <c r="U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A158" i="16"/>
  <c r="K160" i="16"/>
  <c r="L159" i="16"/>
  <c r="AQ158" i="16" l="1"/>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A162" i="16"/>
  <c r="M162" i="16"/>
  <c r="N162" i="16" s="1"/>
  <c r="T162" i="16"/>
  <c r="X162" i="16"/>
  <c r="S162" i="16"/>
  <c r="AI162" i="16"/>
  <c r="AJ162" i="16" s="1"/>
  <c r="AK162" i="16" s="1"/>
  <c r="L163" i="16"/>
  <c r="K164" i="16"/>
  <c r="AQ162" i="16" l="1"/>
  <c r="Y162" i="16"/>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N327" i="16"/>
  <c r="AP327" i="16"/>
  <c r="AQ327" i="16" s="1"/>
  <c r="AA327" i="16"/>
  <c r="AB327" i="16" s="1"/>
  <c r="AR50" i="16" l="1"/>
  <c r="AR43" i="16"/>
  <c r="AC23" i="16"/>
  <c r="AC17" i="16"/>
  <c r="Z21" i="16"/>
  <c r="Z17" i="16"/>
  <c r="Z23" i="16"/>
  <c r="AR64" i="16"/>
  <c r="AR47" i="16"/>
  <c r="V23" i="16"/>
  <c r="V43" i="16"/>
  <c r="V38" i="16"/>
  <c r="V51" i="16"/>
  <c r="AR68" i="16"/>
  <c r="AR20" i="16"/>
  <c r="AR40" i="16"/>
  <c r="AC21" i="16"/>
  <c r="AC20" i="16"/>
  <c r="AR41" i="16"/>
  <c r="AR45" i="16"/>
  <c r="V11" i="16"/>
  <c r="V21" i="16"/>
  <c r="V37" i="16"/>
  <c r="Z20" i="16"/>
  <c r="Z11" i="16"/>
  <c r="Z14" i="16"/>
  <c r="AK12" i="16"/>
  <c r="AK22" i="16"/>
  <c r="AK32" i="16"/>
  <c r="AK37" i="16"/>
  <c r="AK39" i="16"/>
  <c r="AK47" i="16"/>
  <c r="AK48" i="16"/>
  <c r="AK50" i="16"/>
  <c r="AK57" i="16"/>
  <c r="AK60" i="16"/>
  <c r="AK59" i="16"/>
  <c r="AK63" i="16"/>
  <c r="AK65" i="16"/>
  <c r="AK66" i="16"/>
  <c r="AK64" i="16"/>
  <c r="AK67" i="16"/>
  <c r="AK69" i="16"/>
  <c r="AK68" i="16"/>
  <c r="AK70" i="16"/>
  <c r="AK72" i="16"/>
  <c r="AK41" i="16"/>
  <c r="AK25" i="16"/>
  <c r="AK29" i="16"/>
  <c r="AK51" i="16"/>
  <c r="AK53" i="16"/>
  <c r="AK30" i="16"/>
  <c r="AK38" i="16"/>
  <c r="AK14" i="16"/>
  <c r="AK45" i="16"/>
  <c r="AK15" i="16"/>
  <c r="AK21" i="16"/>
  <c r="AK40" i="16"/>
  <c r="AK49" i="16"/>
  <c r="AK19" i="16"/>
  <c r="AK26" i="16"/>
  <c r="AK54" i="16"/>
  <c r="AK27" i="16"/>
  <c r="AK11" i="16"/>
  <c r="AK18" i="16"/>
  <c r="AK43" i="16"/>
  <c r="AK23" i="16"/>
  <c r="AK31" i="16"/>
  <c r="AK20" i="16"/>
  <c r="AK17" i="16"/>
  <c r="AK28" i="16"/>
  <c r="AC59" i="16"/>
  <c r="AC11" i="16"/>
  <c r="AR65" i="16"/>
  <c r="AR11" i="16"/>
  <c r="AR23" i="16"/>
  <c r="Z70" i="16"/>
  <c r="Z30" i="16"/>
  <c r="Z22" i="16"/>
  <c r="Z37" i="16"/>
  <c r="Z122" i="16"/>
  <c r="AR58" i="16"/>
  <c r="AR87" i="16"/>
  <c r="AR92" i="16"/>
  <c r="AR102" i="16"/>
  <c r="AR137" i="16"/>
  <c r="AR158" i="16"/>
  <c r="AR162" i="16"/>
  <c r="AK58" i="16"/>
  <c r="AK52" i="16"/>
  <c r="AK80" i="16"/>
  <c r="AK87" i="16"/>
  <c r="AC70" i="16"/>
  <c r="AC22" i="16"/>
  <c r="AC30" i="16"/>
  <c r="AC37" i="16"/>
  <c r="AC34" i="16"/>
  <c r="AC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L39" i="8" l="1"/>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Q38" i="8" s="1"/>
  <c r="K38" i="8" s="1"/>
  <c r="Z71" i="16"/>
  <c r="V39" i="16"/>
  <c r="V64" i="16"/>
  <c r="V63" i="16"/>
  <c r="V65" i="16"/>
  <c r="V76" i="16"/>
  <c r="AL12" i="16"/>
  <c r="AK33" i="16"/>
  <c r="Q39" i="8"/>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<sst xmlns="http://schemas.openxmlformats.org/spreadsheetml/2006/main" count="9476" uniqueCount="905">
  <si>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</si>
  <si>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</si>
  <si>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</si>
  <si>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</si>
  <si>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</si>
  <si>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</si>
  <si>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</si>
  <si>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</si>
  <si>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</si>
  <si>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</si>
  <si>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</si>
  <si>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</si>
  <si>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</si>
  <si>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</si>
  <si>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</si>
  <si>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</si>
  <si>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</si>
  <si>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</si>
  <si>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</si>
  <si>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</si>
  <si>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</si>
  <si>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</si>
  <si>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</si>
  <si>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</si>
  <si>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</si>
  <si>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</si>
  <si>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</si>
  <si>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</si>
  <si>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</si>
  <si>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</si>
  <si>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</si>
  <si>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</si>
  <si>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</si>
  <si>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</si>
  <si>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</si>
  <si>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</si>
  <si>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</si>
  <si>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</si>
  <si>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</si>
  <si>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</si>
  <si>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</si>
  <si>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</si>
  <si>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</si>
  <si>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</si>
  <si>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</si>
  <si>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</si>
  <si>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</si>
  <si>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</si>
  <si>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</si>
  <si>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</si>
  <si>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</si>
  <si>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</si>
  <si>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</si>
  <si>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</si>
  <si>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</si>
  <si>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</si>
  <si>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</si>
  <si>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</si>
  <si>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</si>
  <si>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</si>
  <si>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</si>
  <si>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</si>
  <si>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</si>
  <si>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</si>
  <si>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</si>
  <si>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</si>
  <si>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</si>
  <si>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</si>
  <si>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</si>
  <si>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</si>
  <si>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</si>
  <si>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</si>
  <si>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</si>
  <si>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</si>
  <si>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</si>
  <si>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</si>
  <si>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</si>
  <si>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</si>
  <si>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</si>
  <si>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</si>
  <si>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</si>
  <si>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</si>
  <si>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</si>
  <si>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</si>
  <si>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</si>
  <si>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</si>
  <si>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</si>
  <si>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</si>
  <si>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</si>
  <si>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</si>
  <si>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</si>
  <si>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</si>
  <si>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</si>
  <si>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</si>
  <si>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</si>
  <si>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</si>
  <si>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</si>
  <si>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</si>
  <si>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</si>
  <si>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</si>
  <si>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</si>
  <si>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</si>
  <si>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</si>
  <si>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</si>
  <si>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</si>
  <si>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</si>
  <si>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</si>
  <si>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</si>
  <si>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</si>
  <si>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</si>
  <si>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</si>
  <si>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</si>
  <si>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</si>
  <si>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</si>
  <si>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</si>
  <si>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</si>
  <si>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</si>
  <si>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</si>
  <si>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</si>
  <si>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</si>
  <si>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</si>
  <si>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</si>
  <si>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</si>
  <si>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</si>
  <si>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</si>
  <si>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</si>
  <si>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</si>
  <si>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</si>
  <si>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</si>
  <si>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</si>
  <si>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</si>
  <si>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</si>
  <si>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</si>
  <si>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</si>
  <si>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</si>
  <si>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</si>
  <si>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</si>
  <si>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</si>
  <si>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</si>
  <si>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</si>
  <si>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</si>
  <si>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</si>
  <si>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</si>
  <si>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</si>
  <si>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</si>
  <si>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</si>
  <si>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</si>
  <si>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</si>
  <si>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</si>
  <si>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</si>
  <si>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</si>
  <si>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</si>
  <si>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</si>
  <si>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</si>
  <si>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</si>
  <si>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</si>
  <si>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</si>
  <si>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</si>
  <si>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</si>
  <si>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</si>
  <si>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</si>
  <si>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</si>
  <si>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</si>
  <si>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</si>
  <si>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</si>
  <si>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</si>
  <si>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</si>
  <si>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</si>
  <si>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</si>
  <si>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</si>
  <si>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</si>
  <si>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</si>
  <si>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</si>
  <si>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</si>
  <si>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</si>
  <si>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</si>
  <si>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</si>
  <si>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</si>
  <si>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</si>
  <si>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</si>
  <si>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</si>
  <si>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</si>
  <si>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</si>
  <si>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</si>
  <si>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</si>
  <si>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</si>
  <si>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</si>
  <si>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</si>
  <si>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</si>
  <si>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</si>
  <si>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</si>
  <si>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</si>
  <si>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</si>
  <si>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</si>
  <si>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</si>
  <si>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</si>
  <si>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</si>
  <si>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</si>
  <si>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</si>
  <si>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</si>
  <si>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</si>
  <si>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</si>
  <si>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</si>
  <si>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</si>
  <si>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</si>
  <si>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</si>
  <si>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</si>
  <si>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</si>
  <si>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</si>
  <si>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</si>
  <si>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</si>
  <si>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</si>
  <si>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</si>
  <si>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</si>
  <si>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</si>
  <si>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</si>
  <si>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</si>
  <si>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</si>
  <si>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</si>
  <si>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</si>
  <si>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</si>
  <si>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</si>
  <si>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</si>
  <si>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</si>
  <si>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</si>
  <si>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</si>
  <si>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</si>
  <si>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</si>
  <si>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</si>
  <si>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</si>
  <si>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</si>
  <si>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</si>
  <si>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</si>
  <si>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</si>
  <si>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</si>
  <si>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</si>
  <si>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</si>
  <si>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</si>
  <si>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</si>
  <si>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</si>
  <si>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</si>
  <si>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</si>
  <si>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</si>
  <si>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</si>
  <si>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</si>
  <si>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</si>
  <si>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</si>
  <si>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</si>
  <si>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</si>
  <si>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</si>
  <si>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</si>
  <si>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</si>
  <si>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</si>
  <si>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</si>
  <si>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</si>
  <si>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</si>
  <si>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</si>
  <si>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</si>
  <si>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</si>
  <si>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</si>
  <si>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</si>
  <si>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</si>
  <si>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</si>
  <si>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</si>
  <si>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</si>
  <si>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</si>
  <si>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</si>
  <si>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</si>
  <si>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</si>
  <si>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</si>
  <si>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</si>
  <si>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</si>
  <si>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</si>
  <si>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</si>
  <si>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</si>
  <si>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</si>
  <si>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</si>
  <si>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</si>
  <si>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</si>
  <si>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</si>
  <si>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</si>
  <si>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</si>
  <si>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</si>
  <si>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</si>
  <si>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</si>
  <si>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</si>
  <si>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</si>
  <si>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</si>
  <si>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</si>
  <si>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</si>
  <si>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</si>
  <si>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</si>
  <si>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</si>
  <si>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</si>
  <si>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</si>
  <si>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</si>
  <si>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</si>
  <si>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</si>
  <si>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</si>
  <si>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</si>
  <si>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</si>
  <si>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</si>
  <si>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</si>
  <si>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</si>
  <si>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</si>
  <si>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</si>
  <si>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</si>
  <si>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</si>
  <si>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</si>
  <si>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</si>
  <si>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</si>
  <si>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</si>
  <si>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</si>
  <si>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</si>
  <si>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</si>
  <si>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</si>
  <si>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</si>
  <si>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</si>
  <si>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</si>
  <si>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</si>
  <si>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</si>
  <si>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</si>
  <si>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</si>
  <si>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</si>
  <si>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</si>
  <si>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</si>
  <si>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</si>
  <si>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</si>
  <si>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</si>
  <si>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</si>
  <si>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</si>
  <si>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</si>
  <si>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</si>
  <si>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</si>
  <si>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</si>
  <si>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</si>
  <si>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</si>
  <si>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</si>
  <si>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</si>
  <si>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</si>
  <si>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</si>
  <si>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</si>
  <si>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</si>
  <si>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</si>
  <si>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</si>
  <si>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</si>
  <si>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</si>
  <si>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</si>
  <si>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</si>
  <si>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</si>
  <si>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</si>
  <si>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</si>
  <si>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</si>
  <si>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</si>
  <si>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</si>
  <si>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</si>
  <si>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</si>
  <si>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</si>
  <si>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</si>
  <si>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</si>
  <si>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</si>
  <si>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</si>
  <si>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</si>
  <si>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</si>
  <si>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</si>
  <si>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</si>
  <si>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</si>
  <si>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</si>
  <si>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</si>
  <si>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</si>
  <si>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</si>
  <si>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</si>
  <si>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</si>
  <si>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</si>
  <si>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</si>
  <si>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</si>
  <si>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</si>
  <si>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</si>
  <si>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</si>
  <si>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</si>
  <si>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</si>
  <si>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</si>
  <si>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</si>
  <si>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</si>
  <si>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</si>
  <si>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</si>
  <si>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</si>
  <si>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</si>
  <si>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</si>
  <si>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</si>
  <si>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</si>
  <si>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</si>
  <si>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</si>
  <si>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</si>
  <si>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</si>
  <si>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</si>
  <si>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</si>
  <si>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</si>
  <si>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</si>
  <si>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</si>
  <si>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</si>
  <si>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</si>
  <si>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</si>
  <si>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</si>
  <si>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</si>
  <si>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</si>
  <si>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</si>
  <si>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</si>
  <si>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</si>
  <si>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</si>
  <si>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</si>
  <si>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</si>
  <si>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</si>
  <si>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</si>
  <si>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</si>
  <si>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</si>
  <si>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</si>
  <si>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</si>
  <si>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</si>
  <si>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</si>
  <si>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</si>
  <si>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</si>
  <si>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</si>
  <si>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</si>
  <si>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</si>
  <si>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</si>
  <si>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</si>
  <si>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</si>
  <si>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</si>
  <si>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</si>
  <si>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</si>
  <si>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</si>
  <si>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</si>
  <si>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</si>
  <si>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</si>
  <si>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</si>
  <si>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</si>
  <si>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</si>
  <si>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</si>
  <si>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</si>
  <si>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</si>
  <si>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</si>
  <si>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</si>
  <si>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</si>
  <si>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</si>
  <si>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</si>
  <si>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</si>
  <si>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</si>
  <si>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</si>
  <si>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</si>
  <si>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</si>
  <si>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</si>
  <si>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</si>
  <si>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</si>
  <si>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</si>
  <si>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</si>
  <si>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</si>
  <si>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</si>
  <si>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</si>
  <si>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</si>
  <si>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</si>
  <si>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</si>
  <si>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</si>
  <si>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</si>
  <si>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</si>
  <si>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</si>
  <si>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</si>
  <si>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</si>
  <si>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</si>
  <si>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</si>
  <si>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</si>
  <si>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</si>
  <si>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</si>
  <si>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</si>
  <si>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</si>
  <si>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</si>
  <si>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</si>
  <si>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</si>
  <si>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</si>
  <si>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</si>
  <si>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</si>
  <si>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</si>
  <si>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</si>
  <si>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</si>
  <si>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</si>
  <si>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</si>
  <si>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</si>
  <si>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</si>
  <si>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</si>
  <si>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</si>
  <si>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</si>
  <si>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</si>
  <si>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</si>
  <si>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</si>
  <si>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</si>
  <si>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</si>
  <si>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</si>
  <si>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</si>
  <si>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</si>
  <si>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</si>
  <si>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</si>
  <si>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</si>
  <si>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</si>
  <si>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</si>
  <si>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</si>
  <si>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</si>
  <si>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</si>
  <si>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</si>
  <si>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</si>
  <si>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</si>
  <si>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</si>
  <si>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</si>
  <si>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</si>
  <si>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</si>
  <si>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</si>
  <si>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</si>
  <si>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</si>
  <si>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</si>
  <si>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</si>
  <si>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</si>
  <si>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</si>
  <si>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</si>
  <si>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</si>
  <si>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</si>
  <si>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</si>
  <si>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</si>
  <si>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</si>
  <si>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</si>
  <si>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</si>
  <si>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</si>
  <si>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</si>
  <si>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</si>
  <si>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</si>
  <si>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</si>
  <si>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</si>
  <si>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</si>
  <si>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</si>
  <si>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</si>
  <si>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</si>
  <si>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</si>
  <si>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</si>
  <si>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</si>
  <si>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</si>
  <si>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</si>
  <si>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</si>
  <si>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</si>
  <si>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</si>
  <si>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</si>
  <si>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</si>
  <si>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</si>
  <si>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</si>
  <si>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</si>
  <si>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</si>
  <si>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</si>
  <si>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</si>
  <si>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</si>
  <si>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</si>
  <si>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</si>
  <si>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</si>
  <si>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</si>
  <si>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</si>
  <si>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</si>
  <si>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</si>
  <si>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</si>
  <si>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</si>
  <si>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</si>
  <si>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</si>
  <si>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</si>
  <si>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</si>
  <si>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</si>
  <si>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</si>
  <si>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</si>
  <si>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</si>
  <si>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</si>
  <si>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</si>
  <si>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</si>
  <si>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</si>
  <si>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</si>
  <si>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</si>
  <si>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</si>
  <si>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</si>
  <si>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</si>
  <si>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</si>
  <si>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</si>
  <si>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</si>
  <si>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</si>
  <si>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</si>
  <si>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</si>
  <si>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</si>
  <si>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</si>
  <si>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</si>
  <si>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</si>
  <si>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</si>
  <si>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</si>
  <si>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</si>
  <si>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</si>
  <si>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</si>
  <si>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</si>
  <si>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</si>
  <si>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</si>
  <si>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</si>
  <si>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</si>
  <si>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</si>
  <si>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</si>
  <si>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</si>
  <si>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</si>
  <si>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</si>
  <si>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</si>
  <si>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</si>
  <si>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</si>
  <si>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</si>
  <si>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</si>
  <si>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</si>
  <si>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</si>
  <si>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</si>
  <si>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</si>
  <si>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</si>
  <si>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</si>
  <si>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</si>
  <si>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</si>
  <si>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</si>
  <si>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</si>
  <si>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</si>
  <si>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</si>
  <si>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</si>
  <si>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</si>
  <si>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</si>
  <si>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</si>
  <si>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</si>
  <si>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</si>
  <si>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</si>
  <si>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</si>
  <si>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</si>
  <si>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</si>
  <si>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</si>
  <si>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</si>
  <si>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</si>
  <si>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</si>
  <si>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</si>
  <si>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</si>
  <si>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</si>
  <si>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</si>
  <si>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</si>
  <si>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</si>
  <si>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</si>
  <si>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</si>
  <si>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</si>
  <si>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</si>
  <si>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</si>
  <si>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</si>
  <si>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</si>
  <si>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</si>
  <si>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</si>
  <si>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</si>
  <si>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</si>
  <si>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</si>
  <si>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</si>
  <si>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</si>
  <si>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</si>
  <si>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</si>
  <si>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</si>
  <si>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</si>
  <si>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</si>
  <si>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</si>
  <si>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</si>
  <si>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</si>
  <si>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</si>
  <si>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</si>
  <si>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</si>
  <si>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</si>
  <si>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</si>
  <si>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</si>
  <si>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</si>
  <si>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</si>
  <si>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</si>
  <si>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</si>
  <si>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</si>
  <si>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</si>
  <si>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</si>
  <si>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</si>
  <si>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</si>
  <si>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</si>
  <si>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</si>
  <si>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</si>
  <si>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</si>
  <si>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</si>
  <si>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</si>
  <si>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</si>
  <si>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</si>
  <si>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</si>
  <si>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</si>
  <si>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</si>
  <si>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</si>
  <si>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</si>
  <si>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</si>
  <si>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</si>
  <si>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</si>
  <si>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</si>
  <si>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</si>
  <si>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</si>
  <si>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</si>
  <si>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</si>
  <si>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</si>
  <si>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</si>
  <si>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</si>
  <si>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</si>
  <si>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</si>
  <si>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</si>
  <si>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</si>
  <si>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</si>
  <si>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</si>
  <si>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</si>
  <si>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</si>
  <si>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</si>
  <si>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</si>
  <si>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</si>
  <si>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</si>
  <si>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</si>
  <si>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</si>
  <si>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</si>
  <si>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</si>
  <si>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</si>
  <si>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</si>
  <si>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</si>
  <si>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</si>
  <si>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</si>
  <si>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</si>
  <si>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</si>
  <si>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</si>
  <si>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</si>
  <si>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</si>
  <si>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</si>
  <si>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</si>
  <si>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</si>
  <si>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</si>
  <si>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</si>
  <si>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</si>
  <si>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</si>
  <si>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</si>
  <si>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</si>
  <si>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</si>
  <si>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</si>
  <si>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</si>
  <si>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</si>
  <si>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</si>
  <si>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</si>
  <si>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</si>
  <si>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</si>
  <si>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</si>
  <si>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</si>
  <si>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</si>
  <si>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</si>
  <si>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</si>
  <si>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</si>
  <si>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</si>
  <si>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</si>
  <si>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</si>
  <si>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</si>
  <si>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</si>
  <si>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</si>
  <si>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</si>
  <si>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</si>
  <si>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</si>
  <si>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</si>
  <si>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</si>
  <si>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</si>
  <si>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</si>
  <si>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</si>
  <si>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</si>
  <si>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</si>
  <si>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</si>
  <si>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</si>
  <si>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</si>
  <si>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</si>
  <si>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</si>
  <si>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</si>
  <si>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</si>
  <si>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</si>
  <si>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</si>
  <si>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</si>
  <si>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</si>
  <si>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</si>
  <si>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</si>
  <si>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</si>
  <si>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</si>
  <si>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</si>
  <si>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</si>
  <si>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</si>
  <si>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</si>
  <si>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</si>
  <si>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</si>
  <si>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</si>
  <si>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</si>
  <si>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</si>
  <si>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</si>
  <si>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</si>
  <si>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</si>
  <si>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</si>
  <si>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</si>
  <si>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</si>
  <si>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</si>
  <si>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</si>
  <si>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</si>
  <si>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</si>
  <si>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</si>
  <si>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</si>
  <si>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</si>
  <si>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</si>
  <si>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</si>
  <si>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</si>
  <si>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</si>
  <si>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</si>
  <si>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</si>
  <si>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</si>
  <si>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</si>
  <si>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</si>
  <si>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</si>
  <si>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</si>
  <si>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</si>
  <si>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</si>
  <si>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</si>
  <si>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</si>
  <si>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</si>
  <si>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</si>
  <si>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</si>
  <si>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</si>
  <si>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</si>
  <si>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</si>
  <si>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</si>
  <si>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</si>
  <si>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</si>
  <si>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</si>
  <si>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</si>
  <si>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</si>
  <si>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</si>
  <si>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</si>
  <si>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</si>
  <si>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</si>
  <si>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</si>
  <si>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</si>
  <si>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</si>
  <si>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</si>
  <si>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</si>
  <si>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</si>
  <si>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</si>
  <si>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</si>
  <si>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</si>
  <si>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</si>
  <si>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</si>
  <si>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</si>
  <si>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</si>
  <si>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</si>
  <si>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</si>
  <si>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</si>
  <si>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</si>
  <si>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</si>
  <si>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</si>
  <si>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</si>
  <si>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</si>
  <si>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</si>
  <si>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</si>
  <si>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</si>
  <si>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</si>
  <si>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</si>
  <si>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</si>
  <si>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</si>
  <si>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</si>
  <si>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</si>
  <si>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</si>
  <si>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</si>
  <si>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</si>
  <si>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</si>
  <si>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</si>
  <si>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</si>
  <si>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</si>
  <si>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</si>
  <si>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</si>
  <si>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</si>
  <si>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</si>
  <si>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</si>
  <si>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</si>
  <si>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</si>
  <si>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</si>
  <si>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</si>
  <si>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</si>
  <si>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</si>
  <si>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</si>
  <si>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</si>
  <si>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</si>
  <si>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</si>
  <si>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</si>
  <si>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</si>
  <si>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</si>
  <si>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</si>
  <si>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</si>
  <si>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</si>
  <si>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</si>
  <si>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</si>
  <si>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</si>
  <si>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</si>
  <si>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</si>
  <si>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</si>
  <si>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</si>
  <si>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</si>
  <si>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Year Ending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</si>
</sst>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8"/>
                <c:pt idx="17">
                  <c:v>u</c:v>
                </c:pt>
              </c:strCache>
            </c:strRef>
          </c:cat>
          <c:val>
            <c:numRef>
              <c:f>[0]!TopQuart</c:f>
              <c:numCache>
                <c:formatCode>General</c:formatCode>
                <c:ptCount val="62"/>
                <c:pt idx="0">
                  <c:v>100</c:v>
                </c:pt>
                <c:pt idx="1">
                  <c:v>100</c:v>
                </c:pt>
                <c:pt idx="2">
                  <c:v>100</c:v>
                </c:pt>
                <c:pt idx="3">
                  <c:v>100</c:v>
                </c:pt>
                <c:pt idx="4">
                  <c:v>100</c:v>
                </c:pt>
                <c:pt idx="5">
                  <c:v>100</c:v>
                </c:pt>
                <c:pt idx="6">
                  <c:v>100</c:v>
                </c:pt>
                <c:pt idx="7">
                  <c:v>100</c:v>
                </c:pt>
                <c:pt idx="8">
                  <c:v>100</c:v>
                </c:pt>
                <c:pt idx="9">
                  <c:v>97.872340425531917</c:v>
                </c:pt>
                <c:pt idx="10">
                  <c:v>97.872340425531917</c:v>
                </c:pt>
                <c:pt idx="11">
                  <c:v>97.435897435897431</c:v>
                </c:pt>
                <c:pt idx="12">
                  <c:v>97.142857142857139</c:v>
                </c:pt>
                <c:pt idx="13">
                  <c:v>96.666666666666671</c:v>
                </c:pt>
                <c:pt idx="14">
                  <c:v>96.644295302013433</c:v>
                </c:pt>
                <c:pt idx="15">
                  <c:v>96.428571428571431</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8"/>
                <c:pt idx="17">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96.15384615384616</c:v>
                </c:pt>
                <c:pt idx="17">
                  <c:v>96.078431372549019</c:v>
                </c:pt>
                <c:pt idx="18">
                  <c:v>95.833333333333343</c:v>
                </c:pt>
                <c:pt idx="19">
                  <c:v>95.238095238095227</c:v>
                </c:pt>
                <c:pt idx="20">
                  <c:v>95.238095238095227</c:v>
                </c:pt>
                <c:pt idx="21">
                  <c:v>95</c:v>
                </c:pt>
                <c:pt idx="22">
                  <c:v>94.871794871794862</c:v>
                </c:pt>
                <c:pt idx="23">
                  <c:v>94.594594594594597</c:v>
                </c:pt>
                <c:pt idx="24">
                  <c:v>94.545454545454547</c:v>
                </c:pt>
                <c:pt idx="25">
                  <c:v>94.20289855072464</c:v>
                </c:pt>
                <c:pt idx="26">
                  <c:v>93.548387096774192</c:v>
                </c:pt>
                <c:pt idx="27">
                  <c:v>93.181818181818173</c:v>
                </c:pt>
                <c:pt idx="28">
                  <c:v>92.307692307692307</c:v>
                </c:pt>
                <c:pt idx="29">
                  <c:v>91.489361702127653</c:v>
                </c:pt>
                <c:pt idx="30">
                  <c:v>91.17647058823529</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8"/>
                <c:pt idx="17">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91.111111111111114</c:v>
                </c:pt>
                <c:pt idx="32">
                  <c:v>90.740740740740748</c:v>
                </c:pt>
                <c:pt idx="33">
                  <c:v>90.243902439024396</c:v>
                </c:pt>
                <c:pt idx="34">
                  <c:v>90.196078431372555</c:v>
                </c:pt>
                <c:pt idx="35">
                  <c:v>89.743589743589752</c:v>
                </c:pt>
                <c:pt idx="36">
                  <c:v>89.65517241379311</c:v>
                </c:pt>
                <c:pt idx="37">
                  <c:v>88.888888888888886</c:v>
                </c:pt>
                <c:pt idx="38">
                  <c:v>88.461538461538453</c:v>
                </c:pt>
                <c:pt idx="39">
                  <c:v>87.931034482758619</c:v>
                </c:pt>
                <c:pt idx="40">
                  <c:v>87.41721854304636</c:v>
                </c:pt>
                <c:pt idx="41">
                  <c:v>86.274509803921575</c:v>
                </c:pt>
                <c:pt idx="42">
                  <c:v>85.714285714285708</c:v>
                </c:pt>
                <c:pt idx="43">
                  <c:v>84.693877551020407</c:v>
                </c:pt>
                <c:pt idx="44">
                  <c:v>84.615384615384613</c:v>
                </c:pt>
                <c:pt idx="45">
                  <c:v>84.375</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8"/>
                <c:pt idx="17">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83.333333333333343</c:v>
                </c:pt>
                <c:pt idx="47">
                  <c:v>82.242990654205599</c:v>
                </c:pt>
                <c:pt idx="48">
                  <c:v>81.818181818181827</c:v>
                </c:pt>
                <c:pt idx="49">
                  <c:v>81.818181818181827</c:v>
                </c:pt>
                <c:pt idx="50">
                  <c:v>81.632653061224488</c:v>
                </c:pt>
                <c:pt idx="51">
                  <c:v>80.898876404494374</c:v>
                </c:pt>
                <c:pt idx="52">
                  <c:v>80.838323353293418</c:v>
                </c:pt>
                <c:pt idx="53">
                  <c:v>80.645161290322577</c:v>
                </c:pt>
                <c:pt idx="54">
                  <c:v>80</c:v>
                </c:pt>
                <c:pt idx="55">
                  <c:v>79.545454545454547</c:v>
                </c:pt>
                <c:pt idx="56">
                  <c:v>78.84615384615384</c:v>
                </c:pt>
                <c:pt idx="57">
                  <c:v>77.51937984496125</c:v>
                </c:pt>
                <c:pt idx="58">
                  <c:v>68.644067796610159</c:v>
                </c:pt>
                <c:pt idx="59">
                  <c:v>64.761904761904759</c:v>
                </c:pt>
                <c:pt idx="60">
                  <c:v>60</c:v>
                </c:pt>
                <c:pt idx="61">
                  <c:v>50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8"/>
                <c:pt idx="17">
                  <c:v>u</c:v>
                </c:pt>
              </c:strCache>
            </c:strRef>
          </c:cat>
          <c:val>
            <c:numRef>
              <c:f>[0]!MarkData</c:f>
              <c:numCache>
                <c:formatCode>0.00</c:formatCode>
                <c:ptCount val="62"/>
                <c:pt idx="0">
                  <c:v>100</c:v>
                </c:pt>
                <c:pt idx="1">
                  <c:v>100</c:v>
                </c:pt>
                <c:pt idx="2">
                  <c:v>100</c:v>
                </c:pt>
                <c:pt idx="3">
                  <c:v>100</c:v>
                </c:pt>
                <c:pt idx="4">
                  <c:v>100</c:v>
                </c:pt>
                <c:pt idx="5">
                  <c:v>100</c:v>
                </c:pt>
                <c:pt idx="6">
                  <c:v>100</c:v>
                </c:pt>
                <c:pt idx="7">
                  <c:v>100</c:v>
                </c:pt>
                <c:pt idx="8">
                  <c:v>100</c:v>
                </c:pt>
                <c:pt idx="9">
                  <c:v>97.872340425531917</c:v>
                </c:pt>
                <c:pt idx="10">
                  <c:v>97.872340425531917</c:v>
                </c:pt>
                <c:pt idx="11">
                  <c:v>97.435897435897431</c:v>
                </c:pt>
                <c:pt idx="12">
                  <c:v>97.142857142857139</c:v>
                </c:pt>
                <c:pt idx="13">
                  <c:v>96.666666666666671</c:v>
                </c:pt>
                <c:pt idx="14">
                  <c:v>96.644295302013433</c:v>
                </c:pt>
                <c:pt idx="15">
                  <c:v>96.428571428571431</c:v>
                </c:pt>
                <c:pt idx="16">
                  <c:v>96.15384615384616</c:v>
                </c:pt>
                <c:pt idx="17">
                  <c:v>96.078431372549019</c:v>
                </c:pt>
                <c:pt idx="18">
                  <c:v>95.833333333333343</c:v>
                </c:pt>
                <c:pt idx="19">
                  <c:v>95.238095238095227</c:v>
                </c:pt>
                <c:pt idx="20">
                  <c:v>95.238095238095227</c:v>
                </c:pt>
                <c:pt idx="21">
                  <c:v>95</c:v>
                </c:pt>
                <c:pt idx="22">
                  <c:v>94.871794871794862</c:v>
                </c:pt>
                <c:pt idx="23">
                  <c:v>94.594594594594597</c:v>
                </c:pt>
                <c:pt idx="24">
                  <c:v>94.545454545454547</c:v>
                </c:pt>
                <c:pt idx="25">
                  <c:v>94.20289855072464</c:v>
                </c:pt>
                <c:pt idx="26">
                  <c:v>93.548387096774192</c:v>
                </c:pt>
                <c:pt idx="27">
                  <c:v>93.181818181818173</c:v>
                </c:pt>
                <c:pt idx="28">
                  <c:v>92.307692307692307</c:v>
                </c:pt>
                <c:pt idx="29">
                  <c:v>91.489361702127653</c:v>
                </c:pt>
                <c:pt idx="30">
                  <c:v>91.17647058823529</c:v>
                </c:pt>
                <c:pt idx="31">
                  <c:v>91.111111111111114</c:v>
                </c:pt>
                <c:pt idx="32">
                  <c:v>90.740740740740748</c:v>
                </c:pt>
                <c:pt idx="33">
                  <c:v>90.243902439024396</c:v>
                </c:pt>
                <c:pt idx="34">
                  <c:v>90.196078431372555</c:v>
                </c:pt>
                <c:pt idx="35">
                  <c:v>89.743589743589752</c:v>
                </c:pt>
                <c:pt idx="36">
                  <c:v>89.65517241379311</c:v>
                </c:pt>
                <c:pt idx="37">
                  <c:v>88.888888888888886</c:v>
                </c:pt>
                <c:pt idx="38">
                  <c:v>88.461538461538453</c:v>
                </c:pt>
                <c:pt idx="39">
                  <c:v>87.931034482758619</c:v>
                </c:pt>
                <c:pt idx="40">
                  <c:v>87.41721854304636</c:v>
                </c:pt>
                <c:pt idx="41">
                  <c:v>86.274509803921575</c:v>
                </c:pt>
                <c:pt idx="42">
                  <c:v>85.714285714285708</c:v>
                </c:pt>
                <c:pt idx="43">
                  <c:v>84.693877551020407</c:v>
                </c:pt>
                <c:pt idx="44">
                  <c:v>84.615384615384613</c:v>
                </c:pt>
                <c:pt idx="45">
                  <c:v>84.375</c:v>
                </c:pt>
                <c:pt idx="46">
                  <c:v>83.333333333333343</c:v>
                </c:pt>
                <c:pt idx="47">
                  <c:v>82.242990654205599</c:v>
                </c:pt>
                <c:pt idx="48">
                  <c:v>81.818181818181827</c:v>
                </c:pt>
                <c:pt idx="49">
                  <c:v>81.818181818181827</c:v>
                </c:pt>
                <c:pt idx="50">
                  <c:v>81.632653061224488</c:v>
                </c:pt>
                <c:pt idx="51">
                  <c:v>80.898876404494374</c:v>
                </c:pt>
                <c:pt idx="52">
                  <c:v>80.838323353293418</c:v>
                </c:pt>
                <c:pt idx="53">
                  <c:v>80.645161290322577</c:v>
                </c:pt>
                <c:pt idx="54">
                  <c:v>80</c:v>
                </c:pt>
                <c:pt idx="55">
                  <c:v>79.545454545454547</c:v>
                </c:pt>
                <c:pt idx="56">
                  <c:v>78.84615384615384</c:v>
                </c:pt>
                <c:pt idx="57">
                  <c:v>77.51937984496125</c:v>
                </c:pt>
                <c:pt idx="58">
                  <c:v>68.644067796610159</c:v>
                </c:pt>
                <c:pt idx="59">
                  <c:v>64.761904761904759</c:v>
                </c:pt>
                <c:pt idx="60">
                  <c:v>60</c:v>
                </c:pt>
                <c:pt idx="61">
                  <c:v>50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96.078431372549019</c:v>
                </c:pt>
                <c:pt idx="1">
                  <c:v>89.131132872112957</c:v>
                </c:pt>
                <c:pt idx="2">
                  <c:v>92.993473030237737</c:v>
                </c:pt>
                <c:pt idx="3">
                  <c:v>86.60663878062222</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96.359890109890117</c:v>
                </c:pt>
                <c:pt idx="1">
                  <c:v>96.359890109890117</c:v>
                </c:pt>
                <c:pt idx="2">
                  <c:v>96.359890109890117</c:v>
                </c:pt>
                <c:pt idx="3">
                  <c:v>96.359890109890117</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91.143790849673195</c:v>
                </c:pt>
                <c:pt idx="1">
                  <c:v>91.143790849673195</c:v>
                </c:pt>
                <c:pt idx="2">
                  <c:v>91.143790849673195</c:v>
                </c:pt>
                <c:pt idx="3">
                  <c:v>91.143790849673195</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83.59375</c:v>
                </c:pt>
                <c:pt idx="1">
                  <c:v>83.59375</c:v>
                </c:pt>
                <c:pt idx="2">
                  <c:v>83.59375</c:v>
                </c:pt>
                <c:pt idx="3">
                  <c:v>83.59375</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96.078431372549019</c:v>
                </c:pt>
                <c:pt idx="1">
                  <c:v>84.649402121041334</c:v>
                </c:pt>
                <c:pt idx="2">
                  <c:v>91.266171554711065</c:v>
                </c:pt>
                <c:pt idx="3">
                  <c:v>88.255184571434995</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96.359890109890117</c:v>
                </c:pt>
                <c:pt idx="1">
                  <c:v>96.359890109890117</c:v>
                </c:pt>
                <c:pt idx="2">
                  <c:v>96.359890109890117</c:v>
                </c:pt>
                <c:pt idx="3">
                  <c:v>96.359890109890117</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91.143790849673195</c:v>
                </c:pt>
                <c:pt idx="1">
                  <c:v>91.143790849673195</c:v>
                </c:pt>
                <c:pt idx="2">
                  <c:v>91.143790849673195</c:v>
                </c:pt>
                <c:pt idx="3">
                  <c:v>91.143790849673195</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83.59375</c:v>
                </c:pt>
                <c:pt idx="1">
                  <c:v>83.59375</c:v>
                </c:pt>
                <c:pt idx="2">
                  <c:v>83.59375</c:v>
                </c:pt>
                <c:pt idx="3">
                  <c:v>83.59375</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Unitary</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304</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901</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Unitary</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North West</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Rural Classification:</v>
      </c>
      <c r="C10" s="256"/>
      <c r="D10" s="256"/>
      <c r="E10" s="256"/>
      <c r="F10" s="256"/>
      <c r="G10" s="256"/>
      <c r="H10" s="256"/>
      <c r="I10" s="256"/>
      <c r="J10" s="245" t="str">
        <f>IF('Filtered Data'!D1="L","",IF('Filtered Data'!D1="MD",'Filtered Data'!I3,IF('Filtered Data'!D1="SD",'Filtered Data'!I3,'Filtered Data'!H3)))</f>
        <v>Urban with Significant Rural</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
      </c>
      <c r="C11" s="256"/>
      <c r="D11" s="256"/>
      <c r="E11" s="256"/>
      <c r="F11" s="256"/>
      <c r="G11" s="256"/>
      <c r="H11" s="256"/>
      <c r="I11" s="256"/>
      <c r="J11" s="3" t="str">
        <f>IF('Filtered Data'!D1="MD",'Filtered Data'!H3,IF('Filtered Data'!D1="SD",'Filtered Data'!H3,""))</f>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904</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Year Ending June 2023</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0.96359890109890112</v>
      </c>
      <c r="L32" s="281"/>
      <c r="M32" s="281"/>
      <c r="N32" s="291" t="s">
        <v>351</v>
      </c>
      <c r="O32" s="291"/>
      <c r="P32" s="291"/>
      <c r="Q32" s="291"/>
      <c r="R32" s="291"/>
      <c r="S32" s="291"/>
      <c r="T32" s="281">
        <f>IF('Filtered Data'!$H$8="..",'Filtered Data'!P10,'Filtered Data'!P10/100)</f>
        <v>0.9114379084967319</v>
      </c>
      <c r="U32" s="281"/>
      <c r="V32" s="281"/>
      <c r="W32" s="281"/>
      <c r="X32" s="279" t="s">
        <v>352</v>
      </c>
      <c r="Y32" s="279"/>
      <c r="Z32" s="279"/>
      <c r="AA32" s="279"/>
      <c r="AB32" s="279"/>
      <c r="AC32" s="281">
        <f>IF('Filtered Data'!$H$8="..",'Filtered Data'!Q10,'Filtered Data'!Q10/100)</f>
        <v>0.8359375</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0.96078431372549022</v>
      </c>
      <c r="M35" s="276"/>
      <c r="N35" s="276"/>
      <c r="O35" s="276"/>
      <c r="P35" s="92"/>
      <c r="Q35" s="276" t="s">
        <v>353</v>
      </c>
      <c r="R35" s="276"/>
      <c r="S35" s="276"/>
      <c r="T35" s="276"/>
      <c r="U35" s="276"/>
      <c r="V35" s="276"/>
      <c r="W35" s="276"/>
      <c r="AP35" s="56"/>
    </row>
    <row r="36" spans="2:16384" ht="12.75" customHeight="1">
      <c r="B36" s="275" t="str">
        <f>'Filtered Data'!R8&amp;" Quartile"</f>
        <v>Second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Unitaries</v>
      </c>
      <c r="C37" s="93"/>
      <c r="D37" s="93"/>
      <c r="E37" s="93"/>
      <c r="F37" s="93"/>
      <c r="G37" s="93"/>
      <c r="H37" s="93"/>
      <c r="I37" s="93"/>
      <c r="J37" s="315" t="s">
        <v>798</v>
      </c>
      <c r="K37" s="94" t="str">
        <f>IF(Q37="","",IF('Filtered Data'!I8="D",IF($L$35&gt;=L37,"J","L"),IF('Filtered Data'!I8="A",IF($L$35&lt;=L37,"J","L"))))</f>
        <v>J</v>
      </c>
      <c r="L37" s="290">
        <f>'Filtered Data'!M9</f>
        <v>0.89131132872112961</v>
      </c>
      <c r="M37" s="290"/>
      <c r="N37" s="290"/>
      <c r="O37" s="290"/>
      <c r="P37" s="95"/>
      <c r="Q37" s="289">
        <f>VLOOKUP(J5,'Filtered Data'!C:I,7,FALSE)</f>
        <v>18</v>
      </c>
      <c r="R37" s="289"/>
      <c r="S37" s="96"/>
      <c r="T37" s="97" t="s">
        <v>354</v>
      </c>
      <c r="U37" s="98"/>
      <c r="V37" s="289">
        <f>COUNT('Filtered Data'!I11:I333)</f>
        <v>62</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Rural</v>
      </c>
      <c r="C38" s="93"/>
      <c r="D38" s="93"/>
      <c r="E38" s="93"/>
      <c r="F38" s="93"/>
      <c r="G38" s="93"/>
      <c r="H38" s="93"/>
      <c r="I38" s="93"/>
      <c r="J38" s="316"/>
      <c r="K38" s="94" t="str">
        <f>IF(Q38="","",IF('Filtered Data'!I8="D",IF($L$35&gt;=L38,"J","L"),IF('Filtered Data'!I8="A",IF($L$35&lt;=L38,"J","L"))))</f>
        <v>J</v>
      </c>
      <c r="L38" s="290">
        <f>IF('Filtered Data'!D1="L",'Filtered Data'!AG9,'Filtered Data'!Y9)</f>
        <v>0.86606638780622225</v>
      </c>
      <c r="M38" s="290"/>
      <c r="N38" s="290"/>
      <c r="O38" s="290"/>
      <c r="P38" s="95"/>
      <c r="Q38" s="293">
        <f>IF(ISERROR(IF('Filtered Data'!D1="L",VLOOKUP(J5,'Filtered Data'!AF11:AH25,3,FALSE),VLOOKUP(J5,'Filtered Data'!$L$11:$Z$333,15,FALSE))),"",(IF('Filtered Data'!D1="L",VLOOKUP(J5,'Filtered Data'!AF11:AH25,3,FALSE),VLOOKUP(J5,'Filtered Data'!$L$11:$Z$333,15,FALSE))))</f>
        <v>6</v>
      </c>
      <c r="R38" s="293"/>
      <c r="S38" s="296" t="s">
        <v>354</v>
      </c>
      <c r="T38" s="290"/>
      <c r="U38" s="290"/>
      <c r="V38" s="289">
        <f>IF('Filtered Data'!D1="L",16,COUNT('Filtered Data'!Z:Z))</f>
        <v>23</v>
      </c>
      <c r="W38" s="28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316"/>
      <c r="K39" s="94" t="str">
        <f>IF(Q39="","",IF('Filtered Data'!I8="D",IF($L$35&gt;=L39,"J","L"),IF('Filtered Data'!I8="A",IF($L$35&lt;=L39,"J","L"))))</f>
        <v>J</v>
      </c>
      <c r="L39" s="290">
        <f>IF('Filtered Data'!D1="L","",IF('Filtered Data'!D1="SD",'Filtered Data'!AJ9,'Filtered Data'!AQ9))</f>
        <v>0.92993473030237739</v>
      </c>
      <c r="M39" s="290"/>
      <c r="N39" s="290"/>
      <c r="O39" s="290"/>
      <c r="P39" s="95"/>
      <c r="Q39" s="289">
        <f>IF(ISERROR(IF('Filtered Data'!D1="L","",IF('Filtered Data'!D1="SD",VLOOKUP(J5,'Filtered Data'!L:AK,26,FALSE),(VLOOKUP(J5,'Filtered Data'!L:AR,33,FALSE))))),"",(IF('Filtered Data'!D1="L","",IF('Filtered Data'!D1="SD",VLOOKUP(J5,'Filtered Data'!L:AK,26,FALSE),(VLOOKUP(J5,'Filtered Data'!L:AR,33,FALSE))))))</f>
        <v>4</v>
      </c>
      <c r="R39" s="289"/>
      <c r="S39" s="96"/>
      <c r="T39" s="98" t="str">
        <f>IF(B39="","","out of")</f>
        <v>out of</v>
      </c>
      <c r="U39" s="98"/>
      <c r="V39" s="289">
        <f>IF('Filtered Data'!D1="L","",IF('Filtered Data'!D1="SD",COUNT('Filtered Data'!AK11:AK333),(COUNT('Filtered Data'!AQ11:AQ333))))</f>
        <v>8</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Year Ending June 2023</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85">
        <f>IF('Filtered Data'!$H$8="..",L35,L35*100)</f>
        <v>96.078431372549019</v>
      </c>
      <c r="F48" s="285"/>
      <c r="G48" s="285"/>
      <c r="H48" s="285"/>
      <c r="K48" s="240">
        <f>IF('Filtered Data'!$H$8="..",K$32,K$32*100)</f>
        <v>96.359890109890117</v>
      </c>
      <c r="L48" s="240"/>
      <c r="M48" s="240">
        <f>IF('Filtered Data'!$H$8="..",T$32,T$32*100)</f>
        <v>91.143790849673195</v>
      </c>
      <c r="N48" s="240"/>
      <c r="O48" s="240">
        <f>IF('Filtered Data'!$H$8="..",AC$32,AC$32*100)</f>
        <v>83.59375</v>
      </c>
      <c r="P48" s="240"/>
      <c r="AM48" s="6"/>
      <c r="AP48" s="56"/>
    </row>
    <row r="49" spans="2:42">
      <c r="B49" s="5"/>
      <c r="D49" t="str">
        <f>B37</f>
        <v>Unitaries</v>
      </c>
      <c r="E49" s="285">
        <f>IF('Filtered Data'!$H$8="..",L37,L37*100)</f>
        <v>89.131132872112957</v>
      </c>
      <c r="F49" s="285"/>
      <c r="G49" s="285"/>
      <c r="H49" s="285"/>
      <c r="K49" s="240">
        <f>IF('Filtered Data'!$H$8="..",K$32,K$32*100)</f>
        <v>96.359890109890117</v>
      </c>
      <c r="L49" s="240"/>
      <c r="M49" s="240">
        <f>IF('Filtered Data'!$H$8="..",T$32,T$32*100)</f>
        <v>91.143790849673195</v>
      </c>
      <c r="N49" s="240"/>
      <c r="O49" s="240">
        <f>IF('Filtered Data'!$H$8="..",AC$32,AC$32*100)</f>
        <v>83.59375</v>
      </c>
      <c r="P49" s="240"/>
      <c r="AM49" s="6"/>
      <c r="AP49" s="56"/>
    </row>
    <row r="50" spans="2:42">
      <c r="B50" s="5"/>
      <c r="D50" s="64" t="str">
        <f>B39</f>
        <v>Regional</v>
      </c>
      <c r="E50" s="285">
        <f>IF('Filtered Data'!$H$8="..",L39,L39*100)</f>
        <v>92.993473030237737</v>
      </c>
      <c r="F50" s="285"/>
      <c r="G50" s="285"/>
      <c r="H50" s="285"/>
      <c r="K50" s="240">
        <f>IF('Filtered Data'!$H$8="..",K$32,K$32*100)</f>
        <v>96.359890109890117</v>
      </c>
      <c r="L50" s="240"/>
      <c r="M50" s="240">
        <f>IF('Filtered Data'!$H$8="..",T$32,T$32*100)</f>
        <v>91.143790849673195</v>
      </c>
      <c r="N50" s="240"/>
      <c r="O50" s="240">
        <f>IF('Filtered Data'!$H$8="..",AC$32,AC$32*100)</f>
        <v>83.59375</v>
      </c>
      <c r="P50" s="240"/>
      <c r="AM50" s="6"/>
      <c r="AP50" s="56"/>
    </row>
    <row r="51" spans="2:42">
      <c r="B51" s="5"/>
      <c r="D51" s="228" t="str">
        <f>B38</f>
        <v>Rural</v>
      </c>
      <c r="E51" s="285">
        <f>IF('Filtered Data'!$H$8="..",L38,L38*100)</f>
        <v>86.60663878062222</v>
      </c>
      <c r="F51" s="285"/>
      <c r="G51" s="285"/>
      <c r="H51" s="285"/>
      <c r="K51" s="240">
        <f>IF('Filtered Data'!$H$8="..",K$32,K$32*100)</f>
        <v>96.359890109890117</v>
      </c>
      <c r="L51" s="240"/>
      <c r="M51" s="240">
        <f>IF('Filtered Data'!$H$8="..",T$32,T$32*100)</f>
        <v>91.143790849673195</v>
      </c>
      <c r="N51" s="240"/>
      <c r="O51" s="240">
        <f>IF('Filtered Data'!$H$8="..",AC$32,AC$32*100)</f>
        <v>83.59375</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Year Ending June 2023</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Westmorland &amp; Furness</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S</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Blackburn with Darwen</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Hartlepool</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Redcar &amp; Cleveland</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Southampton</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Southend-on-Sea</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Stoke-on-Trent</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Telford &amp; Wrekin</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Wokingham</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North Northamptonshire</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0.97872340425531912</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Nottingham</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0.97872340425531912</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North East Lincolnshire</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0.97435897435897434</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Warrington</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0.97142857142857142</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Bath &amp; North East Somerset</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0.96666666666666667</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East Riding of Yorkshire</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0.96644295302013428</v>
      </c>
      <c r="V80" s="242"/>
      <c r="W80" s="242"/>
      <c r="X80" s="242"/>
      <c r="Y80" s="132" t="str">
        <f>IF((VLOOKUP(E80,classifications!C:K,9,FALSE))="Sparse","S","")</f>
        <v>S</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Swindon</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0.9642857142857143</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Milton Keynes</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0.96153846153846156</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Cheshire East</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0.96078431372549022</v>
      </c>
      <c r="V83" s="242"/>
      <c r="W83" s="242"/>
      <c r="X83" s="242"/>
      <c r="Y83" s="132" t="str">
        <f>IF((VLOOKUP(E83,classifications!C:K,9,FALSE))="Sparse","S","")</f>
        <v>S</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Torbay</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0.95833333333333348</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Reading</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0.95238095238095222</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Westmorland &amp; Furness</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S</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Blackburn with Darwen</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42"/>
      <c r="W93" s="242"/>
      <c r="X93" s="242"/>
      <c r="Y93" s="133" t="str">
        <f>IF(E93="","",IF((VLOOKUP(E93,classifications!C:K,9,FALSE))="Sparse","S",""))</f>
        <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Warrington</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0.97142857142857142</v>
      </c>
      <c r="V94" s="242"/>
      <c r="W94" s="242"/>
      <c r="X94" s="242"/>
      <c r="Y94" s="133" t="str">
        <f>IF(E94="","",IF((VLOOKUP(E94,classifications!C:K,9,FALSE))="Sparse","S",""))</f>
        <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Cheshire East</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0.96078431372549022</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Blackpool</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0.95</v>
      </c>
      <c r="V96" s="242"/>
      <c r="W96" s="242"/>
      <c r="X96" s="242"/>
      <c r="Y96" s="133" t="str">
        <f>IF(E96="","",IF((VLOOKUP(E96,classifications!C:K,9,FALSE))="Sparse","S",""))</f>
        <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f>IF('Filtered Data'!$D$1="MD","",IF('Filtered Data'!$D$1="SC","",IF('Filtered Data'!$D$1="UA",'Filtered Data'!AS16,'Filtered Data'!AL16)))</f>
        <v>6</v>
      </c>
      <c r="C97" s="252"/>
      <c r="D97" s="252"/>
      <c r="E97" s="244" t="str">
        <f>IF(B97="","",IF('Filtered Data'!$D$1="UA",VLOOKUP(B97,'Filtered Data'!AS:AU,2,FALSE),VLOOKUP(B97,'Filtered Data'!AL:AN,2,FALSE)))</f>
        <v>Cheshire West &amp; Chester</v>
      </c>
      <c r="F97" s="244"/>
      <c r="G97" s="244"/>
      <c r="H97" s="244"/>
      <c r="I97" s="244"/>
      <c r="J97" s="244"/>
      <c r="K97" s="244"/>
      <c r="L97" s="244"/>
      <c r="M97" s="244"/>
      <c r="N97" s="244"/>
      <c r="O97" s="244"/>
      <c r="P97" s="244"/>
      <c r="Q97" s="244"/>
      <c r="R97" s="244"/>
      <c r="S97" s="244"/>
      <c r="T97" s="244"/>
      <c r="U97" s="242">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0.91111111111111109</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f>IF('Filtered Data'!$D$1="MD","",IF('Filtered Data'!$D$1="SC","",IF('Filtered Data'!$D$1="UA",'Filtered Data'!AS17,'Filtered Data'!AL17)))</f>
        <v>7</v>
      </c>
      <c r="C98" s="252"/>
      <c r="D98" s="252"/>
      <c r="E98" s="244" t="str">
        <f>IF(B98="","",IF('Filtered Data'!$D$1="UA",VLOOKUP(B98,'Filtered Data'!AS:AU,2,FALSE),VLOOKUP(B98,'Filtered Data'!AL:AN,2,FALSE)))</f>
        <v>Cumberland</v>
      </c>
      <c r="F98" s="244"/>
      <c r="G98" s="244"/>
      <c r="H98" s="244"/>
      <c r="I98" s="244"/>
      <c r="J98" s="244"/>
      <c r="K98" s="244"/>
      <c r="L98" s="244"/>
      <c r="M98" s="244"/>
      <c r="N98" s="244"/>
      <c r="O98" s="244"/>
      <c r="P98" s="244"/>
      <c r="Q98" s="244"/>
      <c r="R98" s="244"/>
      <c r="S98" s="244"/>
      <c r="T98" s="244"/>
      <c r="U98" s="242">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0.84615384615384615</v>
      </c>
      <c r="V98" s="242"/>
      <c r="W98" s="242"/>
      <c r="X98" s="242"/>
      <c r="Y98" s="133" t="str">
        <f>IF(E98="","",IF((VLOOKUP(E98,classifications!C:K,9,FALSE))="Sparse","S",""))</f>
        <v>S</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f>IF('Filtered Data'!$D$1="MD","",IF('Filtered Data'!$D$1="SC","",IF('Filtered Data'!$D$1="UA",'Filtered Data'!AS18,'Filtered Data'!AL18)))</f>
        <v>8</v>
      </c>
      <c r="C99" s="252"/>
      <c r="D99" s="252"/>
      <c r="E99" s="244" t="str">
        <f>IF(B99="","",IF('Filtered Data'!$D$1="UA",VLOOKUP(B99,'Filtered Data'!AS:AU,2,FALSE),VLOOKUP(B99,'Filtered Data'!AL:AN,2,FALSE)))</f>
        <v>Halton</v>
      </c>
      <c r="F99" s="244"/>
      <c r="G99" s="244"/>
      <c r="H99" s="244"/>
      <c r="I99" s="244"/>
      <c r="J99" s="244"/>
      <c r="K99" s="244"/>
      <c r="L99" s="244"/>
      <c r="M99" s="244"/>
      <c r="N99" s="244"/>
      <c r="O99" s="244"/>
      <c r="P99" s="244"/>
      <c r="Q99" s="244"/>
      <c r="R99" s="244"/>
      <c r="S99" s="244"/>
      <c r="T99" s="244"/>
      <c r="U99" s="242">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0.8</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0.92993473030237739</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Year Ending June 2023</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39">
        <f>IF('Filtered Data'!H8="..",L35,L35*100)</f>
        <v>96.078431372549019</v>
      </c>
      <c r="H118" s="239"/>
      <c r="I118" s="239"/>
      <c r="J118" s="239"/>
      <c r="K118" s="239"/>
      <c r="M118" s="240">
        <f>K$48</f>
        <v>96.359890109890117</v>
      </c>
      <c r="N118" s="240"/>
      <c r="O118" s="240">
        <f>M$48</f>
        <v>91.143790849673195</v>
      </c>
      <c r="P118" s="240"/>
      <c r="Q118" s="240">
        <f>O$48</f>
        <v>83.59375</v>
      </c>
      <c r="R118" s="240"/>
      <c r="AN118" s="6"/>
    </row>
    <row r="119" spans="2:40" ht="12" customHeight="1">
      <c r="B119" s="5"/>
      <c r="F119" t="s">
        <v>380</v>
      </c>
      <c r="G119" s="239">
        <f>IF('Filtered Data'!H8="%%",(AVERAGEIF('Filtered Data'!AA$10:AA$333,$F119,'Filtered Data'!M$10:M$333))*100,(AVERAGEIF('Filtered Data'!AA$10:AA$333,$F119,'Filtered Data'!M$10:M$333)))</f>
        <v>84.649402121041334</v>
      </c>
      <c r="H119" s="239"/>
      <c r="I119" s="239"/>
      <c r="J119" s="239"/>
      <c r="K119" s="239"/>
      <c r="M119" s="240">
        <f>K$48</f>
        <v>96.359890109890117</v>
      </c>
      <c r="N119" s="240"/>
      <c r="O119" s="240">
        <f>M$48</f>
        <v>91.143790849673195</v>
      </c>
      <c r="P119" s="240"/>
      <c r="Q119" s="240">
        <f>O$48</f>
        <v>83.59375</v>
      </c>
      <c r="R119" s="240"/>
      <c r="AN119" s="6"/>
    </row>
    <row r="120" spans="2:40" ht="12" customHeight="1">
      <c r="B120" s="5"/>
      <c r="F120" t="s">
        <v>382</v>
      </c>
      <c r="G120" s="239">
        <f>IF('Filtered Data'!H8="%%",(AVERAGEIF('Filtered Data'!AA$10:AA$333,$F120,'Filtered Data'!M$10:M$333))*100,(AVERAGEIF('Filtered Data'!AA$10:AA$333,$F120,'Filtered Data'!M$10:M$333)))</f>
        <v>91.266171554711065</v>
      </c>
      <c r="H120" s="239"/>
      <c r="I120" s="239"/>
      <c r="J120" s="239"/>
      <c r="K120" s="239"/>
      <c r="M120" s="240">
        <f>K$48</f>
        <v>96.359890109890117</v>
      </c>
      <c r="N120" s="240"/>
      <c r="O120" s="240">
        <f>M$48</f>
        <v>91.143790849673195</v>
      </c>
      <c r="P120" s="240"/>
      <c r="Q120" s="240">
        <f>O$48</f>
        <v>83.59375</v>
      </c>
      <c r="R120" s="240"/>
      <c r="AN120" s="6"/>
    </row>
    <row r="121" spans="2:40" ht="12" customHeight="1">
      <c r="B121" s="5"/>
      <c r="F121" t="s">
        <v>892</v>
      </c>
      <c r="G121" s="239">
        <f>IF('Filtered Data'!H8="%%",(AVERAGEIF('Filtered Data'!AA$10:AA$333,$F121,'Filtered Data'!M$10:M$333))*100,(AVERAGEIF('Filtered Data'!AA$10:AA$333,$F121,'Filtered Data'!M$10:M$333)))</f>
        <v>88.255184571434995</v>
      </c>
      <c r="H121" s="239"/>
      <c r="I121" s="239"/>
      <c r="J121" s="239"/>
      <c r="K121" s="239"/>
      <c r="M121" s="240">
        <f>K$48</f>
        <v>96.359890109890117</v>
      </c>
      <c r="N121" s="240"/>
      <c r="O121" s="240">
        <f>M$48</f>
        <v>91.143790849673195</v>
      </c>
      <c r="P121" s="240"/>
      <c r="Q121" s="240">
        <f>O$48</f>
        <v>83.59375</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9BoclIZv4iNhljZZEoZ4/n2zd/8Op8CF1E/qVXj3FmUL6ZdLz73Nbj8X+fbRPOOu09G7QEH7WZzCaqPurrCMmQ==" saltValue="6tqIwdnZ9gqHWVwva4qjTw=="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 sqref="D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Year Ending June 2023</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50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Cheshire East</v>
      </c>
      <c r="Q8" s="102">
        <f>VLOOKUP(D3,L11:N333,3,FALSE)</f>
        <v>96.078431372549019</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0.89131132872112961</v>
      </c>
      <c r="N9" s="81"/>
      <c r="O9" s="84" t="s">
        <v>340</v>
      </c>
      <c r="P9" s="84" t="s">
        <v>351</v>
      </c>
      <c r="Q9" s="84" t="s">
        <v>352</v>
      </c>
      <c r="R9" s="86" t="s">
        <v>399</v>
      </c>
      <c r="S9" s="36"/>
      <c r="T9" s="168" t="s">
        <v>819</v>
      </c>
      <c r="U9" s="169">
        <f>IF($H$8="%.",(AVERAGE(U11:U333))/100,(AVERAGE(U11:U333)))</f>
        <v>0.84599085710048327</v>
      </c>
      <c r="V9" s="170"/>
      <c r="W9" s="170"/>
      <c r="X9" s="79" t="str">
        <f>"Lower Level Ranking for Authorites in "&amp;H3&amp;" &amp; are a "&amp;F3</f>
        <v>Lower Level Ranking for Authorites in Urban with Significant Rural &amp; are a UA</v>
      </c>
      <c r="Y9" s="81">
        <f>IF($H$8="%.",(AVERAGE(Y11:Y333))/100,(AVERAGE(Y11:Y333)))</f>
        <v>0.86606638780622225</v>
      </c>
      <c r="Z9" s="80"/>
      <c r="AA9" s="175" t="s">
        <v>378</v>
      </c>
      <c r="AB9" s="169">
        <f>IF($H$8="%.",(AVERAGE(AB11:AB333))/100,(AVERAGE(AB11:AB333)))</f>
        <v>0.88255184571434997</v>
      </c>
      <c r="AC9" s="176"/>
      <c r="AD9" s="176"/>
      <c r="AE9" s="37" t="s">
        <v>408</v>
      </c>
      <c r="AG9" s="81">
        <f>IF($H$8="%.",(AVERAGE(AG11:AG333))/100,(AVERAGE(AG11:AG333)))</f>
        <v>0.91126780891115045</v>
      </c>
      <c r="AI9" s="79" t="str">
        <f>"County Ranking &amp; Top Authorites in "&amp;I3&amp;" &amp; are a "&amp;F3</f>
        <v>County Ranking &amp; Top Authorites in Unitary &amp; are a UA</v>
      </c>
      <c r="AJ9" s="81">
        <f>IF($H$8="%.",(AVERAGE(AJ11:AJ333))/100,(AVERAGE(AJ11:AJ333)))</f>
        <v>0.89131132872112961</v>
      </c>
      <c r="AK9" s="80"/>
      <c r="AL9" s="44"/>
      <c r="AM9"/>
      <c r="AN9"/>
      <c r="AP9" s="79" t="str">
        <f>"Regional Ranking in for "&amp;F3</f>
        <v>Regional Ranking in for UA</v>
      </c>
      <c r="AQ9" s="81">
        <f>IF($H$8="%.",(AVERAGE(AQ11:AQ333))/100,(AVERAGE(AQ11:AQ333)))</f>
        <v>0.92993473030237739</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96.359890109890117</v>
      </c>
      <c r="P10" s="88">
        <f>QUARTILE(N:N,2)</f>
        <v>91.143790849673195</v>
      </c>
      <c r="Q10" s="88">
        <f>IF(I8="A",QUARTILE(N:N,3),QUARTILE(N:N,1))</f>
        <v>83.59375</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Year Ending June 2023</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93.75</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Westmorland &amp; Furness</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t="str">
        <f>IF(L11="","",VLOOKUP(L11,classifications!C:K,9,FALSE))</f>
        <v>Sparse</v>
      </c>
      <c r="U11" s="167">
        <f>IF(T11="Sparse",M11,"")</f>
        <v>100</v>
      </c>
      <c r="V11" s="173">
        <f>IF(U11="","",IF($I$8="A",(RANK(U11,U$11:U$333)+COUNTIF(U$11:U11,U11)-1),(RANK(U11,U$11:U$333,1)+COUNTIF(U$11:U11,U11)-1)))</f>
        <v>15</v>
      </c>
      <c r="W11" s="174"/>
      <c r="X11" s="5" t="str">
        <f>IF(L11="","",VLOOKUP($L11,classifications!$C:$J,6,FALSE))</f>
        <v xml:space="preserve">Predominantly Rural </v>
      </c>
      <c r="Y11">
        <f t="shared" ref="Y11:Y12" si="4">IF($D$1="UA",IF(X11="Predominantly Rural ",M11,IF(X11="Predominantly Rural ",M11,IF(X11="Urban with Significant Rural",M11,""))),IF($D$1="SD",IF(X11=$H$3,M11,"")))</f>
        <v>100</v>
      </c>
      <c r="Z11" s="39">
        <f>IF(Y11="","",IF(I$8="A",(RANK(Y11,Y$11:Y$333,1)+COUNTIF(Y$11:Y11,Y11)-1),(RANK(Y11,Y$11:Y$333)+COUNTIF(Y$11:Y11,Y11)-1)))</f>
        <v>1</v>
      </c>
      <c r="AA11" s="177" t="str">
        <f>IF(L11="","",VLOOKUP($L11,classifications!C:I,7,FALSE))</f>
        <v>Predominantly Rural</v>
      </c>
      <c r="AB11" s="173" t="str">
        <f>IF(AA11=$J$3,M11,"")</f>
        <v/>
      </c>
      <c r="AC11" s="173" t="str">
        <f>IF(AB11="","",IF($I$8="A",(RANK(AB11,AB$11:AB$333)+COUNTIF(AB$11:AB11,AB11)-1),(RANK(AB11,AB$11:AB$333,1)+COUNTIF(AB$11:AB11,AB11)-1)))</f>
        <v/>
      </c>
      <c r="AD11" s="173"/>
      <c r="AE11" s="45">
        <f>IF(I$8="A",(RANK(AG11,AG$11:AG$333,1)+COUNTIF(AG$11:AG11,AG11)-1),(RANK(AG11,AG$11:AG$333)+COUNTIF(AG$11:AG11,AG11)-1))</f>
        <v>1</v>
      </c>
      <c r="AF11" s="43" t="str">
        <f>'Filtered Data'!D3</f>
        <v>Cheshire East</v>
      </c>
      <c r="AG11" s="99">
        <f>VLOOKUP(Profile!$J$5,$C$11:$H$333,4,FALSE)</f>
        <v>96.078431372549019</v>
      </c>
      <c r="AH11" s="46">
        <f>AE11</f>
        <v>1</v>
      </c>
      <c r="AI11" s="5" t="str">
        <f>IF(L11="","",VLOOKUP($L11,classifications!$C:$J,8,FALSE))</f>
        <v>Unitary</v>
      </c>
      <c r="AJ11" s="42">
        <f t="shared" ref="AJ11:AJ12" si="5">IF(AI11=$I$3,M11,"")</f>
        <v>100</v>
      </c>
      <c r="AK11" s="39">
        <f>IF(AJ11="","",IF(I$8="A",(RANK(AJ11,AJ$11:AJ$333,1)+COUNTIF(AJ$11:AJ11,AJ11)-1),(RANK(AJ11,AJ$11:AJ$333)+COUNTIF(AJ$11:AJ11,AJ11)-1)))</f>
        <v>1</v>
      </c>
      <c r="AL11" s="39">
        <v>1</v>
      </c>
      <c r="AM11" t="str">
        <f t="shared" ref="AM11:AM74" si="6">IF(ISNA(IF(AL11="","",INDEX(L$11:L$333,MATCH(AL11,AK$11:AK$333,0)))),"",(IF(AL11="","",INDEX(L$11:L$333,MATCH(AL11,AK$11:AK$333,0)))))</f>
        <v>Westmorland &amp; Furness</v>
      </c>
      <c r="AN11">
        <f t="shared" ref="AN11:AN74" si="7">(VLOOKUP(AM11,L:M,2,FALSE))</f>
        <v>100</v>
      </c>
      <c r="AP11" s="5" t="str">
        <f>IF(L11="","",VLOOKUP($L11,classifications!$C:$E,3,FALSE))</f>
        <v>North West</v>
      </c>
      <c r="AQ11" s="42">
        <f>IF(AP11=$G$3,$M11,"")</f>
        <v>100</v>
      </c>
      <c r="AR11" s="39">
        <f>IF(AQ11="","",IF(I$8="A",(RANK(AQ11,AQ$11:AQ$333,1)+COUNTIF(AQ$11:AQ11,AQ11)-1),(RANK(AQ11,AQ$11:AQ$333)+COUNTIF(AQ$11:AQ11,AQ11)-1)))</f>
        <v>1</v>
      </c>
      <c r="AS11" s="39">
        <v>1</v>
      </c>
      <c r="AT11" s="39" t="str">
        <f t="shared" ref="AT11:AT74" si="8">IF(AS11="","",INDEX(L$11:L$333,MATCH(AS11,AR$11:AR$333,0)))</f>
        <v>Westmorland &amp; Furness</v>
      </c>
      <c r="AU11" s="42">
        <f t="shared" ref="AU11:AU74" si="9">IF(AT11="","",VLOOKUP(AT11,L:M,2,FALSE))</f>
        <v>100</v>
      </c>
      <c r="AX11">
        <f>HLOOKUP($AX$9&amp;$AX$10,Data!$A$1:$ZT$1975,(MATCH($C11,Data!$A$1:$A$1975,0)),FALSE)</f>
        <v>93.75</v>
      </c>
    </row>
    <row r="12" spans="1:735">
      <c r="A12" s="55" t="str">
        <f>$D$1&amp;2</f>
        <v>UA2</v>
      </c>
      <c r="B12" s="56" t="str">
        <f>IF(ISERROR(VLOOKUP(A12,classifications!A:C,3,FALSE)),0,VLOOKUP(A12,classifications!A:C,3,FALSE))</f>
        <v>Cornwall</v>
      </c>
      <c r="C12" t="s">
        <v>899</v>
      </c>
      <c r="D12" t="str">
        <f>VLOOKUP($C12,classifications!$C:$J,4,FALSE)</f>
        <v>UA</v>
      </c>
      <c r="E12" t="str">
        <f>VLOOKUP(C12,classifications!C:K,9,FALSE)</f>
        <v>Sparse</v>
      </c>
      <c r="F12">
        <f t="shared" si="0"/>
        <v>84.615384615384613</v>
      </c>
      <c r="G12" s="15"/>
      <c r="H12" s="41">
        <f t="shared" si="1"/>
        <v>84.615384615384613</v>
      </c>
      <c r="I12" s="73">
        <f>IF(H12="","",IF($I$8="A",(RANK(H12,H$11:H$333,1)+COUNTIF(H$11:H12,H12)-1),(RANK(H12,H$11:H$333)+COUNTIF(H$11:H12,H12)-1)))</f>
        <v>45</v>
      </c>
      <c r="J12" s="40"/>
      <c r="K12" s="35">
        <f t="shared" ref="K12:K75" si="10">IF(K11="","",IF(K11+1&gt;(COUNT(H$11:H$333)),"",K11+1))</f>
        <v>2</v>
      </c>
      <c r="L12" t="str">
        <f t="shared" si="2"/>
        <v>Blackburn with Darwen</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f>IF(I$8="A",(RANK(AG12,AG$11:AG$333,1)+COUNTIF(AG$11:AG12,AG12)-1),(RANK(AG12,AG$11:AG$333)+COUNTIF(AG$11:AG12,AG12)-1))</f>
        <v>2</v>
      </c>
      <c r="AF12" t="str">
        <f>VLOOKUP(Profile!$J$5,Families!$C:$R,2,FALSE)</f>
        <v>Cheshire West &amp; Chester</v>
      </c>
      <c r="AG12" s="15">
        <f t="shared" ref="AG12:AG75" si="15">VLOOKUP(AF12,$C$11:$H$333,4,FALSE)</f>
        <v>91.111111111111114</v>
      </c>
      <c r="AH12" s="46">
        <f>AE12</f>
        <v>2</v>
      </c>
      <c r="AI12" s="5" t="str">
        <f>IF(L12="","",VLOOKUP($L12,classifications!$C:$J,8,FALSE))</f>
        <v>Unitary</v>
      </c>
      <c r="AJ12" s="42">
        <f t="shared" si="5"/>
        <v>100</v>
      </c>
      <c r="AK12" s="39">
        <f>IF(AJ12="","",IF(I$8="A",(RANK(AJ12,AJ$11:AJ$333,1)+COUNTIF(AJ$11:AJ12,AJ12)-1),(RANK(AJ12,AJ$11:AJ$333)+COUNTIF(AJ$11:AJ12,AJ12)-1)))</f>
        <v>2</v>
      </c>
      <c r="AL12" s="3">
        <f t="shared" ref="AL12:AL75" si="16">IF(AL11="","",IF(AL11+1&gt;(COUNT(AJ$11:AJ$333)),"",AL11+1))</f>
        <v>2</v>
      </c>
      <c r="AM12" t="str">
        <f t="shared" si="6"/>
        <v>Blackburn with Darwen</v>
      </c>
      <c r="AN12">
        <f t="shared" si="7"/>
        <v>100</v>
      </c>
      <c r="AP12" s="5" t="str">
        <f>IF(L12="","",VLOOKUP($L12,classifications!$C:$E,3,FALSE))</f>
        <v>North West</v>
      </c>
      <c r="AQ12" s="42">
        <f t="shared" ref="AQ12" si="17">IF(AP12=$G$3,$M12,"")</f>
        <v>100</v>
      </c>
      <c r="AR12" s="39">
        <f>IF(AQ12="","",IF(I$8="A",(RANK(AQ12,AQ$11:AQ$333,1)+COUNTIF(AQ$11:AQ12,AQ12)-1),(RANK(AQ12,AQ$11:AQ$333)+COUNTIF(AQ$11:AQ12,AQ12)-1)))</f>
        <v>2</v>
      </c>
      <c r="AS12" s="3">
        <f t="shared" ref="AS12:AS75" si="18">IF(AS11="","",IF(AS11+1&gt;(COUNT(AQ$11:AQ$333)),"",AS11+1))</f>
        <v>2</v>
      </c>
      <c r="AT12" s="39" t="str">
        <f t="shared" si="8"/>
        <v>Blackburn with Darwen</v>
      </c>
      <c r="AU12" s="42">
        <f t="shared" si="9"/>
        <v>100</v>
      </c>
      <c r="AX12">
        <f>HLOOKUP($AX$9&amp;$AX$10,Data!$A$1:$ZT$1975,(MATCH($C12,Data!$A$1:$A$1975,0)),FALSE)</f>
        <v>84.615384615384613</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100</v>
      </c>
      <c r="G13" s="15"/>
      <c r="H13" s="41" t="str">
        <f t="shared" si="1"/>
        <v/>
      </c>
      <c r="I13" s="73" t="str">
        <f>IF(H13="","",IF($I$8="A",(RANK(H13,H$11:H$333,1)+COUNTIF(H$11:H13,H13)-1),(RANK(H13,H$11:H$333)+COUNTIF(H$11:H13,H13)-1)))</f>
        <v/>
      </c>
      <c r="J13" s="40"/>
      <c r="K13" s="35">
        <f t="shared" si="10"/>
        <v>3</v>
      </c>
      <c r="L13" t="str">
        <f t="shared" si="2"/>
        <v>Hartlepool</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3</v>
      </c>
      <c r="AF13" t="str">
        <f>VLOOKUP(Profile!$J$5,Families!$C:$R,2,FALSE)</f>
        <v>Cheshire West &amp; Chester</v>
      </c>
      <c r="AG13" s="15">
        <f t="shared" si="15"/>
        <v>91.111111111111114</v>
      </c>
      <c r="AH13" s="46">
        <f t="shared" ref="AH13:AH57" si="28">AE13</f>
        <v>3</v>
      </c>
      <c r="AI13" s="5" t="str">
        <f>IF(L13="","",VLOOKUP($L13,classifications!$C:$J,8,FALSE))</f>
        <v>Unitary</v>
      </c>
      <c r="AJ13" s="42">
        <f t="shared" ref="AJ13:AJ57" si="29">IF(AI13=$I$3,M13,"")</f>
        <v>100</v>
      </c>
      <c r="AK13" s="39">
        <f>IF(AJ13="","",IF(I$8="A",(RANK(AJ13,AJ$11:AJ$333,1)+COUNTIF(AJ$11:AJ13,AJ13)-1),(RANK(AJ13,AJ$11:AJ$333)+COUNTIF(AJ$11:AJ13,AJ13)-1)))</f>
        <v>3</v>
      </c>
      <c r="AL13" s="3">
        <f t="shared" si="16"/>
        <v>3</v>
      </c>
      <c r="AM13" t="str">
        <f t="shared" si="6"/>
        <v>Hartlepool</v>
      </c>
      <c r="AN13">
        <f t="shared" si="7"/>
        <v>100</v>
      </c>
      <c r="AP13" s="5" t="str">
        <f>IF(L13="","",VLOOKUP($L13,classifications!$C:$E,3,FALSE))</f>
        <v>NE</v>
      </c>
      <c r="AQ13" s="42" t="str">
        <f t="shared" ref="AQ13:AQ57" si="30">IF(AP13=$G$3,$M13,"")</f>
        <v/>
      </c>
      <c r="AR13" s="39" t="str">
        <f>IF(AQ13="","",IF(I$8="A",(RANK(AQ13,AQ$11:AQ$333,1)+COUNTIF(AQ$11:AQ13,AQ13)-1),(RANK(AQ13,AQ$11:AQ$333)+COUNTIF(AQ$11:AQ13,AQ13)-1)))</f>
        <v/>
      </c>
      <c r="AS13" s="3">
        <f t="shared" si="18"/>
        <v>3</v>
      </c>
      <c r="AT13" s="39" t="str">
        <f t="shared" si="8"/>
        <v>Warrington</v>
      </c>
      <c r="AU13" s="42">
        <f t="shared" si="9"/>
        <v>97.142857142857139</v>
      </c>
      <c r="AX13">
        <f>HLOOKUP($AX$9&amp;$AX$10,Data!$A$1:$ZT$1975,(MATCH($C13,Data!$A$1:$A$1975,0)),FALSE)</f>
        <v>100</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60.9375</v>
      </c>
      <c r="G14" s="15"/>
      <c r="H14" s="41" t="str">
        <f t="shared" si="1"/>
        <v/>
      </c>
      <c r="I14" s="73" t="str">
        <f>IF(H14="","",IF($I$8="A",(RANK(H14,H$11:H$333,1)+COUNTIF(H$11:H14,H14)-1),(RANK(H14,H$11:H$333)+COUNTIF(H$11:H14,H14)-1)))</f>
        <v/>
      </c>
      <c r="J14" s="40"/>
      <c r="K14" s="35">
        <f t="shared" si="10"/>
        <v>4</v>
      </c>
      <c r="L14" t="str">
        <f t="shared" si="2"/>
        <v>Redcar &amp; Cleveland</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Urban with Significant Rural</v>
      </c>
      <c r="Y14">
        <f t="shared" si="26"/>
        <v>100</v>
      </c>
      <c r="Z14" s="39">
        <f>IF(Y14="","",IF(I$8="A",(RANK(Y14,Y$11:Y$333,1)+COUNTIF(Y$11:Y14,Y14)-1),(RANK(Y14,Y$11:Y$333)+COUNTIF(Y$11:Y14,Y14)-1)))</f>
        <v>2</v>
      </c>
      <c r="AA14" s="177" t="str">
        <f>IF(L14="","",VLOOKUP($L14,classifications!C:I,7,FALSE))</f>
        <v>Urban with Significant Rural</v>
      </c>
      <c r="AB14" s="173">
        <f t="shared" si="27"/>
        <v>100</v>
      </c>
      <c r="AC14" s="173">
        <f>IF(AB14="","",IF($I$8="A",(RANK(AB14,AB$11:AB$333)+COUNTIF(AB$11:AB14,AB14)-1),(RANK(AB14,AB$11:AB$333,1)+COUNTIF(AB$11:AB14,AB14)-1)))</f>
        <v>11</v>
      </c>
      <c r="AD14" s="173"/>
      <c r="AE14" s="45">
        <f>IF(I$8="A",(RANK(AG14,AG$11:AG$333,1)+COUNTIF(AG$11:AG14,AG14)-1),(RANK(AG14,AG$11:AG$333)+COUNTIF(AG$11:AG14,AG14)-1))</f>
        <v>4</v>
      </c>
      <c r="AF14" t="str">
        <f>VLOOKUP(Profile!$J$5,Families!$C:$R,2,FALSE)</f>
        <v>Cheshire West &amp; Chester</v>
      </c>
      <c r="AG14" s="15">
        <f t="shared" si="15"/>
        <v>91.111111111111114</v>
      </c>
      <c r="AH14" s="46">
        <f t="shared" si="28"/>
        <v>4</v>
      </c>
      <c r="AI14" s="5" t="str">
        <f>IF(L14="","",VLOOKUP($L14,classifications!$C:$J,8,FALSE))</f>
        <v>Unitary</v>
      </c>
      <c r="AJ14" s="42">
        <f t="shared" si="29"/>
        <v>100</v>
      </c>
      <c r="AK14" s="39">
        <f>IF(AJ14="","",IF(I$8="A",(RANK(AJ14,AJ$11:AJ$333,1)+COUNTIF(AJ$11:AJ14,AJ14)-1),(RANK(AJ14,AJ$11:AJ$333)+COUNTIF(AJ$11:AJ14,AJ14)-1)))</f>
        <v>4</v>
      </c>
      <c r="AL14" s="3">
        <f t="shared" si="16"/>
        <v>4</v>
      </c>
      <c r="AM14" t="str">
        <f t="shared" si="6"/>
        <v>Redcar &amp; Cleveland</v>
      </c>
      <c r="AN14">
        <f t="shared" si="7"/>
        <v>100</v>
      </c>
      <c r="AP14" s="5" t="str">
        <f>IF(L14="","",VLOOKUP($L14,classifications!$C:$E,3,FALSE))</f>
        <v>NE</v>
      </c>
      <c r="AQ14" s="42" t="str">
        <f t="shared" si="30"/>
        <v/>
      </c>
      <c r="AR14" s="39" t="str">
        <f>IF(AQ14="","",IF(I$8="A",(RANK(AQ14,AQ$11:AQ$333,1)+COUNTIF(AQ$11:AQ14,AQ14)-1),(RANK(AQ14,AQ$11:AQ$333)+COUNTIF(AQ$11:AQ14,AQ14)-1)))</f>
        <v/>
      </c>
      <c r="AS14" s="3">
        <f t="shared" si="18"/>
        <v>4</v>
      </c>
      <c r="AT14" s="39" t="str">
        <f t="shared" si="8"/>
        <v>Cheshire East</v>
      </c>
      <c r="AU14" s="42">
        <f t="shared" si="9"/>
        <v>96.078431372549019</v>
      </c>
      <c r="AX14">
        <f>HLOOKUP($AX$9&amp;$AX$10,Data!$A$1:$ZT$1975,(MATCH($C14,Data!$A$1:$A$1975,0)),FALSE)</f>
        <v>60.9375</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75</v>
      </c>
      <c r="G15" s="15"/>
      <c r="H15" s="41" t="str">
        <f t="shared" si="1"/>
        <v/>
      </c>
      <c r="I15" s="73" t="str">
        <f>IF(H15="","",IF($I$8="A",(RANK(H15,H$11:H$333,1)+COUNTIF(H$11:H15,H15)-1),(RANK(H15,H$11:H$333)+COUNTIF(H$11:H15,H15)-1)))</f>
        <v/>
      </c>
      <c r="J15" s="40"/>
      <c r="K15" s="35">
        <f t="shared" si="10"/>
        <v>5</v>
      </c>
      <c r="L15" t="str">
        <f t="shared" si="2"/>
        <v>Southampton</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f>IF(I$8="A",(RANK(AG15,AG$11:AG$333,1)+COUNTIF(AG$11:AG15,AG15)-1),(RANK(AG15,AG$11:AG$333)+COUNTIF(AG$11:AG15,AG15)-1))</f>
        <v>5</v>
      </c>
      <c r="AF15" t="str">
        <f>VLOOKUP(Profile!$J$5,Families!$C:$R,2,FALSE)</f>
        <v>Cheshire West &amp; Chester</v>
      </c>
      <c r="AG15" s="15">
        <f t="shared" si="15"/>
        <v>91.111111111111114</v>
      </c>
      <c r="AH15" s="46">
        <f t="shared" si="28"/>
        <v>5</v>
      </c>
      <c r="AI15" s="5" t="str">
        <f>IF(L15="","",VLOOKUP($L15,classifications!$C:$J,8,FALSE))</f>
        <v>Unitary</v>
      </c>
      <c r="AJ15" s="42">
        <f t="shared" si="29"/>
        <v>100</v>
      </c>
      <c r="AK15" s="39">
        <f>IF(AJ15="","",IF(I$8="A",(RANK(AJ15,AJ$11:AJ$333,1)+COUNTIF(AJ$11:AJ15,AJ15)-1),(RANK(AJ15,AJ$11:AJ$333)+COUNTIF(AJ$11:AJ15,AJ15)-1)))</f>
        <v>5</v>
      </c>
      <c r="AL15" s="3">
        <f t="shared" si="16"/>
        <v>5</v>
      </c>
      <c r="AM15" t="str">
        <f t="shared" si="6"/>
        <v>Southampton</v>
      </c>
      <c r="AN15">
        <f t="shared" si="7"/>
        <v>100</v>
      </c>
      <c r="AP15" s="5" t="str">
        <f>IF(L15="","",VLOOKUP($L15,classifications!$C:$E,3,FALSE))</f>
        <v>South East</v>
      </c>
      <c r="AQ15" s="42" t="str">
        <f t="shared" si="30"/>
        <v/>
      </c>
      <c r="AR15" s="39" t="str">
        <f>IF(AQ15="","",IF(I$8="A",(RANK(AQ15,AQ$11:AQ$333,1)+COUNTIF(AQ$11:AQ15,AQ15)-1),(RANK(AQ15,AQ$11:AQ$333)+COUNTIF(AQ$11:AQ15,AQ15)-1)))</f>
        <v/>
      </c>
      <c r="AS15" s="3">
        <f t="shared" si="18"/>
        <v>5</v>
      </c>
      <c r="AT15" s="39" t="str">
        <f t="shared" si="8"/>
        <v>Blackpool</v>
      </c>
      <c r="AU15" s="42">
        <f t="shared" si="9"/>
        <v>95</v>
      </c>
      <c r="AX15">
        <f>HLOOKUP($AX$9&amp;$AX$10,Data!$A$1:$ZT$1975,(MATCH($C15,Data!$A$1:$A$1975,0)),FALSE)</f>
        <v>75</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60</v>
      </c>
      <c r="G16" s="15"/>
      <c r="H16" s="41" t="str">
        <f t="shared" si="1"/>
        <v/>
      </c>
      <c r="I16" s="73" t="str">
        <f>IF(H16="","",IF($I$8="A",(RANK(H16,H$11:H$333,1)+COUNTIF(H$11:H16,H16)-1),(RANK(H16,H$11:H$333)+COUNTIF(H$11:H16,H16)-1)))</f>
        <v/>
      </c>
      <c r="J16" s="40"/>
      <c r="K16" s="35">
        <f t="shared" si="10"/>
        <v>6</v>
      </c>
      <c r="L16" t="str">
        <f t="shared" si="2"/>
        <v>Southend-on-Sea</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91.111111111111114</v>
      </c>
      <c r="AH16" s="46">
        <f t="shared" si="28"/>
        <v>6</v>
      </c>
      <c r="AI16" s="5" t="str">
        <f>IF(L16="","",VLOOKUP($L16,classifications!$C:$J,8,FALSE))</f>
        <v>Unitary</v>
      </c>
      <c r="AJ16" s="42">
        <f t="shared" si="29"/>
        <v>100</v>
      </c>
      <c r="AK16" s="39">
        <f>IF(AJ16="","",IF(I$8="A",(RANK(AJ16,AJ$11:AJ$333,1)+COUNTIF(AJ$11:AJ16,AJ16)-1),(RANK(AJ16,AJ$11:AJ$333)+COUNTIF(AJ$11:AJ16,AJ16)-1)))</f>
        <v>6</v>
      </c>
      <c r="AL16" s="3">
        <f t="shared" si="16"/>
        <v>6</v>
      </c>
      <c r="AM16" t="str">
        <f t="shared" si="6"/>
        <v>Southend-on-Sea</v>
      </c>
      <c r="AN16">
        <f t="shared" si="7"/>
        <v>100</v>
      </c>
      <c r="AP16" s="5" t="str">
        <f>IF(L16="","",VLOOKUP($L16,classifications!$C:$E,3,FALSE))</f>
        <v>East of England</v>
      </c>
      <c r="AQ16" s="42" t="str">
        <f t="shared" si="30"/>
        <v/>
      </c>
      <c r="AR16" s="39" t="str">
        <f>IF(AQ16="","",IF(I$8="A",(RANK(AQ16,AQ$11:AQ$333,1)+COUNTIF(AQ$11:AQ16,AQ16)-1),(RANK(AQ16,AQ$11:AQ$333)+COUNTIF(AQ$11:AQ16,AQ16)-1)))</f>
        <v/>
      </c>
      <c r="AS16" s="3">
        <f t="shared" si="18"/>
        <v>6</v>
      </c>
      <c r="AT16" s="39" t="str">
        <f t="shared" si="8"/>
        <v>Cheshire West &amp; Chester</v>
      </c>
      <c r="AU16" s="42">
        <f t="shared" si="9"/>
        <v>91.111111111111114</v>
      </c>
      <c r="AX16">
        <f>HLOOKUP($AX$9&amp;$AX$10,Data!$A$1:$ZT$1975,(MATCH($C16,Data!$A$1:$A$1975,0)),FALSE)</f>
        <v>60</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90.909090909090907</v>
      </c>
      <c r="G17" s="15"/>
      <c r="H17" s="41" t="str">
        <f t="shared" si="1"/>
        <v/>
      </c>
      <c r="I17" s="73" t="str">
        <f>IF(H17="","",IF($I$8="A",(RANK(H17,H$11:H$333,1)+COUNTIF(H$11:H17,H17)-1),(RANK(H17,H$11:H$333)+COUNTIF(H$11:H17,H17)-1)))</f>
        <v/>
      </c>
      <c r="J17" s="40"/>
      <c r="K17" s="35">
        <f t="shared" si="10"/>
        <v>7</v>
      </c>
      <c r="L17" t="str">
        <f t="shared" si="2"/>
        <v>Stoke-on-Trent</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f>IF(I$8="A",(RANK(AG17,AG$11:AG$333,1)+COUNTIF(AG$11:AG17,AG17)-1),(RANK(AG17,AG$11:AG$333)+COUNTIF(AG$11:AG17,AG17)-1))</f>
        <v>7</v>
      </c>
      <c r="AF17" t="str">
        <f>VLOOKUP(Profile!$J$5,Families!$C:$R,2,FALSE)</f>
        <v>Cheshire West &amp; Chester</v>
      </c>
      <c r="AG17" s="15">
        <f t="shared" si="15"/>
        <v>91.111111111111114</v>
      </c>
      <c r="AH17" s="46">
        <f t="shared" si="28"/>
        <v>7</v>
      </c>
      <c r="AI17" s="5" t="str">
        <f>IF(L17="","",VLOOKUP($L17,classifications!$C:$J,8,FALSE))</f>
        <v>Unitary</v>
      </c>
      <c r="AJ17" s="42">
        <f t="shared" si="29"/>
        <v>100</v>
      </c>
      <c r="AK17" s="39">
        <f>IF(AJ17="","",IF(I$8="A",(RANK(AJ17,AJ$11:AJ$333,1)+COUNTIF(AJ$11:AJ17,AJ17)-1),(RANK(AJ17,AJ$11:AJ$333)+COUNTIF(AJ$11:AJ17,AJ17)-1)))</f>
        <v>7</v>
      </c>
      <c r="AL17" s="3">
        <f t="shared" si="16"/>
        <v>7</v>
      </c>
      <c r="AM17" t="str">
        <f t="shared" si="6"/>
        <v>Stoke-on-Trent</v>
      </c>
      <c r="AN17">
        <f t="shared" si="7"/>
        <v>100</v>
      </c>
      <c r="AP17" s="5" t="str">
        <f>IF(L17="","",VLOOKUP($L17,classifications!$C:$E,3,FALSE))</f>
        <v>West Midlands</v>
      </c>
      <c r="AQ17" s="42" t="str">
        <f t="shared" si="30"/>
        <v/>
      </c>
      <c r="AR17" s="39" t="str">
        <f>IF(AQ17="","",IF(I$8="A",(RANK(AQ17,AQ$11:AQ$333,1)+COUNTIF(AQ$11:AQ17,AQ17)-1),(RANK(AQ17,AQ$11:AQ$333)+COUNTIF(AQ$11:AQ17,AQ17)-1)))</f>
        <v/>
      </c>
      <c r="AS17" s="3">
        <f t="shared" si="18"/>
        <v>7</v>
      </c>
      <c r="AT17" s="39" t="str">
        <f t="shared" si="8"/>
        <v>Cumberland</v>
      </c>
      <c r="AU17" s="42">
        <f t="shared" si="9"/>
        <v>84.615384615384613</v>
      </c>
      <c r="AX17">
        <f>HLOOKUP($AX$9&amp;$AX$10,Data!$A$1:$ZT$1975,(MATCH($C17,Data!$A$1:$A$1975,0)),FALSE)</f>
        <v>90.909090909090907</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Telford &amp; Wrekin</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91.111111111111114</v>
      </c>
      <c r="AH18" s="46">
        <f t="shared" si="28"/>
        <v>8</v>
      </c>
      <c r="AI18" s="5" t="str">
        <f>IF(L18="","",VLOOKUP($L18,classifications!$C:$J,8,FALSE))</f>
        <v>Unitary</v>
      </c>
      <c r="AJ18" s="42">
        <f t="shared" si="29"/>
        <v>100</v>
      </c>
      <c r="AK18" s="39">
        <f>IF(AJ18="","",IF(I$8="A",(RANK(AJ18,AJ$11:AJ$333,1)+COUNTIF(AJ$11:AJ18,AJ18)-1),(RANK(AJ18,AJ$11:AJ$333)+COUNTIF(AJ$11:AJ18,AJ18)-1)))</f>
        <v>8</v>
      </c>
      <c r="AL18" s="3">
        <f t="shared" si="16"/>
        <v>8</v>
      </c>
      <c r="AM18" t="str">
        <f t="shared" si="6"/>
        <v>Telford &amp; Wrekin</v>
      </c>
      <c r="AN18">
        <f t="shared" si="7"/>
        <v>100</v>
      </c>
      <c r="AP18" s="5" t="str">
        <f>IF(L18="","",VLOOKUP($L18,classifications!$C:$E,3,FALSE))</f>
        <v>West Midlands</v>
      </c>
      <c r="AQ18" s="42" t="str">
        <f t="shared" si="30"/>
        <v/>
      </c>
      <c r="AR18" s="39" t="str">
        <f>IF(AQ18="","",IF(I$8="A",(RANK(AQ18,AQ$11:AQ$333,1)+COUNTIF(AQ$11:AQ18,AQ18)-1),(RANK(AQ18,AQ$11:AQ$333)+COUNTIF(AQ$11:AQ18,AQ18)-1)))</f>
        <v/>
      </c>
      <c r="AS18" s="3">
        <f t="shared" si="18"/>
        <v>8</v>
      </c>
      <c r="AT18" s="39" t="str">
        <f t="shared" si="8"/>
        <v>Halton</v>
      </c>
      <c r="AU18" s="42">
        <f t="shared" si="9"/>
        <v>80</v>
      </c>
      <c r="AX18">
        <f>HLOOKUP($AX$9&amp;$AX$10,Data!$A$1:$ZT$1975,(MATCH($C18,Data!$A$1:$A$1975,0)),FALSE)</f>
        <v>100</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78.571428571428569</v>
      </c>
      <c r="G19" s="15"/>
      <c r="H19" s="41" t="str">
        <f t="shared" si="1"/>
        <v/>
      </c>
      <c r="I19" s="73" t="str">
        <f>IF(H19="","",IF($I$8="A",(RANK(H19,H$11:H$333,1)+COUNTIF(H$11:H19,H19)-1),(RANK(H19,H$11:H$333)+COUNTIF(H$11:H19,H19)-1)))</f>
        <v/>
      </c>
      <c r="J19" s="40"/>
      <c r="K19" s="35">
        <f t="shared" si="10"/>
        <v>9</v>
      </c>
      <c r="L19" t="str">
        <f t="shared" si="2"/>
        <v>Wokingham</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f>IF(I$8="A",(RANK(AG19,AG$11:AG$333,1)+COUNTIF(AG$11:AG19,AG19)-1),(RANK(AG19,AG$11:AG$333)+COUNTIF(AG$11:AG19,AG19)-1))</f>
        <v>9</v>
      </c>
      <c r="AF19" t="str">
        <f>VLOOKUP(Profile!$J$5,Families!$C:$R,2,FALSE)</f>
        <v>Cheshire West &amp; Chester</v>
      </c>
      <c r="AG19" s="15">
        <f t="shared" si="15"/>
        <v>91.111111111111114</v>
      </c>
      <c r="AH19" s="46">
        <f t="shared" si="28"/>
        <v>9</v>
      </c>
      <c r="AI19" s="5" t="str">
        <f>IF(L19="","",VLOOKUP($L19,classifications!$C:$J,8,FALSE))</f>
        <v>Unitary</v>
      </c>
      <c r="AJ19" s="42">
        <f t="shared" si="29"/>
        <v>100</v>
      </c>
      <c r="AK19" s="39">
        <f>IF(AJ19="","",IF(I$8="A",(RANK(AJ19,AJ$11:AJ$333,1)+COUNTIF(AJ$11:AJ19,AJ19)-1),(RANK(AJ19,AJ$11:AJ$333)+COUNTIF(AJ$11:AJ19,AJ19)-1)))</f>
        <v>9</v>
      </c>
      <c r="AL19" s="3">
        <f t="shared" si="16"/>
        <v>9</v>
      </c>
      <c r="AM19" t="str">
        <f t="shared" si="6"/>
        <v>Wokingham</v>
      </c>
      <c r="AN19">
        <f t="shared" si="7"/>
        <v>100</v>
      </c>
      <c r="AP19" s="5" t="str">
        <f>IF(L19="","",VLOOKUP($L19,classifications!$C:$E,3,FALSE))</f>
        <v>South East</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78.571428571428569</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North Northamptonshire</v>
      </c>
      <c r="M20" s="109">
        <f t="shared" si="3"/>
        <v>97.872340425531917</v>
      </c>
      <c r="N20" s="104">
        <f t="shared" si="19"/>
        <v>97.872340425531917</v>
      </c>
      <c r="O20" s="89">
        <f t="shared" si="20"/>
        <v>97.872340425531917</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Urban with Significant Rural</v>
      </c>
      <c r="Y20">
        <f t="shared" si="26"/>
        <v>97.872340425531917</v>
      </c>
      <c r="Z20" s="39">
        <f>IF(Y20="","",IF(I$8="A",(RANK(Y20,Y$11:Y$333,1)+COUNTIF(Y$11:Y20,Y20)-1),(RANK(Y20,Y$11:Y$333)+COUNTIF(Y$11:Y20,Y20)-1)))</f>
        <v>3</v>
      </c>
      <c r="AA20" s="177" t="str">
        <f>IF(L20="","",VLOOKUP($L20,classifications!C:I,7,FALSE))</f>
        <v>Urban with Significant Rural</v>
      </c>
      <c r="AB20" s="173">
        <f t="shared" si="27"/>
        <v>97.872340425531917</v>
      </c>
      <c r="AC20" s="173">
        <f>IF(AB20="","",IF($I$8="A",(RANK(AB20,AB$11:AB$333)+COUNTIF(AB$11:AB20,AB20)-1),(RANK(AB20,AB$11:AB$333,1)+COUNTIF(AB$11:AB20,AB20)-1)))</f>
        <v>10</v>
      </c>
      <c r="AD20" s="173"/>
      <c r="AE20" s="45">
        <f>IF(I$8="A",(RANK(AG20,AG$11:AG$333,1)+COUNTIF(AG$11:AG20,AG20)-1),(RANK(AG20,AG$11:AG$333)+COUNTIF(AG$11:AG20,AG20)-1))</f>
        <v>10</v>
      </c>
      <c r="AF20" t="str">
        <f>VLOOKUP(Profile!$J$5,Families!$C:$R,2,FALSE)</f>
        <v>Cheshire West &amp; Chester</v>
      </c>
      <c r="AG20" s="15">
        <f t="shared" si="15"/>
        <v>91.111111111111114</v>
      </c>
      <c r="AH20" s="46">
        <f t="shared" si="28"/>
        <v>10</v>
      </c>
      <c r="AI20" s="5" t="str">
        <f>IF(L20="","",VLOOKUP($L20,classifications!$C:$J,8,FALSE))</f>
        <v>Unitary</v>
      </c>
      <c r="AJ20" s="42">
        <f t="shared" si="29"/>
        <v>97.872340425531917</v>
      </c>
      <c r="AK20" s="39">
        <f>IF(AJ20="","",IF(I$8="A",(RANK(AJ20,AJ$11:AJ$333,1)+COUNTIF(AJ$11:AJ20,AJ20)-1),(RANK(AJ20,AJ$11:AJ$333)+COUNTIF(AJ$11:AJ20,AJ20)-1)))</f>
        <v>10</v>
      </c>
      <c r="AL20" s="3">
        <f t="shared" si="16"/>
        <v>10</v>
      </c>
      <c r="AM20" t="str">
        <f t="shared" si="6"/>
        <v>North Northamptonshire</v>
      </c>
      <c r="AN20">
        <f t="shared" si="7"/>
        <v>97.872340425531917</v>
      </c>
      <c r="AP20" s="5" t="str">
        <f>IF(L20="","",VLOOKUP($L20,classifications!$C:$E,3,FALSE))</f>
        <v>East Midlands</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100</v>
      </c>
    </row>
    <row r="21" spans="1:50">
      <c r="A21" s="55" t="str">
        <f>$D$1&amp;11</f>
        <v>UA11</v>
      </c>
      <c r="B21" s="56" t="str">
        <f>IF(ISERROR(VLOOKUP(A21,classifications!A:C,3,FALSE)),0,VLOOKUP(A21,classifications!A:C,3,FALSE))</f>
        <v>Northumberland</v>
      </c>
      <c r="C21" t="s">
        <v>900</v>
      </c>
      <c r="D21" t="str">
        <f>VLOOKUP($C21,classifications!$C:$J,4,FALSE)</f>
        <v>UA</v>
      </c>
      <c r="E21" t="str">
        <f>VLOOKUP(C21,classifications!C:K,9,FALSE)</f>
        <v>Sparse</v>
      </c>
      <c r="F21">
        <f t="shared" si="0"/>
        <v>100</v>
      </c>
      <c r="G21" s="15"/>
      <c r="H21" s="41">
        <f t="shared" si="1"/>
        <v>100</v>
      </c>
      <c r="I21" s="73">
        <f>IF(H21="","",IF($I$8="A",(RANK(H21,H$11:H$333,1)+COUNTIF(H$11:H21,H21)-1),(RANK(H21,H$11:H$333)+COUNTIF(H$11:H21,H21)-1)))</f>
        <v>1</v>
      </c>
      <c r="J21" s="40"/>
      <c r="K21" s="35">
        <f t="shared" si="10"/>
        <v>11</v>
      </c>
      <c r="L21" t="str">
        <f t="shared" si="2"/>
        <v>Nottingham</v>
      </c>
      <c r="M21" s="109">
        <f t="shared" si="3"/>
        <v>97.872340425531917</v>
      </c>
      <c r="N21" s="104">
        <f t="shared" si="19"/>
        <v>97.872340425531917</v>
      </c>
      <c r="O21" s="89">
        <f t="shared" si="20"/>
        <v>97.872340425531917</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f>IF(I$8="A",(RANK(AG21,AG$11:AG$333,1)+COUNTIF(AG$11:AG21,AG21)-1),(RANK(AG21,AG$11:AG$333)+COUNTIF(AG$11:AG21,AG21)-1))</f>
        <v>11</v>
      </c>
      <c r="AF21" t="str">
        <f>VLOOKUP(Profile!$J$5,Families!$C:$R,2,FALSE)</f>
        <v>Cheshire West &amp; Chester</v>
      </c>
      <c r="AG21" s="15">
        <f t="shared" si="15"/>
        <v>91.111111111111114</v>
      </c>
      <c r="AH21" s="46">
        <f t="shared" si="28"/>
        <v>11</v>
      </c>
      <c r="AI21" s="5" t="str">
        <f>IF(L21="","",VLOOKUP($L21,classifications!$C:$J,8,FALSE))</f>
        <v>Unitary</v>
      </c>
      <c r="AJ21" s="42">
        <f t="shared" si="29"/>
        <v>97.872340425531917</v>
      </c>
      <c r="AK21" s="39">
        <f>IF(AJ21="","",IF(I$8="A",(RANK(AJ21,AJ$11:AJ$333,1)+COUNTIF(AJ$11:AJ21,AJ21)-1),(RANK(AJ21,AJ$11:AJ$333)+COUNTIF(AJ$11:AJ21,AJ21)-1)))</f>
        <v>11</v>
      </c>
      <c r="AL21" s="3">
        <f t="shared" si="16"/>
        <v>11</v>
      </c>
      <c r="AM21" t="str">
        <f t="shared" si="6"/>
        <v>Nottingham</v>
      </c>
      <c r="AN21">
        <f t="shared" si="7"/>
        <v>97.872340425531917</v>
      </c>
      <c r="AP21" s="5" t="str">
        <f>IF(L21="","",VLOOKUP($L21,classifications!$C:$E,3,FALSE))</f>
        <v>East Midlands</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100</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84</v>
      </c>
      <c r="G22" s="15"/>
      <c r="H22" s="41" t="str">
        <f t="shared" si="1"/>
        <v/>
      </c>
      <c r="I22" s="73" t="str">
        <f>IF(H22="","",IF($I$8="A",(RANK(H22,H$11:H$333,1)+COUNTIF(H$11:H22,H22)-1),(RANK(H22,H$11:H$333)+COUNTIF(H$11:H22,H22)-1)))</f>
        <v/>
      </c>
      <c r="J22" s="40"/>
      <c r="K22" s="35">
        <f t="shared" si="10"/>
        <v>12</v>
      </c>
      <c r="L22" t="str">
        <f t="shared" si="2"/>
        <v>North East Lincolnshire</v>
      </c>
      <c r="M22" s="109">
        <f t="shared" si="3"/>
        <v>97.435897435897431</v>
      </c>
      <c r="N22" s="104">
        <f t="shared" si="19"/>
        <v>97.435897435897431</v>
      </c>
      <c r="O22" s="89">
        <f t="shared" si="20"/>
        <v>97.435897435897431</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12</v>
      </c>
      <c r="AF22" t="str">
        <f>VLOOKUP(Profile!$J$5,Families!$C:$R,2,FALSE)</f>
        <v>Cheshire West &amp; Chester</v>
      </c>
      <c r="AG22" s="15">
        <f t="shared" si="15"/>
        <v>91.111111111111114</v>
      </c>
      <c r="AH22" s="46">
        <f t="shared" si="28"/>
        <v>12</v>
      </c>
      <c r="AI22" s="5" t="str">
        <f>IF(L22="","",VLOOKUP($L22,classifications!$C:$J,8,FALSE))</f>
        <v>Unitary</v>
      </c>
      <c r="AJ22" s="42">
        <f t="shared" si="29"/>
        <v>97.435897435897431</v>
      </c>
      <c r="AK22" s="39">
        <f>IF(AJ22="","",IF(I$8="A",(RANK(AJ22,AJ$11:AJ$333,1)+COUNTIF(AJ$11:AJ22,AJ22)-1),(RANK(AJ22,AJ$11:AJ$333)+COUNTIF(AJ$11:AJ22,AJ22)-1)))</f>
        <v>12</v>
      </c>
      <c r="AL22" s="3">
        <f t="shared" si="16"/>
        <v>12</v>
      </c>
      <c r="AM22" t="str">
        <f t="shared" si="6"/>
        <v>North East Lincolnshire</v>
      </c>
      <c r="AN22">
        <f t="shared" si="7"/>
        <v>97.435897435897431</v>
      </c>
      <c r="AP22" s="5" t="str">
        <f>IF(L22="","",VLOOKUP($L22,classifications!$C:$E,3,FALSE))</f>
        <v>Yorkshire &amp; Humberside</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84</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80.952380952380949</v>
      </c>
      <c r="G23" s="15"/>
      <c r="H23" s="41" t="str">
        <f t="shared" si="1"/>
        <v/>
      </c>
      <c r="I23" s="73" t="str">
        <f>IF(H23="","",IF($I$8="A",(RANK(H23,H$11:H$333,1)+COUNTIF(H$11:H23,H23)-1),(RANK(H23,H$11:H$333)+COUNTIF(H$11:H23,H23)-1)))</f>
        <v/>
      </c>
      <c r="J23" s="40"/>
      <c r="K23" s="35">
        <f t="shared" si="10"/>
        <v>13</v>
      </c>
      <c r="L23" t="str">
        <f t="shared" si="2"/>
        <v>Warrington</v>
      </c>
      <c r="M23" s="109">
        <f t="shared" si="3"/>
        <v>97.142857142857139</v>
      </c>
      <c r="N23" s="104">
        <f t="shared" si="19"/>
        <v>97.142857142857139</v>
      </c>
      <c r="O23" s="89">
        <f t="shared" si="20"/>
        <v>97.142857142857139</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f>IF(I$8="A",(RANK(AG23,AG$11:AG$333,1)+COUNTIF(AG$11:AG23,AG23)-1),(RANK(AG23,AG$11:AG$333)+COUNTIF(AG$11:AG23,AG23)-1))</f>
        <v>13</v>
      </c>
      <c r="AF23" t="str">
        <f>VLOOKUP(Profile!$J$5,Families!$C:$R,2,FALSE)</f>
        <v>Cheshire West &amp; Chester</v>
      </c>
      <c r="AG23" s="15">
        <f t="shared" si="15"/>
        <v>91.111111111111114</v>
      </c>
      <c r="AH23" s="46">
        <f t="shared" si="28"/>
        <v>13</v>
      </c>
      <c r="AI23" s="5" t="str">
        <f>IF(L23="","",VLOOKUP($L23,classifications!$C:$J,8,FALSE))</f>
        <v>Unitary</v>
      </c>
      <c r="AJ23" s="42">
        <f t="shared" si="29"/>
        <v>97.142857142857139</v>
      </c>
      <c r="AK23" s="39">
        <f>IF(AJ23="","",IF(I$8="A",(RANK(AJ23,AJ$11:AJ$333,1)+COUNTIF(AJ$11:AJ23,AJ23)-1),(RANK(AJ23,AJ$11:AJ$333)+COUNTIF(AJ$11:AJ23,AJ23)-1)))</f>
        <v>13</v>
      </c>
      <c r="AL23" s="3">
        <f t="shared" si="16"/>
        <v>13</v>
      </c>
      <c r="AM23" t="str">
        <f t="shared" si="6"/>
        <v>Warrington</v>
      </c>
      <c r="AN23">
        <f t="shared" si="7"/>
        <v>97.142857142857139</v>
      </c>
      <c r="AP23" s="5" t="str">
        <f>IF(L23="","",VLOOKUP($L23,classifications!$C:$E,3,FALSE))</f>
        <v>North West</v>
      </c>
      <c r="AQ23" s="42">
        <f t="shared" si="30"/>
        <v>97.142857142857139</v>
      </c>
      <c r="AR23" s="39">
        <f>IF(AQ23="","",IF(I$8="A",(RANK(AQ23,AQ$11:AQ$333,1)+COUNTIF(AQ$11:AQ23,AQ23)-1),(RANK(AQ23,AQ$11:AQ$333)+COUNTIF(AQ$11:AQ23,AQ23)-1)))</f>
        <v>3</v>
      </c>
      <c r="AS23" s="3" t="str">
        <f t="shared" si="18"/>
        <v/>
      </c>
      <c r="AT23" s="39" t="str">
        <f t="shared" si="8"/>
        <v/>
      </c>
      <c r="AU23" s="42" t="str">
        <f t="shared" si="9"/>
        <v/>
      </c>
      <c r="AX23">
        <f>HLOOKUP($AX$9&amp;$AX$10,Data!$A$1:$ZT$1975,(MATCH($C23,Data!$A$1:$A$1975,0)),FALSE)</f>
        <v>80.952380952380949</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93.61702127659575</v>
      </c>
      <c r="G24" s="15"/>
      <c r="H24" s="41" t="str">
        <f t="shared" si="1"/>
        <v/>
      </c>
      <c r="I24" s="73" t="str">
        <f>IF(H24="","",IF($I$8="A",(RANK(H24,H$11:H$333,1)+COUNTIF(H$11:H24,H24)-1),(RANK(H24,H$11:H$333)+COUNTIF(H$11:H24,H24)-1)))</f>
        <v/>
      </c>
      <c r="J24" s="40"/>
      <c r="K24" s="35">
        <f t="shared" si="10"/>
        <v>14</v>
      </c>
      <c r="L24" t="str">
        <f t="shared" si="2"/>
        <v>Bath &amp; North East Somerset</v>
      </c>
      <c r="M24" s="109">
        <f t="shared" si="3"/>
        <v>96.666666666666671</v>
      </c>
      <c r="N24" s="104">
        <f t="shared" si="19"/>
        <v>96.666666666666671</v>
      </c>
      <c r="O24" s="89">
        <f t="shared" si="20"/>
        <v>96.666666666666671</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Urban with Significant Rural</v>
      </c>
      <c r="Y24">
        <f t="shared" si="26"/>
        <v>96.666666666666671</v>
      </c>
      <c r="Z24" s="39">
        <f>IF(Y24="","",IF(I$8="A",(RANK(Y24,Y$11:Y$333,1)+COUNTIF(Y$11:Y24,Y24)-1),(RANK(Y24,Y$11:Y$333)+COUNTIF(Y$11:Y24,Y24)-1)))</f>
        <v>4</v>
      </c>
      <c r="AA24" s="177" t="str">
        <f>IF(L24="","",VLOOKUP($L24,classifications!C:I,7,FALSE))</f>
        <v>Urban with Significant Rural</v>
      </c>
      <c r="AB24" s="173">
        <f t="shared" si="27"/>
        <v>96.666666666666671</v>
      </c>
      <c r="AC24" s="173">
        <f>IF(AB24="","",IF($I$8="A",(RANK(AB24,AB$11:AB$333)+COUNTIF(AB$11:AB24,AB24)-1),(RANK(AB24,AB$11:AB$333,1)+COUNTIF(AB$11:AB24,AB24)-1)))</f>
        <v>9</v>
      </c>
      <c r="AD24" s="173"/>
      <c r="AE24" s="45">
        <f>IF(I$8="A",(RANK(AG24,AG$11:AG$333,1)+COUNTIF(AG$11:AG24,AG24)-1),(RANK(AG24,AG$11:AG$333)+COUNTIF(AG$11:AG24,AG24)-1))</f>
        <v>14</v>
      </c>
      <c r="AF24" t="str">
        <f>VLOOKUP(Profile!$J$5,Families!$C:$R,2,FALSE)</f>
        <v>Cheshire West &amp; Chester</v>
      </c>
      <c r="AG24" s="15">
        <f t="shared" si="15"/>
        <v>91.111111111111114</v>
      </c>
      <c r="AH24" s="46">
        <f t="shared" si="28"/>
        <v>14</v>
      </c>
      <c r="AI24" s="5" t="str">
        <f>IF(L24="","",VLOOKUP($L24,classifications!$C:$J,8,FALSE))</f>
        <v>Unitary</v>
      </c>
      <c r="AJ24" s="42">
        <f t="shared" si="29"/>
        <v>96.666666666666671</v>
      </c>
      <c r="AK24" s="39">
        <f>IF(AJ24="","",IF(I$8="A",(RANK(AJ24,AJ$11:AJ$333,1)+COUNTIF(AJ$11:AJ24,AJ24)-1),(RANK(AJ24,AJ$11:AJ$333)+COUNTIF(AJ$11:AJ24,AJ24)-1)))</f>
        <v>14</v>
      </c>
      <c r="AL24" s="3">
        <f t="shared" si="16"/>
        <v>14</v>
      </c>
      <c r="AM24" t="str">
        <f t="shared" si="6"/>
        <v>Bath &amp; North East Somerset</v>
      </c>
      <c r="AN24">
        <f t="shared" si="7"/>
        <v>96.666666666666671</v>
      </c>
      <c r="AP24" s="5" t="str">
        <f>IF(L24="","",VLOOKUP($L24,classifications!$C:$E,3,FALSE))</f>
        <v>South West</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93.61702127659575</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96.666666666666671</v>
      </c>
      <c r="G25" s="15"/>
      <c r="H25" s="41">
        <f t="shared" si="1"/>
        <v>96.666666666666671</v>
      </c>
      <c r="I25" s="73">
        <f>IF(H25="","",IF($I$8="A",(RANK(H25,H$11:H$333,1)+COUNTIF(H$11:H25,H25)-1),(RANK(H25,H$11:H$333)+COUNTIF(H$11:H25,H25)-1)))</f>
        <v>14</v>
      </c>
      <c r="J25" s="40"/>
      <c r="K25" s="35">
        <f t="shared" si="10"/>
        <v>15</v>
      </c>
      <c r="L25" t="str">
        <f t="shared" si="2"/>
        <v>East Riding of Yorkshire</v>
      </c>
      <c r="M25" s="109">
        <f t="shared" si="3"/>
        <v>96.644295302013433</v>
      </c>
      <c r="N25" s="104">
        <f t="shared" si="19"/>
        <v>96.644295302013433</v>
      </c>
      <c r="O25" s="89">
        <f t="shared" si="20"/>
        <v>96.644295302013433</v>
      </c>
      <c r="P25" s="89" t="str">
        <f t="shared" si="21"/>
        <v/>
      </c>
      <c r="Q25" s="89" t="str">
        <f t="shared" si="22"/>
        <v/>
      </c>
      <c r="R25" s="85" t="str">
        <f t="shared" si="23"/>
        <v/>
      </c>
      <c r="S25" s="41" t="str">
        <f t="shared" si="24"/>
        <v/>
      </c>
      <c r="T25" s="166" t="str">
        <f>IF(L25="","",VLOOKUP(L25,classifications!C:K,9,FALSE))</f>
        <v>Sparse</v>
      </c>
      <c r="U25" s="167">
        <f t="shared" si="25"/>
        <v>96.644295302013433</v>
      </c>
      <c r="V25" s="173">
        <f>IF(U25="","",IF($I$8="A",(RANK(U25,U$11:U$333)+COUNTIF(U$11:U25,U25)-1),(RANK(U25,U$11:U$333,1)+COUNTIF(U$11:U25,U25)-1)))</f>
        <v>14</v>
      </c>
      <c r="W25" s="174"/>
      <c r="X25" s="5" t="str">
        <f>IF(L25="","",VLOOKUP($L25,classifications!$C:$J,6,FALSE))</f>
        <v xml:space="preserve">Predominantly Rural </v>
      </c>
      <c r="Y25">
        <f t="shared" si="26"/>
        <v>96.644295302013433</v>
      </c>
      <c r="Z25" s="39">
        <f>IF(Y25="","",IF(I$8="A",(RANK(Y25,Y$11:Y$333,1)+COUNTIF(Y$11:Y25,Y25)-1),(RANK(Y25,Y$11:Y$333)+COUNTIF(Y$11:Y25,Y25)-1)))</f>
        <v>5</v>
      </c>
      <c r="AA25" s="177" t="str">
        <f>IF(L25="","",VLOOKUP($L25,classifications!C:I,7,FALSE))</f>
        <v>Predominantly Rural</v>
      </c>
      <c r="AB25" s="173" t="str">
        <f t="shared" si="27"/>
        <v/>
      </c>
      <c r="AC25" s="173" t="str">
        <f>IF(AB25="","",IF($I$8="A",(RANK(AB25,AB$11:AB$333)+COUNTIF(AB$11:AB25,AB25)-1),(RANK(AB25,AB$11:AB$333,1)+COUNTIF(AB$11:AB25,AB25)-1)))</f>
        <v/>
      </c>
      <c r="AD25" s="173"/>
      <c r="AE25" s="45">
        <f>IF(I$8="A",(RANK(AG25,AG$11:AG$333,1)+COUNTIF(AG$11:AG25,AG25)-1),(RANK(AG25,AG$11:AG$333)+COUNTIF(AG$11:AG25,AG25)-1))</f>
        <v>15</v>
      </c>
      <c r="AF25" t="str">
        <f>VLOOKUP(Profile!$J$5,Families!$C:$R,2,FALSE)</f>
        <v>Cheshire West &amp; Chester</v>
      </c>
      <c r="AG25" s="15">
        <f t="shared" si="15"/>
        <v>91.111111111111114</v>
      </c>
      <c r="AH25" s="46">
        <f t="shared" si="28"/>
        <v>15</v>
      </c>
      <c r="AI25" s="5" t="str">
        <f>IF(L25="","",VLOOKUP($L25,classifications!$C:$J,8,FALSE))</f>
        <v>Unitary</v>
      </c>
      <c r="AJ25" s="42">
        <f t="shared" si="29"/>
        <v>96.644295302013433</v>
      </c>
      <c r="AK25" s="39">
        <f>IF(AJ25="","",IF(I$8="A",(RANK(AJ25,AJ$11:AJ$333,1)+COUNTIF(AJ$11:AJ25,AJ25)-1),(RANK(AJ25,AJ$11:AJ$333)+COUNTIF(AJ$11:AJ25,AJ25)-1)))</f>
        <v>15</v>
      </c>
      <c r="AL25" s="3">
        <f t="shared" si="16"/>
        <v>15</v>
      </c>
      <c r="AM25" t="str">
        <f t="shared" si="6"/>
        <v>East Riding of Yorkshire</v>
      </c>
      <c r="AN25">
        <f t="shared" si="7"/>
        <v>96.644295302013433</v>
      </c>
      <c r="AP25" s="5" t="str">
        <f>IF(L25="","",VLOOKUP($L25,classifications!$C:$E,3,FALSE))</f>
        <v>Yorkshire &amp; Humberside</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96.666666666666671</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90.740740740740748</v>
      </c>
      <c r="G26" s="15"/>
      <c r="H26" s="41">
        <f t="shared" si="1"/>
        <v>90.740740740740748</v>
      </c>
      <c r="I26" s="73">
        <f>IF(H26="","",IF($I$8="A",(RANK(H26,H$11:H$333,1)+COUNTIF(H$11:H26,H26)-1),(RANK(H26,H$11:H$333)+COUNTIF(H$11:H26,H26)-1)))</f>
        <v>33</v>
      </c>
      <c r="J26" s="40"/>
      <c r="K26" s="35">
        <f t="shared" si="10"/>
        <v>16</v>
      </c>
      <c r="L26" t="str">
        <f t="shared" si="2"/>
        <v>Swindon</v>
      </c>
      <c r="M26" s="109">
        <f t="shared" si="3"/>
        <v>96.428571428571431</v>
      </c>
      <c r="N26" s="104">
        <f t="shared" si="19"/>
        <v>96.428571428571431</v>
      </c>
      <c r="O26" s="89">
        <f t="shared" si="20"/>
        <v>96.428571428571431</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f>IF(I$8="A",(RANK(AG26,AG$11:AG$333,1)+COUNTIF(AG$11:AG26,AG26)-1),(RANK(AG26,AG$11:AG$333)+COUNTIF(AG$11:AG26,AG26)-1))</f>
        <v>16</v>
      </c>
      <c r="AF26" t="str">
        <f>VLOOKUP(Profile!$J$5,Families!$C:$R,2,FALSE)</f>
        <v>Cheshire West &amp; Chester</v>
      </c>
      <c r="AG26" s="15">
        <f t="shared" si="15"/>
        <v>91.111111111111114</v>
      </c>
      <c r="AH26" s="46">
        <f t="shared" si="28"/>
        <v>16</v>
      </c>
      <c r="AI26" s="5" t="str">
        <f>IF(L26="","",VLOOKUP($L26,classifications!$C:$J,8,FALSE))</f>
        <v>Unitary</v>
      </c>
      <c r="AJ26" s="42">
        <f t="shared" si="29"/>
        <v>96.428571428571431</v>
      </c>
      <c r="AK26" s="39">
        <f>IF(AJ26="","",IF(I$8="A",(RANK(AJ26,AJ$11:AJ$333,1)+COUNTIF(AJ$11:AJ26,AJ26)-1),(RANK(AJ26,AJ$11:AJ$333)+COUNTIF(AJ$11:AJ26,AJ26)-1)))</f>
        <v>16</v>
      </c>
      <c r="AL26" s="3">
        <f t="shared" si="16"/>
        <v>16</v>
      </c>
      <c r="AM26" t="str">
        <f t="shared" si="6"/>
        <v>Swindon</v>
      </c>
      <c r="AN26">
        <f t="shared" si="7"/>
        <v>96.428571428571431</v>
      </c>
      <c r="AP26" s="5" t="str">
        <f>IF(L26="","",VLOOKUP($L26,classifications!$C:$E,3,FALSE))</f>
        <v>South West</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90.740740740740748</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Milton Keynes</v>
      </c>
      <c r="M27" s="109">
        <f t="shared" si="3"/>
        <v>96.15384615384616</v>
      </c>
      <c r="N27" s="104">
        <f t="shared" si="19"/>
        <v>96.15384615384616</v>
      </c>
      <c r="O27" s="89" t="str">
        <f t="shared" si="20"/>
        <v/>
      </c>
      <c r="P27" s="89">
        <f t="shared" si="21"/>
        <v>96.15384615384616</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f>IF(I$8="A",(RANK(AG27,AG$11:AG$333,1)+COUNTIF(AG$11:AG27,AG27)-1),(RANK(AG27,AG$11:AG$333)+COUNTIF(AG$11:AG27,AG27)-1))</f>
        <v>17</v>
      </c>
      <c r="AF27" t="str">
        <f>VLOOKUP(Profile!$J$5,Families!$C:$R,2,FALSE)</f>
        <v>Cheshire West &amp; Chester</v>
      </c>
      <c r="AG27" s="15">
        <f t="shared" si="15"/>
        <v>91.111111111111114</v>
      </c>
      <c r="AH27" s="46">
        <f t="shared" si="28"/>
        <v>17</v>
      </c>
      <c r="AI27" s="5" t="str">
        <f>IF(L27="","",VLOOKUP($L27,classifications!$C:$J,8,FALSE))</f>
        <v>Unitary</v>
      </c>
      <c r="AJ27" s="42">
        <f t="shared" si="29"/>
        <v>96.15384615384616</v>
      </c>
      <c r="AK27" s="39">
        <f>IF(AJ27="","",IF(I$8="A",(RANK(AJ27,AJ$11:AJ$333,1)+COUNTIF(AJ$11:AJ27,AJ27)-1),(RANK(AJ27,AJ$11:AJ$333)+COUNTIF(AJ$11:AJ27,AJ27)-1)))</f>
        <v>17</v>
      </c>
      <c r="AL27" s="3">
        <f t="shared" si="16"/>
        <v>17</v>
      </c>
      <c r="AM27" t="str">
        <f t="shared" si="6"/>
        <v>Milton Keynes</v>
      </c>
      <c r="AN27">
        <f t="shared" si="7"/>
        <v>96.15384615384616</v>
      </c>
      <c r="AP27" s="5" t="str">
        <f>IF(L27="","",VLOOKUP($L27,classifications!$C:$E,3,FALSE))</f>
        <v>South East</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100</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95.683453237410077</v>
      </c>
      <c r="G28" s="15"/>
      <c r="H28" s="41" t="str">
        <f t="shared" si="1"/>
        <v/>
      </c>
      <c r="I28" s="73" t="str">
        <f>IF(H28="","",IF($I$8="A",(RANK(H28,H$11:H$333,1)+COUNTIF(H$11:H28,H28)-1),(RANK(H28,H$11:H$333)+COUNTIF(H$11:H28,H28)-1)))</f>
        <v/>
      </c>
      <c r="J28" s="40"/>
      <c r="K28" s="35">
        <f t="shared" si="10"/>
        <v>18</v>
      </c>
      <c r="L28" t="str">
        <f t="shared" si="2"/>
        <v>Cheshire East</v>
      </c>
      <c r="M28" s="109">
        <f t="shared" si="3"/>
        <v>96.078431372549019</v>
      </c>
      <c r="N28" s="104">
        <f t="shared" si="19"/>
        <v>96.078431372549019</v>
      </c>
      <c r="O28" s="89" t="str">
        <f t="shared" si="20"/>
        <v/>
      </c>
      <c r="P28" s="89">
        <f t="shared" si="21"/>
        <v>96.078431372549019</v>
      </c>
      <c r="Q28" s="89" t="str">
        <f t="shared" si="22"/>
        <v/>
      </c>
      <c r="R28" s="85" t="str">
        <f t="shared" si="23"/>
        <v/>
      </c>
      <c r="S28" s="41" t="str">
        <f t="shared" si="24"/>
        <v>u</v>
      </c>
      <c r="T28" s="166" t="str">
        <f>IF(L28="","",VLOOKUP(L28,classifications!C:K,9,FALSE))</f>
        <v>Sparse</v>
      </c>
      <c r="U28" s="167">
        <f t="shared" si="25"/>
        <v>96.078431372549019</v>
      </c>
      <c r="V28" s="173">
        <f>IF(U28="","",IF($I$8="A",(RANK(U28,U$11:U$333)+COUNTIF(U$11:U28,U28)-1),(RANK(U28,U$11:U$333,1)+COUNTIF(U$11:U28,U28)-1)))</f>
        <v>13</v>
      </c>
      <c r="W28" s="174"/>
      <c r="X28" s="5" t="str">
        <f>IF(L28="","",VLOOKUP($L28,classifications!$C:$J,6,FALSE))</f>
        <v>Urban with Significant Rural</v>
      </c>
      <c r="Y28">
        <f t="shared" si="26"/>
        <v>96.078431372549019</v>
      </c>
      <c r="Z28" s="39">
        <f>IF(Y28="","",IF(I$8="A",(RANK(Y28,Y$11:Y$333,1)+COUNTIF(Y$11:Y28,Y28)-1),(RANK(Y28,Y$11:Y$333)+COUNTIF(Y$11:Y28,Y28)-1)))</f>
        <v>6</v>
      </c>
      <c r="AA28" s="177" t="str">
        <f>IF(L28="","",VLOOKUP($L28,classifications!C:I,7,FALSE))</f>
        <v>Urban with Significant Rural</v>
      </c>
      <c r="AB28" s="173">
        <f t="shared" si="27"/>
        <v>96.078431372549019</v>
      </c>
      <c r="AC28" s="173">
        <f>IF(AB28="","",IF($I$8="A",(RANK(AB28,AB$11:AB$333)+COUNTIF(AB$11:AB28,AB28)-1),(RANK(AB28,AB$11:AB$333,1)+COUNTIF(AB$11:AB28,AB28)-1)))</f>
        <v>8</v>
      </c>
      <c r="AD28" s="173"/>
      <c r="AE28" s="45">
        <f>IF(I$8="A",(RANK(AG28,AG$11:AG$333,1)+COUNTIF(AG$11:AG28,AG28)-1),(RANK(AG28,AG$11:AG$333)+COUNTIF(AG$11:AG28,AG28)-1))</f>
        <v>18</v>
      </c>
      <c r="AF28" t="str">
        <f>VLOOKUP(Profile!$J$5,Families!$C:$R,2,FALSE)</f>
        <v>Cheshire West &amp; Chester</v>
      </c>
      <c r="AG28" s="15">
        <f t="shared" si="15"/>
        <v>91.111111111111114</v>
      </c>
      <c r="AH28" s="46">
        <f t="shared" si="28"/>
        <v>18</v>
      </c>
      <c r="AI28" s="5" t="str">
        <f>IF(L28="","",VLOOKUP($L28,classifications!$C:$J,8,FALSE))</f>
        <v>Unitary</v>
      </c>
      <c r="AJ28" s="42">
        <f t="shared" si="29"/>
        <v>96.078431372549019</v>
      </c>
      <c r="AK28" s="39">
        <f>IF(AJ28="","",IF(I$8="A",(RANK(AJ28,AJ$11:AJ$333,1)+COUNTIF(AJ$11:AJ28,AJ28)-1),(RANK(AJ28,AJ$11:AJ$333)+COUNTIF(AJ$11:AJ28,AJ28)-1)))</f>
        <v>18</v>
      </c>
      <c r="AL28" s="3">
        <f t="shared" si="16"/>
        <v>18</v>
      </c>
      <c r="AM28" t="str">
        <f t="shared" si="6"/>
        <v>Cheshire East</v>
      </c>
      <c r="AN28">
        <f t="shared" si="7"/>
        <v>96.078431372549019</v>
      </c>
      <c r="AP28" s="5" t="str">
        <f>IF(L28="","",VLOOKUP($L28,classifications!$C:$E,3,FALSE))</f>
        <v>North West</v>
      </c>
      <c r="AQ28" s="42">
        <f t="shared" si="30"/>
        <v>96.078431372549019</v>
      </c>
      <c r="AR28" s="39">
        <f>IF(AQ28="","",IF(I$8="A",(RANK(AQ28,AQ$11:AQ$333,1)+COUNTIF(AQ$11:AQ28,AQ28)-1),(RANK(AQ28,AQ$11:AQ$333)+COUNTIF(AQ$11:AQ28,AQ28)-1)))</f>
        <v>4</v>
      </c>
      <c r="AS28" s="3" t="str">
        <f t="shared" si="18"/>
        <v/>
      </c>
      <c r="AT28" s="39" t="str">
        <f t="shared" si="8"/>
        <v/>
      </c>
      <c r="AU28" s="42" t="str">
        <f t="shared" si="9"/>
        <v/>
      </c>
      <c r="AX28">
        <f>HLOOKUP($AX$9&amp;$AX$10,Data!$A$1:$ZT$1975,(MATCH($C28,Data!$A$1:$A$1975,0)),FALSE)</f>
        <v>95.683453237410077</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100</v>
      </c>
      <c r="G29" s="15"/>
      <c r="H29" s="41" t="str">
        <f t="shared" si="1"/>
        <v/>
      </c>
      <c r="I29" s="73" t="str">
        <f>IF(H29="","",IF($I$8="A",(RANK(H29,H$11:H$333,1)+COUNTIF(H$11:H29,H29)-1),(RANK(H29,H$11:H$333)+COUNTIF(H$11:H29,H29)-1)))</f>
        <v/>
      </c>
      <c r="J29" s="40"/>
      <c r="K29" s="35">
        <f t="shared" si="10"/>
        <v>19</v>
      </c>
      <c r="L29" t="str">
        <f t="shared" si="2"/>
        <v>Torbay</v>
      </c>
      <c r="M29" s="109">
        <f t="shared" si="3"/>
        <v>95.833333333333343</v>
      </c>
      <c r="N29" s="104">
        <f t="shared" si="19"/>
        <v>95.833333333333343</v>
      </c>
      <c r="O29" s="89" t="str">
        <f t="shared" si="20"/>
        <v/>
      </c>
      <c r="P29" s="89">
        <f t="shared" si="21"/>
        <v>95.833333333333343</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f>IF(I$8="A",(RANK(AG29,AG$11:AG$333,1)+COUNTIF(AG$11:AG29,AG29)-1),(RANK(AG29,AG$11:AG$333)+COUNTIF(AG$11:AG29,AG29)-1))</f>
        <v>19</v>
      </c>
      <c r="AF29" t="str">
        <f>VLOOKUP(Profile!$J$5,Families!$C:$R,2,FALSE)</f>
        <v>Cheshire West &amp; Chester</v>
      </c>
      <c r="AG29" s="15">
        <f t="shared" si="15"/>
        <v>91.111111111111114</v>
      </c>
      <c r="AH29" s="46">
        <f t="shared" si="28"/>
        <v>19</v>
      </c>
      <c r="AI29" s="5" t="str">
        <f>IF(L29="","",VLOOKUP($L29,classifications!$C:$J,8,FALSE))</f>
        <v>Unitary</v>
      </c>
      <c r="AJ29" s="42">
        <f t="shared" si="29"/>
        <v>95.833333333333343</v>
      </c>
      <c r="AK29" s="39">
        <f>IF(AJ29="","",IF(I$8="A",(RANK(AJ29,AJ$11:AJ$333,1)+COUNTIF(AJ$11:AJ29,AJ29)-1),(RANK(AJ29,AJ$11:AJ$333)+COUNTIF(AJ$11:AJ29,AJ29)-1)))</f>
        <v>19</v>
      </c>
      <c r="AL29" s="3">
        <f t="shared" si="16"/>
        <v>19</v>
      </c>
      <c r="AM29" t="str">
        <f t="shared" si="6"/>
        <v>Torbay</v>
      </c>
      <c r="AN29">
        <f t="shared" si="7"/>
        <v>95.833333333333343</v>
      </c>
      <c r="AP29" s="5" t="str">
        <f>IF(L29="","",VLOOKUP($L29,classifications!$C:$E,3,FALSE))</f>
        <v>South West</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100</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100</v>
      </c>
      <c r="G30" s="15"/>
      <c r="H30" s="41">
        <f t="shared" si="1"/>
        <v>100</v>
      </c>
      <c r="I30" s="73">
        <f>IF(H30="","",IF($I$8="A",(RANK(H30,H$11:H$333,1)+COUNTIF(H$11:H30,H30)-1),(RANK(H30,H$11:H$333)+COUNTIF(H$11:H30,H30)-1)))</f>
        <v>2</v>
      </c>
      <c r="J30" s="40"/>
      <c r="K30" s="35">
        <f t="shared" si="10"/>
        <v>20</v>
      </c>
      <c r="L30" t="str">
        <f t="shared" si="2"/>
        <v>Reading</v>
      </c>
      <c r="M30" s="109">
        <f t="shared" si="3"/>
        <v>95.238095238095227</v>
      </c>
      <c r="N30" s="104">
        <f t="shared" si="19"/>
        <v>95.238095238095227</v>
      </c>
      <c r="O30" s="89" t="str">
        <f t="shared" si="20"/>
        <v/>
      </c>
      <c r="P30" s="89">
        <f t="shared" si="21"/>
        <v>95.238095238095227</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91.111111111111114</v>
      </c>
      <c r="AH30" s="46">
        <f t="shared" si="28"/>
        <v>20</v>
      </c>
      <c r="AI30" s="5" t="str">
        <f>IF(L30="","",VLOOKUP($L30,classifications!$C:$J,8,FALSE))</f>
        <v>Unitary</v>
      </c>
      <c r="AJ30" s="42">
        <f t="shared" si="29"/>
        <v>95.238095238095227</v>
      </c>
      <c r="AK30" s="39">
        <f>IF(AJ30="","",IF(I$8="A",(RANK(AJ30,AJ$11:AJ$333,1)+COUNTIF(AJ$11:AJ30,AJ30)-1),(RANK(AJ30,AJ$11:AJ$333)+COUNTIF(AJ$11:AJ30,AJ30)-1)))</f>
        <v>20</v>
      </c>
      <c r="AL30" s="3">
        <f t="shared" si="16"/>
        <v>20</v>
      </c>
      <c r="AM30" t="str">
        <f t="shared" si="6"/>
        <v>Reading</v>
      </c>
      <c r="AN30">
        <f t="shared" si="7"/>
        <v>95.238095238095227</v>
      </c>
      <c r="AP30" s="5" t="str">
        <f>IF(L30="","",VLOOKUP($L30,classifications!$C:$E,3,FALSE))</f>
        <v>South East</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100</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95</v>
      </c>
      <c r="G31" s="15"/>
      <c r="H31" s="41">
        <f t="shared" si="1"/>
        <v>95</v>
      </c>
      <c r="I31" s="73">
        <f>IF(H31="","",IF($I$8="A",(RANK(H31,H$11:H$333,1)+COUNTIF(H$11:H31,H31)-1),(RANK(H31,H$11:H$333)+COUNTIF(H$11:H31,H31)-1)))</f>
        <v>22</v>
      </c>
      <c r="J31" s="40"/>
      <c r="K31" s="35">
        <f t="shared" si="10"/>
        <v>21</v>
      </c>
      <c r="L31" t="str">
        <f t="shared" si="2"/>
        <v>Slough</v>
      </c>
      <c r="M31" s="109">
        <f t="shared" si="3"/>
        <v>95.238095238095227</v>
      </c>
      <c r="N31" s="104">
        <f t="shared" si="19"/>
        <v>95.238095238095227</v>
      </c>
      <c r="O31" s="89" t="str">
        <f t="shared" si="20"/>
        <v/>
      </c>
      <c r="P31" s="89">
        <f t="shared" si="21"/>
        <v>95.238095238095227</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21</v>
      </c>
      <c r="AF31" t="str">
        <f>VLOOKUP(Profile!$J$5,Families!$C:$R,2,FALSE)</f>
        <v>Cheshire West &amp; Chester</v>
      </c>
      <c r="AG31" s="15">
        <f t="shared" si="15"/>
        <v>91.111111111111114</v>
      </c>
      <c r="AH31" s="46">
        <f t="shared" si="28"/>
        <v>21</v>
      </c>
      <c r="AI31" s="5" t="str">
        <f>IF(L31="","",VLOOKUP($L31,classifications!$C:$J,8,FALSE))</f>
        <v>Unitary</v>
      </c>
      <c r="AJ31" s="42">
        <f t="shared" si="29"/>
        <v>95.238095238095227</v>
      </c>
      <c r="AK31" s="39">
        <f>IF(AJ31="","",IF(I$8="A",(RANK(AJ31,AJ$11:AJ$333,1)+COUNTIF(AJ$11:AJ31,AJ31)-1),(RANK(AJ31,AJ$11:AJ$333)+COUNTIF(AJ$11:AJ31,AJ31)-1)))</f>
        <v>21</v>
      </c>
      <c r="AL31" s="3">
        <f t="shared" si="16"/>
        <v>21</v>
      </c>
      <c r="AM31" t="str">
        <f t="shared" si="6"/>
        <v>Slough</v>
      </c>
      <c r="AN31">
        <f t="shared" si="7"/>
        <v>95.238095238095227</v>
      </c>
      <c r="AP31" s="5" t="str">
        <f>IF(L31="","",VLOOKUP($L31,classifications!$C:$E,3,FALSE))</f>
        <v>South East</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95</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100</v>
      </c>
      <c r="G32" s="15"/>
      <c r="H32" s="41" t="str">
        <f t="shared" si="1"/>
        <v/>
      </c>
      <c r="I32" s="73" t="str">
        <f>IF(H32="","",IF($I$8="A",(RANK(H32,H$11:H$333,1)+COUNTIF(H$11:H32,H32)-1),(RANK(H32,H$11:H$333)+COUNTIF(H$11:H32,H32)-1)))</f>
        <v/>
      </c>
      <c r="J32" s="40"/>
      <c r="K32" s="35">
        <f t="shared" si="10"/>
        <v>22</v>
      </c>
      <c r="L32" t="str">
        <f t="shared" si="2"/>
        <v>Blackpool</v>
      </c>
      <c r="M32" s="109">
        <f t="shared" si="3"/>
        <v>95</v>
      </c>
      <c r="N32" s="104">
        <f t="shared" si="19"/>
        <v>95</v>
      </c>
      <c r="O32" s="89" t="str">
        <f t="shared" si="20"/>
        <v/>
      </c>
      <c r="P32" s="89">
        <f t="shared" si="21"/>
        <v>95</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f>IF(I$8="A",(RANK(AG32,AG$11:AG$333,1)+COUNTIF(AG$11:AG32,AG32)-1),(RANK(AG32,AG$11:AG$333)+COUNTIF(AG$11:AG32,AG32)-1))</f>
        <v>22</v>
      </c>
      <c r="AF32" t="str">
        <f>VLOOKUP(Profile!$J$5,Families!$C:$R,2,FALSE)</f>
        <v>Cheshire West &amp; Chester</v>
      </c>
      <c r="AG32" s="15">
        <f t="shared" si="15"/>
        <v>91.111111111111114</v>
      </c>
      <c r="AH32" s="46">
        <f t="shared" si="28"/>
        <v>22</v>
      </c>
      <c r="AI32" s="5" t="str">
        <f>IF(L32="","",VLOOKUP($L32,classifications!$C:$J,8,FALSE))</f>
        <v>Unitary</v>
      </c>
      <c r="AJ32" s="42">
        <f t="shared" si="29"/>
        <v>95</v>
      </c>
      <c r="AK32" s="39">
        <f>IF(AJ32="","",IF(I$8="A",(RANK(AJ32,AJ$11:AJ$333,1)+COUNTIF(AJ$11:AJ32,AJ32)-1),(RANK(AJ32,AJ$11:AJ$333)+COUNTIF(AJ$11:AJ32,AJ32)-1)))</f>
        <v>22</v>
      </c>
      <c r="AL32" s="3">
        <f t="shared" si="16"/>
        <v>22</v>
      </c>
      <c r="AM32" t="str">
        <f t="shared" si="6"/>
        <v>Blackpool</v>
      </c>
      <c r="AN32">
        <f t="shared" si="7"/>
        <v>95</v>
      </c>
      <c r="AP32" s="5" t="str">
        <f>IF(L32="","",VLOOKUP($L32,classifications!$C:$E,3,FALSE))</f>
        <v>North West</v>
      </c>
      <c r="AQ32" s="42">
        <f t="shared" si="30"/>
        <v>95</v>
      </c>
      <c r="AR32" s="39">
        <f>IF(AQ32="","",IF(I$8="A",(RANK(AQ32,AQ$11:AQ$333,1)+COUNTIF(AQ$11:AQ32,AQ32)-1),(RANK(AQ32,AQ$11:AQ$333)+COUNTIF(AQ$11:AQ32,AQ32)-1)))</f>
        <v>5</v>
      </c>
      <c r="AS32" s="3" t="str">
        <f t="shared" si="18"/>
        <v/>
      </c>
      <c r="AT32" s="39" t="str">
        <f t="shared" si="8"/>
        <v/>
      </c>
      <c r="AU32" s="42" t="str">
        <f t="shared" si="9"/>
        <v/>
      </c>
      <c r="AX32">
        <f>HLOOKUP($AX$9&amp;$AX$10,Data!$A$1:$ZT$1975,(MATCH($C32,Data!$A$1:$A$1975,0)),FALSE)</f>
        <v>100</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90.476190476190482</v>
      </c>
      <c r="G33" s="15"/>
      <c r="H33" s="41" t="str">
        <f t="shared" si="1"/>
        <v/>
      </c>
      <c r="I33" s="73" t="str">
        <f>IF(H33="","",IF($I$8="A",(RANK(H33,H$11:H$333,1)+COUNTIF(H$11:H33,H33)-1),(RANK(H33,H$11:H$333)+COUNTIF(H$11:H33,H33)-1)))</f>
        <v/>
      </c>
      <c r="J33" s="40"/>
      <c r="K33" s="35">
        <f t="shared" si="10"/>
        <v>23</v>
      </c>
      <c r="L33" t="str">
        <f t="shared" si="2"/>
        <v>Thurrock</v>
      </c>
      <c r="M33" s="109">
        <f t="shared" si="3"/>
        <v>94.871794871794862</v>
      </c>
      <c r="N33" s="104">
        <f t="shared" si="19"/>
        <v>94.871794871794862</v>
      </c>
      <c r="O33" s="89" t="str">
        <f t="shared" si="20"/>
        <v/>
      </c>
      <c r="P33" s="89">
        <f t="shared" si="21"/>
        <v>94.871794871794862</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91.111111111111114</v>
      </c>
      <c r="AH33" s="46">
        <f t="shared" si="28"/>
        <v>23</v>
      </c>
      <c r="AI33" s="5" t="str">
        <f>IF(L33="","",VLOOKUP($L33,classifications!$C:$J,8,FALSE))</f>
        <v>Unitary</v>
      </c>
      <c r="AJ33" s="42">
        <f t="shared" si="29"/>
        <v>94.871794871794862</v>
      </c>
      <c r="AK33" s="39">
        <f>IF(AJ33="","",IF(I$8="A",(RANK(AJ33,AJ$11:AJ$333,1)+COUNTIF(AJ$11:AJ33,AJ33)-1),(RANK(AJ33,AJ$11:AJ$333)+COUNTIF(AJ$11:AJ33,AJ33)-1)))</f>
        <v>23</v>
      </c>
      <c r="AL33" s="3">
        <f t="shared" si="16"/>
        <v>23</v>
      </c>
      <c r="AM33" t="str">
        <f t="shared" si="6"/>
        <v>Thurrock</v>
      </c>
      <c r="AN33">
        <f t="shared" si="7"/>
        <v>94.871794871794862</v>
      </c>
      <c r="AP33" s="5" t="str">
        <f>IF(L33="","",VLOOKUP($L33,classifications!$C:$E,3,FALSE))</f>
        <v>East of England</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90.476190476190482</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91.428571428571431</v>
      </c>
      <c r="G34" s="15"/>
      <c r="H34" s="41" t="str">
        <f t="shared" si="1"/>
        <v/>
      </c>
      <c r="I34" s="73" t="str">
        <f>IF(H34="","",IF($I$8="A",(RANK(H34,H$11:H$333,1)+COUNTIF(H$11:H34,H34)-1),(RANK(H34,H$11:H$333)+COUNTIF(H$11:H34,H34)-1)))</f>
        <v/>
      </c>
      <c r="J34" s="40"/>
      <c r="K34" s="35">
        <f t="shared" si="10"/>
        <v>24</v>
      </c>
      <c r="L34" t="str">
        <f t="shared" si="2"/>
        <v>Derby</v>
      </c>
      <c r="M34" s="109">
        <f t="shared" si="3"/>
        <v>94.594594594594597</v>
      </c>
      <c r="N34" s="104">
        <f t="shared" si="19"/>
        <v>94.594594594594597</v>
      </c>
      <c r="O34" s="89" t="str">
        <f t="shared" si="20"/>
        <v/>
      </c>
      <c r="P34" s="89">
        <f t="shared" si="21"/>
        <v>94.594594594594597</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f>IF(I$8="A",(RANK(AG34,AG$11:AG$333,1)+COUNTIF(AG$11:AG34,AG34)-1),(RANK(AG34,AG$11:AG$333)+COUNTIF(AG$11:AG34,AG34)-1))</f>
        <v>24</v>
      </c>
      <c r="AF34" t="str">
        <f>VLOOKUP(Profile!$J$5,Families!$C:$R,2,FALSE)</f>
        <v>Cheshire West &amp; Chester</v>
      </c>
      <c r="AG34" s="15">
        <f t="shared" si="15"/>
        <v>91.111111111111114</v>
      </c>
      <c r="AH34" s="46">
        <f t="shared" si="28"/>
        <v>24</v>
      </c>
      <c r="AI34" s="5" t="str">
        <f>IF(L34="","",VLOOKUP($L34,classifications!$C:$J,8,FALSE))</f>
        <v>Unitary</v>
      </c>
      <c r="AJ34" s="42">
        <f t="shared" si="29"/>
        <v>94.594594594594597</v>
      </c>
      <c r="AK34" s="39">
        <f>IF(AJ34="","",IF(I$8="A",(RANK(AJ34,AJ$11:AJ$333,1)+COUNTIF(AJ$11:AJ34,AJ34)-1),(RANK(AJ34,AJ$11:AJ$333)+COUNTIF(AJ$11:AJ34,AJ34)-1)))</f>
        <v>24</v>
      </c>
      <c r="AL34" s="3">
        <f t="shared" si="16"/>
        <v>24</v>
      </c>
      <c r="AM34" t="str">
        <f t="shared" si="6"/>
        <v>Derby</v>
      </c>
      <c r="AN34">
        <f t="shared" si="7"/>
        <v>94.594594594594597</v>
      </c>
      <c r="AP34" s="5" t="str">
        <f>IF(L34="","",VLOOKUP($L34,classifications!$C:$E,3,FALSE))</f>
        <v>East Midlands</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91.428571428571431</v>
      </c>
    </row>
    <row r="35" spans="1:50">
      <c r="A35" s="55" t="str">
        <f>$D$1&amp;25</f>
        <v>UA25</v>
      </c>
      <c r="B35" s="56">
        <f>IF(ISERROR(VLOOKUP(A35,classifications!A:C,3,FALSE)),0,VLOOKUP(A35,classifications!A:C,3,FALSE))</f>
        <v>0</v>
      </c>
      <c r="C35" t="s">
        <v>896</v>
      </c>
      <c r="D35" t="str">
        <f>VLOOKUP($C35,classifications!$C:$J,4,FALSE)</f>
        <v>UA</v>
      </c>
      <c r="E35">
        <f>VLOOKUP(C35,classifications!C:K,9,FALSE)</f>
        <v>0</v>
      </c>
      <c r="F35">
        <f t="shared" si="0"/>
        <v>82.242990654205599</v>
      </c>
      <c r="G35" s="15"/>
      <c r="H35" s="41">
        <f t="shared" si="1"/>
        <v>82.242990654205599</v>
      </c>
      <c r="I35" s="73">
        <f>IF(H35="","",IF($I$8="A",(RANK(H35,H$11:H$333,1)+COUNTIF(H$11:H35,H35)-1),(RANK(H35,H$11:H$333)+COUNTIF(H$11:H35,H35)-1)))</f>
        <v>48</v>
      </c>
      <c r="J35" s="40"/>
      <c r="K35" s="35">
        <f t="shared" si="10"/>
        <v>25</v>
      </c>
      <c r="L35" t="str">
        <f t="shared" si="2"/>
        <v>Bristol</v>
      </c>
      <c r="M35" s="109">
        <f t="shared" si="3"/>
        <v>94.545454545454547</v>
      </c>
      <c r="N35" s="104">
        <f t="shared" si="19"/>
        <v>94.545454545454547</v>
      </c>
      <c r="O35" s="89" t="str">
        <f t="shared" si="20"/>
        <v/>
      </c>
      <c r="P35" s="89">
        <f t="shared" si="21"/>
        <v>94.545454545454547</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f>IF(I$8="A",(RANK(AG35,AG$11:AG$333,1)+COUNTIF(AG$11:AG35,AG35)-1),(RANK(AG35,AG$11:AG$333)+COUNTIF(AG$11:AG35,AG35)-1))</f>
        <v>25</v>
      </c>
      <c r="AF35" t="str">
        <f>VLOOKUP(Profile!$J$5,Families!$C:$R,2,FALSE)</f>
        <v>Cheshire West &amp; Chester</v>
      </c>
      <c r="AG35" s="15">
        <f t="shared" si="15"/>
        <v>91.111111111111114</v>
      </c>
      <c r="AH35" s="46">
        <f t="shared" si="28"/>
        <v>25</v>
      </c>
      <c r="AI35" s="5" t="str">
        <f>IF(L35="","",VLOOKUP($L35,classifications!$C:$J,8,FALSE))</f>
        <v>Unitary</v>
      </c>
      <c r="AJ35" s="42">
        <f t="shared" si="29"/>
        <v>94.545454545454547</v>
      </c>
      <c r="AK35" s="39">
        <f>IF(AJ35="","",IF(I$8="A",(RANK(AJ35,AJ$11:AJ$333,1)+COUNTIF(AJ$11:AJ35,AJ35)-1),(RANK(AJ35,AJ$11:AJ$333)+COUNTIF(AJ$11:AJ35,AJ35)-1)))</f>
        <v>25</v>
      </c>
      <c r="AL35" s="3">
        <f t="shared" si="16"/>
        <v>25</v>
      </c>
      <c r="AM35" t="str">
        <f t="shared" si="6"/>
        <v>Bristol</v>
      </c>
      <c r="AN35">
        <f t="shared" si="7"/>
        <v>94.545454545454547</v>
      </c>
      <c r="AP35" s="5" t="str">
        <f>IF(L35="","",VLOOKUP($L35,classifications!$C:$E,3,FALSE))</f>
        <v>South West</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82.242990654205599</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88.888888888888886</v>
      </c>
      <c r="G36" s="15"/>
      <c r="H36" s="41">
        <f t="shared" si="1"/>
        <v>88.888888888888886</v>
      </c>
      <c r="I36" s="73">
        <f>IF(H36="","",IF($I$8="A",(RANK(H36,H$11:H$333,1)+COUNTIF(H$11:H36,H36)-1),(RANK(H36,H$11:H$333)+COUNTIF(H$11:H36,H36)-1)))</f>
        <v>38</v>
      </c>
      <c r="J36" s="40"/>
      <c r="K36" s="35">
        <f t="shared" si="10"/>
        <v>26</v>
      </c>
      <c r="L36" t="str">
        <f t="shared" si="2"/>
        <v>South Gloucestershire</v>
      </c>
      <c r="M36" s="109">
        <f t="shared" si="3"/>
        <v>94.20289855072464</v>
      </c>
      <c r="N36" s="104">
        <f t="shared" si="19"/>
        <v>94.20289855072464</v>
      </c>
      <c r="O36" s="89" t="str">
        <f t="shared" si="20"/>
        <v/>
      </c>
      <c r="P36" s="89">
        <f t="shared" si="21"/>
        <v>94.20289855072464</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f>IF(I$8="A",(RANK(AG36,AG$11:AG$333,1)+COUNTIF(AG$11:AG36,AG36)-1),(RANK(AG36,AG$11:AG$333)+COUNTIF(AG$11:AG36,AG36)-1))</f>
        <v>26</v>
      </c>
      <c r="AF36" t="str">
        <f>VLOOKUP(Profile!$J$5,Families!$C:$R,2,FALSE)</f>
        <v>Cheshire West &amp; Chester</v>
      </c>
      <c r="AG36" s="15">
        <f t="shared" si="15"/>
        <v>91.111111111111114</v>
      </c>
      <c r="AH36" s="46">
        <f t="shared" si="28"/>
        <v>26</v>
      </c>
      <c r="AI36" s="5" t="str">
        <f>IF(L36="","",VLOOKUP($L36,classifications!$C:$J,8,FALSE))</f>
        <v>Unitary</v>
      </c>
      <c r="AJ36" s="42">
        <f t="shared" si="29"/>
        <v>94.20289855072464</v>
      </c>
      <c r="AK36" s="39">
        <f>IF(AJ36="","",IF(I$8="A",(RANK(AJ36,AJ$11:AJ$333,1)+COUNTIF(AJ$11:AJ36,AJ36)-1),(RANK(AJ36,AJ$11:AJ$333)+COUNTIF(AJ$11:AJ36,AJ36)-1)))</f>
        <v>26</v>
      </c>
      <c r="AL36" s="3">
        <f t="shared" si="16"/>
        <v>26</v>
      </c>
      <c r="AM36" t="str">
        <f t="shared" si="6"/>
        <v>South Gloucestershire</v>
      </c>
      <c r="AN36">
        <f t="shared" si="7"/>
        <v>94.20289855072464</v>
      </c>
      <c r="AP36" s="5" t="str">
        <f>IF(L36="","",VLOOKUP($L36,classifications!$C:$E,3,FALSE))</f>
        <v>South West</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88.888888888888886</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68.421052631578945</v>
      </c>
      <c r="G37" s="15"/>
      <c r="H37" s="41" t="str">
        <f t="shared" si="1"/>
        <v/>
      </c>
      <c r="I37" s="73" t="str">
        <f>IF(H37="","",IF($I$8="A",(RANK(H37,H$11:H$333,1)+COUNTIF(H$11:H37,H37)-1),(RANK(H37,H$11:H$333)+COUNTIF(H$11:H37,H37)-1)))</f>
        <v/>
      </c>
      <c r="J37" s="40"/>
      <c r="K37" s="35">
        <f t="shared" si="10"/>
        <v>27</v>
      </c>
      <c r="L37" t="str">
        <f t="shared" si="2"/>
        <v>Plymouth</v>
      </c>
      <c r="M37" s="109">
        <f t="shared" si="3"/>
        <v>93.548387096774192</v>
      </c>
      <c r="N37" s="104">
        <f t="shared" si="19"/>
        <v>93.548387096774192</v>
      </c>
      <c r="O37" s="89" t="str">
        <f t="shared" si="20"/>
        <v/>
      </c>
      <c r="P37" s="89">
        <f t="shared" si="21"/>
        <v>93.548387096774192</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91.111111111111114</v>
      </c>
      <c r="AH37" s="46">
        <f t="shared" si="28"/>
        <v>27</v>
      </c>
      <c r="AI37" s="5" t="str">
        <f>IF(L37="","",VLOOKUP($L37,classifications!$C:$J,8,FALSE))</f>
        <v>Unitary</v>
      </c>
      <c r="AJ37" s="42">
        <f t="shared" si="29"/>
        <v>93.548387096774192</v>
      </c>
      <c r="AK37" s="39">
        <f>IF(AJ37="","",IF(I$8="A",(RANK(AJ37,AJ$11:AJ$333,1)+COUNTIF(AJ$11:AJ37,AJ37)-1),(RANK(AJ37,AJ$11:AJ$333)+COUNTIF(AJ$11:AJ37,AJ37)-1)))</f>
        <v>27</v>
      </c>
      <c r="AL37" s="3">
        <f t="shared" si="16"/>
        <v>27</v>
      </c>
      <c r="AM37" t="str">
        <f t="shared" si="6"/>
        <v>Plymouth</v>
      </c>
      <c r="AN37">
        <f t="shared" si="7"/>
        <v>93.548387096774192</v>
      </c>
      <c r="AP37" s="5" t="str">
        <f>IF(L37="","",VLOOKUP($L37,classifications!$C:$E,3,FALSE))</f>
        <v>South West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68.421052631578945</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93.650793650793645</v>
      </c>
      <c r="G38" s="15"/>
      <c r="H38" s="41" t="str">
        <f t="shared" si="1"/>
        <v/>
      </c>
      <c r="I38" s="73" t="str">
        <f>IF(H38="","",IF($I$8="A",(RANK(H38,H$11:H$333,1)+COUNTIF(H$11:H38,H38)-1),(RANK(H38,H$11:H$333)+COUNTIF(H$11:H38,H38)-1)))</f>
        <v/>
      </c>
      <c r="J38" s="40"/>
      <c r="K38" s="35">
        <f t="shared" si="10"/>
        <v>28</v>
      </c>
      <c r="L38" t="str">
        <f t="shared" si="2"/>
        <v>Peterborough</v>
      </c>
      <c r="M38" s="109">
        <f t="shared" si="3"/>
        <v>93.181818181818173</v>
      </c>
      <c r="N38" s="104">
        <f t="shared" si="19"/>
        <v>93.181818181818173</v>
      </c>
      <c r="O38" s="89" t="str">
        <f t="shared" si="20"/>
        <v/>
      </c>
      <c r="P38" s="89">
        <f t="shared" si="21"/>
        <v>93.181818181818173</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f>IF(I$8="A",(RANK(AG38,AG$11:AG$333,1)+COUNTIF(AG$11:AG38,AG38)-1),(RANK(AG38,AG$11:AG$333)+COUNTIF(AG$11:AG38,AG38)-1))</f>
        <v>28</v>
      </c>
      <c r="AF38" t="str">
        <f>VLOOKUP(Profile!$J$5,Families!$C:$R,2,FALSE)</f>
        <v>Cheshire West &amp; Chester</v>
      </c>
      <c r="AG38" s="15">
        <f t="shared" si="15"/>
        <v>91.111111111111114</v>
      </c>
      <c r="AH38" s="46">
        <f t="shared" si="28"/>
        <v>28</v>
      </c>
      <c r="AI38" s="5" t="str">
        <f>IF(L38="","",VLOOKUP($L38,classifications!$C:$J,8,FALSE))</f>
        <v>Unitary</v>
      </c>
      <c r="AJ38" s="42">
        <f t="shared" si="29"/>
        <v>93.181818181818173</v>
      </c>
      <c r="AK38" s="39">
        <f>IF(AJ38="","",IF(I$8="A",(RANK(AJ38,AJ$11:AJ$333,1)+COUNTIF(AJ$11:AJ38,AJ38)-1),(RANK(AJ38,AJ$11:AJ$333)+COUNTIF(AJ$11:AJ38,AJ38)-1)))</f>
        <v>28</v>
      </c>
      <c r="AL38" s="3">
        <f t="shared" si="16"/>
        <v>28</v>
      </c>
      <c r="AM38" t="str">
        <f t="shared" si="6"/>
        <v>Peterborough</v>
      </c>
      <c r="AN38">
        <f t="shared" si="7"/>
        <v>93.181818181818173</v>
      </c>
      <c r="AP38" s="5" t="str">
        <f>IF(L38="","",VLOOKUP($L38,classifications!$C:$E,3,FALSE))</f>
        <v>East of England</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93.650793650793645</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88.709677419354833</v>
      </c>
      <c r="G39" s="15"/>
      <c r="H39" s="41" t="str">
        <f t="shared" si="1"/>
        <v/>
      </c>
      <c r="I39" s="73" t="str">
        <f>IF(H39="","",IF($I$8="A",(RANK(H39,H$11:H$333,1)+COUNTIF(H$11:H39,H39)-1),(RANK(H39,H$11:H$333)+COUNTIF(H$11:H39,H39)-1)))</f>
        <v/>
      </c>
      <c r="J39" s="40"/>
      <c r="K39" s="35">
        <f t="shared" si="10"/>
        <v>29</v>
      </c>
      <c r="L39" t="str">
        <f t="shared" si="2"/>
        <v>York</v>
      </c>
      <c r="M39" s="109">
        <f t="shared" si="3"/>
        <v>92.307692307692307</v>
      </c>
      <c r="N39" s="104">
        <f t="shared" si="19"/>
        <v>92.307692307692307</v>
      </c>
      <c r="O39" s="89" t="str">
        <f t="shared" si="20"/>
        <v/>
      </c>
      <c r="P39" s="89">
        <f t="shared" si="21"/>
        <v>92.307692307692307</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91.111111111111114</v>
      </c>
      <c r="AH39" s="46">
        <f t="shared" si="28"/>
        <v>29</v>
      </c>
      <c r="AI39" s="5" t="str">
        <f>IF(L39="","",VLOOKUP($L39,classifications!$C:$J,8,FALSE))</f>
        <v>Unitary</v>
      </c>
      <c r="AJ39" s="42">
        <f t="shared" si="29"/>
        <v>92.307692307692307</v>
      </c>
      <c r="AK39" s="39">
        <f>IF(AJ39="","",IF(I$8="A",(RANK(AJ39,AJ$11:AJ$333,1)+COUNTIF(AJ$11:AJ39,AJ39)-1),(RANK(AJ39,AJ$11:AJ$333)+COUNTIF(AJ$11:AJ39,AJ39)-1)))</f>
        <v>29</v>
      </c>
      <c r="AL39" s="3">
        <f t="shared" si="16"/>
        <v>29</v>
      </c>
      <c r="AM39" t="str">
        <f t="shared" si="6"/>
        <v>York</v>
      </c>
      <c r="AN39">
        <f t="shared" si="7"/>
        <v>92.307692307692307</v>
      </c>
      <c r="AP39" s="5" t="str">
        <f>IF(L39="","",VLOOKUP($L39,classifications!$C:$E,3,FALSE))</f>
        <v>Yorkshire &amp; Humberside</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88.709677419354833</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96.428571428571431</v>
      </c>
      <c r="G40" s="15"/>
      <c r="H40" s="41" t="str">
        <f t="shared" si="1"/>
        <v/>
      </c>
      <c r="I40" s="73" t="str">
        <f>IF(H40="","",IF($I$8="A",(RANK(H40,H$11:H$333,1)+COUNTIF(H$11:H40,H40)-1),(RANK(H40,H$11:H$333)+COUNTIF(H$11:H40,H40)-1)))</f>
        <v/>
      </c>
      <c r="J40" s="40"/>
      <c r="K40" s="35">
        <f t="shared" si="10"/>
        <v>30</v>
      </c>
      <c r="L40" t="str">
        <f t="shared" si="2"/>
        <v>Leicester</v>
      </c>
      <c r="M40" s="109">
        <f t="shared" si="3"/>
        <v>91.489361702127653</v>
      </c>
      <c r="N40" s="104">
        <f t="shared" si="19"/>
        <v>91.489361702127653</v>
      </c>
      <c r="O40" s="89" t="str">
        <f t="shared" si="20"/>
        <v/>
      </c>
      <c r="P40" s="89">
        <f t="shared" si="21"/>
        <v>91.489361702127653</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f>IF(I$8="A",(RANK(AG40,AG$11:AG$333,1)+COUNTIF(AG$11:AG40,AG40)-1),(RANK(AG40,AG$11:AG$333)+COUNTIF(AG$11:AG40,AG40)-1))</f>
        <v>30</v>
      </c>
      <c r="AF40" t="str">
        <f>VLOOKUP(Profile!$J$5,Families!$C:$R,2,FALSE)</f>
        <v>Cheshire West &amp; Chester</v>
      </c>
      <c r="AG40" s="15">
        <f t="shared" si="15"/>
        <v>91.111111111111114</v>
      </c>
      <c r="AH40" s="46">
        <f t="shared" si="28"/>
        <v>30</v>
      </c>
      <c r="AI40" s="5" t="str">
        <f>IF(L40="","",VLOOKUP($L40,classifications!$C:$J,8,FALSE))</f>
        <v>Unitary</v>
      </c>
      <c r="AJ40" s="42">
        <f t="shared" si="29"/>
        <v>91.489361702127653</v>
      </c>
      <c r="AK40" s="39">
        <f>IF(AJ40="","",IF(I$8="A",(RANK(AJ40,AJ$11:AJ$333,1)+COUNTIF(AJ$11:AJ40,AJ40)-1),(RANK(AJ40,AJ$11:AJ$333)+COUNTIF(AJ$11:AJ40,AJ40)-1)))</f>
        <v>30</v>
      </c>
      <c r="AL40" s="3">
        <f t="shared" si="16"/>
        <v>30</v>
      </c>
      <c r="AM40" t="str">
        <f t="shared" si="6"/>
        <v>Leicester</v>
      </c>
      <c r="AN40">
        <f t="shared" si="7"/>
        <v>91.489361702127653</v>
      </c>
      <c r="AP40" s="5" t="str">
        <f>IF(L40="","",VLOOKUP($L40,classifications!$C:$E,3,FALSE))</f>
        <v>East Midlands</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96.428571428571431</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100</v>
      </c>
      <c r="G41" s="15"/>
      <c r="H41" s="41" t="str">
        <f t="shared" si="1"/>
        <v/>
      </c>
      <c r="I41" s="73" t="str">
        <f>IF(H41="","",IF($I$8="A",(RANK(H41,H$11:H$333,1)+COUNTIF(H$11:H41,H41)-1),(RANK(H41,H$11:H$333)+COUNTIF(H$11:H41,H41)-1)))</f>
        <v/>
      </c>
      <c r="J41" s="40"/>
      <c r="K41" s="35">
        <f t="shared" si="10"/>
        <v>31</v>
      </c>
      <c r="L41" t="str">
        <f t="shared" si="2"/>
        <v>Rutland</v>
      </c>
      <c r="M41" s="109">
        <f t="shared" si="3"/>
        <v>91.17647058823529</v>
      </c>
      <c r="N41" s="104">
        <f t="shared" si="19"/>
        <v>91.17647058823529</v>
      </c>
      <c r="O41" s="89" t="str">
        <f t="shared" si="20"/>
        <v/>
      </c>
      <c r="P41" s="89">
        <f t="shared" si="21"/>
        <v>91.17647058823529</v>
      </c>
      <c r="Q41" s="89" t="str">
        <f t="shared" si="22"/>
        <v/>
      </c>
      <c r="R41" s="85" t="str">
        <f t="shared" si="23"/>
        <v/>
      </c>
      <c r="S41" s="41" t="str">
        <f t="shared" si="24"/>
        <v/>
      </c>
      <c r="T41" s="166" t="str">
        <f>IF(L41="","",VLOOKUP(L41,classifications!C:K,9,FALSE))</f>
        <v>Sparse</v>
      </c>
      <c r="U41" s="167">
        <f t="shared" si="25"/>
        <v>91.17647058823529</v>
      </c>
      <c r="V41" s="173">
        <f>IF(U41="","",IF($I$8="A",(RANK(U41,U$11:U$333)+COUNTIF(U$11:U41,U41)-1),(RANK(U41,U$11:U$333,1)+COUNTIF(U$11:U41,U41)-1)))</f>
        <v>12</v>
      </c>
      <c r="W41" s="174"/>
      <c r="X41" s="5" t="str">
        <f>IF(L41="","",VLOOKUP($L41,classifications!$C:$J,6,FALSE))</f>
        <v xml:space="preserve">Predominantly Rural </v>
      </c>
      <c r="Y41">
        <f t="shared" si="26"/>
        <v>91.17647058823529</v>
      </c>
      <c r="Z41" s="39">
        <f>IF(Y41="","",IF(I$8="A",(RANK(Y41,Y$11:Y$333,1)+COUNTIF(Y$11:Y41,Y41)-1),(RANK(Y41,Y$11:Y$333)+COUNTIF(Y$11:Y41,Y41)-1)))</f>
        <v>7</v>
      </c>
      <c r="AA41" s="177" t="str">
        <f>IF(L41="","",VLOOKUP($L41,classifications!C:I,7,FALSE))</f>
        <v>Predominantly Rural</v>
      </c>
      <c r="AB41" s="173" t="str">
        <f t="shared" si="27"/>
        <v/>
      </c>
      <c r="AC41" s="173" t="str">
        <f>IF(AB41="","",IF($I$8="A",(RANK(AB41,AB$11:AB$333)+COUNTIF(AB$11:AB41,AB41)-1),(RANK(AB41,AB$11:AB$333,1)+COUNTIF(AB$11:AB41,AB41)-1)))</f>
        <v/>
      </c>
      <c r="AD41" s="173"/>
      <c r="AE41" s="45">
        <f>IF(I$8="A",(RANK(AG41,AG$11:AG$333,1)+COUNTIF(AG$11:AG41,AG41)-1),(RANK(AG41,AG$11:AG$333)+COUNTIF(AG$11:AG41,AG41)-1))</f>
        <v>31</v>
      </c>
      <c r="AF41" t="str">
        <f>VLOOKUP(Profile!$J$5,Families!$C:$R,2,FALSE)</f>
        <v>Cheshire West &amp; Chester</v>
      </c>
      <c r="AG41" s="15">
        <f t="shared" si="15"/>
        <v>91.111111111111114</v>
      </c>
      <c r="AH41" s="46">
        <f t="shared" si="28"/>
        <v>31</v>
      </c>
      <c r="AI41" s="5" t="str">
        <f>IF(L41="","",VLOOKUP($L41,classifications!$C:$J,8,FALSE))</f>
        <v>Unitary</v>
      </c>
      <c r="AJ41" s="42">
        <f t="shared" si="29"/>
        <v>91.17647058823529</v>
      </c>
      <c r="AK41" s="39">
        <f>IF(AJ41="","",IF(I$8="A",(RANK(AJ41,AJ$11:AJ$333,1)+COUNTIF(AJ$11:AJ41,AJ41)-1),(RANK(AJ41,AJ$11:AJ$333)+COUNTIF(AJ$11:AJ41,AJ41)-1)))</f>
        <v>31</v>
      </c>
      <c r="AL41" s="3">
        <f t="shared" si="16"/>
        <v>31</v>
      </c>
      <c r="AM41" t="str">
        <f t="shared" si="6"/>
        <v>Rutland</v>
      </c>
      <c r="AN41">
        <f t="shared" si="7"/>
        <v>91.17647058823529</v>
      </c>
      <c r="AP41" s="5" t="str">
        <f>IF(L41="","",VLOOKUP($L41,classifications!$C:$E,3,FALSE))</f>
        <v>East Midlands</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100</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89.65517241379311</v>
      </c>
      <c r="G42" s="15"/>
      <c r="H42" s="41">
        <f t="shared" si="1"/>
        <v>89.65517241379311</v>
      </c>
      <c r="I42" s="73">
        <f>IF(H42="","",IF($I$8="A",(RANK(H42,H$11:H$333,1)+COUNTIF(H$11:H42,H42)-1),(RANK(H42,H$11:H$333)+COUNTIF(H$11:H42,H42)-1)))</f>
        <v>37</v>
      </c>
      <c r="J42" s="40"/>
      <c r="K42" s="35">
        <f t="shared" si="10"/>
        <v>32</v>
      </c>
      <c r="L42" t="str">
        <f t="shared" si="2"/>
        <v>Cheshire West &amp; Chester</v>
      </c>
      <c r="M42" s="109">
        <f t="shared" si="3"/>
        <v>91.111111111111114</v>
      </c>
      <c r="N42" s="104">
        <f t="shared" si="19"/>
        <v>91.111111111111114</v>
      </c>
      <c r="O42" s="89" t="str">
        <f t="shared" si="20"/>
        <v/>
      </c>
      <c r="P42" s="89" t="str">
        <f t="shared" si="21"/>
        <v/>
      </c>
      <c r="Q42" s="89">
        <f t="shared" si="22"/>
        <v>91.111111111111114</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Urban with Significant Rural</v>
      </c>
      <c r="Y42">
        <f t="shared" si="26"/>
        <v>91.111111111111114</v>
      </c>
      <c r="Z42" s="39">
        <f>IF(Y42="","",IF(I$8="A",(RANK(Y42,Y$11:Y$333,1)+COUNTIF(Y$11:Y42,Y42)-1),(RANK(Y42,Y$11:Y$333)+COUNTIF(Y$11:Y42,Y42)-1)))</f>
        <v>8</v>
      </c>
      <c r="AA42" s="177" t="str">
        <f>IF(L42="","",VLOOKUP($L42,classifications!C:I,7,FALSE))</f>
        <v>Urban with Significant Rural</v>
      </c>
      <c r="AB42" s="173">
        <f t="shared" si="27"/>
        <v>91.111111111111114</v>
      </c>
      <c r="AC42" s="173">
        <f>IF(AB42="","",IF($I$8="A",(RANK(AB42,AB$11:AB$333)+COUNTIF(AB$11:AB42,AB42)-1),(RANK(AB42,AB$11:AB$333,1)+COUNTIF(AB$11:AB42,AB42)-1)))</f>
        <v>7</v>
      </c>
      <c r="AD42" s="173"/>
      <c r="AE42" s="45">
        <f>IF(I$8="A",(RANK(AG42,AG$11:AG$333,1)+COUNTIF(AG$11:AG42,AG42)-1),(RANK(AG42,AG$11:AG$333)+COUNTIF(AG$11:AG42,AG42)-1))</f>
        <v>32</v>
      </c>
      <c r="AF42" t="str">
        <f>VLOOKUP(Profile!$J$5,Families!$C:$R,2,FALSE)</f>
        <v>Cheshire West &amp; Chester</v>
      </c>
      <c r="AG42" s="15">
        <f t="shared" si="15"/>
        <v>91.111111111111114</v>
      </c>
      <c r="AH42" s="46">
        <f t="shared" si="28"/>
        <v>32</v>
      </c>
      <c r="AI42" s="5" t="str">
        <f>IF(L42="","",VLOOKUP($L42,classifications!$C:$J,8,FALSE))</f>
        <v>Unitary</v>
      </c>
      <c r="AJ42" s="42">
        <f t="shared" si="29"/>
        <v>91.111111111111114</v>
      </c>
      <c r="AK42" s="39">
        <f>IF(AJ42="","",IF(I$8="A",(RANK(AJ42,AJ$11:AJ$333,1)+COUNTIF(AJ$11:AJ42,AJ42)-1),(RANK(AJ42,AJ$11:AJ$333)+COUNTIF(AJ$11:AJ42,AJ42)-1)))</f>
        <v>32</v>
      </c>
      <c r="AL42" s="3">
        <f t="shared" si="16"/>
        <v>32</v>
      </c>
      <c r="AM42" t="str">
        <f t="shared" si="6"/>
        <v>Cheshire West &amp; Chester</v>
      </c>
      <c r="AN42">
        <f t="shared" si="7"/>
        <v>91.111111111111114</v>
      </c>
      <c r="AP42" s="5" t="str">
        <f>IF(L42="","",VLOOKUP($L42,classifications!$C:$E,3,FALSE))</f>
        <v>North West</v>
      </c>
      <c r="AQ42" s="42">
        <f t="shared" si="30"/>
        <v>91.111111111111114</v>
      </c>
      <c r="AR42" s="39">
        <f>IF(AQ42="","",IF(I$8="A",(RANK(AQ42,AQ$11:AQ$333,1)+COUNTIF(AQ$11:AQ42,AQ42)-1),(RANK(AQ42,AQ$11:AQ$333)+COUNTIF(AQ$11:AQ42,AQ42)-1)))</f>
        <v>6</v>
      </c>
      <c r="AS42" s="3" t="str">
        <f t="shared" si="18"/>
        <v/>
      </c>
      <c r="AT42" s="39" t="str">
        <f t="shared" si="8"/>
        <v/>
      </c>
      <c r="AU42" s="42" t="str">
        <f t="shared" si="9"/>
        <v/>
      </c>
      <c r="AX42">
        <f>HLOOKUP($AX$9&amp;$AX$10,Data!$A$1:$ZT$1975,(MATCH($C42,Data!$A$1:$A$1975,0)),FALSE)</f>
        <v>89.65517241379311</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94.545454545454547</v>
      </c>
      <c r="G43" s="15"/>
      <c r="H43" s="41">
        <f t="shared" si="1"/>
        <v>94.545454545454547</v>
      </c>
      <c r="I43" s="73">
        <f>IF(H43="","",IF($I$8="A",(RANK(H43,H$11:H$333,1)+COUNTIF(H$11:H43,H43)-1),(RANK(H43,H$11:H$333)+COUNTIF(H$11:H43,H43)-1)))</f>
        <v>25</v>
      </c>
      <c r="J43" s="40"/>
      <c r="K43" s="35">
        <f t="shared" si="10"/>
        <v>33</v>
      </c>
      <c r="L43" t="str">
        <f t="shared" si="2"/>
        <v>Bedford</v>
      </c>
      <c r="M43" s="109">
        <f t="shared" si="3"/>
        <v>90.740740740740748</v>
      </c>
      <c r="N43" s="104">
        <f t="shared" si="19"/>
        <v>90.740740740740748</v>
      </c>
      <c r="O43" s="89" t="str">
        <f t="shared" si="20"/>
        <v/>
      </c>
      <c r="P43" s="89" t="str">
        <f t="shared" si="21"/>
        <v/>
      </c>
      <c r="Q43" s="89">
        <f t="shared" si="22"/>
        <v>90.740740740740748</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Urban with Significant Rural</v>
      </c>
      <c r="Y43">
        <f t="shared" si="26"/>
        <v>90.740740740740748</v>
      </c>
      <c r="Z43" s="39">
        <f>IF(Y43="","",IF(I$8="A",(RANK(Y43,Y$11:Y$333,1)+COUNTIF(Y$11:Y43,Y43)-1),(RANK(Y43,Y$11:Y$333)+COUNTIF(Y$11:Y43,Y43)-1)))</f>
        <v>9</v>
      </c>
      <c r="AA43" s="177" t="str">
        <f>IF(L43="","",VLOOKUP($L43,classifications!C:I,7,FALSE))</f>
        <v>Urban with Significant Rural</v>
      </c>
      <c r="AB43" s="173">
        <f t="shared" si="27"/>
        <v>90.740740740740748</v>
      </c>
      <c r="AC43" s="173">
        <f>IF(AB43="","",IF($I$8="A",(RANK(AB43,AB$11:AB$333)+COUNTIF(AB$11:AB43,AB43)-1),(RANK(AB43,AB$11:AB$333,1)+COUNTIF(AB$11:AB43,AB43)-1)))</f>
        <v>6</v>
      </c>
      <c r="AD43" s="173"/>
      <c r="AE43" s="45">
        <f>IF(I$8="A",(RANK(AG43,AG$11:AG$333,1)+COUNTIF(AG$11:AG43,AG43)-1),(RANK(AG43,AG$11:AG$333)+COUNTIF(AG$11:AG43,AG43)-1))</f>
        <v>33</v>
      </c>
      <c r="AF43" t="str">
        <f>VLOOKUP(Profile!$J$5,Families!$C:$R,2,FALSE)</f>
        <v>Cheshire West &amp; Chester</v>
      </c>
      <c r="AG43" s="15">
        <f t="shared" si="15"/>
        <v>91.111111111111114</v>
      </c>
      <c r="AH43" s="46">
        <f t="shared" si="28"/>
        <v>33</v>
      </c>
      <c r="AI43" s="5" t="str">
        <f>IF(L43="","",VLOOKUP($L43,classifications!$C:$J,8,FALSE))</f>
        <v>Unitary</v>
      </c>
      <c r="AJ43" s="42">
        <f t="shared" si="29"/>
        <v>90.740740740740748</v>
      </c>
      <c r="AK43" s="39">
        <f>IF(AJ43="","",IF(I$8="A",(RANK(AJ43,AJ$11:AJ$333,1)+COUNTIF(AJ$11:AJ43,AJ43)-1),(RANK(AJ43,AJ$11:AJ$333)+COUNTIF(AJ$11:AJ43,AJ43)-1)))</f>
        <v>33</v>
      </c>
      <c r="AL43" s="3">
        <f t="shared" si="16"/>
        <v>33</v>
      </c>
      <c r="AM43" t="str">
        <f t="shared" si="6"/>
        <v>Bedford</v>
      </c>
      <c r="AN43">
        <f t="shared" si="7"/>
        <v>90.740740740740748</v>
      </c>
      <c r="AP43" s="5" t="str">
        <f>IF(L43="","",VLOOKUP($L43,classifications!$C:$E,3,FALSE))</f>
        <v>East of England</v>
      </c>
      <c r="AQ43" s="42" t="str">
        <f t="shared" si="30"/>
        <v/>
      </c>
      <c r="AR43" s="39" t="str">
        <f>IF(AQ43="","",IF(I$8="A",(RANK(AQ43,AQ$11:AQ$333,1)+COUNTIF(AQ$11:AQ43,AQ43)-1),(RANK(AQ43,AQ$11:AQ$333)+COUNTIF(AQ$11:AQ43,AQ43)-1)))</f>
        <v/>
      </c>
      <c r="AS43" s="3" t="str">
        <f t="shared" si="18"/>
        <v/>
      </c>
      <c r="AT43" s="39" t="str">
        <f t="shared" si="8"/>
        <v/>
      </c>
      <c r="AU43" s="42" t="str">
        <f t="shared" si="9"/>
        <v/>
      </c>
      <c r="AX43">
        <f>HLOOKUP($AX$9&amp;$AX$10,Data!$A$1:$ZT$1975,(MATCH($C43,Data!$A$1:$A$1975,0)),FALSE)</f>
        <v>94.545454545454547</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92.592592592592595</v>
      </c>
      <c r="G44" s="15"/>
      <c r="H44" s="41" t="str">
        <f t="shared" si="1"/>
        <v/>
      </c>
      <c r="I44" s="73" t="str">
        <f>IF(H44="","",IF($I$8="A",(RANK(H44,H$11:H$333,1)+COUNTIF(H$11:H44,H44)-1),(RANK(H44,H$11:H$333)+COUNTIF(H$11:H44,H44)-1)))</f>
        <v/>
      </c>
      <c r="J44" s="40"/>
      <c r="K44" s="35">
        <f t="shared" si="10"/>
        <v>34</v>
      </c>
      <c r="L44" t="str">
        <f t="shared" si="2"/>
        <v>Windsor &amp; Maidenhead</v>
      </c>
      <c r="M44" s="109">
        <f t="shared" si="3"/>
        <v>90.243902439024396</v>
      </c>
      <c r="N44" s="104">
        <f t="shared" si="19"/>
        <v>90.243902439024396</v>
      </c>
      <c r="O44" s="89" t="str">
        <f t="shared" si="20"/>
        <v/>
      </c>
      <c r="P44" s="89" t="str">
        <f t="shared" si="21"/>
        <v/>
      </c>
      <c r="Q44" s="89">
        <f t="shared" si="22"/>
        <v>90.243902439024396</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Urban</v>
      </c>
      <c r="Y44" t="str">
        <f t="shared" si="26"/>
        <v/>
      </c>
      <c r="Z44" s="39" t="str">
        <f>IF(Y44="","",IF(I$8="A",(RANK(Y44,Y$11:Y$333,1)+COUNTIF(Y$11:Y44,Y44)-1),(RANK(Y44,Y$11:Y$333)+COUNTIF(Y$11:Y44,Y44)-1)))</f>
        <v/>
      </c>
      <c r="AA44" s="177" t="str">
        <f>IF(L44="","",VLOOKUP($L44,classifications!C:I,7,FALSE))</f>
        <v>Predominantly Urban</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91.111111111111114</v>
      </c>
      <c r="AH44" s="46">
        <f t="shared" si="28"/>
        <v>34</v>
      </c>
      <c r="AI44" s="5" t="str">
        <f>IF(L44="","",VLOOKUP($L44,classifications!$C:$J,8,FALSE))</f>
        <v>Unitary</v>
      </c>
      <c r="AJ44" s="42">
        <f t="shared" si="29"/>
        <v>90.243902439024396</v>
      </c>
      <c r="AK44" s="39">
        <f>IF(AJ44="","",IF(I$8="A",(RANK(AJ44,AJ$11:AJ$333,1)+COUNTIF(AJ$11:AJ44,AJ44)-1),(RANK(AJ44,AJ$11:AJ$333)+COUNTIF(AJ$11:AJ44,AJ44)-1)))</f>
        <v>34</v>
      </c>
      <c r="AL44" s="3">
        <f t="shared" si="16"/>
        <v>34</v>
      </c>
      <c r="AM44" t="str">
        <f t="shared" si="6"/>
        <v>Windsor &amp; Maidenhead</v>
      </c>
      <c r="AN44">
        <f t="shared" si="7"/>
        <v>90.243902439024396</v>
      </c>
      <c r="AP44" s="5" t="str">
        <f>IF(L44="","",VLOOKUP($L44,classifications!$C:$E,3,FALSE))</f>
        <v>South East</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92.592592592592595</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90</v>
      </c>
      <c r="G45" s="15"/>
      <c r="H45" s="41" t="str">
        <f t="shared" si="1"/>
        <v/>
      </c>
      <c r="I45" s="73" t="str">
        <f>IF(H45="","",IF($I$8="A",(RANK(H45,H$11:H$333,1)+COUNTIF(H$11:H45,H45)-1),(RANK(H45,H$11:H$333)+COUNTIF(H$11:H45,H45)-1)))</f>
        <v/>
      </c>
      <c r="J45" s="40"/>
      <c r="K45" s="35">
        <f t="shared" si="10"/>
        <v>35</v>
      </c>
      <c r="L45" t="str">
        <f t="shared" si="2"/>
        <v>Medway</v>
      </c>
      <c r="M45" s="109">
        <f t="shared" si="3"/>
        <v>90.196078431372555</v>
      </c>
      <c r="N45" s="104">
        <f t="shared" si="19"/>
        <v>90.196078431372555</v>
      </c>
      <c r="O45" s="89" t="str">
        <f t="shared" si="20"/>
        <v/>
      </c>
      <c r="P45" s="89" t="str">
        <f t="shared" si="21"/>
        <v/>
      </c>
      <c r="Q45" s="89">
        <f t="shared" si="22"/>
        <v>90.196078431372555</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91.111111111111114</v>
      </c>
      <c r="AH45" s="46">
        <f t="shared" si="28"/>
        <v>35</v>
      </c>
      <c r="AI45" s="5" t="str">
        <f>IF(L45="","",VLOOKUP($L45,classifications!$C:$J,8,FALSE))</f>
        <v>Unitary</v>
      </c>
      <c r="AJ45" s="42">
        <f t="shared" si="29"/>
        <v>90.196078431372555</v>
      </c>
      <c r="AK45" s="39">
        <f>IF(AJ45="","",IF(I$8="A",(RANK(AJ45,AJ$11:AJ$333,1)+COUNTIF(AJ$11:AJ45,AJ45)-1),(RANK(AJ45,AJ$11:AJ$333)+COUNTIF(AJ$11:AJ45,AJ45)-1)))</f>
        <v>35</v>
      </c>
      <c r="AL45" s="3">
        <f t="shared" si="16"/>
        <v>35</v>
      </c>
      <c r="AM45" t="str">
        <f t="shared" si="6"/>
        <v>Medway</v>
      </c>
      <c r="AN45">
        <f t="shared" si="7"/>
        <v>90.196078431372555</v>
      </c>
      <c r="AP45" s="5" t="str">
        <f>IF(L45="","",VLOOKUP($L45,classifications!$C:$E,3,FALSE))</f>
        <v>South East</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90</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90.909090909090907</v>
      </c>
      <c r="G46" s="15"/>
      <c r="H46" s="41" t="str">
        <f t="shared" si="1"/>
        <v/>
      </c>
      <c r="I46" s="73" t="str">
        <f>IF(H46="","",IF($I$8="A",(RANK(H46,H$11:H$333,1)+COUNTIF(H$11:H46,H46)-1),(RANK(H46,H$11:H$333)+COUNTIF(H$11:H46,H46)-1)))</f>
        <v/>
      </c>
      <c r="J46" s="40"/>
      <c r="K46" s="35">
        <f t="shared" si="10"/>
        <v>36</v>
      </c>
      <c r="L46" t="str">
        <f t="shared" si="2"/>
        <v>Kingston upon Hull</v>
      </c>
      <c r="M46" s="109">
        <f t="shared" si="3"/>
        <v>89.743589743589752</v>
      </c>
      <c r="N46" s="104">
        <f t="shared" si="19"/>
        <v>89.743589743589752</v>
      </c>
      <c r="O46" s="89" t="str">
        <f t="shared" si="20"/>
        <v/>
      </c>
      <c r="P46" s="89" t="str">
        <f t="shared" si="21"/>
        <v/>
      </c>
      <c r="Q46" s="89">
        <f t="shared" si="22"/>
        <v>89.743589743589752</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f>IF(I$8="A",(RANK(AG46,AG$11:AG$333,1)+COUNTIF(AG$11:AG46,AG46)-1),(RANK(AG46,AG$11:AG$333)+COUNTIF(AG$11:AG46,AG46)-1))</f>
        <v>36</v>
      </c>
      <c r="AF46" t="str">
        <f>VLOOKUP(Profile!$J$5,Families!$C:$R,2,FALSE)</f>
        <v>Cheshire West &amp; Chester</v>
      </c>
      <c r="AG46" s="15">
        <f t="shared" si="15"/>
        <v>91.111111111111114</v>
      </c>
      <c r="AH46" s="46">
        <f t="shared" si="28"/>
        <v>36</v>
      </c>
      <c r="AI46" s="5" t="str">
        <f>IF(L46="","",VLOOKUP($L46,classifications!$C:$J,8,FALSE))</f>
        <v>Unitary</v>
      </c>
      <c r="AJ46" s="42">
        <f t="shared" si="29"/>
        <v>89.743589743589752</v>
      </c>
      <c r="AK46" s="39">
        <f>IF(AJ46="","",IF(I$8="A",(RANK(AJ46,AJ$11:AJ$333,1)+COUNTIF(AJ$11:AJ46,AJ46)-1),(RANK(AJ46,AJ$11:AJ$333)+COUNTIF(AJ$11:AJ46,AJ46)-1)))</f>
        <v>36</v>
      </c>
      <c r="AL46" s="3">
        <f t="shared" si="16"/>
        <v>36</v>
      </c>
      <c r="AM46" t="str">
        <f t="shared" si="6"/>
        <v>Kingston upon Hull</v>
      </c>
      <c r="AN46">
        <f t="shared" si="7"/>
        <v>89.743589743589752</v>
      </c>
      <c r="AP46" s="5" t="str">
        <f>IF(L46="","",VLOOKUP($L46,classifications!$C:$E,3,FALSE))</f>
        <v>Yorkshire &amp; Humberside</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90.909090909090907</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90</v>
      </c>
      <c r="G47" s="15"/>
      <c r="H47" s="41" t="str">
        <f t="shared" si="1"/>
        <v/>
      </c>
      <c r="I47" s="73" t="str">
        <f>IF(H47="","",IF($I$8="A",(RANK(H47,H$11:H$333,1)+COUNTIF(H$11:H47,H47)-1),(RANK(H47,H$11:H$333)+COUNTIF(H$11:H47,H47)-1)))</f>
        <v/>
      </c>
      <c r="J47" s="40"/>
      <c r="K47" s="35">
        <f t="shared" si="10"/>
        <v>37</v>
      </c>
      <c r="L47" t="str">
        <f t="shared" si="2"/>
        <v>Brighton &amp; Hove</v>
      </c>
      <c r="M47" s="109">
        <f t="shared" si="3"/>
        <v>89.65517241379311</v>
      </c>
      <c r="N47" s="104">
        <f t="shared" si="19"/>
        <v>89.65517241379311</v>
      </c>
      <c r="O47" s="89" t="str">
        <f t="shared" si="20"/>
        <v/>
      </c>
      <c r="P47" s="89" t="str">
        <f t="shared" si="21"/>
        <v/>
      </c>
      <c r="Q47" s="89">
        <f t="shared" si="22"/>
        <v>89.65517241379311</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Predominantly Urban</v>
      </c>
      <c r="Y47" t="str">
        <f t="shared" si="26"/>
        <v/>
      </c>
      <c r="Z47" s="39" t="str">
        <f>IF(Y47="","",IF(I$8="A",(RANK(Y47,Y$11:Y$333,1)+COUNTIF(Y$11:Y47,Y47)-1),(RANK(Y47,Y$11:Y$333)+COUNTIF(Y$11:Y47,Y47)-1)))</f>
        <v/>
      </c>
      <c r="AA47" s="177" t="str">
        <f>IF(L47="","",VLOOKUP($L47,classifications!C:I,7,FALSE))</f>
        <v>Predominantly Urban</v>
      </c>
      <c r="AB47" s="173" t="str">
        <f t="shared" si="27"/>
        <v/>
      </c>
      <c r="AC47" s="173" t="str">
        <f>IF(AB47="","",IF($I$8="A",(RANK(AB47,AB$11:AB$333)+COUNTIF(AB$11:AB47,AB47)-1),(RANK(AB47,AB$11:AB$333,1)+COUNTIF(AB$11:AB47,AB47)-1)))</f>
        <v/>
      </c>
      <c r="AD47" s="173"/>
      <c r="AE47" s="45">
        <f>IF(I$8="A",(RANK(AG47,AG$11:AG$333,1)+COUNTIF(AG$11:AG47,AG47)-1),(RANK(AG47,AG$11:AG$333)+COUNTIF(AG$11:AG47,AG47)-1))</f>
        <v>37</v>
      </c>
      <c r="AF47" t="str">
        <f>VLOOKUP(Profile!$J$5,Families!$C:$R,2,FALSE)</f>
        <v>Cheshire West &amp; Chester</v>
      </c>
      <c r="AG47" s="15">
        <f t="shared" si="15"/>
        <v>91.111111111111114</v>
      </c>
      <c r="AH47" s="46">
        <f t="shared" si="28"/>
        <v>37</v>
      </c>
      <c r="AI47" s="5" t="str">
        <f>IF(L47="","",VLOOKUP($L47,classifications!$C:$J,8,FALSE))</f>
        <v>Unitary</v>
      </c>
      <c r="AJ47" s="42">
        <f t="shared" si="29"/>
        <v>89.65517241379311</v>
      </c>
      <c r="AK47" s="39">
        <f>IF(AJ47="","",IF(I$8="A",(RANK(AJ47,AJ$11:AJ$333,1)+COUNTIF(AJ$11:AJ47,AJ47)-1),(RANK(AJ47,AJ$11:AJ$333)+COUNTIF(AJ$11:AJ47,AJ47)-1)))</f>
        <v>37</v>
      </c>
      <c r="AL47" s="3">
        <f t="shared" si="16"/>
        <v>37</v>
      </c>
      <c r="AM47" t="str">
        <f t="shared" si="6"/>
        <v>Brighton &amp; Hove</v>
      </c>
      <c r="AN47">
        <f t="shared" si="7"/>
        <v>89.65517241379311</v>
      </c>
      <c r="AP47" s="5" t="str">
        <f>IF(L47="","",VLOOKUP($L47,classifications!$C:$E,3,FALSE))</f>
        <v>South East</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90</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84.615384615384613</v>
      </c>
      <c r="G48" s="15"/>
      <c r="H48" s="41" t="str">
        <f t="shared" si="1"/>
        <v/>
      </c>
      <c r="I48" s="73" t="str">
        <f>IF(H48="","",IF($I$8="A",(RANK(H48,H$11:H$333,1)+COUNTIF(H$11:H48,H48)-1),(RANK(H48,H$11:H$333)+COUNTIF(H$11:H48,H48)-1)))</f>
        <v/>
      </c>
      <c r="J48" s="40"/>
      <c r="K48" s="35">
        <f t="shared" si="10"/>
        <v>38</v>
      </c>
      <c r="L48" t="str">
        <f t="shared" si="2"/>
        <v>Bracknell Forest</v>
      </c>
      <c r="M48" s="109">
        <f t="shared" si="3"/>
        <v>88.888888888888886</v>
      </c>
      <c r="N48" s="104">
        <f t="shared" si="19"/>
        <v>88.888888888888886</v>
      </c>
      <c r="O48" s="89" t="str">
        <f t="shared" si="20"/>
        <v/>
      </c>
      <c r="P48" s="89" t="str">
        <f t="shared" si="21"/>
        <v/>
      </c>
      <c r="Q48" s="89">
        <f t="shared" si="22"/>
        <v>88.888888888888886</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f>IF(I$8="A",(RANK(AG48,AG$11:AG$333,1)+COUNTIF(AG$11:AG48,AG48)-1),(RANK(AG48,AG$11:AG$333)+COUNTIF(AG$11:AG48,AG48)-1))</f>
        <v>38</v>
      </c>
      <c r="AF48" t="str">
        <f>VLOOKUP(Profile!$J$5,Families!$C:$R,2,FALSE)</f>
        <v>Cheshire West &amp; Chester</v>
      </c>
      <c r="AG48" s="15">
        <f t="shared" si="15"/>
        <v>91.111111111111114</v>
      </c>
      <c r="AH48" s="46">
        <f t="shared" si="28"/>
        <v>38</v>
      </c>
      <c r="AI48" s="5" t="str">
        <f>IF(L48="","",VLOOKUP($L48,classifications!$C:$J,8,FALSE))</f>
        <v>Unitary</v>
      </c>
      <c r="AJ48" s="42">
        <f t="shared" si="29"/>
        <v>88.888888888888886</v>
      </c>
      <c r="AK48" s="39">
        <f>IF(AJ48="","",IF(I$8="A",(RANK(AJ48,AJ$11:AJ$333,1)+COUNTIF(AJ$11:AJ48,AJ48)-1),(RANK(AJ48,AJ$11:AJ$333)+COUNTIF(AJ$11:AJ48,AJ48)-1)))</f>
        <v>38</v>
      </c>
      <c r="AL48" s="3">
        <f t="shared" si="16"/>
        <v>38</v>
      </c>
      <c r="AM48" t="str">
        <f t="shared" si="6"/>
        <v>Bracknell Forest</v>
      </c>
      <c r="AN48">
        <f t="shared" si="7"/>
        <v>88.888888888888886</v>
      </c>
      <c r="AP48" s="5" t="str">
        <f>IF(L48="","",VLOOKUP($L48,classifications!$C:$E,3,FALSE))</f>
        <v>South East</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84.615384615384613</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87.41721854304636</v>
      </c>
      <c r="G49" s="15"/>
      <c r="H49" s="41">
        <f t="shared" si="1"/>
        <v>87.41721854304636</v>
      </c>
      <c r="I49" s="73">
        <f>IF(H49="","",IF($I$8="A",(RANK(H49,H$11:H$333,1)+COUNTIF(H$11:H49,H49)-1),(RANK(H49,H$11:H$333)+COUNTIF(H$11:H49,H49)-1)))</f>
        <v>41</v>
      </c>
      <c r="J49" s="40"/>
      <c r="K49" s="35">
        <f t="shared" si="10"/>
        <v>39</v>
      </c>
      <c r="L49" t="str">
        <f t="shared" si="2"/>
        <v>Central Bedfordshire</v>
      </c>
      <c r="M49" s="109">
        <f t="shared" si="3"/>
        <v>88.461538461538453</v>
      </c>
      <c r="N49" s="104">
        <f t="shared" si="19"/>
        <v>88.461538461538453</v>
      </c>
      <c r="O49" s="89" t="str">
        <f t="shared" si="20"/>
        <v/>
      </c>
      <c r="P49" s="89" t="str">
        <f t="shared" si="21"/>
        <v/>
      </c>
      <c r="Q49" s="89">
        <f t="shared" si="22"/>
        <v>88.461538461538453</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 xml:space="preserve">Predominantly Rural </v>
      </c>
      <c r="Y49">
        <f t="shared" si="26"/>
        <v>88.461538461538453</v>
      </c>
      <c r="Z49" s="39">
        <f>IF(Y49="","",IF(I$8="A",(RANK(Y49,Y$11:Y$333,1)+COUNTIF(Y$11:Y49,Y49)-1),(RANK(Y49,Y$11:Y$333)+COUNTIF(Y$11:Y49,Y49)-1)))</f>
        <v>10</v>
      </c>
      <c r="AA49" s="177" t="str">
        <f>IF(L49="","",VLOOKUP($L49,classifications!C:I,7,FALSE))</f>
        <v>Predominantly Rural</v>
      </c>
      <c r="AB49" s="173" t="str">
        <f t="shared" si="27"/>
        <v/>
      </c>
      <c r="AC49" s="173" t="str">
        <f>IF(AB49="","",IF($I$8="A",(RANK(AB49,AB$11:AB$333)+COUNTIF(AB$11:AB49,AB49)-1),(RANK(AB49,AB$11:AB$333,1)+COUNTIF(AB$11:AB49,AB49)-1)))</f>
        <v/>
      </c>
      <c r="AD49" s="173"/>
      <c r="AE49" s="45">
        <f>IF(I$8="A",(RANK(AG49,AG$11:AG$333,1)+COUNTIF(AG$11:AG49,AG49)-1),(RANK(AG49,AG$11:AG$333)+COUNTIF(AG$11:AG49,AG49)-1))</f>
        <v>39</v>
      </c>
      <c r="AF49" t="str">
        <f>VLOOKUP(Profile!$J$5,Families!$C:$R,2,FALSE)</f>
        <v>Cheshire West &amp; Chester</v>
      </c>
      <c r="AG49" s="15">
        <f t="shared" si="15"/>
        <v>91.111111111111114</v>
      </c>
      <c r="AH49" s="46">
        <f t="shared" si="28"/>
        <v>39</v>
      </c>
      <c r="AI49" s="5" t="str">
        <f>IF(L49="","",VLOOKUP($L49,classifications!$C:$J,8,FALSE))</f>
        <v>Unitary</v>
      </c>
      <c r="AJ49" s="42">
        <f t="shared" si="29"/>
        <v>88.461538461538453</v>
      </c>
      <c r="AK49" s="39">
        <f>IF(AJ49="","",IF(I$8="A",(RANK(AJ49,AJ$11:AJ$333,1)+COUNTIF(AJ$11:AJ49,AJ49)-1),(RANK(AJ49,AJ$11:AJ$333)+COUNTIF(AJ$11:AJ49,AJ49)-1)))</f>
        <v>39</v>
      </c>
      <c r="AL49" s="3">
        <f t="shared" si="16"/>
        <v>39</v>
      </c>
      <c r="AM49" t="str">
        <f t="shared" si="6"/>
        <v>Central Bedfordshire</v>
      </c>
      <c r="AN49">
        <f t="shared" si="7"/>
        <v>88.461538461538453</v>
      </c>
      <c r="AP49" s="5" t="str">
        <f>IF(L49="","",VLOOKUP($L49,classifications!$C:$E,3,FALSE))</f>
        <v>East of England</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87.41721854304636</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94.444444444444443</v>
      </c>
      <c r="G50" s="15"/>
      <c r="H50" s="41" t="str">
        <f t="shared" si="1"/>
        <v/>
      </c>
      <c r="I50" s="73" t="str">
        <f>IF(H50="","",IF($I$8="A",(RANK(H50,H$11:H$333,1)+COUNTIF(H$11:H50,H50)-1),(RANK(H50,H$11:H$333)+COUNTIF(H$11:H50,H50)-1)))</f>
        <v/>
      </c>
      <c r="J50" s="40"/>
      <c r="K50" s="35">
        <f t="shared" si="10"/>
        <v>40</v>
      </c>
      <c r="L50" t="str">
        <f t="shared" si="2"/>
        <v>Dorset</v>
      </c>
      <c r="M50" s="109">
        <f t="shared" si="3"/>
        <v>87.931034482758619</v>
      </c>
      <c r="N50" s="104">
        <f t="shared" si="19"/>
        <v>87.931034482758619</v>
      </c>
      <c r="O50" s="89" t="str">
        <f t="shared" si="20"/>
        <v/>
      </c>
      <c r="P50" s="89" t="str">
        <f t="shared" si="21"/>
        <v/>
      </c>
      <c r="Q50" s="89">
        <f t="shared" si="22"/>
        <v>87.931034482758619</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Predominantly Rural</v>
      </c>
      <c r="Y50" t="str">
        <f t="shared" si="26"/>
        <v/>
      </c>
      <c r="Z50" s="39" t="str">
        <f>IF(Y50="","",IF(I$8="A",(RANK(Y50,Y$11:Y$333,1)+COUNTIF(Y$11:Y50,Y50)-1),(RANK(Y50,Y$11:Y$333)+COUNTIF(Y$11:Y50,Y50)-1)))</f>
        <v/>
      </c>
      <c r="AA50" s="177" t="str">
        <f>IF(L50="","",VLOOKUP($L50,classifications!C:I,7,FALSE))</f>
        <v>Predominantly Rural</v>
      </c>
      <c r="AB50" s="173" t="str">
        <f t="shared" si="27"/>
        <v/>
      </c>
      <c r="AC50" s="173" t="str">
        <f>IF(AB50="","",IF($I$8="A",(RANK(AB50,AB$11:AB$333)+COUNTIF(AB$11:AB50,AB50)-1),(RANK(AB50,AB$11:AB$333,1)+COUNTIF(AB$11:AB50,AB50)-1)))</f>
        <v/>
      </c>
      <c r="AD50" s="173"/>
      <c r="AE50" s="45">
        <f>IF(I$8="A",(RANK(AG50,AG$11:AG$333,1)+COUNTIF(AG$11:AG50,AG50)-1),(RANK(AG50,AG$11:AG$333)+COUNTIF(AG$11:AG50,AG50)-1))</f>
        <v>40</v>
      </c>
      <c r="AF50" t="str">
        <f>VLOOKUP(Profile!$J$5,Families!$C:$R,2,FALSE)</f>
        <v>Cheshire West &amp; Chester</v>
      </c>
      <c r="AG50" s="15">
        <f t="shared" si="15"/>
        <v>91.111111111111114</v>
      </c>
      <c r="AH50" s="46">
        <f t="shared" si="28"/>
        <v>40</v>
      </c>
      <c r="AI50" s="5" t="str">
        <f>IF(L50="","",VLOOKUP($L50,classifications!$C:$J,8,FALSE))</f>
        <v>Unitary</v>
      </c>
      <c r="AJ50" s="42">
        <f t="shared" si="29"/>
        <v>87.931034482758619</v>
      </c>
      <c r="AK50" s="39">
        <f>IF(AJ50="","",IF(I$8="A",(RANK(AJ50,AJ$11:AJ$333,1)+COUNTIF(AJ$11:AJ50,AJ50)-1),(RANK(AJ50,AJ$11:AJ$333)+COUNTIF(AJ$11:AJ50,AJ50)-1)))</f>
        <v>40</v>
      </c>
      <c r="AL50" s="3">
        <f t="shared" si="16"/>
        <v>40</v>
      </c>
      <c r="AM50" t="str">
        <f t="shared" si="6"/>
        <v>Dorset</v>
      </c>
      <c r="AN50">
        <f t="shared" si="7"/>
        <v>87.931034482758619</v>
      </c>
      <c r="AP50" s="5" t="str">
        <f>IF(L50="","",VLOOKUP($L50,classifications!$C:$E,3,FALSE))</f>
        <v>South West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94.444444444444443</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90</v>
      </c>
      <c r="G51" s="15"/>
      <c r="H51" s="41" t="str">
        <f t="shared" si="1"/>
        <v/>
      </c>
      <c r="I51" s="73" t="str">
        <f>IF(H51="","",IF($I$8="A",(RANK(H51,H$11:H$333,1)+COUNTIF(H$11:H51,H51)-1),(RANK(H51,H$11:H$333)+COUNTIF(H$11:H51,H51)-1)))</f>
        <v/>
      </c>
      <c r="J51" s="40"/>
      <c r="K51" s="35">
        <f t="shared" si="10"/>
        <v>41</v>
      </c>
      <c r="L51" t="str">
        <f t="shared" si="2"/>
        <v>Buckinghamshire</v>
      </c>
      <c r="M51" s="109">
        <f t="shared" si="3"/>
        <v>87.41721854304636</v>
      </c>
      <c r="N51" s="104">
        <f t="shared" si="19"/>
        <v>87.41721854304636</v>
      </c>
      <c r="O51" s="89" t="str">
        <f t="shared" si="20"/>
        <v/>
      </c>
      <c r="P51" s="89" t="str">
        <f t="shared" si="21"/>
        <v/>
      </c>
      <c r="Q51" s="89">
        <f t="shared" si="22"/>
        <v>87.41721854304636</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Urban with Significant Rural</v>
      </c>
      <c r="Y51">
        <f t="shared" si="26"/>
        <v>87.41721854304636</v>
      </c>
      <c r="Z51" s="39">
        <f>IF(Y51="","",IF(I$8="A",(RANK(Y51,Y$11:Y$333,1)+COUNTIF(Y$11:Y51,Y51)-1),(RANK(Y51,Y$11:Y$333)+COUNTIF(Y$11:Y51,Y51)-1)))</f>
        <v>11</v>
      </c>
      <c r="AA51" s="177" t="str">
        <f>IF(L51="","",VLOOKUP($L51,classifications!C:I,7,FALSE))</f>
        <v>Urban with Significant Rural</v>
      </c>
      <c r="AB51" s="173">
        <f t="shared" si="27"/>
        <v>87.41721854304636</v>
      </c>
      <c r="AC51" s="173">
        <f>IF(AB51="","",IF($I$8="A",(RANK(AB51,AB$11:AB$333)+COUNTIF(AB$11:AB51,AB51)-1),(RANK(AB51,AB$11:AB$333,1)+COUNTIF(AB$11:AB51,AB51)-1)))</f>
        <v>5</v>
      </c>
      <c r="AD51" s="173"/>
      <c r="AE51" s="45">
        <f>IF(I$8="A",(RANK(AG51,AG$11:AG$333,1)+COUNTIF(AG$11:AG51,AG51)-1),(RANK(AG51,AG$11:AG$333)+COUNTIF(AG$11:AG51,AG51)-1))</f>
        <v>41</v>
      </c>
      <c r="AF51" t="str">
        <f>VLOOKUP(Profile!$J$5,Families!$C:$R,2,FALSE)</f>
        <v>Cheshire West &amp; Chester</v>
      </c>
      <c r="AG51" s="15">
        <f t="shared" si="15"/>
        <v>91.111111111111114</v>
      </c>
      <c r="AH51" s="46">
        <f t="shared" si="28"/>
        <v>41</v>
      </c>
      <c r="AI51" s="5" t="str">
        <f>IF(L51="","",VLOOKUP($L51,classifications!$C:$J,8,FALSE))</f>
        <v>Unitary</v>
      </c>
      <c r="AJ51" s="42">
        <f t="shared" si="29"/>
        <v>87.41721854304636</v>
      </c>
      <c r="AK51" s="39">
        <f>IF(AJ51="","",IF(I$8="A",(RANK(AJ51,AJ$11:AJ$333,1)+COUNTIF(AJ$11:AJ51,AJ51)-1),(RANK(AJ51,AJ$11:AJ$333)+COUNTIF(AJ$11:AJ51,AJ51)-1)))</f>
        <v>41</v>
      </c>
      <c r="AL51" s="3">
        <f t="shared" si="16"/>
        <v>41</v>
      </c>
      <c r="AM51" t="str">
        <f t="shared" si="6"/>
        <v>Buckinghamshire</v>
      </c>
      <c r="AN51">
        <f t="shared" si="7"/>
        <v>87.41721854304636</v>
      </c>
      <c r="AP51" s="5" t="str">
        <f>IF(L51="","",VLOOKUP($L51,classifications!$C:$E,3,FALSE))</f>
        <v>South East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90</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86.666666666666671</v>
      </c>
      <c r="G52" s="15"/>
      <c r="H52" s="41" t="str">
        <f t="shared" si="1"/>
        <v/>
      </c>
      <c r="I52" s="73" t="str">
        <f>IF(H52="","",IF($I$8="A",(RANK(H52,H$11:H$333,1)+COUNTIF(H$11:H52,H52)-1),(RANK(H52,H$11:H$333)+COUNTIF(H$11:H52,H52)-1)))</f>
        <v/>
      </c>
      <c r="J52" s="40"/>
      <c r="K52" s="35">
        <f t="shared" si="10"/>
        <v>42</v>
      </c>
      <c r="L52" t="str">
        <f t="shared" si="2"/>
        <v>Durham</v>
      </c>
      <c r="M52" s="109">
        <f t="shared" si="3"/>
        <v>86.274509803921575</v>
      </c>
      <c r="N52" s="104">
        <f t="shared" si="19"/>
        <v>86.274509803921575</v>
      </c>
      <c r="O52" s="89" t="str">
        <f t="shared" si="20"/>
        <v/>
      </c>
      <c r="P52" s="89" t="str">
        <f t="shared" si="21"/>
        <v/>
      </c>
      <c r="Q52" s="89">
        <f t="shared" si="22"/>
        <v>86.274509803921575</v>
      </c>
      <c r="R52" s="85" t="str">
        <f t="shared" si="23"/>
        <v/>
      </c>
      <c r="S52" s="41" t="str">
        <f t="shared" si="24"/>
        <v/>
      </c>
      <c r="T52" s="166" t="str">
        <f>IF(L52="","",VLOOKUP(L52,classifications!C:K,9,FALSE))</f>
        <v>Sparse</v>
      </c>
      <c r="U52" s="167">
        <f t="shared" si="25"/>
        <v>86.274509803921575</v>
      </c>
      <c r="V52" s="173">
        <f>IF(U52="","",IF($I$8="A",(RANK(U52,U$11:U$333)+COUNTIF(U$11:U52,U52)-1),(RANK(U52,U$11:U$333,1)+COUNTIF(U$11:U52,U52)-1)))</f>
        <v>11</v>
      </c>
      <c r="W52" s="174"/>
      <c r="X52" s="5" t="str">
        <f>IF(L52="","",VLOOKUP($L52,classifications!$C:$J,6,FALSE))</f>
        <v xml:space="preserve">Predominantly Rural </v>
      </c>
      <c r="Y52">
        <f t="shared" si="26"/>
        <v>86.274509803921575</v>
      </c>
      <c r="Z52" s="39">
        <f>IF(Y52="","",IF(I$8="A",(RANK(Y52,Y$11:Y$333,1)+COUNTIF(Y$11:Y52,Y52)-1),(RANK(Y52,Y$11:Y$333)+COUNTIF(Y$11:Y52,Y52)-1)))</f>
        <v>12</v>
      </c>
      <c r="AA52" s="177" t="str">
        <f>IF(L52="","",VLOOKUP($L52,classifications!C:I,7,FALSE))</f>
        <v>Predominantly Rural</v>
      </c>
      <c r="AB52" s="173" t="str">
        <f t="shared" si="27"/>
        <v/>
      </c>
      <c r="AC52" s="173" t="str">
        <f>IF(AB52="","",IF($I$8="A",(RANK(AB52,AB$11:AB$333)+COUNTIF(AB$11:AB52,AB52)-1),(RANK(AB52,AB$11:AB$333,1)+COUNTIF(AB$11:AB52,AB52)-1)))</f>
        <v/>
      </c>
      <c r="AD52" s="173"/>
      <c r="AE52" s="45">
        <f>IF(I$8="A",(RANK(AG52,AG$11:AG$333,1)+COUNTIF(AG$11:AG52,AG52)-1),(RANK(AG52,AG$11:AG$333)+COUNTIF(AG$11:AG52,AG52)-1))</f>
        <v>42</v>
      </c>
      <c r="AF52" t="str">
        <f>VLOOKUP(Profile!$J$5,Families!$C:$R,2,FALSE)</f>
        <v>Cheshire West &amp; Chester</v>
      </c>
      <c r="AG52" s="15">
        <f t="shared" si="15"/>
        <v>91.111111111111114</v>
      </c>
      <c r="AH52" s="46">
        <f t="shared" si="28"/>
        <v>42</v>
      </c>
      <c r="AI52" s="5" t="str">
        <f>IF(L52="","",VLOOKUP($L52,classifications!$C:$J,8,FALSE))</f>
        <v>Unitary</v>
      </c>
      <c r="AJ52" s="42">
        <f t="shared" si="29"/>
        <v>86.274509803921575</v>
      </c>
      <c r="AK52" s="39">
        <f>IF(AJ52="","",IF(I$8="A",(RANK(AJ52,AJ$11:AJ$333,1)+COUNTIF(AJ$11:AJ52,AJ52)-1),(RANK(AJ52,AJ$11:AJ$333)+COUNTIF(AJ$11:AJ52,AJ52)-1)))</f>
        <v>42</v>
      </c>
      <c r="AL52" s="3">
        <f t="shared" si="16"/>
        <v>42</v>
      </c>
      <c r="AM52" t="str">
        <f t="shared" si="6"/>
        <v>Durham</v>
      </c>
      <c r="AN52">
        <f t="shared" si="7"/>
        <v>86.274509803921575</v>
      </c>
      <c r="AP52" s="5" t="str">
        <f>IF(L52="","",VLOOKUP($L52,classifications!$C:$E,3,FALSE))</f>
        <v>NE</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86.666666666666671</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83.870967741935488</v>
      </c>
      <c r="G53" s="15"/>
      <c r="H53" s="41" t="str">
        <f t="shared" si="1"/>
        <v/>
      </c>
      <c r="I53" s="73" t="str">
        <f>IF(H53="","",IF($I$8="A",(RANK(H53,H$11:H$333,1)+COUNTIF(H$11:H53,H53)-1),(RANK(H53,H$11:H$333)+COUNTIF(H$11:H53,H53)-1)))</f>
        <v/>
      </c>
      <c r="J53" s="40"/>
      <c r="K53" s="35">
        <f t="shared" si="10"/>
        <v>43</v>
      </c>
      <c r="L53" t="str">
        <f t="shared" si="2"/>
        <v>North Lincolnshire</v>
      </c>
      <c r="M53" s="109">
        <f t="shared" si="3"/>
        <v>85.714285714285708</v>
      </c>
      <c r="N53" s="104">
        <f t="shared" si="19"/>
        <v>85.714285714285708</v>
      </c>
      <c r="O53" s="89" t="str">
        <f t="shared" si="20"/>
        <v/>
      </c>
      <c r="P53" s="89" t="str">
        <f t="shared" si="21"/>
        <v/>
      </c>
      <c r="Q53" s="89">
        <f t="shared" si="22"/>
        <v>85.714285714285708</v>
      </c>
      <c r="R53" s="85" t="str">
        <f t="shared" si="23"/>
        <v/>
      </c>
      <c r="S53" s="41" t="str">
        <f t="shared" si="24"/>
        <v/>
      </c>
      <c r="T53" s="166" t="str">
        <f>IF(L53="","",VLOOKUP(L53,classifications!C:K,9,FALSE))</f>
        <v>Sparse</v>
      </c>
      <c r="U53" s="167">
        <f t="shared" si="25"/>
        <v>85.714285714285708</v>
      </c>
      <c r="V53" s="173">
        <f>IF(U53="","",IF($I$8="A",(RANK(U53,U$11:U$333)+COUNTIF(U$11:U53,U53)-1),(RANK(U53,U$11:U$333,1)+COUNTIF(U$11:U53,U53)-1)))</f>
        <v>10</v>
      </c>
      <c r="W53" s="174"/>
      <c r="X53" s="5" t="str">
        <f>IF(L53="","",VLOOKUP($L53,classifications!$C:$J,6,FALSE))</f>
        <v>Urban with Significant Rural</v>
      </c>
      <c r="Y53">
        <f t="shared" si="26"/>
        <v>85.714285714285708</v>
      </c>
      <c r="Z53" s="39">
        <f>IF(Y53="","",IF(I$8="A",(RANK(Y53,Y$11:Y$333,1)+COUNTIF(Y$11:Y53,Y53)-1),(RANK(Y53,Y$11:Y$333)+COUNTIF(Y$11:Y53,Y53)-1)))</f>
        <v>13</v>
      </c>
      <c r="AA53" s="177" t="str">
        <f>IF(L53="","",VLOOKUP($L53,classifications!C:I,7,FALSE))</f>
        <v>Urban with Significant Rural</v>
      </c>
      <c r="AB53" s="173">
        <f t="shared" si="27"/>
        <v>85.714285714285708</v>
      </c>
      <c r="AC53" s="173">
        <f>IF(AB53="","",IF($I$8="A",(RANK(AB53,AB$11:AB$333)+COUNTIF(AB$11:AB53,AB53)-1),(RANK(AB53,AB$11:AB$333,1)+COUNTIF(AB$11:AB53,AB53)-1)))</f>
        <v>4</v>
      </c>
      <c r="AD53" s="173"/>
      <c r="AE53" s="45">
        <f>IF(I$8="A",(RANK(AG53,AG$11:AG$333,1)+COUNTIF(AG$11:AG53,AG53)-1),(RANK(AG53,AG$11:AG$333)+COUNTIF(AG$11:AG53,AG53)-1))</f>
        <v>43</v>
      </c>
      <c r="AF53" t="str">
        <f>VLOOKUP(Profile!$J$5,Families!$C:$R,2,FALSE)</f>
        <v>Cheshire West &amp; Chester</v>
      </c>
      <c r="AG53" s="15">
        <f t="shared" si="15"/>
        <v>91.111111111111114</v>
      </c>
      <c r="AH53" s="46">
        <f t="shared" si="28"/>
        <v>43</v>
      </c>
      <c r="AI53" s="5" t="str">
        <f>IF(L53="","",VLOOKUP($L53,classifications!$C:$J,8,FALSE))</f>
        <v>Unitary</v>
      </c>
      <c r="AJ53" s="42">
        <f t="shared" si="29"/>
        <v>85.714285714285708</v>
      </c>
      <c r="AK53" s="39">
        <f>IF(AJ53="","",IF(I$8="A",(RANK(AJ53,AJ$11:AJ$333,1)+COUNTIF(AJ$11:AJ53,AJ53)-1),(RANK(AJ53,AJ$11:AJ$333)+COUNTIF(AJ$11:AJ53,AJ53)-1)))</f>
        <v>43</v>
      </c>
      <c r="AL53" s="3">
        <f t="shared" si="16"/>
        <v>43</v>
      </c>
      <c r="AM53" t="str">
        <f t="shared" si="6"/>
        <v>North Lincolnshire</v>
      </c>
      <c r="AN53">
        <f t="shared" si="7"/>
        <v>85.714285714285708</v>
      </c>
      <c r="AP53" s="5" t="str">
        <f>IF(L53="","",VLOOKUP($L53,classifications!$C:$E,3,FALSE))</f>
        <v>Yorkshire &amp; Humberside</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83.870967741935488</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Northumberland</v>
      </c>
      <c r="M54" s="109">
        <f t="shared" si="3"/>
        <v>84.693877551020407</v>
      </c>
      <c r="N54" s="104">
        <f t="shared" si="19"/>
        <v>84.693877551020407</v>
      </c>
      <c r="O54" s="89" t="str">
        <f t="shared" si="20"/>
        <v/>
      </c>
      <c r="P54" s="89" t="str">
        <f t="shared" si="21"/>
        <v/>
      </c>
      <c r="Q54" s="89">
        <f t="shared" si="22"/>
        <v>84.693877551020407</v>
      </c>
      <c r="R54" s="85" t="str">
        <f t="shared" si="23"/>
        <v/>
      </c>
      <c r="S54" s="41" t="str">
        <f t="shared" si="24"/>
        <v/>
      </c>
      <c r="T54" s="166" t="str">
        <f>IF(L54="","",VLOOKUP(L54,classifications!C:K,9,FALSE))</f>
        <v>Sparse</v>
      </c>
      <c r="U54" s="167">
        <f t="shared" si="25"/>
        <v>84.693877551020407</v>
      </c>
      <c r="V54" s="173">
        <f>IF(U54="","",IF($I$8="A",(RANK(U54,U$11:U$333)+COUNTIF(U$11:U54,U54)-1),(RANK(U54,U$11:U$333,1)+COUNTIF(U$11:U54,U54)-1)))</f>
        <v>9</v>
      </c>
      <c r="W54" s="174"/>
      <c r="X54" s="5" t="str">
        <f>IF(L54="","",VLOOKUP($L54,classifications!$C:$J,6,FALSE))</f>
        <v xml:space="preserve">Predominantly Rural </v>
      </c>
      <c r="Y54">
        <f t="shared" si="26"/>
        <v>84.693877551020407</v>
      </c>
      <c r="Z54" s="39">
        <f>IF(Y54="","",IF(I$8="A",(RANK(Y54,Y$11:Y$333,1)+COUNTIF(Y$11:Y54,Y54)-1),(RANK(Y54,Y$11:Y$333)+COUNTIF(Y$11:Y54,Y54)-1)))</f>
        <v>14</v>
      </c>
      <c r="AA54" s="177" t="str">
        <f>IF(L54="","",VLOOKUP($L54,classifications!C:I,7,FALSE))</f>
        <v>Predominantly Rural</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91.111111111111114</v>
      </c>
      <c r="AH54" s="46">
        <f t="shared" si="28"/>
        <v>44</v>
      </c>
      <c r="AI54" s="5" t="str">
        <f>IF(L54="","",VLOOKUP($L54,classifications!$C:$J,8,FALSE))</f>
        <v>Unitary</v>
      </c>
      <c r="AJ54" s="42">
        <f t="shared" si="29"/>
        <v>84.693877551020407</v>
      </c>
      <c r="AK54" s="39">
        <f>IF(AJ54="","",IF(I$8="A",(RANK(AJ54,AJ$11:AJ$333,1)+COUNTIF(AJ$11:AJ54,AJ54)-1),(RANK(AJ54,AJ$11:AJ$333)+COUNTIF(AJ$11:AJ54,AJ54)-1)))</f>
        <v>44</v>
      </c>
      <c r="AL54" s="3">
        <f t="shared" si="16"/>
        <v>44</v>
      </c>
      <c r="AM54" t="str">
        <f t="shared" si="6"/>
        <v>Northumberland</v>
      </c>
      <c r="AN54">
        <f t="shared" si="7"/>
        <v>84.693877551020407</v>
      </c>
      <c r="AP54" s="5" t="str">
        <f>IF(L54="","",VLOOKUP($L54,classifications!$C:$E,3,FALSE))</f>
        <v>NE</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96.666666666666671</v>
      </c>
      <c r="G55" s="15"/>
      <c r="H55" s="41" t="str">
        <f t="shared" si="1"/>
        <v/>
      </c>
      <c r="I55" s="73" t="str">
        <f>IF(H55="","",IF($I$8="A",(RANK(H55,H$11:H$333,1)+COUNTIF(H$11:H55,H55)-1),(RANK(H55,H$11:H$333)+COUNTIF(H$11:H55,H55)-1)))</f>
        <v/>
      </c>
      <c r="J55" s="40"/>
      <c r="K55" s="35">
        <f t="shared" si="10"/>
        <v>45</v>
      </c>
      <c r="L55" t="str">
        <f t="shared" si="2"/>
        <v>Cumberland</v>
      </c>
      <c r="M55" s="109">
        <f t="shared" si="3"/>
        <v>84.615384615384613</v>
      </c>
      <c r="N55" s="104">
        <f t="shared" si="19"/>
        <v>84.615384615384613</v>
      </c>
      <c r="O55" s="89" t="str">
        <f t="shared" si="20"/>
        <v/>
      </c>
      <c r="P55" s="89" t="str">
        <f t="shared" si="21"/>
        <v/>
      </c>
      <c r="Q55" s="89">
        <f t="shared" si="22"/>
        <v>84.615384615384613</v>
      </c>
      <c r="R55" s="85" t="str">
        <f t="shared" si="23"/>
        <v/>
      </c>
      <c r="S55" s="41" t="str">
        <f t="shared" si="24"/>
        <v/>
      </c>
      <c r="T55" s="166" t="str">
        <f>IF(L55="","",VLOOKUP(L55,classifications!C:K,9,FALSE))</f>
        <v>Sparse</v>
      </c>
      <c r="U55" s="167">
        <f t="shared" si="25"/>
        <v>84.615384615384613</v>
      </c>
      <c r="V55" s="173">
        <f>IF(U55="","",IF($I$8="A",(RANK(U55,U$11:U$333)+COUNTIF(U$11:U55,U55)-1),(RANK(U55,U$11:U$333,1)+COUNTIF(U$11:U55,U55)-1)))</f>
        <v>8</v>
      </c>
      <c r="W55" s="174"/>
      <c r="X55" s="5" t="str">
        <f>IF(L55="","",VLOOKUP($L55,classifications!$C:$J,6,FALSE))</f>
        <v xml:space="preserve">Predominantly Rural </v>
      </c>
      <c r="Y55">
        <f t="shared" si="26"/>
        <v>84.615384615384613</v>
      </c>
      <c r="Z55" s="39">
        <f>IF(Y55="","",IF(I$8="A",(RANK(Y55,Y$11:Y$333,1)+COUNTIF(Y$11:Y55,Y55)-1),(RANK(Y55,Y$11:Y$333)+COUNTIF(Y$11:Y55,Y55)-1)))</f>
        <v>15</v>
      </c>
      <c r="AA55" s="177" t="str">
        <f>IF(L55="","",VLOOKUP($L55,classifications!C:I,7,FALSE))</f>
        <v>Predominantly Rural</v>
      </c>
      <c r="AB55" s="173" t="str">
        <f t="shared" si="27"/>
        <v/>
      </c>
      <c r="AC55" s="173" t="str">
        <f>IF(AB55="","",IF($I$8="A",(RANK(AB55,AB$11:AB$333)+COUNTIF(AB$11:AB55,AB55)-1),(RANK(AB55,AB$11:AB$333,1)+COUNTIF(AB$11:AB55,AB55)-1)))</f>
        <v/>
      </c>
      <c r="AD55" s="173"/>
      <c r="AE55" s="45">
        <f>IF(I$8="A",(RANK(AG55,AG$11:AG$333,1)+COUNTIF(AG$11:AG55,AG55)-1),(RANK(AG55,AG$11:AG$333)+COUNTIF(AG$11:AG55,AG55)-1))</f>
        <v>45</v>
      </c>
      <c r="AF55" t="str">
        <f>VLOOKUP(Profile!$J$5,Families!$C:$R,2,FALSE)</f>
        <v>Cheshire West &amp; Chester</v>
      </c>
      <c r="AG55" s="15">
        <f t="shared" si="15"/>
        <v>91.111111111111114</v>
      </c>
      <c r="AH55" s="46">
        <f t="shared" si="28"/>
        <v>45</v>
      </c>
      <c r="AI55" s="5" t="str">
        <f>IF(L55="","",VLOOKUP($L55,classifications!$C:$J,8,FALSE))</f>
        <v>Unitary</v>
      </c>
      <c r="AJ55" s="42">
        <f t="shared" si="29"/>
        <v>84.615384615384613</v>
      </c>
      <c r="AK55" s="39">
        <f>IF(AJ55="","",IF(I$8="A",(RANK(AJ55,AJ$11:AJ$333,1)+COUNTIF(AJ$11:AJ55,AJ55)-1),(RANK(AJ55,AJ$11:AJ$333)+COUNTIF(AJ$11:AJ55,AJ55)-1)))</f>
        <v>45</v>
      </c>
      <c r="AL55" s="3">
        <f t="shared" si="16"/>
        <v>45</v>
      </c>
      <c r="AM55" t="str">
        <f t="shared" si="6"/>
        <v>Cumberland</v>
      </c>
      <c r="AN55">
        <f t="shared" si="7"/>
        <v>84.615384615384613</v>
      </c>
      <c r="AP55" s="5" t="str">
        <f>IF(L55="","",VLOOKUP($L55,classifications!$C:$E,3,FALSE))</f>
        <v>North West</v>
      </c>
      <c r="AQ55" s="42">
        <f t="shared" si="30"/>
        <v>84.615384615384613</v>
      </c>
      <c r="AR55" s="39">
        <f>IF(AQ55="","",IF(I$8="A",(RANK(AQ55,AQ$11:AQ$333,1)+COUNTIF(AQ$11:AQ55,AQ55)-1),(RANK(AQ55,AQ$11:AQ$333)+COUNTIF(AQ$11:AQ55,AQ55)-1)))</f>
        <v>7</v>
      </c>
      <c r="AS55" s="3" t="str">
        <f t="shared" si="18"/>
        <v/>
      </c>
      <c r="AT55" s="39" t="str">
        <f t="shared" si="8"/>
        <v/>
      </c>
      <c r="AU55" s="42" t="str">
        <f t="shared" si="9"/>
        <v/>
      </c>
      <c r="AX55">
        <f>HLOOKUP($AX$9&amp;$AX$10,Data!$A$1:$ZT$1975,(MATCH($C55,Data!$A$1:$A$1975,0)),FALSE)</f>
        <v>96.666666666666671</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100</v>
      </c>
      <c r="G56" s="15"/>
      <c r="H56" s="41" t="str">
        <f t="shared" si="1"/>
        <v/>
      </c>
      <c r="I56" s="73" t="str">
        <f>IF(H56="","",IF($I$8="A",(RANK(H56,H$11:H$333,1)+COUNTIF(H$11:H56,H56)-1),(RANK(H56,H$11:H$333)+COUNTIF(H$11:H56,H56)-1)))</f>
        <v/>
      </c>
      <c r="J56" s="40"/>
      <c r="K56" s="35">
        <f t="shared" si="10"/>
        <v>46</v>
      </c>
      <c r="L56" t="str">
        <f t="shared" si="2"/>
        <v>Luton</v>
      </c>
      <c r="M56" s="109">
        <f t="shared" si="3"/>
        <v>84.375</v>
      </c>
      <c r="N56" s="104">
        <f t="shared" si="19"/>
        <v>84.375</v>
      </c>
      <c r="O56" s="89" t="str">
        <f t="shared" si="20"/>
        <v/>
      </c>
      <c r="P56" s="89" t="str">
        <f t="shared" si="21"/>
        <v/>
      </c>
      <c r="Q56" s="89">
        <f t="shared" si="22"/>
        <v>84.375</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f>IF(I$8="A",(RANK(AG56,AG$11:AG$333,1)+COUNTIF(AG$11:AG56,AG56)-1),(RANK(AG56,AG$11:AG$333)+COUNTIF(AG$11:AG56,AG56)-1))</f>
        <v>46</v>
      </c>
      <c r="AF56" t="str">
        <f>VLOOKUP(Profile!$J$5,Families!$C:$R,2,FALSE)</f>
        <v>Cheshire West &amp; Chester</v>
      </c>
      <c r="AG56" s="15">
        <f t="shared" si="15"/>
        <v>91.111111111111114</v>
      </c>
      <c r="AH56" s="46">
        <f t="shared" si="28"/>
        <v>46</v>
      </c>
      <c r="AI56" s="5" t="str">
        <f>IF(L56="","",VLOOKUP($L56,classifications!$C:$J,8,FALSE))</f>
        <v>Unitary</v>
      </c>
      <c r="AJ56" s="42">
        <f t="shared" si="29"/>
        <v>84.375</v>
      </c>
      <c r="AK56" s="39">
        <f>IF(AJ56="","",IF(I$8="A",(RANK(AJ56,AJ$11:AJ$333,1)+COUNTIF(AJ$11:AJ56,AJ56)-1),(RANK(AJ56,AJ$11:AJ$333)+COUNTIF(AJ$11:AJ56,AJ56)-1)))</f>
        <v>46</v>
      </c>
      <c r="AL56" s="3">
        <f t="shared" si="16"/>
        <v>46</v>
      </c>
      <c r="AM56" t="str">
        <f t="shared" si="6"/>
        <v>Luton</v>
      </c>
      <c r="AN56">
        <f t="shared" si="7"/>
        <v>84.375</v>
      </c>
      <c r="AP56" s="5" t="str">
        <f>IF(L56="","",VLOOKUP($L56,classifications!$C:$E,3,FALSE))</f>
        <v>East of England</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100</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93.333333333333329</v>
      </c>
      <c r="G57" s="15"/>
      <c r="H57" s="41" t="str">
        <f t="shared" si="1"/>
        <v/>
      </c>
      <c r="I57" s="73" t="str">
        <f>IF(H57="","",IF($I$8="A",(RANK(H57,H$11:H$333,1)+COUNTIF(H$11:H57,H57)-1),(RANK(H57,H$11:H$333)+COUNTIF(H$11:H57,H57)-1)))</f>
        <v/>
      </c>
      <c r="J57" s="40"/>
      <c r="K57" s="35">
        <f t="shared" si="10"/>
        <v>47</v>
      </c>
      <c r="L57" t="str">
        <f t="shared" si="2"/>
        <v>Darlington</v>
      </c>
      <c r="M57" s="109">
        <f t="shared" si="3"/>
        <v>83.333333333333343</v>
      </c>
      <c r="N57" s="104">
        <f t="shared" si="19"/>
        <v>83.333333333333343</v>
      </c>
      <c r="O57" s="89" t="str">
        <f t="shared" si="20"/>
        <v/>
      </c>
      <c r="P57" s="89" t="str">
        <f t="shared" si="21"/>
        <v/>
      </c>
      <c r="Q57" s="89" t="str">
        <f t="shared" si="22"/>
        <v/>
      </c>
      <c r="R57" s="85">
        <f t="shared" si="23"/>
        <v>83.333333333333343</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91.111111111111114</v>
      </c>
      <c r="AH57" s="46">
        <f t="shared" si="28"/>
        <v>47</v>
      </c>
      <c r="AI57" s="5" t="str">
        <f>IF(L57="","",VLOOKUP($L57,classifications!$C:$J,8,FALSE))</f>
        <v>Unitary</v>
      </c>
      <c r="AJ57" s="42">
        <f t="shared" si="29"/>
        <v>83.333333333333343</v>
      </c>
      <c r="AK57" s="39">
        <f>IF(AJ57="","",IF(I$8="A",(RANK(AJ57,AJ$11:AJ$333,1)+COUNTIF(AJ$11:AJ57,AJ57)-1),(RANK(AJ57,AJ$11:AJ$333)+COUNTIF(AJ$11:AJ57,AJ57)-1)))</f>
        <v>47</v>
      </c>
      <c r="AL57" s="3">
        <f t="shared" si="16"/>
        <v>47</v>
      </c>
      <c r="AM57" t="str">
        <f t="shared" si="6"/>
        <v>Darlington</v>
      </c>
      <c r="AN57">
        <f t="shared" si="7"/>
        <v>83.333333333333343</v>
      </c>
      <c r="AP57" s="5" t="str">
        <f>IF(L57="","",VLOOKUP($L57,classifications!$C:$E,3,FALSE))</f>
        <v>NE</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93.333333333333329</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20</v>
      </c>
      <c r="G58" s="15"/>
      <c r="H58" s="41" t="str">
        <f t="shared" si="1"/>
        <v/>
      </c>
      <c r="I58" s="73" t="str">
        <f>IF(H58="","",IF($I$8="A",(RANK(H58,H$11:H$333,1)+COUNTIF(H$11:H58,H58)-1),(RANK(H58,H$11:H$333)+COUNTIF(H$11:H58,H58)-1)))</f>
        <v/>
      </c>
      <c r="J58" s="40"/>
      <c r="K58" s="35">
        <f t="shared" si="10"/>
        <v>48</v>
      </c>
      <c r="L58" t="str">
        <f t="shared" si="2"/>
        <v>Bournemouth, Christchurch &amp; Poole</v>
      </c>
      <c r="M58" s="109">
        <f t="shared" si="3"/>
        <v>82.242990654205599</v>
      </c>
      <c r="N58" s="104">
        <f t="shared" ref="N58:N121" si="31">IF(L58="","",IF($H$8="%%",M58*100,M58))</f>
        <v>82.242990654205599</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82.242990654205599</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91.111111111111114</v>
      </c>
      <c r="AH58" s="46">
        <f t="shared" ref="AH58:AH121" si="40">AE58</f>
        <v>48</v>
      </c>
      <c r="AI58" s="5" t="str">
        <f>IF(L58="","",VLOOKUP($L58,classifications!$C:$J,8,FALSE))</f>
        <v>Unitary</v>
      </c>
      <c r="AJ58" s="42">
        <f t="shared" ref="AJ58:AJ121" si="41">IF(AI58=$I$3,M58,"")</f>
        <v>82.242990654205599</v>
      </c>
      <c r="AK58" s="39">
        <f>IF(AJ58="","",IF(I$8="A",(RANK(AJ58,AJ$11:AJ$333,1)+COUNTIF(AJ$11:AJ58,AJ58)-1),(RANK(AJ58,AJ$11:AJ$333)+COUNTIF(AJ$11:AJ58,AJ58)-1)))</f>
        <v>48</v>
      </c>
      <c r="AL58" s="3">
        <f t="shared" si="16"/>
        <v>48</v>
      </c>
      <c r="AM58" t="str">
        <f t="shared" si="6"/>
        <v>Bournemouth, Christchurch &amp; Poole</v>
      </c>
      <c r="AN58">
        <f t="shared" si="7"/>
        <v>82.242990654205599</v>
      </c>
      <c r="AP58" s="5" t="str">
        <f>IF(L58="","",VLOOKUP($L58,classifications!$C:$E,3,FALSE))</f>
        <v>South West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20</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88.461538461538453</v>
      </c>
      <c r="G59" s="15"/>
      <c r="H59" s="41">
        <f t="shared" si="1"/>
        <v>88.461538461538453</v>
      </c>
      <c r="I59" s="73">
        <f>IF(H59="","",IF($I$8="A",(RANK(H59,H$11:H$333,1)+COUNTIF(H$11:H59,H59)-1),(RANK(H59,H$11:H$333)+COUNTIF(H$11:H59,H59)-1)))</f>
        <v>39</v>
      </c>
      <c r="J59" s="40"/>
      <c r="K59" s="35">
        <f t="shared" si="10"/>
        <v>49</v>
      </c>
      <c r="L59" t="str">
        <f t="shared" si="2"/>
        <v>Somerset</v>
      </c>
      <c r="M59" s="109">
        <f t="shared" si="3"/>
        <v>81.818181818181827</v>
      </c>
      <c r="N59" s="104">
        <f t="shared" si="31"/>
        <v>81.818181818181827</v>
      </c>
      <c r="O59" s="89" t="str">
        <f t="shared" si="32"/>
        <v/>
      </c>
      <c r="P59" s="89" t="str">
        <f t="shared" si="33"/>
        <v/>
      </c>
      <c r="Q59" s="89" t="str">
        <f t="shared" si="34"/>
        <v/>
      </c>
      <c r="R59" s="85">
        <f t="shared" si="35"/>
        <v>81.818181818181827</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Rural</v>
      </c>
      <c r="Y59" t="str">
        <f t="shared" si="38"/>
        <v/>
      </c>
      <c r="Z59" s="39" t="str">
        <f>IF(Y59="","",IF(I$8="A",(RANK(Y59,Y$11:Y$333,1)+COUNTIF(Y$11:Y59,Y59)-1),(RANK(Y59,Y$11:Y$333)+COUNTIF(Y$11:Y59,Y59)-1)))</f>
        <v/>
      </c>
      <c r="AA59" s="177" t="str">
        <f>IF(L59="","",VLOOKUP($L59,classifications!C:I,7,FALSE))</f>
        <v>Predominantly Rural</v>
      </c>
      <c r="AB59" s="173" t="str">
        <f t="shared" si="39"/>
        <v/>
      </c>
      <c r="AC59" s="173" t="str">
        <f>IF(AB59="","",IF($I$8="A",(RANK(AB59,AB$11:AB$333)+COUNTIF(AB$11:AB59,AB59)-1),(RANK(AB59,AB$11:AB$333,1)+COUNTIF(AB$11:AB59,AB59)-1)))</f>
        <v/>
      </c>
      <c r="AD59" s="173"/>
      <c r="AE59" s="45">
        <f>IF(I$8="A",(RANK(AG59,AG$11:AG$333,1)+COUNTIF(AG$11:AG59,AG59)-1),(RANK(AG59,AG$11:AG$333)+COUNTIF(AG$11:AG59,AG59)-1))</f>
        <v>49</v>
      </c>
      <c r="AF59" t="str">
        <f>VLOOKUP(Profile!$J$5,Families!$C:$R,2,FALSE)</f>
        <v>Cheshire West &amp; Chester</v>
      </c>
      <c r="AG59" s="15">
        <f t="shared" si="15"/>
        <v>91.111111111111114</v>
      </c>
      <c r="AH59" s="46">
        <f t="shared" si="40"/>
        <v>49</v>
      </c>
      <c r="AI59" s="5" t="str">
        <f>IF(L59="","",VLOOKUP($L59,classifications!$C:$J,8,FALSE))</f>
        <v>Unitary</v>
      </c>
      <c r="AJ59" s="42">
        <f t="shared" si="41"/>
        <v>81.818181818181827</v>
      </c>
      <c r="AK59" s="39">
        <f>IF(AJ59="","",IF(I$8="A",(RANK(AJ59,AJ$11:AJ$333,1)+COUNTIF(AJ$11:AJ59,AJ59)-1),(RANK(AJ59,AJ$11:AJ$333)+COUNTIF(AJ$11:AJ59,AJ59)-1)))</f>
        <v>49</v>
      </c>
      <c r="AL59" s="3">
        <f t="shared" si="16"/>
        <v>49</v>
      </c>
      <c r="AM59" t="str">
        <f t="shared" si="6"/>
        <v>Somerset</v>
      </c>
      <c r="AN59">
        <f t="shared" si="7"/>
        <v>81.818181818181827</v>
      </c>
      <c r="AP59" s="5" t="str">
        <f>IF(L59="","",VLOOKUP($L59,classifications!$C:$E,3,FALSE))</f>
        <v>South West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88.461538461538453</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95.833333333333343</v>
      </c>
      <c r="G60" s="15"/>
      <c r="H60" s="41" t="str">
        <f t="shared" si="1"/>
        <v/>
      </c>
      <c r="I60" s="73" t="str">
        <f>IF(H60="","",IF($I$8="A",(RANK(H60,H$11:H$333,1)+COUNTIF(H$11:H60,H60)-1),(RANK(H60,H$11:H$333)+COUNTIF(H$11:H60,H60)-1)))</f>
        <v/>
      </c>
      <c r="J60" s="40"/>
      <c r="K60" s="35">
        <f t="shared" si="10"/>
        <v>50</v>
      </c>
      <c r="L60" t="str">
        <f t="shared" si="2"/>
        <v>Stockton-on-Tees</v>
      </c>
      <c r="M60" s="109">
        <f t="shared" si="3"/>
        <v>81.818181818181827</v>
      </c>
      <c r="N60" s="104">
        <f t="shared" si="31"/>
        <v>81.818181818181827</v>
      </c>
      <c r="O60" s="89" t="str">
        <f t="shared" si="32"/>
        <v/>
      </c>
      <c r="P60" s="89" t="str">
        <f t="shared" si="33"/>
        <v/>
      </c>
      <c r="Q60" s="89" t="str">
        <f t="shared" si="34"/>
        <v/>
      </c>
      <c r="R60" s="85">
        <f t="shared" si="35"/>
        <v>81.818181818181827</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f>IF(I$8="A",(RANK(AG60,AG$11:AG$333,1)+COUNTIF(AG$11:AG60,AG60)-1),(RANK(AG60,AG$11:AG$333)+COUNTIF(AG$11:AG60,AG60)-1))</f>
        <v>50</v>
      </c>
      <c r="AF60" t="str">
        <f>VLOOKUP(Profile!$J$5,Families!$C:$R,2,FALSE)</f>
        <v>Cheshire West &amp; Chester</v>
      </c>
      <c r="AG60" s="15">
        <f t="shared" si="15"/>
        <v>91.111111111111114</v>
      </c>
      <c r="AH60" s="46">
        <f t="shared" si="40"/>
        <v>50</v>
      </c>
      <c r="AI60" s="5" t="str">
        <f>IF(L60="","",VLOOKUP($L60,classifications!$C:$J,8,FALSE))</f>
        <v>Unitary</v>
      </c>
      <c r="AJ60" s="42">
        <f t="shared" si="41"/>
        <v>81.818181818181827</v>
      </c>
      <c r="AK60" s="39">
        <f>IF(AJ60="","",IF(I$8="A",(RANK(AJ60,AJ$11:AJ$333,1)+COUNTIF(AJ$11:AJ60,AJ60)-1),(RANK(AJ60,AJ$11:AJ$333)+COUNTIF(AJ$11:AJ60,AJ60)-1)))</f>
        <v>50</v>
      </c>
      <c r="AL60" s="3">
        <f t="shared" si="16"/>
        <v>50</v>
      </c>
      <c r="AM60" t="str">
        <f t="shared" si="6"/>
        <v>Stockton-on-Tees</v>
      </c>
      <c r="AN60">
        <f t="shared" si="7"/>
        <v>81.818181818181827</v>
      </c>
      <c r="AP60" s="5" t="str">
        <f>IF(L60="","",VLOOKUP($L60,classifications!$C:$E,3,FALSE))</f>
        <v>NE</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95.833333333333343</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91.666666666666657</v>
      </c>
      <c r="G61" s="15"/>
      <c r="H61" s="41" t="str">
        <f t="shared" si="1"/>
        <v/>
      </c>
      <c r="I61" s="73" t="str">
        <f>IF(H61="","",IF($I$8="A",(RANK(H61,H$11:H$333,1)+COUNTIF(H$11:H61,H61)-1),(RANK(H61,H$11:H$333)+COUNTIF(H$11:H61,H61)-1)))</f>
        <v/>
      </c>
      <c r="J61" s="40"/>
      <c r="K61" s="35">
        <f t="shared" si="10"/>
        <v>51</v>
      </c>
      <c r="L61" t="str">
        <f t="shared" si="2"/>
        <v>Herefordshire</v>
      </c>
      <c r="M61" s="109">
        <f t="shared" si="3"/>
        <v>81.632653061224488</v>
      </c>
      <c r="N61" s="104">
        <f t="shared" si="31"/>
        <v>81.632653061224488</v>
      </c>
      <c r="O61" s="89" t="str">
        <f t="shared" si="32"/>
        <v/>
      </c>
      <c r="P61" s="89" t="str">
        <f t="shared" si="33"/>
        <v/>
      </c>
      <c r="Q61" s="89" t="str">
        <f t="shared" si="34"/>
        <v/>
      </c>
      <c r="R61" s="85">
        <f t="shared" si="35"/>
        <v>81.632653061224488</v>
      </c>
      <c r="S61" s="41" t="str">
        <f t="shared" si="36"/>
        <v/>
      </c>
      <c r="T61" s="166" t="str">
        <f>IF(L61="","",VLOOKUP(L61,classifications!C:K,9,FALSE))</f>
        <v>Sparse</v>
      </c>
      <c r="U61" s="167">
        <f t="shared" si="37"/>
        <v>81.632653061224488</v>
      </c>
      <c r="V61" s="173">
        <f>IF(U61="","",IF($I$8="A",(RANK(U61,U$11:U$333)+COUNTIF(U$11:U61,U61)-1),(RANK(U61,U$11:U$333,1)+COUNTIF(U$11:U61,U61)-1)))</f>
        <v>7</v>
      </c>
      <c r="W61" s="174"/>
      <c r="X61" s="5" t="str">
        <f>IF(L61="","",VLOOKUP($L61,classifications!$C:$J,6,FALSE))</f>
        <v xml:space="preserve">Predominantly Rural </v>
      </c>
      <c r="Y61">
        <f t="shared" si="38"/>
        <v>81.632653061224488</v>
      </c>
      <c r="Z61" s="39">
        <f>IF(Y61="","",IF(I$8="A",(RANK(Y61,Y$11:Y$333,1)+COUNTIF(Y$11:Y61,Y61)-1),(RANK(Y61,Y$11:Y$333)+COUNTIF(Y$11:Y61,Y61)-1)))</f>
        <v>16</v>
      </c>
      <c r="AA61" s="177" t="str">
        <f>IF(L61="","",VLOOKUP($L61,classifications!C:I,7,FALSE))</f>
        <v>Predominantly Rural</v>
      </c>
      <c r="AB61" s="173" t="str">
        <f t="shared" si="39"/>
        <v/>
      </c>
      <c r="AC61" s="173" t="str">
        <f>IF(AB61="","",IF($I$8="A",(RANK(AB61,AB$11:AB$333)+COUNTIF(AB$11:AB61,AB61)-1),(RANK(AB61,AB$11:AB$333,1)+COUNTIF(AB$11:AB61,AB61)-1)))</f>
        <v/>
      </c>
      <c r="AD61" s="173"/>
      <c r="AE61" s="45">
        <f>IF(I$8="A",(RANK(AG61,AG$11:AG$333,1)+COUNTIF(AG$11:AG61,AG61)-1),(RANK(AG61,AG$11:AG$333)+COUNTIF(AG$11:AG61,AG61)-1))</f>
        <v>51</v>
      </c>
      <c r="AF61" t="str">
        <f>VLOOKUP(Profile!$J$5,Families!$C:$R,2,FALSE)</f>
        <v>Cheshire West &amp; Chester</v>
      </c>
      <c r="AG61" s="15">
        <f t="shared" si="15"/>
        <v>91.111111111111114</v>
      </c>
      <c r="AH61" s="46">
        <f t="shared" si="40"/>
        <v>51</v>
      </c>
      <c r="AI61" s="5" t="str">
        <f>IF(L61="","",VLOOKUP($L61,classifications!$C:$J,8,FALSE))</f>
        <v>Unitary</v>
      </c>
      <c r="AJ61" s="42">
        <f t="shared" si="41"/>
        <v>81.632653061224488</v>
      </c>
      <c r="AK61" s="39">
        <f>IF(AJ61="","",IF(I$8="A",(RANK(AJ61,AJ$11:AJ$333,1)+COUNTIF(AJ$11:AJ61,AJ61)-1),(RANK(AJ61,AJ$11:AJ$333)+COUNTIF(AJ$11:AJ61,AJ61)-1)))</f>
        <v>51</v>
      </c>
      <c r="AL61" s="3">
        <f t="shared" si="16"/>
        <v>51</v>
      </c>
      <c r="AM61" t="str">
        <f t="shared" si="6"/>
        <v>Herefordshire</v>
      </c>
      <c r="AN61">
        <f t="shared" si="7"/>
        <v>81.632653061224488</v>
      </c>
      <c r="AP61" s="5" t="str">
        <f>IF(L61="","",VLOOKUP($L61,classifications!$C:$E,3,FALSE))</f>
        <v>West Midlands</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91.666666666666657</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85.714285714285708</v>
      </c>
      <c r="G62" s="15"/>
      <c r="H62" s="41" t="str">
        <f t="shared" si="1"/>
        <v/>
      </c>
      <c r="I62" s="73" t="str">
        <f>IF(H62="","",IF($I$8="A",(RANK(H62,H$11:H$333,1)+COUNTIF(H$11:H62,H62)-1),(RANK(H62,H$11:H$333)+COUNTIF(H$11:H62,H62)-1)))</f>
        <v/>
      </c>
      <c r="J62" s="40"/>
      <c r="K62" s="35">
        <f t="shared" si="10"/>
        <v>52</v>
      </c>
      <c r="L62" t="str">
        <f t="shared" si="2"/>
        <v>West Berkshire</v>
      </c>
      <c r="M62" s="109">
        <f t="shared" si="3"/>
        <v>80.898876404494374</v>
      </c>
      <c r="N62" s="104">
        <f t="shared" si="31"/>
        <v>80.898876404494374</v>
      </c>
      <c r="O62" s="89" t="str">
        <f t="shared" si="32"/>
        <v/>
      </c>
      <c r="P62" s="89" t="str">
        <f t="shared" si="33"/>
        <v/>
      </c>
      <c r="Q62" s="89" t="str">
        <f t="shared" si="34"/>
        <v/>
      </c>
      <c r="R62" s="85">
        <f t="shared" si="35"/>
        <v>80.898876404494374</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Urban with Significant Rural</v>
      </c>
      <c r="Y62">
        <f t="shared" si="38"/>
        <v>80.898876404494374</v>
      </c>
      <c r="Z62" s="39">
        <f>IF(Y62="","",IF(I$8="A",(RANK(Y62,Y$11:Y$333,1)+COUNTIF(Y$11:Y62,Y62)-1),(RANK(Y62,Y$11:Y$333)+COUNTIF(Y$11:Y62,Y62)-1)))</f>
        <v>17</v>
      </c>
      <c r="AA62" s="177" t="str">
        <f>IF(L62="","",VLOOKUP($L62,classifications!C:I,7,FALSE))</f>
        <v>Urban with Significant Rural</v>
      </c>
      <c r="AB62" s="173">
        <f t="shared" si="39"/>
        <v>80.898876404494374</v>
      </c>
      <c r="AC62" s="173">
        <f>IF(AB62="","",IF($I$8="A",(RANK(AB62,AB$11:AB$333)+COUNTIF(AB$11:AB62,AB62)-1),(RANK(AB62,AB$11:AB$333,1)+COUNTIF(AB$11:AB62,AB62)-1)))</f>
        <v>3</v>
      </c>
      <c r="AD62" s="173"/>
      <c r="AE62" s="45">
        <f>IF(I$8="A",(RANK(AG62,AG$11:AG$333,1)+COUNTIF(AG$11:AG62,AG62)-1),(RANK(AG62,AG$11:AG$333)+COUNTIF(AG$11:AG62,AG62)-1))</f>
        <v>52</v>
      </c>
      <c r="AF62" t="str">
        <f>VLOOKUP(Profile!$J$5,Families!$C:$R,2,FALSE)</f>
        <v>Cheshire West &amp; Chester</v>
      </c>
      <c r="AG62" s="15">
        <f t="shared" si="15"/>
        <v>91.111111111111114</v>
      </c>
      <c r="AH62" s="46">
        <f t="shared" si="40"/>
        <v>52</v>
      </c>
      <c r="AI62" s="5" t="str">
        <f>IF(L62="","",VLOOKUP($L62,classifications!$C:$J,8,FALSE))</f>
        <v>Unitary</v>
      </c>
      <c r="AJ62" s="42">
        <f t="shared" si="41"/>
        <v>80.898876404494374</v>
      </c>
      <c r="AK62" s="39">
        <f>IF(AJ62="","",IF(I$8="A",(RANK(AJ62,AJ$11:AJ$333,1)+COUNTIF(AJ$11:AJ62,AJ62)-1),(RANK(AJ62,AJ$11:AJ$333)+COUNTIF(AJ$11:AJ62,AJ62)-1)))</f>
        <v>52</v>
      </c>
      <c r="AL62" s="3">
        <f t="shared" si="16"/>
        <v>52</v>
      </c>
      <c r="AM62" t="str">
        <f t="shared" si="6"/>
        <v>West Berkshire</v>
      </c>
      <c r="AN62">
        <f t="shared" si="7"/>
        <v>80.898876404494374</v>
      </c>
      <c r="AP62" s="5" t="str">
        <f>IF(L62="","",VLOOKUP($L62,classifications!$C:$E,3,FALSE))</f>
        <v>South East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85.714285714285708</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95.833333333333343</v>
      </c>
      <c r="G63" s="15"/>
      <c r="H63" s="41" t="str">
        <f t="shared" si="1"/>
        <v/>
      </c>
      <c r="I63" s="73" t="str">
        <f>IF(H63="","",IF($I$8="A",(RANK(H63,H$11:H$333,1)+COUNTIF(H$11:H63,H63)-1),(RANK(H63,H$11:H$333)+COUNTIF(H$11:H63,H63)-1)))</f>
        <v/>
      </c>
      <c r="J63" s="40"/>
      <c r="K63" s="35">
        <f t="shared" si="10"/>
        <v>53</v>
      </c>
      <c r="L63" t="str">
        <f t="shared" si="2"/>
        <v>Cornwall</v>
      </c>
      <c r="M63" s="109">
        <f t="shared" si="3"/>
        <v>80.838323353293418</v>
      </c>
      <c r="N63" s="104">
        <f t="shared" si="31"/>
        <v>80.838323353293418</v>
      </c>
      <c r="O63" s="89" t="str">
        <f t="shared" si="32"/>
        <v/>
      </c>
      <c r="P63" s="89" t="str">
        <f t="shared" si="33"/>
        <v/>
      </c>
      <c r="Q63" s="89" t="str">
        <f t="shared" si="34"/>
        <v/>
      </c>
      <c r="R63" s="85">
        <f t="shared" si="35"/>
        <v>80.838323353293418</v>
      </c>
      <c r="S63" s="41" t="str">
        <f t="shared" si="36"/>
        <v/>
      </c>
      <c r="T63" s="166" t="str">
        <f>IF(L63="","",VLOOKUP(L63,classifications!C:K,9,FALSE))</f>
        <v>Sparse</v>
      </c>
      <c r="U63" s="167">
        <f t="shared" si="37"/>
        <v>80.838323353293418</v>
      </c>
      <c r="V63" s="173">
        <f>IF(U63="","",IF($I$8="A",(RANK(U63,U$11:U$333)+COUNTIF(U$11:U63,U63)-1),(RANK(U63,U$11:U$333,1)+COUNTIF(U$11:U63,U63)-1)))</f>
        <v>6</v>
      </c>
      <c r="W63" s="174"/>
      <c r="X63" s="5" t="str">
        <f>IF(L63="","",VLOOKUP($L63,classifications!$C:$J,6,FALSE))</f>
        <v xml:space="preserve">Predominantly Rural </v>
      </c>
      <c r="Y63">
        <f t="shared" si="38"/>
        <v>80.838323353293418</v>
      </c>
      <c r="Z63" s="39">
        <f>IF(Y63="","",IF(I$8="A",(RANK(Y63,Y$11:Y$333,1)+COUNTIF(Y$11:Y63,Y63)-1),(RANK(Y63,Y$11:Y$333)+COUNTIF(Y$11:Y63,Y63)-1)))</f>
        <v>18</v>
      </c>
      <c r="AA63" s="177" t="str">
        <f>IF(L63="","",VLOOKUP($L63,classifications!C:I,7,FALSE))</f>
        <v>Predominantly Rural</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91.111111111111114</v>
      </c>
      <c r="AH63" s="46">
        <f t="shared" si="40"/>
        <v>53</v>
      </c>
      <c r="AI63" s="5" t="str">
        <f>IF(L63="","",VLOOKUP($L63,classifications!$C:$J,8,FALSE))</f>
        <v>Unitary</v>
      </c>
      <c r="AJ63" s="42">
        <f t="shared" si="41"/>
        <v>80.838323353293418</v>
      </c>
      <c r="AK63" s="39">
        <f>IF(AJ63="","",IF(I$8="A",(RANK(AJ63,AJ$11:AJ$333,1)+COUNTIF(AJ$11:AJ63,AJ63)-1),(RANK(AJ63,AJ$11:AJ$333)+COUNTIF(AJ$11:AJ63,AJ63)-1)))</f>
        <v>53</v>
      </c>
      <c r="AL63" s="3">
        <f t="shared" si="16"/>
        <v>53</v>
      </c>
      <c r="AM63" t="str">
        <f t="shared" si="6"/>
        <v>Cornwall</v>
      </c>
      <c r="AN63">
        <f t="shared" si="7"/>
        <v>80.838323353293418</v>
      </c>
      <c r="AP63" s="5" t="str">
        <f>IF(L63="","",VLOOKUP($L63,classifications!$C:$E,3,FALSE))</f>
        <v>South West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95.833333333333343</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96.078431372549019</v>
      </c>
      <c r="G64" s="15"/>
      <c r="H64" s="41">
        <f t="shared" si="1"/>
        <v>96.078431372549019</v>
      </c>
      <c r="I64" s="73">
        <f>IF(H64="","",IF($I$8="A",(RANK(H64,H$11:H$333,1)+COUNTIF(H$11:H64,H64)-1),(RANK(H64,H$11:H$333)+COUNTIF(H$11:H64,H64)-1)))</f>
        <v>18</v>
      </c>
      <c r="J64" s="40"/>
      <c r="K64" s="35">
        <f t="shared" si="10"/>
        <v>54</v>
      </c>
      <c r="L64" t="str">
        <f t="shared" si="2"/>
        <v>Isle Of Wight</v>
      </c>
      <c r="M64" s="109">
        <f t="shared" si="3"/>
        <v>80.645161290322577</v>
      </c>
      <c r="N64" s="104">
        <f t="shared" si="31"/>
        <v>80.645161290322577</v>
      </c>
      <c r="O64" s="89" t="str">
        <f t="shared" si="32"/>
        <v/>
      </c>
      <c r="P64" s="89" t="str">
        <f t="shared" si="33"/>
        <v/>
      </c>
      <c r="Q64" s="89" t="str">
        <f t="shared" si="34"/>
        <v/>
      </c>
      <c r="R64" s="85">
        <f t="shared" si="35"/>
        <v>80.645161290322577</v>
      </c>
      <c r="S64" s="41" t="str">
        <f t="shared" si="36"/>
        <v/>
      </c>
      <c r="T64" s="166" t="str">
        <f>IF(L64="","",VLOOKUP(L64,classifications!C:K,9,FALSE))</f>
        <v>Sparse</v>
      </c>
      <c r="U64" s="167">
        <f t="shared" si="37"/>
        <v>80.645161290322577</v>
      </c>
      <c r="V64" s="173">
        <f>IF(U64="","",IF($I$8="A",(RANK(U64,U$11:U$333)+COUNTIF(U$11:U64,U64)-1),(RANK(U64,U$11:U$333,1)+COUNTIF(U$11:U64,U64)-1)))</f>
        <v>5</v>
      </c>
      <c r="W64" s="174"/>
      <c r="X64" s="5" t="str">
        <f>IF(L64="","",VLOOKUP($L64,classifications!$C:$J,6,FALSE))</f>
        <v xml:space="preserve">Predominantly Rural </v>
      </c>
      <c r="Y64">
        <f t="shared" si="38"/>
        <v>80.645161290322577</v>
      </c>
      <c r="Z64" s="39">
        <f>IF(Y64="","",IF(I$8="A",(RANK(Y64,Y$11:Y$333,1)+COUNTIF(Y$11:Y64,Y64)-1),(RANK(Y64,Y$11:Y$333)+COUNTIF(Y$11:Y64,Y64)-1)))</f>
        <v>19</v>
      </c>
      <c r="AA64" s="177" t="str">
        <f>IF(L64="","",VLOOKUP($L64,classifications!C:I,7,FALSE))</f>
        <v>Predominantly Rural</v>
      </c>
      <c r="AB64" s="173" t="str">
        <f t="shared" si="39"/>
        <v/>
      </c>
      <c r="AC64" s="173" t="str">
        <f>IF(AB64="","",IF($I$8="A",(RANK(AB64,AB$11:AB$333)+COUNTIF(AB$11:AB64,AB64)-1),(RANK(AB64,AB$11:AB$333,1)+COUNTIF(AB$11:AB64,AB64)-1)))</f>
        <v/>
      </c>
      <c r="AD64" s="173"/>
      <c r="AE64" s="45">
        <f>IF(I$8="A",(RANK(AG64,AG$11:AG$333,1)+COUNTIF(AG$11:AG64,AG64)-1),(RANK(AG64,AG$11:AG$333)+COUNTIF(AG$11:AG64,AG64)-1))</f>
        <v>54</v>
      </c>
      <c r="AF64" t="str">
        <f>VLOOKUP(Profile!$J$5,Families!$C:$R,2,FALSE)</f>
        <v>Cheshire West &amp; Chester</v>
      </c>
      <c r="AG64" s="15">
        <f t="shared" si="15"/>
        <v>91.111111111111114</v>
      </c>
      <c r="AH64" s="46">
        <f t="shared" si="40"/>
        <v>54</v>
      </c>
      <c r="AI64" s="5" t="str">
        <f>IF(L64="","",VLOOKUP($L64,classifications!$C:$J,8,FALSE))</f>
        <v>Unitary</v>
      </c>
      <c r="AJ64" s="42">
        <f t="shared" si="41"/>
        <v>80.645161290322577</v>
      </c>
      <c r="AK64" s="39">
        <f>IF(AJ64="","",IF(I$8="A",(RANK(AJ64,AJ$11:AJ$333,1)+COUNTIF(AJ$11:AJ64,AJ64)-1),(RANK(AJ64,AJ$11:AJ$333)+COUNTIF(AJ$11:AJ64,AJ64)-1)))</f>
        <v>54</v>
      </c>
      <c r="AL64" s="3">
        <f t="shared" si="16"/>
        <v>54</v>
      </c>
      <c r="AM64" t="str">
        <f t="shared" si="6"/>
        <v>Isle Of Wight</v>
      </c>
      <c r="AN64">
        <f t="shared" si="7"/>
        <v>80.645161290322577</v>
      </c>
      <c r="AP64" s="5" t="str">
        <f>IF(L64="","",VLOOKUP($L64,classifications!$C:$E,3,FALSE))</f>
        <v>South East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96.078431372549019</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91.111111111111114</v>
      </c>
      <c r="G65" s="15"/>
      <c r="H65" s="41">
        <f t="shared" si="1"/>
        <v>91.111111111111114</v>
      </c>
      <c r="I65" s="73">
        <f>IF(H65="","",IF($I$8="A",(RANK(H65,H$11:H$333,1)+COUNTIF(H$11:H65,H65)-1),(RANK(H65,H$11:H$333)+COUNTIF(H$11:H65,H65)-1)))</f>
        <v>32</v>
      </c>
      <c r="J65" s="40"/>
      <c r="K65" s="35">
        <f t="shared" si="10"/>
        <v>55</v>
      </c>
      <c r="L65" t="str">
        <f t="shared" si="2"/>
        <v>Halton</v>
      </c>
      <c r="M65" s="109">
        <f t="shared" si="3"/>
        <v>80</v>
      </c>
      <c r="N65" s="104">
        <f t="shared" si="31"/>
        <v>80</v>
      </c>
      <c r="O65" s="89" t="str">
        <f t="shared" si="32"/>
        <v/>
      </c>
      <c r="P65" s="89" t="str">
        <f t="shared" si="33"/>
        <v/>
      </c>
      <c r="Q65" s="89" t="str">
        <f t="shared" si="34"/>
        <v/>
      </c>
      <c r="R65" s="85">
        <f t="shared" si="35"/>
        <v>80</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55</v>
      </c>
      <c r="AF65" t="str">
        <f>VLOOKUP(Profile!$J$5,Families!$C:$R,2,FALSE)</f>
        <v>Cheshire West &amp; Chester</v>
      </c>
      <c r="AG65" s="15">
        <f t="shared" si="15"/>
        <v>91.111111111111114</v>
      </c>
      <c r="AH65" s="46">
        <f t="shared" si="40"/>
        <v>55</v>
      </c>
      <c r="AI65" s="5" t="str">
        <f>IF(L65="","",VLOOKUP($L65,classifications!$C:$J,8,FALSE))</f>
        <v>Unitary</v>
      </c>
      <c r="AJ65" s="42">
        <f t="shared" si="41"/>
        <v>80</v>
      </c>
      <c r="AK65" s="39">
        <f>IF(AJ65="","",IF(I$8="A",(RANK(AJ65,AJ$11:AJ$333,1)+COUNTIF(AJ$11:AJ65,AJ65)-1),(RANK(AJ65,AJ$11:AJ$333)+COUNTIF(AJ$11:AJ65,AJ65)-1)))</f>
        <v>55</v>
      </c>
      <c r="AL65" s="3">
        <f t="shared" si="16"/>
        <v>55</v>
      </c>
      <c r="AM65" t="str">
        <f t="shared" si="6"/>
        <v>Halton</v>
      </c>
      <c r="AN65">
        <f t="shared" si="7"/>
        <v>80</v>
      </c>
      <c r="AP65" s="5" t="str">
        <f>IF(L65="","",VLOOKUP($L65,classifications!$C:$E,3,FALSE))</f>
        <v>North West</v>
      </c>
      <c r="AQ65" s="42">
        <f t="shared" si="42"/>
        <v>80</v>
      </c>
      <c r="AR65" s="39">
        <f>IF(AQ65="","",IF(I$8="A",(RANK(AQ65,AQ$11:AQ$333,1)+COUNTIF(AQ$11:AQ65,AQ65)-1),(RANK(AQ65,AQ$11:AQ$333)+COUNTIF(AQ$11:AQ65,AQ65)-1)))</f>
        <v>8</v>
      </c>
      <c r="AS65" s="3" t="str">
        <f t="shared" si="18"/>
        <v/>
      </c>
      <c r="AT65" s="39" t="str">
        <f t="shared" si="8"/>
        <v/>
      </c>
      <c r="AU65" s="42" t="str">
        <f t="shared" si="9"/>
        <v/>
      </c>
      <c r="AX65">
        <f>HLOOKUP($AX$9&amp;$AX$10,Data!$A$1:$ZT$1975,(MATCH($C65,Data!$A$1:$A$1975,0)),FALSE)</f>
        <v>91.111111111111114</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96.296296296296291</v>
      </c>
      <c r="G66" s="15"/>
      <c r="H66" s="41" t="str">
        <f t="shared" si="1"/>
        <v/>
      </c>
      <c r="I66" s="73" t="str">
        <f>IF(H66="","",IF($I$8="A",(RANK(H66,H$11:H$333,1)+COUNTIF(H$11:H66,H66)-1),(RANK(H66,H$11:H$333)+COUNTIF(H$11:H66,H66)-1)))</f>
        <v/>
      </c>
      <c r="J66" s="40"/>
      <c r="K66" s="35">
        <f t="shared" si="10"/>
        <v>56</v>
      </c>
      <c r="L66" t="str">
        <f t="shared" si="2"/>
        <v>North Somerset</v>
      </c>
      <c r="M66" s="109">
        <f t="shared" si="3"/>
        <v>79.545454545454547</v>
      </c>
      <c r="N66" s="104">
        <f t="shared" si="31"/>
        <v>79.545454545454547</v>
      </c>
      <c r="O66" s="89" t="str">
        <f t="shared" si="32"/>
        <v/>
      </c>
      <c r="P66" s="89" t="str">
        <f t="shared" si="33"/>
        <v/>
      </c>
      <c r="Q66" s="89" t="str">
        <f t="shared" si="34"/>
        <v/>
      </c>
      <c r="R66" s="85">
        <f t="shared" si="35"/>
        <v>79.545454545454547</v>
      </c>
      <c r="S66" s="41" t="str">
        <f t="shared" si="36"/>
        <v/>
      </c>
      <c r="T66" s="166" t="str">
        <f>IF(L66="","",VLOOKUP(L66,classifications!C:K,9,FALSE))</f>
        <v>Sparse</v>
      </c>
      <c r="U66" s="167">
        <f t="shared" si="37"/>
        <v>79.545454545454547</v>
      </c>
      <c r="V66" s="173">
        <f>IF(U66="","",IF($I$8="A",(RANK(U66,U$11:U$333)+COUNTIF(U$11:U66,U66)-1),(RANK(U66,U$11:U$333,1)+COUNTIF(U$11:U66,U66)-1)))</f>
        <v>4</v>
      </c>
      <c r="W66" s="174"/>
      <c r="X66" s="5" t="str">
        <f>IF(L66="","",VLOOKUP($L66,classifications!$C:$J,6,FALSE))</f>
        <v>Urban with Significant Rural</v>
      </c>
      <c r="Y66">
        <f t="shared" si="38"/>
        <v>79.545454545454547</v>
      </c>
      <c r="Z66" s="39">
        <f>IF(Y66="","",IF(I$8="A",(RANK(Y66,Y$11:Y$333,1)+COUNTIF(Y$11:Y66,Y66)-1),(RANK(Y66,Y$11:Y$333)+COUNTIF(Y$11:Y66,Y66)-1)))</f>
        <v>20</v>
      </c>
      <c r="AA66" s="177" t="str">
        <f>IF(L66="","",VLOOKUP($L66,classifications!C:I,7,FALSE))</f>
        <v>Urban with Significant Rural</v>
      </c>
      <c r="AB66" s="173">
        <f t="shared" si="39"/>
        <v>79.545454545454547</v>
      </c>
      <c r="AC66" s="173">
        <f>IF(AB66="","",IF($I$8="A",(RANK(AB66,AB$11:AB$333)+COUNTIF(AB$11:AB66,AB66)-1),(RANK(AB66,AB$11:AB$333,1)+COUNTIF(AB$11:AB66,AB66)-1)))</f>
        <v>2</v>
      </c>
      <c r="AD66" s="173"/>
      <c r="AE66" s="45">
        <f>IF(I$8="A",(RANK(AG66,AG$11:AG$333,1)+COUNTIF(AG$11:AG66,AG66)-1),(RANK(AG66,AG$11:AG$333)+COUNTIF(AG$11:AG66,AG66)-1))</f>
        <v>56</v>
      </c>
      <c r="AF66" t="str">
        <f>VLOOKUP(Profile!$J$5,Families!$C:$R,2,FALSE)</f>
        <v>Cheshire West &amp; Chester</v>
      </c>
      <c r="AG66" s="15">
        <f t="shared" si="15"/>
        <v>91.111111111111114</v>
      </c>
      <c r="AH66" s="46">
        <f t="shared" si="40"/>
        <v>56</v>
      </c>
      <c r="AI66" s="5" t="str">
        <f>IF(L66="","",VLOOKUP($L66,classifications!$C:$J,8,FALSE))</f>
        <v>Unitary</v>
      </c>
      <c r="AJ66" s="42">
        <f t="shared" si="41"/>
        <v>79.545454545454547</v>
      </c>
      <c r="AK66" s="39">
        <f>IF(AJ66="","",IF(I$8="A",(RANK(AJ66,AJ$11:AJ$333,1)+COUNTIF(AJ$11:AJ66,AJ66)-1),(RANK(AJ66,AJ$11:AJ$333)+COUNTIF(AJ$11:AJ66,AJ66)-1)))</f>
        <v>56</v>
      </c>
      <c r="AL66" s="3">
        <f t="shared" si="16"/>
        <v>56</v>
      </c>
      <c r="AM66" t="str">
        <f t="shared" si="6"/>
        <v>North Somerset</v>
      </c>
      <c r="AN66">
        <f t="shared" si="7"/>
        <v>79.545454545454547</v>
      </c>
      <c r="AP66" s="5" t="str">
        <f>IF(L66="","",VLOOKUP($L66,classifications!$C:$E,3,FALSE))</f>
        <v>South West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96.296296296296291</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68.421052631578945</v>
      </c>
      <c r="G67" s="15"/>
      <c r="H67" s="41" t="str">
        <f t="shared" si="1"/>
        <v/>
      </c>
      <c r="I67" s="73" t="str">
        <f>IF(H67="","",IF($I$8="A",(RANK(H67,H$11:H$333,1)+COUNTIF(H$11:H67,H67)-1),(RANK(H67,H$11:H$333)+COUNTIF(H$11:H67,H67)-1)))</f>
        <v/>
      </c>
      <c r="J67" s="40"/>
      <c r="K67" s="35">
        <f t="shared" si="10"/>
        <v>57</v>
      </c>
      <c r="L67" t="str">
        <f t="shared" si="2"/>
        <v>North Yorkshire</v>
      </c>
      <c r="M67" s="109">
        <f t="shared" si="3"/>
        <v>78.84615384615384</v>
      </c>
      <c r="N67" s="104">
        <f t="shared" si="31"/>
        <v>78.84615384615384</v>
      </c>
      <c r="O67" s="89" t="str">
        <f t="shared" si="32"/>
        <v/>
      </c>
      <c r="P67" s="89" t="str">
        <f t="shared" si="33"/>
        <v/>
      </c>
      <c r="Q67" s="89" t="str">
        <f t="shared" si="34"/>
        <v/>
      </c>
      <c r="R67" s="85">
        <f t="shared" si="35"/>
        <v>78.84615384615384</v>
      </c>
      <c r="S67" s="41" t="str">
        <f t="shared" si="36"/>
        <v/>
      </c>
      <c r="T67" s="166" t="str">
        <f>IF(L67="","",VLOOKUP(L67,classifications!C:K,9,FALSE))</f>
        <v>Sparse</v>
      </c>
      <c r="U67" s="167">
        <f t="shared" si="37"/>
        <v>78.84615384615384</v>
      </c>
      <c r="V67" s="173">
        <f>IF(U67="","",IF($I$8="A",(RANK(U67,U$11:U$333)+COUNTIF(U$11:U67,U67)-1),(RANK(U67,U$11:U$333,1)+COUNTIF(U$11:U67,U67)-1)))</f>
        <v>3</v>
      </c>
      <c r="W67" s="174"/>
      <c r="X67" s="5" t="str">
        <f>IF(L67="","",VLOOKUP($L67,classifications!$C:$J,6,FALSE))</f>
        <v>Predominantly Rural</v>
      </c>
      <c r="Y67" t="str">
        <f t="shared" si="38"/>
        <v/>
      </c>
      <c r="Z67" s="39" t="str">
        <f>IF(Y67="","",IF(I$8="A",(RANK(Y67,Y$11:Y$333,1)+COUNTIF(Y$11:Y67,Y67)-1),(RANK(Y67,Y$11:Y$333)+COUNTIF(Y$11:Y67,Y67)-1)))</f>
        <v/>
      </c>
      <c r="AA67" s="177" t="str">
        <f>IF(L67="","",VLOOKUP($L67,classifications!C:I,7,FALSE))</f>
        <v>Predominantly Rural</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91.111111111111114</v>
      </c>
      <c r="AH67" s="46">
        <f t="shared" si="40"/>
        <v>57</v>
      </c>
      <c r="AI67" s="5" t="str">
        <f>IF(L67="","",VLOOKUP($L67,classifications!$C:$J,8,FALSE))</f>
        <v>Unitary</v>
      </c>
      <c r="AJ67" s="42">
        <f t="shared" si="41"/>
        <v>78.84615384615384</v>
      </c>
      <c r="AK67" s="39">
        <f>IF(AJ67="","",IF(I$8="A",(RANK(AJ67,AJ$11:AJ$333,1)+COUNTIF(AJ$11:AJ67,AJ67)-1),(RANK(AJ67,AJ$11:AJ$333)+COUNTIF(AJ$11:AJ67,AJ67)-1)))</f>
        <v>57</v>
      </c>
      <c r="AL67" s="3">
        <f t="shared" si="16"/>
        <v>57</v>
      </c>
      <c r="AM67" t="str">
        <f t="shared" si="6"/>
        <v>North Yorkshire</v>
      </c>
      <c r="AN67">
        <f t="shared" si="7"/>
        <v>78.84615384615384</v>
      </c>
      <c r="AP67" s="5" t="str">
        <f>IF(L67="","",VLOOKUP($L67,classifications!$C:$E,3,FALSE))</f>
        <v>Yorkshire &amp; Humberside</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68.421052631578945</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76.19047619047619</v>
      </c>
      <c r="G68" s="15"/>
      <c r="H68" s="41" t="str">
        <f t="shared" si="1"/>
        <v/>
      </c>
      <c r="I68" s="73" t="str">
        <f>IF(H68="","",IF($I$8="A",(RANK(H68,H$11:H$333,1)+COUNTIF(H$11:H68,H68)-1),(RANK(H68,H$11:H$333)+COUNTIF(H$11:H68,H68)-1)))</f>
        <v/>
      </c>
      <c r="J68" s="40"/>
      <c r="K68" s="35">
        <f t="shared" si="10"/>
        <v>58</v>
      </c>
      <c r="L68" t="str">
        <f t="shared" si="2"/>
        <v>Shropshire</v>
      </c>
      <c r="M68" s="109">
        <f t="shared" si="3"/>
        <v>77.51937984496125</v>
      </c>
      <c r="N68" s="104">
        <f t="shared" si="31"/>
        <v>77.51937984496125</v>
      </c>
      <c r="O68" s="89" t="str">
        <f t="shared" si="32"/>
        <v/>
      </c>
      <c r="P68" s="89" t="str">
        <f t="shared" si="33"/>
        <v/>
      </c>
      <c r="Q68" s="89" t="str">
        <f t="shared" si="34"/>
        <v/>
      </c>
      <c r="R68" s="85">
        <f t="shared" si="35"/>
        <v>77.51937984496125</v>
      </c>
      <c r="S68" s="41" t="str">
        <f t="shared" si="36"/>
        <v/>
      </c>
      <c r="T68" s="166" t="str">
        <f>IF(L68="","",VLOOKUP(L68,classifications!C:K,9,FALSE))</f>
        <v>Sparse</v>
      </c>
      <c r="U68" s="167">
        <f t="shared" si="37"/>
        <v>77.51937984496125</v>
      </c>
      <c r="V68" s="173">
        <f>IF(U68="","",IF($I$8="A",(RANK(U68,U$11:U$333)+COUNTIF(U$11:U68,U68)-1),(RANK(U68,U$11:U$333,1)+COUNTIF(U$11:U68,U68)-1)))</f>
        <v>2</v>
      </c>
      <c r="W68" s="174"/>
      <c r="X68" s="5" t="str">
        <f>IF(L68="","",VLOOKUP($L68,classifications!$C:$J,6,FALSE))</f>
        <v xml:space="preserve">Predominantly Rural </v>
      </c>
      <c r="Y68">
        <f t="shared" si="38"/>
        <v>77.51937984496125</v>
      </c>
      <c r="Z68" s="39">
        <f>IF(Y68="","",IF(I$8="A",(RANK(Y68,Y$11:Y$333,1)+COUNTIF(Y$11:Y68,Y68)-1),(RANK(Y68,Y$11:Y$333)+COUNTIF(Y$11:Y68,Y68)-1)))</f>
        <v>21</v>
      </c>
      <c r="AA68" s="177" t="str">
        <f>IF(L68="","",VLOOKUP($L68,classifications!C:I,7,FALSE))</f>
        <v>Predominantly Rural</v>
      </c>
      <c r="AB68" s="173" t="str">
        <f t="shared" si="39"/>
        <v/>
      </c>
      <c r="AC68" s="173" t="str">
        <f>IF(AB68="","",IF($I$8="A",(RANK(AB68,AB$11:AB$333)+COUNTIF(AB$11:AB68,AB68)-1),(RANK(AB68,AB$11:AB$333,1)+COUNTIF(AB$11:AB68,AB68)-1)))</f>
        <v/>
      </c>
      <c r="AD68" s="173"/>
      <c r="AE68" s="45">
        <f>IF(I$8="A",(RANK(AG68,AG$11:AG$333,1)+COUNTIF(AG$11:AG68,AG68)-1),(RANK(AG68,AG$11:AG$333)+COUNTIF(AG$11:AG68,AG68)-1))</f>
        <v>58</v>
      </c>
      <c r="AF68" t="str">
        <f>VLOOKUP(Profile!$J$5,Families!$C:$R,2,FALSE)</f>
        <v>Cheshire West &amp; Chester</v>
      </c>
      <c r="AG68" s="15">
        <f t="shared" si="15"/>
        <v>91.111111111111114</v>
      </c>
      <c r="AH68" s="46">
        <f t="shared" si="40"/>
        <v>58</v>
      </c>
      <c r="AI68" s="5" t="str">
        <f>IF(L68="","",VLOOKUP($L68,classifications!$C:$J,8,FALSE))</f>
        <v>Unitary</v>
      </c>
      <c r="AJ68" s="42">
        <f t="shared" si="41"/>
        <v>77.51937984496125</v>
      </c>
      <c r="AK68" s="39">
        <f>IF(AJ68="","",IF(I$8="A",(RANK(AJ68,AJ$11:AJ$333,1)+COUNTIF(AJ$11:AJ68,AJ68)-1),(RANK(AJ68,AJ$11:AJ$333)+COUNTIF(AJ$11:AJ68,AJ68)-1)))</f>
        <v>58</v>
      </c>
      <c r="AL68" s="3">
        <f t="shared" si="16"/>
        <v>58</v>
      </c>
      <c r="AM68" t="str">
        <f t="shared" si="6"/>
        <v>Shropshire</v>
      </c>
      <c r="AN68">
        <f t="shared" si="7"/>
        <v>77.51937984496125</v>
      </c>
      <c r="AP68" s="5" t="str">
        <f>IF(L68="","",VLOOKUP($L68,classifications!$C:$E,3,FALSE))</f>
        <v>West Midlands</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76.19047619047619</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Wiltshire</v>
      </c>
      <c r="M69" s="109">
        <f t="shared" si="3"/>
        <v>68.644067796610159</v>
      </c>
      <c r="N69" s="104">
        <f t="shared" si="31"/>
        <v>68.644067796610159</v>
      </c>
      <c r="O69" s="89" t="str">
        <f t="shared" si="32"/>
        <v/>
      </c>
      <c r="P69" s="89" t="str">
        <f t="shared" si="33"/>
        <v/>
      </c>
      <c r="Q69" s="89" t="str">
        <f t="shared" si="34"/>
        <v/>
      </c>
      <c r="R69" s="85">
        <f t="shared" si="35"/>
        <v>68.644067796610159</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 xml:space="preserve">Predominantly Rural </v>
      </c>
      <c r="Y69">
        <f t="shared" si="38"/>
        <v>68.644067796610159</v>
      </c>
      <c r="Z69" s="39">
        <f>IF(Y69="","",IF(I$8="A",(RANK(Y69,Y$11:Y$333,1)+COUNTIF(Y$11:Y69,Y69)-1),(RANK(Y69,Y$11:Y$333)+COUNTIF(Y$11:Y69,Y69)-1)))</f>
        <v>22</v>
      </c>
      <c r="AA69" s="177" t="str">
        <f>IF(L69="","",VLOOKUP($L69,classifications!C:I,7,FALSE))</f>
        <v>Predominantly Rural</v>
      </c>
      <c r="AB69" s="173" t="str">
        <f t="shared" si="39"/>
        <v/>
      </c>
      <c r="AC69" s="173" t="str">
        <f>IF(AB69="","",IF($I$8="A",(RANK(AB69,AB$11:AB$333)+COUNTIF(AB$11:AB69,AB69)-1),(RANK(AB69,AB$11:AB$333,1)+COUNTIF(AB$11:AB69,AB69)-1)))</f>
        <v/>
      </c>
      <c r="AD69" s="173"/>
      <c r="AE69" s="45">
        <f>IF(I$8="A",(RANK(AG69,AG$11:AG$333,1)+COUNTIF(AG$11:AG69,AG69)-1),(RANK(AG69,AG$11:AG$333)+COUNTIF(AG$11:AG69,AG69)-1))</f>
        <v>59</v>
      </c>
      <c r="AF69" t="str">
        <f>VLOOKUP(Profile!$J$5,Families!$C:$R,2,FALSE)</f>
        <v>Cheshire West &amp; Chester</v>
      </c>
      <c r="AG69" s="15">
        <f t="shared" si="15"/>
        <v>91.111111111111114</v>
      </c>
      <c r="AH69" s="46">
        <f t="shared" si="40"/>
        <v>59</v>
      </c>
      <c r="AI69" s="5" t="str">
        <f>IF(L69="","",VLOOKUP($L69,classifications!$C:$J,8,FALSE))</f>
        <v>Unitary</v>
      </c>
      <c r="AJ69" s="42">
        <f t="shared" si="41"/>
        <v>68.644067796610159</v>
      </c>
      <c r="AK69" s="39">
        <f>IF(AJ69="","",IF(I$8="A",(RANK(AJ69,AJ$11:AJ$333,1)+COUNTIF(AJ$11:AJ69,AJ69)-1),(RANK(AJ69,AJ$11:AJ$333)+COUNTIF(AJ$11:AJ69,AJ69)-1)))</f>
        <v>59</v>
      </c>
      <c r="AL69" s="3">
        <f t="shared" si="16"/>
        <v>59</v>
      </c>
      <c r="AM69" t="str">
        <f t="shared" si="6"/>
        <v>Wiltshire</v>
      </c>
      <c r="AN69">
        <f t="shared" si="7"/>
        <v>68.644067796610159</v>
      </c>
      <c r="AP69" s="5" t="str">
        <f>IF(L69="","",VLOOKUP($L69,classifications!$C:$E,3,FALSE))</f>
        <v>South West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100</v>
      </c>
      <c r="G70" s="15"/>
      <c r="H70" s="41" t="str">
        <f t="shared" si="1"/>
        <v/>
      </c>
      <c r="I70" s="73" t="str">
        <f>IF(H70="","",IF($I$8="A",(RANK(H70,H$11:H$333,1)+COUNTIF(H$11:H70,H70)-1),(RANK(H70,H$11:H$333)+COUNTIF(H$11:H70,H70)-1)))</f>
        <v/>
      </c>
      <c r="J70" s="40"/>
      <c r="K70" s="35">
        <f t="shared" si="10"/>
        <v>60</v>
      </c>
      <c r="L70" t="str">
        <f t="shared" si="2"/>
        <v>West Northamptonshire</v>
      </c>
      <c r="M70" s="109">
        <f t="shared" si="3"/>
        <v>64.761904761904759</v>
      </c>
      <c r="N70" s="104">
        <f t="shared" si="31"/>
        <v>64.761904761904759</v>
      </c>
      <c r="O70" s="89" t="str">
        <f t="shared" si="32"/>
        <v/>
      </c>
      <c r="P70" s="89" t="str">
        <f t="shared" si="33"/>
        <v/>
      </c>
      <c r="Q70" s="89" t="str">
        <f t="shared" si="34"/>
        <v/>
      </c>
      <c r="R70" s="85">
        <f t="shared" si="35"/>
        <v>64.761904761904759</v>
      </c>
      <c r="S70" s="41" t="str">
        <f t="shared" si="36"/>
        <v/>
      </c>
      <c r="T70" s="166" t="str">
        <f>IF(L70="","",VLOOKUP(L70,classifications!C:K,9,FALSE))</f>
        <v>Sparse</v>
      </c>
      <c r="U70" s="167">
        <f t="shared" si="37"/>
        <v>64.761904761904759</v>
      </c>
      <c r="V70" s="173">
        <f>IF(U70="","",IF($I$8="A",(RANK(U70,U$11:U$333)+COUNTIF(U$11:U70,U70)-1),(RANK(U70,U$11:U$333,1)+COUNTIF(U$11:U70,U70)-1)))</f>
        <v>1</v>
      </c>
      <c r="W70" s="174"/>
      <c r="X70" s="5" t="str">
        <f>IF(L70="","",VLOOKUP($L70,classifications!$C:$J,6,FALSE))</f>
        <v>Urban with Significant Rural</v>
      </c>
      <c r="Y70">
        <f t="shared" si="38"/>
        <v>64.761904761904759</v>
      </c>
      <c r="Z70" s="39">
        <f>IF(Y70="","",IF(I$8="A",(RANK(Y70,Y$11:Y$333,1)+COUNTIF(Y$11:Y70,Y70)-1),(RANK(Y70,Y$11:Y$333)+COUNTIF(Y$11:Y70,Y70)-1)))</f>
        <v>23</v>
      </c>
      <c r="AA70" s="177" t="str">
        <f>IF(L70="","",VLOOKUP($L70,classifications!C:I,7,FALSE))</f>
        <v>Urban with Significant Rural</v>
      </c>
      <c r="AB70" s="173">
        <f t="shared" si="39"/>
        <v>64.761904761904759</v>
      </c>
      <c r="AC70" s="173">
        <f>IF(AB70="","",IF($I$8="A",(RANK(AB70,AB$11:AB$333)+COUNTIF(AB$11:AB70,AB70)-1),(RANK(AB70,AB$11:AB$333,1)+COUNTIF(AB$11:AB70,AB70)-1)))</f>
        <v>1</v>
      </c>
      <c r="AD70" s="173"/>
      <c r="AE70" s="45">
        <f>IF(I$8="A",(RANK(AG70,AG$11:AG$333,1)+COUNTIF(AG$11:AG70,AG70)-1),(RANK(AG70,AG$11:AG$333)+COUNTIF(AG$11:AG70,AG70)-1))</f>
        <v>60</v>
      </c>
      <c r="AF70" t="str">
        <f>VLOOKUP(Profile!$J$5,Families!$C:$R,2,FALSE)</f>
        <v>Cheshire West &amp; Chester</v>
      </c>
      <c r="AG70" s="15">
        <f t="shared" si="15"/>
        <v>91.111111111111114</v>
      </c>
      <c r="AH70" s="46">
        <f t="shared" si="40"/>
        <v>60</v>
      </c>
      <c r="AI70" s="5" t="str">
        <f>IF(L70="","",VLOOKUP($L70,classifications!$C:$J,8,FALSE))</f>
        <v>Unitary</v>
      </c>
      <c r="AJ70" s="42">
        <f t="shared" si="41"/>
        <v>64.761904761904759</v>
      </c>
      <c r="AK70" s="39">
        <f>IF(AJ70="","",IF(I$8="A",(RANK(AJ70,AJ$11:AJ$333,1)+COUNTIF(AJ$11:AJ70,AJ70)-1),(RANK(AJ70,AJ$11:AJ$333)+COUNTIF(AJ$11:AJ70,AJ70)-1)))</f>
        <v>60</v>
      </c>
      <c r="AL70" s="3">
        <f t="shared" si="16"/>
        <v>60</v>
      </c>
      <c r="AM70" t="str">
        <f t="shared" si="6"/>
        <v>West Northamptonshire</v>
      </c>
      <c r="AN70">
        <f t="shared" si="7"/>
        <v>64.761904761904759</v>
      </c>
      <c r="AP70" s="5" t="str">
        <f>IF(L70="","",VLOOKUP($L70,classifications!$C:$E,3,FALSE))</f>
        <v>East Midlands</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80.838323353293418</v>
      </c>
      <c r="G71" s="15"/>
      <c r="H71" s="41">
        <f t="shared" si="1"/>
        <v>80.838323353293418</v>
      </c>
      <c r="I71" s="73">
        <f>IF(H71="","",IF($I$8="A",(RANK(H71,H$11:H$333,1)+COUNTIF(H$11:H71,H71)-1),(RANK(H71,H$11:H$333)+COUNTIF(H$11:H71,H71)-1)))</f>
        <v>53</v>
      </c>
      <c r="J71" s="40"/>
      <c r="K71" s="35">
        <f t="shared" si="10"/>
        <v>61</v>
      </c>
      <c r="L71" t="str">
        <f t="shared" si="2"/>
        <v>Portsmouth</v>
      </c>
      <c r="M71" s="109">
        <f t="shared" si="3"/>
        <v>60</v>
      </c>
      <c r="N71" s="104">
        <f t="shared" si="31"/>
        <v>60</v>
      </c>
      <c r="O71" s="89" t="str">
        <f t="shared" si="32"/>
        <v/>
      </c>
      <c r="P71" s="89" t="str">
        <f t="shared" si="33"/>
        <v/>
      </c>
      <c r="Q71" s="89" t="str">
        <f t="shared" si="34"/>
        <v/>
      </c>
      <c r="R71" s="85">
        <f t="shared" si="35"/>
        <v>60</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f>IF(I$8="A",(RANK(AG71,AG$11:AG$333,1)+COUNTIF(AG$11:AG71,AG71)-1),(RANK(AG71,AG$11:AG$333)+COUNTIF(AG$11:AG71,AG71)-1))</f>
        <v>61</v>
      </c>
      <c r="AF71" t="str">
        <f>VLOOKUP(Profile!$J$5,Families!$C:$R,2,FALSE)</f>
        <v>Cheshire West &amp; Chester</v>
      </c>
      <c r="AG71" s="15">
        <f t="shared" si="15"/>
        <v>91.111111111111114</v>
      </c>
      <c r="AH71" s="46">
        <f t="shared" si="40"/>
        <v>61</v>
      </c>
      <c r="AI71" s="5" t="str">
        <f>IF(L71="","",VLOOKUP($L71,classifications!$C:$J,8,FALSE))</f>
        <v>Unitary</v>
      </c>
      <c r="AJ71" s="42">
        <f t="shared" si="41"/>
        <v>60</v>
      </c>
      <c r="AK71" s="39">
        <f>IF(AJ71="","",IF(I$8="A",(RANK(AJ71,AJ$11:AJ$333,1)+COUNTIF(AJ$11:AJ71,AJ71)-1),(RANK(AJ71,AJ$11:AJ$333)+COUNTIF(AJ$11:AJ71,AJ71)-1)))</f>
        <v>61</v>
      </c>
      <c r="AL71" s="3">
        <f t="shared" si="16"/>
        <v>61</v>
      </c>
      <c r="AM71" t="str">
        <f t="shared" si="6"/>
        <v>Portsmouth</v>
      </c>
      <c r="AN71">
        <f t="shared" si="7"/>
        <v>60</v>
      </c>
      <c r="AP71" s="5" t="str">
        <f>IF(L71="","",VLOOKUP($L71,classifications!$C:$E,3,FALSE))</f>
        <v>South East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80.838323353293418</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90</v>
      </c>
      <c r="G72" s="15"/>
      <c r="H72" s="41" t="str">
        <f t="shared" si="1"/>
        <v/>
      </c>
      <c r="I72" s="73" t="str">
        <f>IF(H72="","",IF($I$8="A",(RANK(H72,H$11:H$333,1)+COUNTIF(H$11:H72,H72)-1),(RANK(H72,H$11:H$333)+COUNTIF(H$11:H72,H72)-1)))</f>
        <v/>
      </c>
      <c r="J72" s="40"/>
      <c r="K72" s="35">
        <f t="shared" si="10"/>
        <v>62</v>
      </c>
      <c r="L72" t="str">
        <f t="shared" si="2"/>
        <v>Middlesbrough</v>
      </c>
      <c r="M72" s="109">
        <f t="shared" si="3"/>
        <v>50</v>
      </c>
      <c r="N72" s="104">
        <f t="shared" si="31"/>
        <v>50</v>
      </c>
      <c r="O72" s="89" t="str">
        <f t="shared" si="32"/>
        <v/>
      </c>
      <c r="P72" s="89" t="str">
        <f t="shared" si="33"/>
        <v/>
      </c>
      <c r="Q72" s="89" t="str">
        <f t="shared" si="34"/>
        <v/>
      </c>
      <c r="R72" s="85">
        <f t="shared" si="35"/>
        <v>50</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Predominantly Urban</v>
      </c>
      <c r="Y72" t="str">
        <f t="shared" si="38"/>
        <v/>
      </c>
      <c r="Z72" s="39" t="str">
        <f>IF(Y72="","",IF(I$8="A",(RANK(Y72,Y$11:Y$333,1)+COUNTIF(Y$11:Y72,Y72)-1),(RANK(Y72,Y$11:Y$333)+COUNTIF(Y$11:Y72,Y72)-1)))</f>
        <v/>
      </c>
      <c r="AA72" s="177" t="str">
        <f>IF(L72="","",VLOOKUP($L72,classifications!C:I,7,FALSE))</f>
        <v>Predominantly Urban</v>
      </c>
      <c r="AB72" s="173" t="str">
        <f t="shared" si="39"/>
        <v/>
      </c>
      <c r="AC72" s="173" t="str">
        <f>IF(AB72="","",IF($I$8="A",(RANK(AB72,AB$11:AB$333)+COUNTIF(AB$11:AB72,AB72)-1),(RANK(AB72,AB$11:AB$333,1)+COUNTIF(AB$11:AB72,AB72)-1)))</f>
        <v/>
      </c>
      <c r="AD72" s="173"/>
      <c r="AE72" s="45">
        <f>IF(I$8="A",(RANK(AG72,AG$11:AG$333,1)+COUNTIF(AG$11:AG72,AG72)-1),(RANK(AG72,AG$11:AG$333)+COUNTIF(AG$11:AG72,AG72)-1))</f>
        <v>62</v>
      </c>
      <c r="AF72" t="str">
        <f>VLOOKUP(Profile!$J$5,Families!$C:$R,2,FALSE)</f>
        <v>Cheshire West &amp; Chester</v>
      </c>
      <c r="AG72" s="15">
        <f t="shared" si="15"/>
        <v>91.111111111111114</v>
      </c>
      <c r="AH72" s="46">
        <f t="shared" si="40"/>
        <v>62</v>
      </c>
      <c r="AI72" s="5" t="str">
        <f>IF(L72="","",VLOOKUP($L72,classifications!$C:$J,8,FALSE))</f>
        <v>Unitary</v>
      </c>
      <c r="AJ72" s="42">
        <f t="shared" si="41"/>
        <v>50</v>
      </c>
      <c r="AK72" s="39">
        <f>IF(AJ72="","",IF(I$8="A",(RANK(AJ72,AJ$11:AJ$333,1)+COUNTIF(AJ$11:AJ72,AJ72)-1),(RANK(AJ72,AJ$11:AJ$333)+COUNTIF(AJ$11:AJ72,AJ72)-1)))</f>
        <v>62</v>
      </c>
      <c r="AL72" s="3">
        <f t="shared" si="16"/>
        <v>62</v>
      </c>
      <c r="AM72" t="str">
        <f t="shared" si="6"/>
        <v>Middlesbrough</v>
      </c>
      <c r="AN72">
        <f t="shared" si="7"/>
        <v>50</v>
      </c>
      <c r="AP72" s="5" t="str">
        <f>IF(L72="","",VLOOKUP($L72,classifications!$C:$E,3,FALSE))</f>
        <v>NE</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90</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96.825396825396822</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91.111111111111114</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96.825396825396822</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75</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91.111111111111114</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75</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90.909090909090907</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91.111111111111114</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90.909090909090907</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68.421052631578945</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91.111111111111114</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68.421052631578945</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83.333333333333343</v>
      </c>
      <c r="G77" s="15"/>
      <c r="H77" s="41">
        <f t="shared" si="44"/>
        <v>83.333333333333343</v>
      </c>
      <c r="I77" s="73">
        <f>IF(H77="","",IF($I$8="A",(RANK(H77,H$11:H$333,1)+COUNTIF(H$11:H77,H77)-1),(RANK(H77,H$11:H$333)+COUNTIF(H$11:H77,H77)-1)))</f>
        <v>47</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91.111111111111114</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83.333333333333343</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84.848484848484844</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91.111111111111114</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84.848484848484844</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94.594594594594597</v>
      </c>
      <c r="G79" s="15"/>
      <c r="H79" s="41">
        <f t="shared" si="44"/>
        <v>94.594594594594597</v>
      </c>
      <c r="I79" s="73">
        <f>IF(H79="","",IF($I$8="A",(RANK(H79,H$11:H$333,1)+COUNTIF(H$11:H79,H79)-1),(RANK(H79,H$11:H$333)+COUNTIF(H$11:H79,H79)-1)))</f>
        <v>24</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91.111111111111114</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94.594594594594597</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91.111111111111114</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96</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91.111111111111114</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96</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91.111111111111114</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89.610389610389603</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91.111111111111114</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89.610389610389603</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87.931034482758619</v>
      </c>
      <c r="G84" s="15"/>
      <c r="H84" s="41">
        <f t="shared" si="44"/>
        <v>87.931034482758619</v>
      </c>
      <c r="I84" s="73">
        <f>IF(H84="","",IF($I$8="A",(RANK(H84,H$11:H$333,1)+COUNTIF(H$11:H84,H84)-1),(RANK(H84,H$11:H$333)+COUNTIF(H$11:H84,H84)-1)))</f>
        <v>40</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91.111111111111114</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87.931034482758619</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80.327868852459019</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91.111111111111114</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80.327868852459019</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98.181818181818187</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91.111111111111114</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98.181818181818187</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86.274509803921575</v>
      </c>
      <c r="G87" s="15"/>
      <c r="H87" s="41">
        <f t="shared" si="44"/>
        <v>86.274509803921575</v>
      </c>
      <c r="I87" s="73">
        <f>IF(H87="","",IF($I$8="A",(RANK(H87,H$11:H$333,1)+COUNTIF(H$11:H87,H87)-1),(RANK(H87,H$11:H$333)+COUNTIF(H$11:H87,H87)-1)))</f>
        <v>42</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91.111111111111114</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86.274509803921575</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91.111111111111114</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98.148148148148152</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91.111111111111114</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98.148148148148152</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50</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91.111111111111114</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50</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68</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91.111111111111114</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68</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67.741935483870961</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91.111111111111114</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67.741935483870961</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61.95652173913043</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91.111111111111114</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61.95652173913043</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96.644295302013433</v>
      </c>
      <c r="G94" s="15"/>
      <c r="H94" s="41">
        <f t="shared" si="44"/>
        <v>96.644295302013433</v>
      </c>
      <c r="I94" s="73">
        <f>IF(H94="","",IF($I$8="A",(RANK(H94,H$11:H$333,1)+COUNTIF(H$11:H94,H94)-1),(RANK(H94,H$11:H$333)+COUNTIF(H$11:H94,H94)-1)))</f>
        <v>15</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91.111111111111114</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96.644295302013433</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100</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91.111111111111114</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100</v>
      </c>
    </row>
    <row r="96" spans="1:50">
      <c r="A96" s="55" t="str">
        <f>$D$1&amp;86</f>
        <v>UA86</v>
      </c>
      <c r="B96" s="56">
        <f>IF(ISERROR(VLOOKUP(A96,classifications!A:C,3,FALSE)),0,VLOOKUP(A96,classifications!A:C,3,FALSE))</f>
        <v>0</v>
      </c>
      <c r="C96" t="s">
        <v>894</v>
      </c>
      <c r="D96" t="str">
        <f>VLOOKUP($C96,classifications!$C:$J,4,FALSE)</f>
        <v>SD</v>
      </c>
      <c r="E96" t="str">
        <f>VLOOKUP(C96,classifications!C:K,9,FALSE)</f>
        <v>Sparse</v>
      </c>
      <c r="F96">
        <f t="shared" si="43"/>
        <v>91.83673469387756</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91.111111111111114</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91.83673469387756</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91.111111111111114</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85.714285714285708</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91.111111111111114</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85.714285714285708</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100</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91.111111111111114</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100</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84.090909090909093</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91.111111111111114</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84.090909090909093</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100</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91.111111111111114</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100</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88.235294117647058</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91.111111111111114</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88.235294117647058</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91.111111111111114</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80.952380952380949</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91.111111111111114</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80.952380952380949</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91.111111111111114</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70.370370370370367</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91.111111111111114</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70.370370370370367</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95.833333333333343</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91.111111111111114</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95.833333333333343</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72.727272727272734</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91.111111111111114</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72.727272727272734</v>
      </c>
    </row>
    <row r="109" spans="1:50">
      <c r="A109" s="55" t="str">
        <f>$D$1&amp;99</f>
        <v>UA99</v>
      </c>
      <c r="B109" s="56">
        <f>IF(ISERROR(VLOOKUP(A109,classifications!A:C,3,FALSE)),0,VLOOKUP(A109,classifications!A:C,3,FALSE))</f>
        <v>0</v>
      </c>
      <c r="C109" t="s">
        <v>890</v>
      </c>
      <c r="D109" t="str">
        <f>VLOOKUP($C109,classifications!$C:$J,4,FALSE)</f>
        <v>SD</v>
      </c>
      <c r="E109">
        <f>VLOOKUP(C109,classifications!C:K,9,FALSE)</f>
        <v>0</v>
      </c>
      <c r="F109">
        <f t="shared" si="43"/>
        <v>92.307692307692307</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91.111111111111114</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92.307692307692307</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96.774193548387103</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91.111111111111114</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96.774193548387103</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86.666666666666671</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91.111111111111114</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86.666666666666671</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91.111111111111114</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91.111111111111114</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93.333333333333329</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91.111111111111114</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93.333333333333329</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91.111111111111114</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75</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91.111111111111114</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75</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88.235294117647058</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91.111111111111114</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88.235294117647058</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95</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91.111111111111114</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95</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91.111111111111114</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86.842105263157904</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91.111111111111114</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86.842105263157904</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92.857142857142861</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91.111111111111114</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92.857142857142861</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80</v>
      </c>
      <c r="G122" s="15"/>
      <c r="H122" s="41">
        <f t="shared" si="44"/>
        <v>80</v>
      </c>
      <c r="I122" s="73">
        <f>IF(H122="","",IF($I$8="A",(RANK(H122,H$11:H$333,1)+COUNTIF(H$11:H122,H122)-1),(RANK(H122,H$11:H$333)+COUNTIF(H$11:H122,H122)-1)))</f>
        <v>55</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91.111111111111114</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80</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91.111111111111114</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91.111111111111114</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57.499999999999993</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91.111111111111114</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57.499999999999993</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91.111111111111114</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94.444444444444443</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91.111111111111114</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94.444444444444443</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83.333333333333343</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91.111111111111114</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83.333333333333343</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87.5</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91.111111111111114</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87.5</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f t="shared" si="44"/>
        <v>100</v>
      </c>
      <c r="I130" s="73">
        <f>IF(H130="","",IF($I$8="A",(RANK(H130,H$11:H$333,1)+COUNTIF(H$11:H130,H130)-1),(RANK(H130,H$11:H$333)+COUNTIF(H$11:H130,H130)-1)))</f>
        <v>3</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91.111111111111114</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100</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91.111111111111114</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100</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90</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91.111111111111114</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90</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96.296296296296291</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91.111111111111114</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96.296296296296291</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81.632653061224488</v>
      </c>
      <c r="G134" s="15"/>
      <c r="H134" s="41">
        <f t="shared" si="44"/>
        <v>81.632653061224488</v>
      </c>
      <c r="I134" s="73">
        <f>IF(H134="","",IF($I$8="A",(RANK(H134,H$11:H$333,1)+COUNTIF(H$11:H134,H134)-1),(RANK(H134,H$11:H$333)+COUNTIF(H$11:H134,H134)-1)))</f>
        <v>51</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91.111111111111114</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81.632653061224488</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91.111111111111114</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95.238095238095227</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91.111111111111114</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95.238095238095227</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91.111111111111114</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97.297297297297305</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91.111111111111114</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97.297297297297305</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78</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91.111111111111114</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78</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97.916666666666657</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91.111111111111114</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97.916666666666657</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80.555555555555557</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91.111111111111114</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80.555555555555557</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89.361702127659569</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91.111111111111114</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89.361702127659569</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80</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91.111111111111114</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80</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95.652173913043484</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91.111111111111114</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95.652173913043484</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80.645161290322577</v>
      </c>
      <c r="G145" s="15"/>
      <c r="H145" s="41">
        <f t="shared" si="68"/>
        <v>80.645161290322577</v>
      </c>
      <c r="I145" s="73">
        <f>IF(H145="","",IF($I$8="A",(RANK(H145,H$11:H$333,1)+COUNTIF(H$11:H145,H145)-1),(RANK(H145,H$11:H$333)+COUNTIF(H$11:H145,H145)-1)))</f>
        <v>54</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91.111111111111114</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80.645161290322577</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50</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91.111111111111114</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50</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96.15384615384616</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91.111111111111114</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96.15384615384616</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91.111111111111114</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91.111111111111114</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86.04651162790698</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91.111111111111114</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86.04651162790698</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89.743589743589752</v>
      </c>
      <c r="G151" s="15"/>
      <c r="H151" s="41">
        <f t="shared" si="68"/>
        <v>89.743589743589752</v>
      </c>
      <c r="I151" s="73">
        <f>IF(H151="","",IF($I$8="A",(RANK(H151,H$11:H$333,1)+COUNTIF(H$11:H151,H151)-1),(RANK(H151,H$11:H$333)+COUNTIF(H$11:H151,H151)-1)))</f>
        <v>36</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91.111111111111114</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89.743589743589752</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96.296296296296291</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91.111111111111114</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96.296296296296291</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88.888888888888886</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91.111111111111114</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88.888888888888886</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96.428571428571431</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91.111111111111114</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96.428571428571431</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91.111111111111114</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91.111111111111114</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90.625</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91.111111111111114</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90.625</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94.915254237288138</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91.111111111111114</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94.915254237288138</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91.489361702127653</v>
      </c>
      <c r="G159" s="15"/>
      <c r="H159" s="41">
        <f t="shared" si="68"/>
        <v>91.489361702127653</v>
      </c>
      <c r="I159" s="73">
        <f>IF(H159="","",IF($I$8="A",(RANK(H159,H$11:H$333,1)+COUNTIF(H$11:H159,H159)-1),(RANK(H159,H$11:H$333)+COUNTIF(H$11:H159,H159)-1)))</f>
        <v>30</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91.111111111111114</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91.489361702127653</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91.111111111111114</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77.272727272727266</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91.111111111111114</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77.272727272727266</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93.75</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91.111111111111114</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93.75</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95.454545454545453</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91.111111111111114</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95.454545454545453</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76.470588235294116</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91.111111111111114</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76.470588235294116</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91.111111111111114</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80.851063829787222</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91.111111111111114</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80.851063829787222</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84.375</v>
      </c>
      <c r="G167" s="15"/>
      <c r="H167" s="41">
        <f t="shared" si="68"/>
        <v>84.375</v>
      </c>
      <c r="I167" s="73">
        <f>IF(H167="","",IF($I$8="A",(RANK(H167,H$11:H$333,1)+COUNTIF(H$11:H167,H167)-1),(RANK(H167,H$11:H$333)+COUNTIF(H$11:H167,H167)-1)))</f>
        <v>46</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91.111111111111114</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84.375</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85.9375</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91.111111111111114</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85.9375</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81.395348837209298</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91.111111111111114</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81.395348837209298</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77.142857142857153</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91.111111111111114</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77.142857142857153</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87.096774193548384</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91.111111111111114</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87.096774193548384</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91.111111111111114</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90.196078431372555</v>
      </c>
      <c r="G173" s="15"/>
      <c r="H173" s="41">
        <f t="shared" si="68"/>
        <v>90.196078431372555</v>
      </c>
      <c r="I173" s="73">
        <f>IF(H173="","",IF($I$8="A",(RANK(H173,H$11:H$333,1)+COUNTIF(H$11:H173,H173)-1),(RANK(H173,H$11:H$333)+COUNTIF(H$11:H173,H173)-1)))</f>
        <v>35</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91.111111111111114</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90.196078431372555</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96.666666666666671</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91.111111111111114</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96.666666666666671</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94.117647058823522</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91.111111111111114</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94.117647058823522</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89.130434782608688</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91.111111111111114</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89.130434782608688</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89.830508474576277</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91.111111111111114</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89.830508474576277</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97.916666666666657</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91.111111111111114</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97.916666666666657</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50</v>
      </c>
      <c r="G179" s="15"/>
      <c r="H179" s="41">
        <f t="shared" si="68"/>
        <v>50</v>
      </c>
      <c r="I179" s="73">
        <f>IF(H179="","",IF($I$8="A",(RANK(H179,H$11:H$333,1)+COUNTIF(H$11:H179,H179)-1),(RANK(H179,H$11:H$333)+COUNTIF(H$11:H179,H179)-1)))</f>
        <v>62</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91.111111111111114</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50</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96.15384615384616</v>
      </c>
      <c r="G180" s="15"/>
      <c r="H180" s="41">
        <f t="shared" si="68"/>
        <v>96.15384615384616</v>
      </c>
      <c r="I180" s="73">
        <f>IF(H180="","",IF($I$8="A",(RANK(H180,H$11:H$333,1)+COUNTIF(H$11:H180,H180)-1),(RANK(H180,H$11:H$333)+COUNTIF(H$11:H180,H180)-1)))</f>
        <v>17</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91.111111111111114</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96.15384615384616</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83.333333333333343</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91.111111111111114</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83.333333333333343</v>
      </c>
    </row>
    <row r="182" spans="1:50">
      <c r="A182" s="55" t="str">
        <f>$D$1&amp;172</f>
        <v>UA172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91.111111111111114</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91.666666666666657</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91.111111111111114</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91.666666666666657</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75.757575757575751</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91.111111111111114</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75.757575757575751</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85.714285714285708</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91.111111111111114</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85.714285714285708</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91.111111111111114</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91.111111111111114</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87.179487179487182</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91.111111111111114</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87.179487179487182</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97.435897435897431</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91.111111111111114</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97.435897435897431</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97.435897435897431</v>
      </c>
      <c r="G190" s="15"/>
      <c r="H190" s="41">
        <f t="shared" si="68"/>
        <v>97.435897435897431</v>
      </c>
      <c r="I190" s="73">
        <f>IF(H190="","",IF($I$8="A",(RANK(H190,H$11:H$333,1)+COUNTIF(H$11:H190,H190)-1),(RANK(H190,H$11:H$333)+COUNTIF(H$11:H190,H190)-1)))</f>
        <v>12</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91.111111111111114</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97.435897435897431</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92.307692307692307</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91.111111111111114</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92.307692307692307</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96.15384615384616</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91.111111111111114</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96.15384615384616</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85.714285714285708</v>
      </c>
      <c r="G193" s="15"/>
      <c r="H193" s="41">
        <f t="shared" si="68"/>
        <v>85.714285714285708</v>
      </c>
      <c r="I193" s="73">
        <f>IF(H193="","",IF($I$8="A",(RANK(H193,H$11:H$333,1)+COUNTIF(H$11:H193,H193)-1),(RANK(H193,H$11:H$333)+COUNTIF(H$11:H193,H193)-1)))</f>
        <v>43</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91.111111111111114</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85.714285714285708</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91.111111111111114</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UA185</v>
      </c>
      <c r="B195" s="56">
        <f>IF(ISERROR(VLOOKUP(A195,classifications!A:C,3,FALSE)),0,VLOOKUP(A195,classifications!A:C,3,FALSE))</f>
        <v>0</v>
      </c>
      <c r="C195" t="s">
        <v>897</v>
      </c>
      <c r="D195" t="str">
        <f>VLOOKUP($C195,classifications!$C:$J,4,FALSE)</f>
        <v>UA</v>
      </c>
      <c r="E195">
        <f>VLOOKUP(C195,classifications!C:K,9,FALSE)</f>
        <v>0</v>
      </c>
      <c r="F195">
        <f t="shared" si="67"/>
        <v>97.872340425531917</v>
      </c>
      <c r="G195" s="15"/>
      <c r="H195" s="41">
        <f t="shared" si="68"/>
        <v>97.872340425531917</v>
      </c>
      <c r="I195" s="73">
        <f>IF(H195="","",IF($I$8="A",(RANK(H195,H$11:H$333,1)+COUNTIF(H$11:H195,H195)-1),(RANK(H195,H$11:H$333)+COUNTIF(H$11:H195,H195)-1)))</f>
        <v>10</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91.111111111111114</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97.872340425531917</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79.545454545454547</v>
      </c>
      <c r="G196" s="15"/>
      <c r="H196" s="41">
        <f t="shared" si="68"/>
        <v>79.545454545454547</v>
      </c>
      <c r="I196" s="73">
        <f>IF(H196="","",IF($I$8="A",(RANK(H196,H$11:H$333,1)+COUNTIF(H$11:H196,H196)-1),(RANK(H196,H$11:H$333)+COUNTIF(H$11:H196,H196)-1)))</f>
        <v>56</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91.111111111111114</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79.545454545454547</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91.111111111111114</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77.777777777777786</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91.111111111111114</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77.777777777777786</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94</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91.111111111111114</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94</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78.84615384615384</v>
      </c>
      <c r="G200" s="15"/>
      <c r="H200" s="41">
        <f t="shared" si="68"/>
        <v>78.84615384615384</v>
      </c>
      <c r="I200" s="73">
        <f>IF(H200="","",IF($I$8="A",(RANK(H200,H$11:H$333,1)+COUNTIF(H$11:H200,H200)-1),(RANK(H200,H$11:H$333)+COUNTIF(H$11:H200,H200)-1)))</f>
        <v>57</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91.111111111111114</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78.84615384615384</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84.693877551020407</v>
      </c>
      <c r="G201" s="15"/>
      <c r="H201" s="41">
        <f t="shared" si="68"/>
        <v>84.693877551020407</v>
      </c>
      <c r="I201" s="73">
        <f>IF(H201="","",IF($I$8="A",(RANK(H201,H$11:H$333,1)+COUNTIF(H$11:H201,H201)-1),(RANK(H201,H$11:H$333)+COUNTIF(H$11:H201,H201)-1)))</f>
        <v>44</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91.111111111111114</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84.693877551020407</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85.714285714285708</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91.111111111111114</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85.714285714285708</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97.872340425531917</v>
      </c>
      <c r="G203" s="15"/>
      <c r="H203" s="41">
        <f t="shared" ref="H203:H266" si="92">IF(D203=$D$1,HLOOKUP($D$6,$AX$10:$ZZ$337,ROW()-9,FALSE),"")</f>
        <v>97.872340425531917</v>
      </c>
      <c r="I203" s="73">
        <f>IF(H203="","",IF($I$8="A",(RANK(H203,H$11:H$333,1)+COUNTIF(H$11:H203,H203)-1),(RANK(H203,H$11:H$333)+COUNTIF(H$11:H203,H203)-1)))</f>
        <v>11</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91.111111111111114</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97.872340425531917</v>
      </c>
    </row>
    <row r="204" spans="1:50">
      <c r="A204" s="55" t="str">
        <f>$D$1&amp;194</f>
        <v>UA194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91.111111111111114</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80.769230769230774</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91.111111111111114</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80.769230769230774</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91.111111111111114</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96.428571428571431</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91.111111111111114</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96.428571428571431</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96.666666666666671</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91.111111111111114</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96.666666666666671</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91.111111111111114</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92.592592592592595</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91.111111111111114</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92.592592592592595</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93.181818181818173</v>
      </c>
      <c r="G211" s="15"/>
      <c r="H211" s="41">
        <f t="shared" si="92"/>
        <v>93.181818181818173</v>
      </c>
      <c r="I211" s="73">
        <f>IF(H211="","",IF($I$8="A",(RANK(H211,H$11:H$333,1)+COUNTIF(H$11:H211,H211)-1),(RANK(H211,H$11:H$333)+COUNTIF(H$11:H211,H211)-1)))</f>
        <v>28</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91.111111111111114</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93.181818181818173</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93.548387096774192</v>
      </c>
      <c r="G212" s="15"/>
      <c r="H212" s="41">
        <f t="shared" si="92"/>
        <v>93.548387096774192</v>
      </c>
      <c r="I212" s="73">
        <f>IF(H212="","",IF($I$8="A",(RANK(H212,H$11:H$333,1)+COUNTIF(H$11:H212,H212)-1),(RANK(H212,H$11:H$333)+COUNTIF(H$11:H212,H212)-1)))</f>
        <v>27</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91.111111111111114</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93.548387096774192</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60</v>
      </c>
      <c r="G213" s="15"/>
      <c r="H213" s="41">
        <f t="shared" si="92"/>
        <v>60</v>
      </c>
      <c r="I213" s="73">
        <f>IF(H213="","",IF($I$8="A",(RANK(H213,H$11:H$333,1)+COUNTIF(H$11:H213,H213)-1),(RANK(H213,H$11:H$333)+COUNTIF(H$11:H213,H213)-1)))</f>
        <v>61</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91.111111111111114</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60</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97.142857142857139</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91.111111111111114</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97.142857142857139</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95.238095238095227</v>
      </c>
      <c r="G215" s="15"/>
      <c r="H215" s="41">
        <f t="shared" si="92"/>
        <v>95.238095238095227</v>
      </c>
      <c r="I215" s="73">
        <f>IF(H215="","",IF($I$8="A",(RANK(H215,H$11:H$333,1)+COUNTIF(H$11:H215,H215)-1),(RANK(H215,H$11:H$333)+COUNTIF(H$11:H215,H215)-1)))</f>
        <v>20</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91.111111111111114</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95.238095238095227</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84</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91.111111111111114</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84</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f t="shared" si="92"/>
        <v>100</v>
      </c>
      <c r="I217" s="73">
        <f>IF(H217="","",IF($I$8="A",(RANK(H217,H$11:H$333,1)+COUNTIF(H$11:H217,H217)-1),(RANK(H217,H$11:H$333)+COUNTIF(H$11:H217,H217)-1)))</f>
        <v>4</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91.111111111111114</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91.111111111111114</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77.272727272727266</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91.111111111111114</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77.272727272727266</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66.666666666666657</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91.111111111111114</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66.666666666666657</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93.75</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91.111111111111114</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93.75</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81.081081081081081</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91.111111111111114</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81.081081081081081</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95</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91.111111111111114</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95</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33.333333333333329</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91.111111111111114</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33.333333333333329</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100</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91.111111111111114</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100</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91.111111111111114</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88.571428571428569</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91.111111111111114</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88.571428571428569</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92.592592592592595</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91.111111111111114</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92.592592592592595</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86.04651162790698</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91.111111111111114</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86.04651162790698</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80</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91.111111111111114</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80</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91.17647058823529</v>
      </c>
      <c r="G231" s="15"/>
      <c r="H231" s="41">
        <f t="shared" si="92"/>
        <v>91.17647058823529</v>
      </c>
      <c r="I231" s="73">
        <f>IF(H231="","",IF($I$8="A",(RANK(H231,H$11:H$333,1)+COUNTIF(H$11:H231,H231)-1),(RANK(H231,H$11:H$333)+COUNTIF(H$11:H231,H231)-1)))</f>
        <v>31</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91.111111111111114</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91.17647058823529</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72</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91.111111111111114</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72</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90.243902439024396</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91.111111111111114</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90.243902439024396</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96.774193548387103</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91.111111111111114</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96.774193548387103</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91.666666666666657</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91.111111111111114</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91.666666666666657</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91.764705882352942</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91.111111111111114</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91.764705882352942</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77.51937984496125</v>
      </c>
      <c r="G237" s="15"/>
      <c r="H237" s="41">
        <f t="shared" si="92"/>
        <v>77.51937984496125</v>
      </c>
      <c r="I237" s="73">
        <f>IF(H237="","",IF($I$8="A",(RANK(H237,H$11:H$333,1)+COUNTIF(H$11:H237,H237)-1),(RANK(H237,H$11:H$333)+COUNTIF(H$11:H237,H237)-1)))</f>
        <v>58</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91.111111111111114</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77.51937984496125</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95.238095238095227</v>
      </c>
      <c r="G238" s="15"/>
      <c r="H238" s="41">
        <f t="shared" si="92"/>
        <v>95.238095238095227</v>
      </c>
      <c r="I238" s="73">
        <f>IF(H238="","",IF($I$8="A",(RANK(H238,H$11:H$333,1)+COUNTIF(H$11:H238,H238)-1),(RANK(H238,H$11:H$333)+COUNTIF(H$11:H238,H238)-1)))</f>
        <v>21</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91.111111111111114</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95.238095238095227</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100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91.111111111111114</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100</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81.818181818181827</v>
      </c>
      <c r="G240" s="15"/>
      <c r="H240" s="41">
        <f t="shared" si="92"/>
        <v>81.818181818181827</v>
      </c>
      <c r="I240" s="73">
        <f>IF(H240="","",IF($I$8="A",(RANK(H240,H$11:H$333,1)+COUNTIF(H$11:H240,H240)-1),(RANK(H240,H$11:H$333)+COUNTIF(H$11:H240,H240)-1)))</f>
        <v>49</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91.111111111111114</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81.818181818181827</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75.806451612903231</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91.111111111111114</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75.806451612903231</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90.625</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91.111111111111114</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90.625</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94.20289855072464</v>
      </c>
      <c r="G243" s="15"/>
      <c r="H243" s="41">
        <f t="shared" si="92"/>
        <v>94.20289855072464</v>
      </c>
      <c r="I243" s="73">
        <f>IF(H243="","",IF($I$8="A",(RANK(H243,H$11:H$333,1)+COUNTIF(H$11:H243,H243)-1),(RANK(H243,H$11:H$333)+COUNTIF(H$11:H243,H243)-1)))</f>
        <v>26</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91.111111111111114</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94.20289855072464</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73.529411764705884</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91.111111111111114</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73.529411764705884</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91.304347826086953</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91.111111111111114</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91.304347826086953</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84.375</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91.111111111111114</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84.375</v>
      </c>
    </row>
    <row r="247" spans="1:50">
      <c r="A247" s="55" t="str">
        <f>$D$1&amp;237</f>
        <v>UA237</v>
      </c>
      <c r="B247" s="56">
        <f>IF(ISERROR(VLOOKUP(A247,classifications!A:C,3,FALSE)),0,VLOOKUP(A247,classifications!A:C,3,FALSE))</f>
        <v>0</v>
      </c>
      <c r="C247" t="s">
        <v>144</v>
      </c>
      <c r="D247" t="str">
        <f>VLOOKUP($C247,classifications!$C:$J,4,FALSE)</f>
        <v>SD</v>
      </c>
      <c r="E247" t="str">
        <f>VLOOKUP(C247,classifications!C:K,9,FALSE)</f>
        <v>Sparse</v>
      </c>
      <c r="F247">
        <f t="shared" si="91"/>
        <v>94.594594594594597</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91.111111111111114</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94.594594594594597</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88.679245283018872</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91.111111111111114</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88.679245283018872</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75</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91.111111111111114</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75</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94.444444444444443</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91.111111111111114</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94.444444444444443</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91.111111111111114</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100</v>
      </c>
      <c r="G252" s="15"/>
      <c r="H252" s="41">
        <f t="shared" si="92"/>
        <v>100</v>
      </c>
      <c r="I252" s="73">
        <f>IF(H252="","",IF($I$8="A",(RANK(H252,H$11:H$333,1)+COUNTIF(H$11:H252,H252)-1),(RANK(H252,H$11:H$333)+COUNTIF(H$11:H252,H252)-1)))</f>
        <v>5</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91.111111111111114</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100</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f t="shared" si="92"/>
        <v>100</v>
      </c>
      <c r="I253" s="73">
        <f>IF(H253="","",IF($I$8="A",(RANK(H253,H$11:H$333,1)+COUNTIF(H$11:H253,H253)-1),(RANK(H253,H$11:H$333)+COUNTIF(H$11:H253,H253)-1)))</f>
        <v>6</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91.111111111111114</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70.212765957446805</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91.111111111111114</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70.212765957446805</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91.111111111111114</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65.384615384615387</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91.111111111111114</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65.384615384615387</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93.333333333333329</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91.111111111111114</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93.333333333333329</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89.473684210526315</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91.111111111111114</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89.473684210526315</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91.111111111111114</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91.111111111111114</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78.94736842105263</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91.111111111111114</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78.94736842105263</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93.333333333333329</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91.111111111111114</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93.333333333333329</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81.818181818181827</v>
      </c>
      <c r="G263" s="15"/>
      <c r="H263" s="41">
        <f t="shared" si="92"/>
        <v>81.818181818181827</v>
      </c>
      <c r="I263" s="73">
        <f>IF(H263="","",IF($I$8="A",(RANK(H263,H$11:H$333,1)+COUNTIF(H$11:H263,H263)-1),(RANK(H263,H$11:H$333)+COUNTIF(H$11:H263,H263)-1)))</f>
        <v>50</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91.111111111111114</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81.818181818181827</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f t="shared" si="92"/>
        <v>100</v>
      </c>
      <c r="I264" s="73">
        <f>IF(H264="","",IF($I$8="A",(RANK(H264,H$11:H$333,1)+COUNTIF(H$11:H264,H264)-1),(RANK(H264,H$11:H$333)+COUNTIF(H$11:H264,H264)-1)))</f>
        <v>7</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91.111111111111114</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86.36363636363636</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91.111111111111114</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86.36363636363636</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84.848484848484844</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91.111111111111114</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84.848484848484844</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91.111111111111114</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100</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91.111111111111114</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100</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91.111111111111114</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92.592592592592595</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91.111111111111114</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92.592592592592595</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91.111111111111114</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75</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91.111111111111114</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75</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96.428571428571431</v>
      </c>
      <c r="G273" s="15"/>
      <c r="H273" s="41">
        <f t="shared" si="116"/>
        <v>96.428571428571431</v>
      </c>
      <c r="I273" s="73">
        <f>IF(H273="","",IF($I$8="A",(RANK(H273,H$11:H$333,1)+COUNTIF(H$11:H273,H273)-1),(RANK(H273,H$11:H$333)+COUNTIF(H$11:H273,H273)-1)))</f>
        <v>16</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91.111111111111114</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96.428571428571431</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91.111111111111114</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91.111111111111114</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70.833333333333343</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91.111111111111114</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70.833333333333343</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89.285714285714292</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91.111111111111114</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89.285714285714292</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f t="shared" si="116"/>
        <v>100</v>
      </c>
      <c r="I278" s="73">
        <f>IF(H278="","",IF($I$8="A",(RANK(H278,H$11:H$333,1)+COUNTIF(H$11:H278,H278)-1),(RANK(H278,H$11:H$333)+COUNTIF(H$11:H278,H278)-1)))</f>
        <v>8</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91.111111111111114</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88.888888888888886</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91.111111111111114</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88.888888888888886</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92.307692307692307</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91.111111111111114</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92.307692307692307</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60.526315789473685</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91.111111111111114</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60.526315789473685</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77.777777777777786</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91.111111111111114</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77.777777777777786</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80</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91.111111111111114</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80</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94.871794871794862</v>
      </c>
      <c r="G284" s="15"/>
      <c r="H284" s="41">
        <f t="shared" si="116"/>
        <v>94.871794871794862</v>
      </c>
      <c r="I284" s="73">
        <f>IF(H284="","",IF($I$8="A",(RANK(H284,H$11:H$333,1)+COUNTIF(H$11:H284,H284)-1),(RANK(H284,H$11:H$333)+COUNTIF(H$11:H284,H284)-1)))</f>
        <v>23</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91.111111111111114</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94.871794871794862</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91.666666666666657</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91.111111111111114</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91.666666666666657</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95.833333333333343</v>
      </c>
      <c r="G286" s="15"/>
      <c r="H286" s="41">
        <f t="shared" si="116"/>
        <v>95.833333333333343</v>
      </c>
      <c r="I286" s="73">
        <f>IF(H286="","",IF($I$8="A",(RANK(H286,H$11:H$333,1)+COUNTIF(H$11:H286,H286)-1),(RANK(H286,H$11:H$333)+COUNTIF(H$11:H286,H286)-1)))</f>
        <v>19</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91.111111111111114</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95.833333333333343</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93.181818181818173</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91.111111111111114</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93.181818181818173</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97.61904761904762</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91.111111111111114</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97.61904761904762</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96.36363636363636</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91.111111111111114</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96.36363636363636</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91.111111111111114</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76.08695652173914</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91.111111111111114</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76.08695652173914</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90.476190476190482</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91.111111111111114</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90.476190476190482</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87.037037037037038</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91.111111111111114</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87.037037037037038</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56.756756756756758</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91.111111111111114</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56.756756756756758</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91.111111111111114</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97.058823529411768</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91.111111111111114</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97.058823529411768</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97.142857142857139</v>
      </c>
      <c r="G297" s="15"/>
      <c r="H297" s="41">
        <f t="shared" si="116"/>
        <v>97.142857142857139</v>
      </c>
      <c r="I297" s="73">
        <f>IF(H297="","",IF($I$8="A",(RANK(H297,H$11:H$333,1)+COUNTIF(H$11:H297,H297)-1),(RANK(H297,H$11:H$333)+COUNTIF(H$11:H297,H297)-1)))</f>
        <v>13</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91.111111111111114</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97.142857142857139</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91.891891891891902</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91.111111111111114</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91.891891891891902</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91.111111111111114</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70</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91.111111111111114</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70</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94</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91.111111111111114</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94</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94.20289855072464</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91.111111111111114</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94.20289855072464</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96.296296296296291</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91.111111111111114</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96.296296296296291</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80.898876404494374</v>
      </c>
      <c r="G304" s="15"/>
      <c r="H304" s="41">
        <f t="shared" si="116"/>
        <v>80.898876404494374</v>
      </c>
      <c r="I304" s="73">
        <f>IF(H304="","",IF($I$8="A",(RANK(H304,H$11:H$333,1)+COUNTIF(H$11:H304,H304)-1),(RANK(H304,H$11:H$333)+COUNTIF(H$11:H304,H304)-1)))</f>
        <v>52</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91.111111111111114</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80.898876404494374</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91.111111111111114</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54.54545454545454</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91.111111111111114</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54.54545454545454</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96.551724137931032</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91.111111111111114</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96.551724137931032</v>
      </c>
    </row>
    <row r="308" spans="1:50">
      <c r="A308" s="55" t="str">
        <f>$D$1&amp;298</f>
        <v>UA298</v>
      </c>
      <c r="B308" s="56">
        <f>IF(ISERROR(VLOOKUP(A308,classifications!A:C,3,FALSE)),0,VLOOKUP(A308,classifications!A:C,3,FALSE))</f>
        <v>0</v>
      </c>
      <c r="C308" t="s">
        <v>898</v>
      </c>
      <c r="D308" t="str">
        <f>VLOOKUP($C308,classifications!$C:$J,4,FALSE)</f>
        <v>UA</v>
      </c>
      <c r="E308" t="str">
        <f>VLOOKUP(C308,classifications!C:K,9,FALSE)</f>
        <v>Sparse</v>
      </c>
      <c r="F308">
        <f t="shared" si="115"/>
        <v>64.761904761904759</v>
      </c>
      <c r="G308" s="15"/>
      <c r="H308" s="41">
        <f t="shared" si="116"/>
        <v>64.761904761904759</v>
      </c>
      <c r="I308" s="73">
        <f>IF(H308="","",IF($I$8="A",(RANK(H308,H$11:H$333,1)+COUNTIF(H$11:H308,H308)-1),(RANK(H308,H$11:H$333)+COUNTIF(H$11:H308,H308)-1)))</f>
        <v>60</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91.111111111111114</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64.761904761904759</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83.333333333333343</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91.111111111111114</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83.333333333333343</v>
      </c>
    </row>
    <row r="310" spans="1:50">
      <c r="A310" s="55" t="str">
        <f>$D$1&amp;300</f>
        <v>UA300</v>
      </c>
      <c r="B310" s="56">
        <f>IF(ISERROR(VLOOKUP(A310,classifications!A:C,3,FALSE)),0,VLOOKUP(A310,classifications!A:C,3,FALSE))</f>
        <v>0</v>
      </c>
      <c r="C310" t="s">
        <v>895</v>
      </c>
      <c r="D310" t="str">
        <f>VLOOKUP($C310,classifications!$C:$J,4,FALSE)</f>
        <v>SD</v>
      </c>
      <c r="E310" t="str">
        <f>VLOOKUP(C310,classifications!C:K,9,FALSE)</f>
        <v>Sparse</v>
      </c>
      <c r="F310">
        <f t="shared" si="115"/>
        <v>94.545454545454547</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91.111111111111114</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94.545454545454547</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91.111111111111114</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85.714285714285708</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91.111111111111114</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85.714285714285708</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91.428571428571431</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91.111111111111114</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91.428571428571431</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68.644067796610159</v>
      </c>
      <c r="G314" s="15"/>
      <c r="H314" s="41">
        <f t="shared" si="116"/>
        <v>68.644067796610159</v>
      </c>
      <c r="I314" s="73">
        <f>IF(H314="","",IF($I$8="A",(RANK(H314,H$11:H$333,1)+COUNTIF(H$11:H314,H314)-1),(RANK(H314,H$11:H$333)+COUNTIF(H$11:H314,H314)-1)))</f>
        <v>59</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91.111111111111114</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68.644067796610159</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100</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91.111111111111114</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100</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90.243902439024396</v>
      </c>
      <c r="G316" s="15"/>
      <c r="H316" s="41">
        <f t="shared" si="116"/>
        <v>90.243902439024396</v>
      </c>
      <c r="I316" s="73">
        <f>IF(H316="","",IF($I$8="A",(RANK(H316,H$11:H$333,1)+COUNTIF(H$11:H316,H316)-1),(RANK(H316,H$11:H$333)+COUNTIF(H$11:H316,H316)-1)))</f>
        <v>34</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91.111111111111114</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90.243902439024396</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80</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91.111111111111114</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80</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100</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91.111111111111114</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100</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f t="shared" si="116"/>
        <v>100</v>
      </c>
      <c r="I319" s="73">
        <f>IF(H319="","",IF($I$8="A",(RANK(H319,H$11:H$333,1)+COUNTIF(H$11:H319,H319)-1),(RANK(H319,H$11:H$333)+COUNTIF(H$11:H319,H319)-1)))</f>
        <v>9</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91.111111111111114</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93.939393939393938</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91.111111111111114</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93.939393939393938</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80</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91.111111111111114</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80</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91.111111111111114</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75</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91.111111111111114</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75</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90</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91.111111111111114</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90</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93.103448275862064</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91.111111111111114</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93.103448275862064</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60</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91.111111111111114</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60</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92.307692307692307</v>
      </c>
      <c r="G327" s="15"/>
      <c r="H327" s="41">
        <f t="shared" si="116"/>
        <v>92.307692307692307</v>
      </c>
      <c r="I327" s="73">
        <f>IF(H327="","",IF($I$8="A",(RANK(H327,H$11:H$333,1)+COUNTIF(H$11:H327,H327)-1),(RANK(H327,H$11:H$333)+COUNTIF(H$11:H327,H327)-1)))</f>
        <v>29</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91.111111111111114</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92.307692307692307</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3" sqref="F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F5" sqref="F5"/>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timeYear Ending June 2023</v>
      </c>
      <c r="D1" s="136" t="str">
        <f t="shared" ref="D1:BI1" si="0">D4&amp;D5</f>
        <v>Minor Developments - % decisions in timeYear Ending June 2023</v>
      </c>
      <c r="E1" s="136" t="str">
        <f t="shared" si="0"/>
        <v>Other Developments - % decisions in timeYear Ending June 2023</v>
      </c>
      <c r="F1" s="136" t="str">
        <f t="shared" si="0"/>
        <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c r="G4" s="232"/>
      <c r="H4" s="23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c r="G5"/>
      <c r="H5"/>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93.75</v>
      </c>
      <c r="D7">
        <v>95.555555555555557</v>
      </c>
      <c r="E7">
        <v>95.792880258899672</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77.729257641921407</v>
      </c>
      <c r="E8">
        <v>98.352553542009886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60.9375</v>
      </c>
      <c r="D9">
        <v>74.493927125506076</v>
      </c>
      <c r="E9">
        <v>93.197278911564624</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75</v>
      </c>
      <c r="D10">
        <v>65.476190476190482</v>
      </c>
      <c r="E10">
        <v>78.260869565217391</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60</v>
      </c>
      <c r="D11">
        <v>65.662650602409627</v>
      </c>
      <c r="E11">
        <v>87.056128293241699</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90.909090909090907</v>
      </c>
      <c r="D12">
        <v>87.6</v>
      </c>
      <c r="E12">
        <v>96.969696969696969</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78.571428571428569</v>
      </c>
      <c r="D14">
        <v>79.166666666666657</v>
      </c>
      <c r="E14">
        <v>76.565008025682175</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92.129629629629633</v>
      </c>
      <c r="E15">
        <v>93.155893536121667</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84</v>
      </c>
      <c r="D16">
        <v>64.397905759162299</v>
      </c>
      <c r="E16">
        <v>81.607629427792915</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80.952380952380949</v>
      </c>
      <c r="D17">
        <v>79.117647058823522</v>
      </c>
      <c r="E17">
        <v>89.312169312169303</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93.61702127659575</v>
      </c>
      <c r="D18">
        <v>90.212765957446805</v>
      </c>
      <c r="E18">
        <v>93.853427895981085</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96.666666666666671</v>
      </c>
      <c r="D19">
        <v>86.563307493540051</v>
      </c>
      <c r="E19">
        <v>83.61904761904762</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90.740740740740748</v>
      </c>
      <c r="D20">
        <v>69.611307420494697</v>
      </c>
      <c r="E20">
        <v>85.529157667386613</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86.037735849056602</v>
      </c>
      <c r="E21">
        <v>93.231441048034938</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95.683453237410077</v>
      </c>
      <c r="D22">
        <v>90.033975084937708</v>
      </c>
      <c r="E22">
        <v>89.485981308411212</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95.714285714285722</v>
      </c>
      <c r="E23">
        <v>96.15384615384616</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98.089171974522287</v>
      </c>
      <c r="E24">
        <v>96.009389671361504</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95</v>
      </c>
      <c r="D25">
        <v>78.723404255319153</v>
      </c>
      <c r="E25">
        <v>90.625</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89.81481481481481</v>
      </c>
      <c r="E26">
        <v>96.491228070175438</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90.476190476190482</v>
      </c>
      <c r="D27">
        <v>86.241610738255034</v>
      </c>
      <c r="E27">
        <v>88.059701492537314</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91.428571428571431</v>
      </c>
      <c r="D28">
        <v>84.090909090909093</v>
      </c>
      <c r="E28">
        <v>92.553191489361694</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82.242990654205599</v>
      </c>
      <c r="D29">
        <v>78.048780487804876</v>
      </c>
      <c r="E29">
        <v>87.010078387458009</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88.888888888888886</v>
      </c>
      <c r="D30">
        <v>71.311475409836063</v>
      </c>
      <c r="E30">
        <v>81.53564899451554</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68.421052631578945</v>
      </c>
      <c r="D31">
        <v>87.122207621550601</v>
      </c>
      <c r="E31">
        <v>93.20866141732283</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93.650793650793645</v>
      </c>
      <c r="D32">
        <v>89.181286549707607</v>
      </c>
      <c r="E32">
        <v>92.984542211652794</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88.709677419354833</v>
      </c>
      <c r="D33">
        <v>87.002096436058693</v>
      </c>
      <c r="E33">
        <v>95.30988274706867</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96.428571428571431</v>
      </c>
      <c r="D34">
        <v>78.812572759022117</v>
      </c>
      <c r="E34">
        <v>84.52278589853826</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98.31460674157303</v>
      </c>
      <c r="E35">
        <v>99.681528662420376</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89.65517241379311</v>
      </c>
      <c r="D36">
        <v>90.895061728395063</v>
      </c>
      <c r="E36">
        <v>90.149006622516552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94.545454545454547</v>
      </c>
      <c r="D37">
        <v>51.162790697674424</v>
      </c>
      <c r="E37">
        <v>66.177669111654453</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92.592592592592595</v>
      </c>
      <c r="D38">
        <v>82.608695652173907</v>
      </c>
      <c r="E38">
        <v>86.956521739130437</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90</v>
      </c>
      <c r="D39">
        <v>81.86440677966101</v>
      </c>
      <c r="E39">
        <v>89.237875288683597</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90.909090909090907</v>
      </c>
      <c r="D40">
        <v>90</v>
      </c>
      <c r="E40">
        <v>84.454756380510446</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90</v>
      </c>
      <c r="D41">
        <v>78.985507246376812</v>
      </c>
      <c r="E41">
        <v>85.864978902953581</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84.615384615384613</v>
      </c>
      <c r="D42">
        <v>91.139240506329116</v>
      </c>
      <c r="E42">
        <v>97.058823529411768</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87.41721854304636</v>
      </c>
      <c r="D43">
        <v>84.254920337394566</v>
      </c>
      <c r="E43">
        <v>91.709497206703915</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94.444444444444443</v>
      </c>
      <c r="D44">
        <v>91.489361702127653</v>
      </c>
      <c r="E44">
        <v>92.990654205607484</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90</v>
      </c>
      <c r="D45">
        <v>99.418604651162795</v>
      </c>
      <c r="E45">
        <v>100</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86.666666666666671</v>
      </c>
      <c r="D46">
        <v>79.240506329113927</v>
      </c>
      <c r="E46">
        <v>85.314685314685306</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83.870967741935488</v>
      </c>
      <c r="D47">
        <v>69.798657718120808</v>
      </c>
      <c r="E47">
        <v>80.072904009720531</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96.666666666666671</v>
      </c>
      <c r="D48">
        <v>83.667621776504291</v>
      </c>
      <c r="E48">
        <v>62.461220268872808</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100</v>
      </c>
      <c r="D49">
        <v>87</v>
      </c>
      <c r="E49">
        <v>94.339622641509436</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93.333333333333329</v>
      </c>
      <c r="D50">
        <v>80.078125</v>
      </c>
      <c r="E50">
        <v>88.608870967741936</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20</v>
      </c>
      <c r="D51">
        <v>40.594059405940598</v>
      </c>
      <c r="E51">
        <v>67.561521252796425</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88.461538461538453</v>
      </c>
      <c r="D52">
        <v>85.607940446650119</v>
      </c>
      <c r="E52">
        <v>94.628099173553721</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95.833333333333343</v>
      </c>
      <c r="D53">
        <v>78.761061946902657</v>
      </c>
      <c r="E53">
        <v>88.888888888888886</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91.666666666666657</v>
      </c>
      <c r="D54">
        <v>77.363184079601993</v>
      </c>
      <c r="E54">
        <v>89.670138888888886</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85.714285714285708</v>
      </c>
      <c r="D55">
        <v>82.122905027932958</v>
      </c>
      <c r="E55">
        <v>85.69832402234637</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95.833333333333343</v>
      </c>
      <c r="D56">
        <v>89.560439560439562</v>
      </c>
      <c r="E56">
        <v>92.638036809815944</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96.078431372549019</v>
      </c>
      <c r="D57">
        <v>82.624544349939242</v>
      </c>
      <c r="E57">
        <v>81.652892561983464</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91.111111111111114</v>
      </c>
      <c r="D58">
        <v>90.295358649789023</v>
      </c>
      <c r="E58">
        <v>89.033787788974507</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96.296296296296291</v>
      </c>
      <c r="D59">
        <v>87.826086956521749</v>
      </c>
      <c r="E59">
        <v>85.714285714285708</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68.421052631578945</v>
      </c>
      <c r="D60">
        <v>75.324675324675326</v>
      </c>
      <c r="E60">
        <v>81.232876712328775</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76.19047619047619</v>
      </c>
      <c r="D61">
        <v>99.509803921568633</v>
      </c>
      <c r="E61">
        <v>99.282296650717711</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85.064935064935071</v>
      </c>
      <c r="E62">
        <v>90.384615384615387</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97.741935483870961</v>
      </c>
      <c r="E63">
        <v>97.067448680351902</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80.838323353293418</v>
      </c>
      <c r="D64">
        <v>81.420545746388441</v>
      </c>
      <c r="E64">
        <v>89.686228936664719</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90</v>
      </c>
      <c r="D65">
        <v>82.808716707021787</v>
      </c>
      <c r="E65">
        <v>77.333333333333329</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96.825396825396822</v>
      </c>
      <c r="D66">
        <v>91.732283464566933</v>
      </c>
      <c r="E66">
        <v>95.855472901168966</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75</v>
      </c>
      <c r="D67">
        <v>92.307692307692307</v>
      </c>
      <c r="E67">
        <v>81.25</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90.909090909090907</v>
      </c>
      <c r="D68">
        <v>70.346598202824126</v>
      </c>
      <c r="E68">
        <v>85.356200527704488</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84.615384615384613</v>
      </c>
      <c r="D69">
        <v>85.826771653543304</v>
      </c>
      <c r="E69">
        <v>85.645933014354071</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68.421052631578945</v>
      </c>
      <c r="D70">
        <v>65.048543689320397</v>
      </c>
      <c r="E70">
        <v>78.397565922920904</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83.333333333333343</v>
      </c>
      <c r="D71">
        <v>82.142857142857139</v>
      </c>
      <c r="E71">
        <v>93.195266272189343</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84.848484848484844</v>
      </c>
      <c r="D72">
        <v>72</v>
      </c>
      <c r="E72">
        <v>82.744282744282742</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94.594594594594597</v>
      </c>
      <c r="D73">
        <v>80.308880308880305</v>
      </c>
      <c r="E73">
        <v>83.65937859608745</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96</v>
      </c>
      <c r="D74">
        <v>85.777777777777771</v>
      </c>
      <c r="E74">
        <v>90.858725761772845</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89.610389610389603</v>
      </c>
      <c r="D75">
        <v>84.473684210526315</v>
      </c>
      <c r="E75">
        <v>89.646464646464651</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87.931034482758619</v>
      </c>
      <c r="D76">
        <v>79.533941236068898</v>
      </c>
      <c r="E76">
        <v>82.582938388625593</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80.327868852459019</v>
      </c>
      <c r="D77">
        <v>80.714285714285722</v>
      </c>
      <c r="E77">
        <v>87.464387464387457</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98.181818181818187</v>
      </c>
      <c r="D78">
        <v>93.27354260089686</v>
      </c>
      <c r="E78">
        <v>96.320630749014455</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86.274509803921575</v>
      </c>
      <c r="D79">
        <v>87.914230019493175</v>
      </c>
      <c r="E79">
        <v>87.936046511627907</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95.020746887966794</v>
      </c>
      <c r="E80">
        <v>96.697774587221815</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98.148148148148152</v>
      </c>
      <c r="D81">
        <v>86.92307692307692</v>
      </c>
      <c r="E81">
        <v>90.613026819923377</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50</v>
      </c>
      <c r="D82">
        <v>67.216117216117226</v>
      </c>
      <c r="E82">
        <v>70</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68</v>
      </c>
      <c r="D83">
        <v>77.777777777777786</v>
      </c>
      <c r="E83">
        <v>78.805394990366082</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67.741935483870961</v>
      </c>
      <c r="D84">
        <v>68.54219948849105</v>
      </c>
      <c r="E84">
        <v>75.675675675675677</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61.95652173913043</v>
      </c>
      <c r="D85">
        <v>74.441687344913149</v>
      </c>
      <c r="E85">
        <v>81.566820276497694</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96.644295302013433</v>
      </c>
      <c r="D86">
        <v>89.813664596273284</v>
      </c>
      <c r="E86">
        <v>94.649061848505909</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94.693877551020407</v>
      </c>
      <c r="E87">
        <v>93.973634651600761</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91.83673469387756</v>
      </c>
      <c r="D88">
        <v>77.962962962962962</v>
      </c>
      <c r="E88">
        <v>80.573819485953379</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85.714285714285708</v>
      </c>
      <c r="D89">
        <v>82.258064516129039</v>
      </c>
      <c r="E89">
        <v>89.959839357429715</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89.380530973451329</v>
      </c>
      <c r="E90">
        <v>97.719298245614041</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84.090909090909093</v>
      </c>
      <c r="D91">
        <v>83.526011560693647</v>
      </c>
      <c r="E91">
        <v>85.060060060060067</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100</v>
      </c>
      <c r="D92">
        <v>84.757118927973195</v>
      </c>
      <c r="E92">
        <v>87.520391517128871</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88.235294117647058</v>
      </c>
      <c r="D93">
        <v>68.22660098522168</v>
      </c>
      <c r="E93">
        <v>78.001679261125105</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85.507246376811594</v>
      </c>
      <c r="E94">
        <v>96.180555555555557</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80.952380952380949</v>
      </c>
      <c r="D95">
        <v>81.818181818181827</v>
      </c>
      <c r="E95">
        <v>82.776349614395883</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70.370370370370367</v>
      </c>
      <c r="D96">
        <v>67.424242424242422</v>
      </c>
      <c r="E96">
        <v>78.034682080924853</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95.833333333333343</v>
      </c>
      <c r="D97">
        <v>94.642857142857139</v>
      </c>
      <c r="E97">
        <v>98.330241187384047</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72.727272727272734</v>
      </c>
      <c r="D98">
        <v>58.146067415730343</v>
      </c>
      <c r="E98">
        <v>81.44654088050315</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92.307692307692307</v>
      </c>
      <c r="D99">
        <v>86.010362694300511</v>
      </c>
      <c r="E99">
        <v>87.910189982728852</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96.774193548387103</v>
      </c>
      <c r="D100">
        <v>93.181818181818173</v>
      </c>
      <c r="E100">
        <v>91.898148148148152</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86.666666666666671</v>
      </c>
      <c r="D101">
        <v>92.696629213483149</v>
      </c>
      <c r="E101">
        <v>97.567567567567565</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95.412844036697251</v>
      </c>
      <c r="E102">
        <v>90.70904645476773</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86.458333333333343</v>
      </c>
      <c r="E103">
        <v>83.877551020408163</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93.333333333333329</v>
      </c>
      <c r="D104">
        <v>88.349514563106794</v>
      </c>
      <c r="E104">
        <v>86.182669789227162</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75</v>
      </c>
      <c r="D105">
        <v>86.440677966101703</v>
      </c>
      <c r="E105">
        <v>86.274509803921575</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88.235294117647058</v>
      </c>
      <c r="D106">
        <v>92.258064516129039</v>
      </c>
      <c r="E106">
        <v>96.632996632996637</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95</v>
      </c>
      <c r="D107">
        <v>85.161290322580641</v>
      </c>
      <c r="E107">
        <v>79.220779220779221</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91.283292978208237</v>
      </c>
      <c r="E108">
        <v>90.264730999146025</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86.842105263157904</v>
      </c>
      <c r="D109">
        <v>66.071428571428569</v>
      </c>
      <c r="E109">
        <v>72.756206238064919</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92.857142857142861</v>
      </c>
      <c r="D110">
        <v>80.327868852459019</v>
      </c>
      <c r="E110">
        <v>84.692417739628041</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80</v>
      </c>
      <c r="D111">
        <v>60.493827160493829</v>
      </c>
      <c r="E111">
        <v>58.849557522123895</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92.307692307692307</v>
      </c>
      <c r="E112">
        <v>92.577733199598796</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57.499999999999993</v>
      </c>
      <c r="D113">
        <v>54.358974358974358</v>
      </c>
      <c r="E113">
        <v>70.422535211267601</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78.589420654911834</v>
      </c>
      <c r="E114">
        <v>86.166365280289327</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94.444444444444443</v>
      </c>
      <c r="D115">
        <v>94.382022471910105</v>
      </c>
      <c r="E115">
        <v>98.347107438016536</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83.333333333333343</v>
      </c>
      <c r="D116">
        <v>77.657266811279825</v>
      </c>
      <c r="E116">
        <v>80.388978930307943</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87.5</v>
      </c>
      <c r="D117">
        <v>82.481751824817522</v>
      </c>
      <c r="E117">
        <v>81.16308470290771</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98.484848484848484</v>
      </c>
      <c r="E118">
        <v>100</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82.608695652173907</v>
      </c>
      <c r="E119">
        <v>90.333333333333329</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90</v>
      </c>
      <c r="D120">
        <v>80</v>
      </c>
      <c r="E120">
        <v>90.778688524590166</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96.296296296296291</v>
      </c>
      <c r="D121">
        <v>88.828337874659397</v>
      </c>
      <c r="E121">
        <v>95.740223463687144</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81.632653061224488</v>
      </c>
      <c r="D122">
        <v>67.213114754098356</v>
      </c>
      <c r="E122">
        <v>66.03088101725703</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95.238095238095227</v>
      </c>
      <c r="D123">
        <v>95.294117647058812</v>
      </c>
      <c r="E123">
        <v>94.476744186046517</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78.400000000000006</v>
      </c>
      <c r="E124">
        <v>87.465181058495816</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97.297297297297305</v>
      </c>
      <c r="D125">
        <v>85.381355932203391</v>
      </c>
      <c r="E125">
        <v>90.162980209545978</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78</v>
      </c>
      <c r="D126">
        <v>68.013468013468014</v>
      </c>
      <c r="E126">
        <v>80.543933054393307</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97.916666666666657</v>
      </c>
      <c r="D127">
        <v>90.268456375838923</v>
      </c>
      <c r="E127">
        <v>96.100917431192656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80.555555555555557</v>
      </c>
      <c r="D128">
        <v>90.178571428571431</v>
      </c>
      <c r="E128">
        <v>92.507204610951007</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89.361702127659569</v>
      </c>
      <c r="D129">
        <v>72.121212121212125</v>
      </c>
      <c r="E129">
        <v>86.437029063509158</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80</v>
      </c>
      <c r="D130">
        <v>69.512195121951208</v>
      </c>
      <c r="E130">
        <v>52.020202020202021</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95.652173913043484</v>
      </c>
      <c r="D131">
        <v>94.85294117647058</v>
      </c>
      <c r="E131">
        <v>95.687331536388143</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80.645161290322577</v>
      </c>
      <c r="D132">
        <v>88.829787234042556</v>
      </c>
      <c r="E132">
        <v>96.751412429378533</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50</v>
      </c>
      <c r="D133">
        <v>75</v>
      </c>
      <c r="E133">
        <v>75</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96.15384615384616</v>
      </c>
      <c r="D134">
        <v>97.429305912596391</v>
      </c>
      <c r="E134">
        <v>93.402777777777786</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92.575406032482604</v>
      </c>
      <c r="E135">
        <v>89.20911528150134</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86.04651162790698</v>
      </c>
      <c r="D136">
        <v>81.904761904761898</v>
      </c>
      <c r="E136">
        <v>88.115246098439371</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89.743589743589752</v>
      </c>
      <c r="D137">
        <v>88.780487804878049</v>
      </c>
      <c r="E137">
        <v>90.561224489795919</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96.296296296296291</v>
      </c>
      <c r="D138">
        <v>91.616766467065872</v>
      </c>
      <c r="E138">
        <v>94.20415224913495</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88.888888888888886</v>
      </c>
      <c r="D139">
        <v>80.756013745704465</v>
      </c>
      <c r="E139">
        <v>88.396349413298566</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96.428571428571431</v>
      </c>
      <c r="D140">
        <v>97.058823529411768</v>
      </c>
      <c r="E140">
        <v>98.675496688741731</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90.773067331670816</v>
      </c>
      <c r="E141">
        <v>92.286751361161521</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90.625</v>
      </c>
      <c r="D142">
        <v>87.07224334600761</v>
      </c>
      <c r="E142">
        <v>92.321755027422299</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94.915254237288138</v>
      </c>
      <c r="D143">
        <v>87.844611528822057</v>
      </c>
      <c r="E143">
        <v>90.878686530860449</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91.489361702127653</v>
      </c>
      <c r="D144">
        <v>67.979002624671921</v>
      </c>
      <c r="E144">
        <v>81.120943952802364</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77.272727272727266</v>
      </c>
      <c r="D145">
        <v>74.418604651162795</v>
      </c>
      <c r="E145">
        <v>83.582089552238799</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93.75</v>
      </c>
      <c r="D146">
        <v>91.460396039603964</v>
      </c>
      <c r="E146">
        <v>91.448692152917516</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95.454545454545453</v>
      </c>
      <c r="D147">
        <v>87.439613526570042</v>
      </c>
      <c r="E147">
        <v>95.978062157221217</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76.470588235294116</v>
      </c>
      <c r="D148">
        <v>65.486725663716811</v>
      </c>
      <c r="E148">
        <v>79.179810725552045</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80.851063829787222</v>
      </c>
      <c r="D149">
        <v>78.054862842892774</v>
      </c>
      <c r="E149">
        <v>80.718475073313783</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70</v>
      </c>
      <c r="D150">
        <v>65.853658536585371</v>
      </c>
      <c r="E150">
        <v>67.391304347826093</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84.375</v>
      </c>
      <c r="D151">
        <v>88.505747126436788</v>
      </c>
      <c r="E151">
        <v>95.970149253731336</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85.9375</v>
      </c>
      <c r="D152">
        <v>90.31476997578693</v>
      </c>
      <c r="E152">
        <v>97.302904564315355</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81.395348837209298</v>
      </c>
      <c r="D153">
        <v>76.689189189189193</v>
      </c>
      <c r="E153">
        <v>91.850220264317187</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77.142857142857153</v>
      </c>
      <c r="D154">
        <v>80.578512396694208</v>
      </c>
      <c r="E154">
        <v>82.273603082851636</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87.096774193548384</v>
      </c>
      <c r="D155">
        <v>80.035971223021591</v>
      </c>
      <c r="E155">
        <v>84.096198603568666</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97.826086956521735</v>
      </c>
      <c r="E156">
        <v>97.682119205298008</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90.196078431372555</v>
      </c>
      <c r="D157">
        <v>82.417582417582409</v>
      </c>
      <c r="E157">
        <v>96.614583333333343</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96.666666666666671</v>
      </c>
      <c r="D158">
        <v>91.390728476821195</v>
      </c>
      <c r="E158">
        <v>94.85294117647058</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94.117647058823522</v>
      </c>
      <c r="D159">
        <v>82.62411347517731</v>
      </c>
      <c r="E159">
        <v>89.810017271157179</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89.130434782608688</v>
      </c>
      <c r="D160">
        <v>95.718654434250766</v>
      </c>
      <c r="E160">
        <v>91.803278688524586</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89.830508474576277</v>
      </c>
      <c r="D161">
        <v>95.026178010471213</v>
      </c>
      <c r="E161">
        <v>97.155688622754482</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97.916666666666657</v>
      </c>
      <c r="D162">
        <v>98.545454545454547</v>
      </c>
      <c r="E162">
        <v>99.610894941634243</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50</v>
      </c>
      <c r="D163">
        <v>74.603174603174608</v>
      </c>
      <c r="E163">
        <v>73.062730627306266</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96.15384615384616</v>
      </c>
      <c r="D164">
        <v>90.588235294117652</v>
      </c>
      <c r="E164">
        <v>92.321428571428584</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83.333333333333343</v>
      </c>
      <c r="D165">
        <v>92.384105960264904</v>
      </c>
      <c r="E165">
        <v>95.501285347043705</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89.162561576354676</v>
      </c>
      <c r="E166">
        <v>88.727272727272734</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91.666666666666657</v>
      </c>
      <c r="D167">
        <v>93.770491803278688</v>
      </c>
      <c r="E167">
        <v>92.49563699825481</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75.757575757575751</v>
      </c>
      <c r="D168">
        <v>70</v>
      </c>
      <c r="E168">
        <v>78.581560283687949</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85.714285714285708</v>
      </c>
      <c r="D169">
        <v>95.035460992907801</v>
      </c>
      <c r="E169">
        <v>94.13333333333334</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66.304347826086953</v>
      </c>
      <c r="E170">
        <v>77.796610169491515</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87.179487179487182</v>
      </c>
      <c r="D171">
        <v>92.070484581497809</v>
      </c>
      <c r="E171">
        <v>94.5518453427065</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97.435897435897431</v>
      </c>
      <c r="D172">
        <v>75.129533678756474</v>
      </c>
      <c r="E172">
        <v>87.637969094922738</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97.435897435897431</v>
      </c>
      <c r="D173">
        <v>100</v>
      </c>
      <c r="E173">
        <v>99.375</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92.307692307692307</v>
      </c>
      <c r="D174">
        <v>89.075630252100851</v>
      </c>
      <c r="E174">
        <v>95.254237288135585</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96.15384615384616</v>
      </c>
      <c r="D175">
        <v>87.16814159292035</v>
      </c>
      <c r="E175">
        <v>93.516699410609036</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85.714285714285708</v>
      </c>
      <c r="D176">
        <v>81.458966565349542</v>
      </c>
      <c r="E176">
        <v>89.090909090909093</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94.407894736842096</v>
      </c>
      <c r="E177">
        <v>97.28059332509271</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97.872340425531917</v>
      </c>
      <c r="D178">
        <v>76.772616136919311</v>
      </c>
      <c r="E178">
        <v>85.059288537549406</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79.545454545454547</v>
      </c>
      <c r="D179">
        <v>87.826086956521749</v>
      </c>
      <c r="E179">
        <v>92.701525054466231</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99.212598425196859</v>
      </c>
      <c r="E180">
        <v>99.685039370078741</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77.777777777777786</v>
      </c>
      <c r="D181">
        <v>80.392156862745097</v>
      </c>
      <c r="E181">
        <v>85.049833887043192</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94</v>
      </c>
      <c r="D182">
        <v>87.640449438202253</v>
      </c>
      <c r="E182">
        <v>91.634241245136181</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78.84615384615384</v>
      </c>
      <c r="D183">
        <v>81.97424892703863</v>
      </c>
      <c r="E183">
        <v>87.865655471289273</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84.693877551020407</v>
      </c>
      <c r="D184">
        <v>73.958333333333343</v>
      </c>
      <c r="E184">
        <v>80.214621059691481</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85.714285714285708</v>
      </c>
      <c r="D185">
        <v>95.199999999999989</v>
      </c>
      <c r="E185">
        <v>89.320388349514573</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97.872340425531917</v>
      </c>
      <c r="D186">
        <v>86.037735849056602</v>
      </c>
      <c r="E186">
        <v>83.376963350785331</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80.769230769230774</v>
      </c>
      <c r="D187">
        <v>90.196078431372555</v>
      </c>
      <c r="E187">
        <v>93.798449612403104</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92.682926829268297</v>
      </c>
      <c r="E188">
        <v>94.520547945205479</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96.428571428571431</v>
      </c>
      <c r="D189">
        <v>94.977168949771681</v>
      </c>
      <c r="E189">
        <v>95.081967213114751</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96.666666666666671</v>
      </c>
      <c r="D190">
        <v>84.291187739463595</v>
      </c>
      <c r="E190">
        <v>87.757575757575751</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92.592592592592595</v>
      </c>
      <c r="D191">
        <v>84.360189573459721</v>
      </c>
      <c r="E191">
        <v>85.342019543973947</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93.181818181818173</v>
      </c>
      <c r="D192">
        <v>83.561643835616437</v>
      </c>
      <c r="E192">
        <v>90.119250425894379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93.548387096774192</v>
      </c>
      <c r="D193">
        <v>89.867841409691636</v>
      </c>
      <c r="E193">
        <v>91.562932226832643</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60</v>
      </c>
      <c r="D194">
        <v>77.142857142857153</v>
      </c>
      <c r="E194">
        <v>71.173848439821697</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97.142857142857139</v>
      </c>
      <c r="D195">
        <v>96.226415094339629</v>
      </c>
      <c r="E195">
        <v>96.338672768878723</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95.238095238095227</v>
      </c>
      <c r="D196">
        <v>81.286549707602347</v>
      </c>
      <c r="E196">
        <v>82.684824902723733</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84</v>
      </c>
      <c r="D197">
        <v>74.876847290640399</v>
      </c>
      <c r="E197">
        <v>89.560029828486208</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88.235294117647058</v>
      </c>
      <c r="E198">
        <v>91.21447028423772</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87.878787878787875</v>
      </c>
      <c r="E199">
        <v>90.196078431372555</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77.272727272727266</v>
      </c>
      <c r="D200">
        <v>83.07692307692308</v>
      </c>
      <c r="E200">
        <v>91.900647948164149</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66.666666666666657</v>
      </c>
      <c r="D201">
        <v>74.879227053140099</v>
      </c>
      <c r="E201">
        <v>75.979112271540473</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93.75</v>
      </c>
      <c r="D202">
        <v>84.354628422425037</v>
      </c>
      <c r="E202">
        <v>91.173184357541899</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81.081081081081081</v>
      </c>
      <c r="D203">
        <v>84.523809523809518</v>
      </c>
      <c r="E203">
        <v>87.804878048780495</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95</v>
      </c>
      <c r="D204">
        <v>90</v>
      </c>
      <c r="E204">
        <v>88.075313807531387</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33.333333333333329</v>
      </c>
      <c r="D205">
        <v>78.400000000000006</v>
      </c>
      <c r="E205">
        <v>84.860557768924309</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80.160857908847177</v>
      </c>
      <c r="E206">
        <v>87.259615384615387</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88.571428571428569</v>
      </c>
      <c r="D208">
        <v>80.978260869565219</v>
      </c>
      <c r="E208">
        <v>87.353629976580791</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92.592592592592595</v>
      </c>
      <c r="D209">
        <v>90.526315789473685</v>
      </c>
      <c r="E209">
        <v>89.661319073083774</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86.04651162790698</v>
      </c>
      <c r="D210">
        <v>82.10116731517509</v>
      </c>
      <c r="E210">
        <v>87.858117326057297</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80</v>
      </c>
      <c r="D211">
        <v>89.887640449438194</v>
      </c>
      <c r="E211">
        <v>95.73770491803279</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91.17647058823529</v>
      </c>
      <c r="D212">
        <v>90.551181102362193</v>
      </c>
      <c r="E212">
        <v>93.61702127659575</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72</v>
      </c>
      <c r="D213">
        <v>84.558823529411768</v>
      </c>
      <c r="E213">
        <v>85.6</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90.243902439024396</v>
      </c>
      <c r="D214">
        <v>89.16083916083916</v>
      </c>
      <c r="E214">
        <v>89.372599231754151</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96.774193548387103</v>
      </c>
      <c r="D215">
        <v>89.082969432314414</v>
      </c>
      <c r="E215">
        <v>95.810955961331899</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91.666666666666657</v>
      </c>
      <c r="D216">
        <v>91.011235955056179</v>
      </c>
      <c r="E216">
        <v>94.803017602682317</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91.764705882352942</v>
      </c>
      <c r="D217">
        <v>75.251509054325965</v>
      </c>
      <c r="E217">
        <v>76.353790613718402</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77.51937984496125</v>
      </c>
      <c r="D218">
        <v>79.366602687140116</v>
      </c>
      <c r="E218">
        <v>89.152542372881356</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95.238095238095227</v>
      </c>
      <c r="D219">
        <v>65.753424657534239</v>
      </c>
      <c r="E219">
        <v>72.905525846702318</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100</v>
      </c>
      <c r="D220">
        <v>90.212765957446805</v>
      </c>
      <c r="E220">
        <v>87.748058671268339</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81.818181818181827</v>
      </c>
      <c r="D221">
        <v>81.746031746031747</v>
      </c>
      <c r="E221">
        <v>89.280245022970902</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75.806451612903231</v>
      </c>
      <c r="D222">
        <v>68.571428571428569</v>
      </c>
      <c r="E222">
        <v>79.982440737489028</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90.625</v>
      </c>
      <c r="D223">
        <v>72.452830188679243</v>
      </c>
      <c r="E223">
        <v>88.675958188153317</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94.20289855072464</v>
      </c>
      <c r="D224">
        <v>89.591836734693871</v>
      </c>
      <c r="E224">
        <v>92.980935875216645</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73.529411764705884</v>
      </c>
      <c r="D225">
        <v>91.529411764705884</v>
      </c>
      <c r="E225">
        <v>89.095127610208806</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91.304347826086953</v>
      </c>
      <c r="D226">
        <v>92.57294429708223</v>
      </c>
      <c r="E226">
        <v>94.900849858356935</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84.375</v>
      </c>
      <c r="D227">
        <v>81.911262798634809</v>
      </c>
      <c r="E227">
        <v>83.127572016460903</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94.594594594594597</v>
      </c>
      <c r="D228">
        <v>83.620689655172413</v>
      </c>
      <c r="E228">
        <v>90.255785627283799</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88.679245283018872</v>
      </c>
      <c r="D229">
        <v>84.633027522935777</v>
      </c>
      <c r="E229">
        <v>91.409691629955944</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75</v>
      </c>
      <c r="D230">
        <v>83.229813664596278</v>
      </c>
      <c r="E230">
        <v>88.378378378378372</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94.444444444444443</v>
      </c>
      <c r="D231">
        <v>91.666666666666657</v>
      </c>
      <c r="E231">
        <v>94.623655913978496</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93.181818181818173</v>
      </c>
      <c r="E232">
        <v>94.300518134715034</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100</v>
      </c>
      <c r="D233">
        <v>94.871794871794862</v>
      </c>
      <c r="E233">
        <v>96.36363636363636</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98.86363636363636</v>
      </c>
      <c r="E234">
        <v>98.783454987834546</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70.212765957446805</v>
      </c>
      <c r="D235">
        <v>81.83391003460207</v>
      </c>
      <c r="E235">
        <v>83.853006681514472</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98.026315789473685</v>
      </c>
      <c r="E236">
        <v>98.513011152416354</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65.384615384615387</v>
      </c>
      <c r="D237">
        <v>61.805555555555557</v>
      </c>
      <c r="E237">
        <v>68.925233644859816</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93.333333333333329</v>
      </c>
      <c r="D238">
        <v>94.366197183098592</v>
      </c>
      <c r="E238">
        <v>97.031963470319639</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89.473684210526315</v>
      </c>
      <c r="D239">
        <v>68.695652173913047</v>
      </c>
      <c r="E239">
        <v>75.226039783001809</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90.954773869346738</v>
      </c>
      <c r="E240">
        <v>89.432989690721655</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78.94736842105263</v>
      </c>
      <c r="D241">
        <v>78.333333333333329</v>
      </c>
      <c r="E241">
        <v>95.528455284552848</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93.333333333333329</v>
      </c>
      <c r="D242">
        <v>91.967871485943775</v>
      </c>
      <c r="E242">
        <v>83.320811419984977</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81.818181818181827</v>
      </c>
      <c r="D243">
        <v>75</v>
      </c>
      <c r="E243">
        <v>85.504587155963307</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96.860986547085204</v>
      </c>
      <c r="E244">
        <v>96.732026143790847</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86.36363636363636</v>
      </c>
      <c r="D245">
        <v>79.424778761061944</v>
      </c>
      <c r="E245">
        <v>80.107526881720432</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84.848484848484844</v>
      </c>
      <c r="D246">
        <v>91.666666666666657</v>
      </c>
      <c r="E246">
        <v>91.611058150619641</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94.318181818181827</v>
      </c>
      <c r="E247">
        <v>94.20289855072464</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92.592592592592595</v>
      </c>
      <c r="D248">
        <v>91.269841269841265</v>
      </c>
      <c r="E248">
        <v>90.572390572390574</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86.785714285714292</v>
      </c>
      <c r="E249">
        <v>96.257197696737038</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75</v>
      </c>
      <c r="D250">
        <v>92.195121951219519</v>
      </c>
      <c r="E250">
        <v>95.330739299610897</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96.428571428571431</v>
      </c>
      <c r="D251">
        <v>93.377483443708613</v>
      </c>
      <c r="E251">
        <v>93.108728943338434</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91.83673469387756</v>
      </c>
      <c r="E252">
        <v>95.867768595041326</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70.833333333333343</v>
      </c>
      <c r="D254">
        <v>71.889400921658989</v>
      </c>
      <c r="E254">
        <v>86.39240506329115</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89.285714285714292</v>
      </c>
      <c r="D255">
        <v>53.873239436619713</v>
      </c>
      <c r="E255">
        <v>62.998405103668262</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94.797687861271669</v>
      </c>
      <c r="E256">
        <v>99.171842650103514</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88.888888888888886</v>
      </c>
      <c r="D257">
        <v>72.727272727272734</v>
      </c>
      <c r="E257">
        <v>86.053412462908014</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92.307692307692307</v>
      </c>
      <c r="D258">
        <v>89.776357827476033</v>
      </c>
      <c r="E258">
        <v>95.828877005347593</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60.526315789473685</v>
      </c>
      <c r="D259">
        <v>68.899521531100476</v>
      </c>
      <c r="E259">
        <v>81.425891181988746</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77.777777777777786</v>
      </c>
      <c r="D260">
        <v>64.59854014598541</v>
      </c>
      <c r="E260">
        <v>80.320000000000007</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80</v>
      </c>
      <c r="D261">
        <v>97.810218978102199</v>
      </c>
      <c r="E261">
        <v>98.169934640522868</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94.871794871794862</v>
      </c>
      <c r="D262">
        <v>98.876404494382015</v>
      </c>
      <c r="E262">
        <v>99.473684210526315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91.666666666666657</v>
      </c>
      <c r="D263">
        <v>88.38174273858921</v>
      </c>
      <c r="E263">
        <v>92.841880341880341</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95.833333333333343</v>
      </c>
      <c r="D264">
        <v>76.824034334763951</v>
      </c>
      <c r="E264">
        <v>83.579638752052546</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93.181818181818173</v>
      </c>
      <c r="D265">
        <v>92.857142857142861</v>
      </c>
      <c r="E265">
        <v>91.17647058823529</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97.61904761904762</v>
      </c>
      <c r="D266">
        <v>88.58560794044665</v>
      </c>
      <c r="E266">
        <v>89.776951672862452</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96.36363636363636</v>
      </c>
      <c r="D267">
        <v>78.205128205128204</v>
      </c>
      <c r="E267">
        <v>79.759036144578317</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96.978851963746223</v>
      </c>
      <c r="E268">
        <v>97.661365762394752</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76.08695652173914</v>
      </c>
      <c r="D269">
        <v>80.803571428571431</v>
      </c>
      <c r="E269">
        <v>85.853131749460047</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90.476190476190482</v>
      </c>
      <c r="D270">
        <v>85.375494071146235</v>
      </c>
      <c r="E270">
        <v>92.857142857142861</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87.037037037037038</v>
      </c>
      <c r="D271">
        <v>90.816326530612244</v>
      </c>
      <c r="E271">
        <v>89.426321709786265</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56.756756756756758</v>
      </c>
      <c r="D272">
        <v>54.24528301886793</v>
      </c>
      <c r="E272">
        <v>88.455772113943027</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85.714285714285708</v>
      </c>
      <c r="E273">
        <v>93.997734994337492</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97.058823529411768</v>
      </c>
      <c r="D274">
        <v>78.023133543638281</v>
      </c>
      <c r="E274">
        <v>78.198713366690498</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97.142857142857139</v>
      </c>
      <c r="D275">
        <v>81.87919463087249</v>
      </c>
      <c r="E275">
        <v>79.498861047835987</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91.891891891891902</v>
      </c>
      <c r="D276">
        <v>92.73504273504274</v>
      </c>
      <c r="E276">
        <v>93.721461187214615</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70</v>
      </c>
      <c r="D277">
        <v>91.095890410958901</v>
      </c>
      <c r="E277">
        <v>98.013245033112582</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94</v>
      </c>
      <c r="D278">
        <v>90.332326283987925</v>
      </c>
      <c r="E278">
        <v>95.335515548281506</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94.20289855072464</v>
      </c>
      <c r="D279">
        <v>85.8</v>
      </c>
      <c r="E279">
        <v>93.488372093023258</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96.296296296296291</v>
      </c>
      <c r="D280">
        <v>88.652482269503537</v>
      </c>
      <c r="E280">
        <v>96.165644171779135</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80.898876404494374</v>
      </c>
      <c r="D281">
        <v>77.777777777777786</v>
      </c>
      <c r="E281">
        <v>80.777096114519438</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84.73684210526315</v>
      </c>
      <c r="E282">
        <v>93.939393939393938</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54.54545454545454</v>
      </c>
      <c r="D283">
        <v>64.251207729468589</v>
      </c>
      <c r="E283">
        <v>79.559118236472955</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96.551724137931032</v>
      </c>
      <c r="D284">
        <v>96.864111498257842</v>
      </c>
      <c r="E284">
        <v>97.613882863340564</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64.761904761904759</v>
      </c>
      <c r="D285">
        <v>69.266770670826844</v>
      </c>
      <c r="E285">
        <v>69.602122015915128</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83.333333333333343</v>
      </c>
      <c r="D286">
        <v>85.576923076923066</v>
      </c>
      <c r="E286">
        <v>89.494949494949495</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94.545454545454547</v>
      </c>
      <c r="D287">
        <v>86.879432624113477</v>
      </c>
      <c r="E287">
        <v>87.921022067363523</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85.714285714285708</v>
      </c>
      <c r="D288">
        <v>77.231907025884837</v>
      </c>
      <c r="E288">
        <v>71.771978021978029</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100</v>
      </c>
      <c r="D289">
        <v>91.489361702127653</v>
      </c>
      <c r="E289">
        <v>84.210526315789465</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91.428571428571431</v>
      </c>
      <c r="D290">
        <v>82.846715328467155</v>
      </c>
      <c r="E290">
        <v>93.500738552437227</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68.644067796610159</v>
      </c>
      <c r="D291">
        <v>78.784860557768923</v>
      </c>
      <c r="E291">
        <v>75.71875</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84.507042253521121</v>
      </c>
      <c r="E292">
        <v>92.742796157950906</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90.243902439024396</v>
      </c>
      <c r="D293">
        <v>70.989761092150175</v>
      </c>
      <c r="E293">
        <v>80.807311500380806</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80</v>
      </c>
      <c r="D294">
        <v>81</v>
      </c>
      <c r="E294">
        <v>80.078125</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88.617886178861795</v>
      </c>
      <c r="E295">
        <v>84.604904632152582</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98.268398268398272</v>
      </c>
      <c r="E296">
        <v>99.202551834130787</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93.939393939393938</v>
      </c>
      <c r="D297">
        <v>84.137931034482762</v>
      </c>
      <c r="E297">
        <v>80.169491525423737</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80</v>
      </c>
      <c r="D298">
        <v>86.206896551724128</v>
      </c>
      <c r="E298">
        <v>94.145199063231857</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75</v>
      </c>
      <c r="D299">
        <v>80.454545454545453</v>
      </c>
      <c r="E299">
        <v>87.85249457700651</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90</v>
      </c>
      <c r="D300">
        <v>80.691642651296831</v>
      </c>
      <c r="E300">
        <v>79.137691237830325</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93.103448275862064</v>
      </c>
      <c r="D301">
        <v>79.005524861878456</v>
      </c>
      <c r="E301">
        <v>82.608695652173907</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60</v>
      </c>
      <c r="D302">
        <v>71.337579617834393</v>
      </c>
      <c r="E302">
        <v>87.679083094555878</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92.307692307692307</v>
      </c>
      <c r="D303">
        <v>79.381443298969074</v>
      </c>
      <c r="E303">
        <v>87.5</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E2" activePane="bottomRight" state="frozen"/>
      <selection activeCell="N70" sqref="N70"/>
      <selection pane="topRight" activeCell="N70" sqref="N70"/>
      <selection pane="bottomLeft" activeCell="N70" sqref="N70"/>
      <selection pane="bottomRight" activeCell="C2" sqref="C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892</v>
      </c>
      <c r="I6" s="27" t="s">
        <v>892</v>
      </c>
      <c r="J6" t="s">
        <v>315</v>
      </c>
    </row>
    <row r="7" spans="1:13" ht="14.4">
      <c r="A7" s="22" t="str">
        <f>F7&amp;(COUNTIFS(F$2:F7,F7,K$2:K7,"Sparse"))</f>
        <v>SD1</v>
      </c>
      <c r="B7" s="22" t="str">
        <f>J7&amp;(COUNTIF(J$2:J7,J7))</f>
        <v>Suffolk1</v>
      </c>
      <c r="C7" t="s">
        <v>12</v>
      </c>
      <c r="D7" t="s">
        <v>12</v>
      </c>
      <c r="E7" s="25" t="s">
        <v>368</v>
      </c>
      <c r="F7" s="25" t="s">
        <v>379</v>
      </c>
      <c r="G7" s="25" t="s">
        <v>5</v>
      </c>
      <c r="H7" s="26" t="s">
        <v>891</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892</v>
      </c>
      <c r="I12" s="27" t="s">
        <v>892</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891</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892</v>
      </c>
      <c r="I14" s="27" t="s">
        <v>892</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892</v>
      </c>
      <c r="I15" s="27" t="s">
        <v>892</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892</v>
      </c>
      <c r="I21" s="27" t="s">
        <v>892</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892</v>
      </c>
      <c r="I23" s="27" t="s">
        <v>892</v>
      </c>
      <c r="J23" t="s">
        <v>318</v>
      </c>
      <c r="K23" t="s">
        <v>335</v>
      </c>
    </row>
    <row r="24" spans="1:11" ht="14.4">
      <c r="A24" s="22" t="str">
        <f>F24&amp;(COUNTIFS(F$2:F24,F24,K$2:K24,"Sparse"))</f>
        <v>UA0</v>
      </c>
      <c r="B24" s="22" t="str">
        <f>J24&amp;(COUNTIF(J$2:J24,J24))</f>
        <v>Unitary5</v>
      </c>
      <c r="C24" t="s">
        <v>896</v>
      </c>
      <c r="D24" t="s">
        <v>896</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891</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891</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892</v>
      </c>
      <c r="I30" s="27" t="s">
        <v>892</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892</v>
      </c>
      <c r="I33" s="27" t="s">
        <v>892</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892</v>
      </c>
      <c r="I38" s="27" t="s">
        <v>892</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892</v>
      </c>
      <c r="I45" s="27" t="s">
        <v>892</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891</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892</v>
      </c>
      <c r="I52" s="27" t="s">
        <v>892</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892</v>
      </c>
      <c r="I53" s="27" t="s">
        <v>892</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892</v>
      </c>
      <c r="I54" s="27" t="s">
        <v>892</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891</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892</v>
      </c>
      <c r="I57" s="27" t="s">
        <v>892</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892</v>
      </c>
      <c r="I59" s="27" t="s">
        <v>892</v>
      </c>
      <c r="J59" t="s">
        <v>311</v>
      </c>
    </row>
    <row r="60" spans="1:11" ht="14.4">
      <c r="A60" s="22" t="str">
        <f>F60&amp;(COUNTIFS(F$2:F60,F60,K$2:K60,"Sparse"))</f>
        <v>UA2</v>
      </c>
      <c r="B60" s="22" t="str">
        <f>J60&amp;(COUNTIF(J$2:J60,J60))</f>
        <v>Unitary13</v>
      </c>
      <c r="C60" t="s">
        <v>305</v>
      </c>
      <c r="D60" t="s">
        <v>305</v>
      </c>
      <c r="E60" s="25" t="s">
        <v>1</v>
      </c>
      <c r="F60" s="25" t="s">
        <v>385</v>
      </c>
      <c r="G60" s="25" t="s">
        <v>394</v>
      </c>
      <c r="H60" s="26" t="s">
        <v>891</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891</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899</v>
      </c>
      <c r="D65" t="s">
        <v>899</v>
      </c>
      <c r="E65" s="25" t="s">
        <v>374</v>
      </c>
      <c r="F65" s="25" t="s">
        <v>385</v>
      </c>
      <c r="G65" s="25" t="s">
        <v>394</v>
      </c>
      <c r="H65" s="26" t="s">
        <v>891</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892</v>
      </c>
      <c r="I66" s="27" t="s">
        <v>892</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892</v>
      </c>
      <c r="I70" s="27" t="s">
        <v>892</v>
      </c>
      <c r="J70" t="s">
        <v>307</v>
      </c>
    </row>
    <row r="71" spans="1:11" ht="14.4">
      <c r="A71" s="22" t="str">
        <f>F71&amp;(COUNTIFS(F$2:F71,F71,K$2:K71,"Sparse"))</f>
        <v>SD6</v>
      </c>
      <c r="B71" s="22" t="str">
        <f>J71&amp;(COUNTIF(J$2:J71,J71))</f>
        <v>Derbyshire5</v>
      </c>
      <c r="C71" t="s">
        <v>50</v>
      </c>
      <c r="D71" t="s">
        <v>50</v>
      </c>
      <c r="E71" s="25" t="s">
        <v>366</v>
      </c>
      <c r="F71" s="25" t="s">
        <v>379</v>
      </c>
      <c r="G71" s="25" t="s">
        <v>5</v>
      </c>
      <c r="H71" s="26" t="s">
        <v>891</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892</v>
      </c>
      <c r="I75" s="27" t="s">
        <v>892</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891</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891</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891</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891</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892</v>
      </c>
      <c r="I82" s="27" t="s">
        <v>892</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891</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891</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892</v>
      </c>
      <c r="I85" s="27" t="s">
        <v>892</v>
      </c>
      <c r="J85" t="s">
        <v>327</v>
      </c>
    </row>
    <row r="86" spans="1:11" ht="14.4">
      <c r="A86" s="22" t="str">
        <f>F86&amp;(COUNTIFS(F$2:F86,F86,K$2:K86,"Sparse"))</f>
        <v>SD10</v>
      </c>
      <c r="B86" s="22" t="str">
        <f>J86&amp;(COUNTIF(J$2:J86,J86))</f>
        <v>Suffolk2</v>
      </c>
      <c r="C86" t="s">
        <v>894</v>
      </c>
      <c r="D86" t="s">
        <v>894</v>
      </c>
      <c r="E86" s="25" t="s">
        <v>368</v>
      </c>
      <c r="F86" s="25" t="s">
        <v>379</v>
      </c>
      <c r="G86" s="25" t="s">
        <v>5</v>
      </c>
      <c r="H86" s="26" t="s">
        <v>891</v>
      </c>
      <c r="I86" s="27" t="s">
        <v>891</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892</v>
      </c>
      <c r="I87" s="27" t="s">
        <v>892</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892</v>
      </c>
      <c r="I92" s="27" t="s">
        <v>892</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892</v>
      </c>
      <c r="I95" s="27" t="s">
        <v>892</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891</v>
      </c>
      <c r="I98" s="27" t="s">
        <v>380</v>
      </c>
      <c r="J98" t="s">
        <v>302</v>
      </c>
    </row>
    <row r="99" spans="1:11" ht="14.4">
      <c r="A99" s="22" t="str">
        <f>F99&amp;(COUNTIFS(F$2:F99,F99,K$2:K99,"Sparse"))</f>
        <v>SD10</v>
      </c>
      <c r="B99" s="22" t="str">
        <f>J99&amp;(COUNTIF(J$2:J99,J99))</f>
        <v>Kent5</v>
      </c>
      <c r="C99" t="s">
        <v>890</v>
      </c>
      <c r="D99" t="s">
        <v>890</v>
      </c>
      <c r="E99" s="25" t="s">
        <v>0</v>
      </c>
      <c r="F99" s="25" t="s">
        <v>379</v>
      </c>
      <c r="G99" s="25" t="s">
        <v>5</v>
      </c>
      <c r="H99" s="26" t="s">
        <v>892</v>
      </c>
      <c r="I99" s="27" t="s">
        <v>892</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891</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892</v>
      </c>
      <c r="I105" s="27" t="s">
        <v>892</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892</v>
      </c>
      <c r="I108" s="27" t="s">
        <v>892</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892</v>
      </c>
      <c r="I114" s="27" t="s">
        <v>892</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891</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892</v>
      </c>
      <c r="I119" s="27" t="s">
        <v>892</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891</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891</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891</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891</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891</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891</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891</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892</v>
      </c>
      <c r="I139" s="27" t="s">
        <v>892</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891</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892</v>
      </c>
      <c r="I146" s="27" t="s">
        <v>892</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892</v>
      </c>
      <c r="I147" s="27" t="s">
        <v>892</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892</v>
      </c>
      <c r="I150" s="27" t="s">
        <v>892</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892</v>
      </c>
      <c r="I151" s="27" t="s">
        <v>892</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892</v>
      </c>
      <c r="I153" s="27" t="s">
        <v>892</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892</v>
      </c>
      <c r="I158" s="27" t="s">
        <v>892</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891</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891</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891</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891</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891</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892</v>
      </c>
      <c r="I171" s="27" t="s">
        <v>892</v>
      </c>
      <c r="J171" t="s">
        <v>329</v>
      </c>
    </row>
    <row r="172" spans="1:11" ht="14.4">
      <c r="A172" s="22" t="str">
        <f>F172&amp;(COUNTIFS(F$2:F172,F172,K$2:K172,"Sparse"))</f>
        <v>SD20</v>
      </c>
      <c r="B172" s="22" t="str">
        <f>J172&amp;(COUNTIF(J$2:J172,J172))</f>
        <v>Hampshire9</v>
      </c>
      <c r="C172" t="s">
        <v>106</v>
      </c>
      <c r="D172" t="s">
        <v>106</v>
      </c>
      <c r="E172" s="25" t="s">
        <v>0</v>
      </c>
      <c r="F172" s="25" t="s">
        <v>379</v>
      </c>
      <c r="G172" s="25" t="s">
        <v>5</v>
      </c>
      <c r="H172" s="26" t="s">
        <v>892</v>
      </c>
      <c r="I172" s="27" t="s">
        <v>892</v>
      </c>
      <c r="J172" s="3" t="s">
        <v>313</v>
      </c>
      <c r="K172" t="s">
        <v>335</v>
      </c>
    </row>
    <row r="173" spans="1:11" ht="14.4">
      <c r="A173" s="22" t="str">
        <f>F173&amp;(COUNTIFS(F$2:F173,F173,K$2:K173,"Sparse"))</f>
        <v>SD20</v>
      </c>
      <c r="B173" s="22" t="str">
        <f>J173&amp;(COUNTIF(J$2:J173,J173))</f>
        <v>Nottinghamshire6</v>
      </c>
      <c r="C173" t="s">
        <v>345</v>
      </c>
      <c r="D173" t="s">
        <v>345</v>
      </c>
      <c r="E173" s="25" t="s">
        <v>366</v>
      </c>
      <c r="F173" s="25" t="s">
        <v>379</v>
      </c>
      <c r="G173" s="25" t="s">
        <v>5</v>
      </c>
      <c r="H173" s="26" t="s">
        <v>891</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SD20</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SD21</v>
      </c>
      <c r="B178" s="22" t="str">
        <f>J178&amp;(COUNTIF(J$2:J178,J178))</f>
        <v>Devon5</v>
      </c>
      <c r="C178" t="s">
        <v>108</v>
      </c>
      <c r="D178" t="s">
        <v>108</v>
      </c>
      <c r="E178" s="25" t="s">
        <v>1</v>
      </c>
      <c r="F178" s="25" t="s">
        <v>379</v>
      </c>
      <c r="G178" s="25" t="s">
        <v>5</v>
      </c>
      <c r="H178" s="26" t="s">
        <v>891</v>
      </c>
      <c r="I178" s="27" t="s">
        <v>380</v>
      </c>
      <c r="J178" t="s">
        <v>308</v>
      </c>
      <c r="K178" t="s">
        <v>335</v>
      </c>
    </row>
    <row r="179" spans="1:11" ht="14.4">
      <c r="A179" s="22" t="str">
        <f>F179&amp;(COUNTIFS(F$2:F179,F179,K$2:K179,"Sparse"))</f>
        <v>SD21</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SD21</v>
      </c>
      <c r="B181" s="22" t="str">
        <f>J181&amp;(COUNTIF(J$2:J181,J181))</f>
        <v>Hertfordshire6</v>
      </c>
      <c r="C181" t="s">
        <v>111</v>
      </c>
      <c r="D181" t="s">
        <v>111</v>
      </c>
      <c r="E181" s="25" t="s">
        <v>368</v>
      </c>
      <c r="F181" s="25" t="s">
        <v>379</v>
      </c>
      <c r="G181" s="25" t="s">
        <v>5</v>
      </c>
      <c r="H181" s="26" t="s">
        <v>892</v>
      </c>
      <c r="I181" s="27" t="s">
        <v>892</v>
      </c>
      <c r="J181" t="s">
        <v>314</v>
      </c>
    </row>
    <row r="182" spans="1:11" ht="14.4">
      <c r="A182" s="22" t="str">
        <f>F182&amp;(COUNTIFS(F$2:F182,F182,K$2:K182,"Sparse"))</f>
        <v>SD22</v>
      </c>
      <c r="B182" s="22" t="str">
        <f>J182&amp;(COUNTIF(J$2:J182,J182))</f>
        <v>Lincolnshire5</v>
      </c>
      <c r="C182" t="s">
        <v>112</v>
      </c>
      <c r="D182" t="s">
        <v>112</v>
      </c>
      <c r="E182" s="25" t="s">
        <v>366</v>
      </c>
      <c r="F182" s="25" t="s">
        <v>379</v>
      </c>
      <c r="G182" s="25" t="s">
        <v>5</v>
      </c>
      <c r="H182" s="26" t="s">
        <v>891</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892</v>
      </c>
      <c r="I183" s="27" t="s">
        <v>892</v>
      </c>
      <c r="J183" s="3" t="s">
        <v>394</v>
      </c>
      <c r="K183" t="s">
        <v>335</v>
      </c>
    </row>
    <row r="184" spans="1:11" ht="14.4">
      <c r="A184" s="22" t="str">
        <f>F184&amp;(COUNTIFS(F$2:F184,F184,K$2:K184,"Sparse"))</f>
        <v>SD23</v>
      </c>
      <c r="B184" s="22" t="str">
        <f>J184&amp;(COUNTIF(J$2:J184,J184))</f>
        <v>Norfolk6</v>
      </c>
      <c r="C184" t="s">
        <v>113</v>
      </c>
      <c r="D184" t="s">
        <v>113</v>
      </c>
      <c r="E184" s="25" t="s">
        <v>368</v>
      </c>
      <c r="F184" s="25" t="s">
        <v>379</v>
      </c>
      <c r="G184" s="25" t="s">
        <v>5</v>
      </c>
      <c r="H184" s="26" t="s">
        <v>891</v>
      </c>
      <c r="I184" s="27" t="s">
        <v>380</v>
      </c>
      <c r="J184" t="s">
        <v>319</v>
      </c>
      <c r="K184" t="s">
        <v>335</v>
      </c>
    </row>
    <row r="185" spans="1:11" ht="14.4">
      <c r="A185" s="22" t="str">
        <f>F185&amp;(COUNTIFS(F$2:F185,F185,K$2:K185,"Sparse"))</f>
        <v>UA8</v>
      </c>
      <c r="B185" s="22" t="str">
        <f>J185&amp;(COUNTIF(J$2:J185,J185))</f>
        <v>Unitary32</v>
      </c>
      <c r="C185" t="s">
        <v>897</v>
      </c>
      <c r="D185" t="s">
        <v>897</v>
      </c>
      <c r="E185" s="25" t="s">
        <v>366</v>
      </c>
      <c r="F185" s="25" t="s">
        <v>385</v>
      </c>
      <c r="G185" s="25" t="s">
        <v>394</v>
      </c>
      <c r="H185" s="26" t="s">
        <v>892</v>
      </c>
      <c r="I185" s="27" t="s">
        <v>892</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892</v>
      </c>
      <c r="I186" s="27" t="s">
        <v>892</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SD23</v>
      </c>
      <c r="B188" s="22" t="str">
        <f>J188&amp;(COUNTIF(J$2:J188,J188))</f>
        <v>Warwickshire1</v>
      </c>
      <c r="C188" t="s">
        <v>114</v>
      </c>
      <c r="D188" t="s">
        <v>114</v>
      </c>
      <c r="E188" s="25" t="s">
        <v>367</v>
      </c>
      <c r="F188" s="25" t="s">
        <v>379</v>
      </c>
      <c r="G188" s="25" t="s">
        <v>5</v>
      </c>
      <c r="H188" s="26" t="s">
        <v>891</v>
      </c>
      <c r="I188" s="27" t="s">
        <v>380</v>
      </c>
      <c r="J188" s="3" t="s">
        <v>330</v>
      </c>
    </row>
    <row r="189" spans="1:11" ht="14.4">
      <c r="A189" s="22" t="str">
        <f>F189&amp;(COUNTIFS(F$2:F189,F189,K$2:K189,"Sparse"))</f>
        <v>SD23</v>
      </c>
      <c r="B189" s="22" t="str">
        <f>J189&amp;(COUNTIF(J$2:J189,J189))</f>
        <v>Leicestershire7</v>
      </c>
      <c r="C189" t="s">
        <v>115</v>
      </c>
      <c r="D189" t="s">
        <v>115</v>
      </c>
      <c r="E189" s="25" t="s">
        <v>366</v>
      </c>
      <c r="F189" s="25" t="s">
        <v>379</v>
      </c>
      <c r="G189" s="25" t="s">
        <v>5</v>
      </c>
      <c r="H189" s="26" t="s">
        <v>891</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380</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891</v>
      </c>
      <c r="I191" s="27" t="s">
        <v>380</v>
      </c>
      <c r="J191" t="s">
        <v>394</v>
      </c>
      <c r="K191" t="s">
        <v>335</v>
      </c>
    </row>
    <row r="192" spans="1:11" ht="14.4">
      <c r="A192" s="22" t="str">
        <f>F192&amp;(COUNTIFS(F$2:F192,F192,K$2:K192,"Sparse"))</f>
        <v>SD23</v>
      </c>
      <c r="B192" s="22" t="str">
        <f>J192&amp;(COUNTIF(J$2:J192,J192))</f>
        <v>Norfolk7</v>
      </c>
      <c r="C192" s="27" t="s">
        <v>117</v>
      </c>
      <c r="D192" s="27" t="s">
        <v>117</v>
      </c>
      <c r="E192" s="25" t="s">
        <v>368</v>
      </c>
      <c r="F192" s="25" t="s">
        <v>379</v>
      </c>
      <c r="G192" s="25" t="s">
        <v>5</v>
      </c>
      <c r="H192" s="27" t="s">
        <v>382</v>
      </c>
      <c r="I192" s="27" t="s">
        <v>382</v>
      </c>
      <c r="J192" t="s">
        <v>319</v>
      </c>
    </row>
    <row r="193" spans="1:11"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1" ht="14.4">
      <c r="A194" s="22" t="str">
        <f>F194&amp;(COUNTIFS(F$2:F194,F194,K$2:K194,"Sparse"))</f>
        <v>SC6</v>
      </c>
      <c r="B194" s="22" t="str">
        <f>J194&amp;(COUNTIF(J$2:J194,J194))</f>
        <v>Nottinghamshire7</v>
      </c>
      <c r="C194" s="27" t="s">
        <v>323</v>
      </c>
      <c r="D194" s="27" t="s">
        <v>323</v>
      </c>
      <c r="E194" s="25" t="s">
        <v>366</v>
      </c>
      <c r="F194" s="25" t="s">
        <v>387</v>
      </c>
      <c r="G194" s="25" t="s">
        <v>301</v>
      </c>
      <c r="H194" s="27" t="s">
        <v>892</v>
      </c>
      <c r="I194" s="27" t="s">
        <v>892</v>
      </c>
      <c r="J194" t="s">
        <v>323</v>
      </c>
      <c r="K194" t="s">
        <v>335</v>
      </c>
    </row>
    <row r="195" spans="1:11" ht="14.4">
      <c r="A195" s="22" t="str">
        <f>F195&amp;(COUNTIFS(F$2:F195,F195,K$2:K195,"Sparse"))</f>
        <v>SD23</v>
      </c>
      <c r="B195" s="22" t="str">
        <f>J195&amp;(COUNTIF(J$2:J195,J195))</f>
        <v>Warwickshire2</v>
      </c>
      <c r="C195" t="s">
        <v>346</v>
      </c>
      <c r="D195" t="s">
        <v>346</v>
      </c>
      <c r="E195" s="25" t="s">
        <v>367</v>
      </c>
      <c r="F195" s="25" t="s">
        <v>379</v>
      </c>
      <c r="G195" s="25" t="s">
        <v>5</v>
      </c>
      <c r="H195" s="26" t="s">
        <v>382</v>
      </c>
      <c r="I195" s="27" t="s">
        <v>382</v>
      </c>
      <c r="J195" s="3" t="s">
        <v>330</v>
      </c>
    </row>
    <row r="196" spans="1:11" ht="14.4">
      <c r="A196" s="22" t="str">
        <f>F196&amp;(COUNTIFS(F$2:F196,F196,K$2:K196,"Sparse"))</f>
        <v>SD23</v>
      </c>
      <c r="B196" s="22" t="str">
        <f>J196&amp;(COUNTIF(J$2:J196,J196))</f>
        <v>Leicestershire8</v>
      </c>
      <c r="C196" t="s">
        <v>347</v>
      </c>
      <c r="D196" t="s">
        <v>347</v>
      </c>
      <c r="E196" s="25" t="s">
        <v>366</v>
      </c>
      <c r="F196" s="25" t="s">
        <v>379</v>
      </c>
      <c r="G196" s="25" t="s">
        <v>5</v>
      </c>
      <c r="H196" s="26" t="s">
        <v>382</v>
      </c>
      <c r="I196" s="27" t="s">
        <v>382</v>
      </c>
      <c r="J196" t="s">
        <v>317</v>
      </c>
    </row>
    <row r="197" spans="1:11"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1" ht="14.4">
      <c r="A198" s="22" t="str">
        <f>F198&amp;(COUNTIFS(F$2:F198,F198,K$2:K198,"Sparse"))</f>
        <v>SD23</v>
      </c>
      <c r="B198" s="22" t="str">
        <f>J198&amp;(COUNTIF(J$2:J198,J198))</f>
        <v>Oxfordshire2</v>
      </c>
      <c r="C198" s="27" t="s">
        <v>118</v>
      </c>
      <c r="D198" s="27" t="s">
        <v>118</v>
      </c>
      <c r="E198" s="25" t="s">
        <v>0</v>
      </c>
      <c r="F198" s="25" t="s">
        <v>379</v>
      </c>
      <c r="G198" s="25" t="s">
        <v>5</v>
      </c>
      <c r="H198" s="27" t="s">
        <v>382</v>
      </c>
      <c r="I198" s="27" t="s">
        <v>382</v>
      </c>
      <c r="J198" t="s">
        <v>324</v>
      </c>
    </row>
    <row r="199" spans="1:11" ht="14.4">
      <c r="A199" s="22" t="str">
        <f>F199&amp;(COUNTIFS(F$2:F199,F199,K$2:K199,"Sparse"))</f>
        <v>SC6</v>
      </c>
      <c r="B199" s="22" t="str">
        <f>J199&amp;(COUNTIF(J$2:J199,J199))</f>
        <v>Oxfordshire3</v>
      </c>
      <c r="C199" t="s">
        <v>324</v>
      </c>
      <c r="D199" t="s">
        <v>324</v>
      </c>
      <c r="E199" s="25" t="s">
        <v>0</v>
      </c>
      <c r="F199" s="25" t="s">
        <v>387</v>
      </c>
      <c r="G199" s="25" t="s">
        <v>301</v>
      </c>
      <c r="H199" s="26" t="s">
        <v>380</v>
      </c>
      <c r="I199" s="27" t="s">
        <v>380</v>
      </c>
      <c r="J199" t="s">
        <v>324</v>
      </c>
    </row>
    <row r="200" spans="1:11" ht="14.4">
      <c r="A200" s="22" t="str">
        <f>F200&amp;(COUNTIFS(F$2:F200,F200,K$2:K200,"Sparse"))</f>
        <v>SD23</v>
      </c>
      <c r="B200" s="22" t="str">
        <f>J200&amp;(COUNTIF(J$2:J200,J200))</f>
        <v>Lancashire7</v>
      </c>
      <c r="C200" t="s">
        <v>119</v>
      </c>
      <c r="D200" t="s">
        <v>119</v>
      </c>
      <c r="E200" s="25" t="s">
        <v>374</v>
      </c>
      <c r="F200" s="25" t="s">
        <v>379</v>
      </c>
      <c r="G200" s="25" t="s">
        <v>5</v>
      </c>
      <c r="H200" s="26" t="s">
        <v>382</v>
      </c>
      <c r="I200" s="27" t="s">
        <v>382</v>
      </c>
      <c r="J200" t="s">
        <v>316</v>
      </c>
    </row>
    <row r="201" spans="1:11"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1"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1"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1" ht="14.4">
      <c r="A204" s="22" t="str">
        <f>F204&amp;(COUNTIFS(F$2:F204,F204,K$2:K204,"Sparse"))</f>
        <v>SD23</v>
      </c>
      <c r="B204" s="22" t="str">
        <f>J204&amp;(COUNTIF(J$2:J204,J204))</f>
        <v>Lancashire8</v>
      </c>
      <c r="C204" t="s">
        <v>120</v>
      </c>
      <c r="D204" t="s">
        <v>120</v>
      </c>
      <c r="E204" s="25" t="s">
        <v>374</v>
      </c>
      <c r="F204" s="25" t="s">
        <v>379</v>
      </c>
      <c r="G204" s="25" t="s">
        <v>5</v>
      </c>
      <c r="H204" s="26" t="s">
        <v>382</v>
      </c>
      <c r="I204" s="27" t="s">
        <v>382</v>
      </c>
      <c r="J204" t="s">
        <v>316</v>
      </c>
    </row>
    <row r="205" spans="1:11"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1"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1" ht="14.4">
      <c r="A207" s="22" t="str">
        <f>F207&amp;(COUNTIFS(F$2:F207,F207,K$2:K207,"Sparse"))</f>
        <v>UA11</v>
      </c>
      <c r="B207" s="22" t="str">
        <f>J207&amp;(COUNTIF(J$2:J207,J207))</f>
        <v>Unitary41</v>
      </c>
      <c r="C207" t="s">
        <v>808</v>
      </c>
      <c r="D207" t="s">
        <v>808</v>
      </c>
      <c r="E207" s="25" t="s">
        <v>388</v>
      </c>
      <c r="F207" s="25" t="s">
        <v>385</v>
      </c>
      <c r="G207" s="25" t="s">
        <v>394</v>
      </c>
      <c r="H207" s="26" t="s">
        <v>892</v>
      </c>
      <c r="I207" s="27" t="s">
        <v>892</v>
      </c>
      <c r="J207" s="3" t="s">
        <v>394</v>
      </c>
    </row>
    <row r="208" spans="1:11" ht="14.4">
      <c r="A208" s="22" t="str">
        <f>F208&amp;(COUNTIFS(F$2:F208,F208,K$2:K208,"Sparse"))</f>
        <v>SD23</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SD23</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SD24</v>
      </c>
      <c r="B210" s="22" t="str">
        <f>J210&amp;(COUNTIF(J$2:J210,J210))</f>
        <v>Lancashire9</v>
      </c>
      <c r="C210" t="s">
        <v>123</v>
      </c>
      <c r="D210" t="s">
        <v>123</v>
      </c>
      <c r="E210" s="25" t="s">
        <v>374</v>
      </c>
      <c r="F210" s="25" t="s">
        <v>379</v>
      </c>
      <c r="G210" s="25" t="s">
        <v>5</v>
      </c>
      <c r="H210" s="26" t="s">
        <v>891</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SD24</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SD24</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SD25</v>
      </c>
      <c r="B215" s="22" t="str">
        <f>J215&amp;(COUNTIF(J$2:J215,J215))</f>
        <v>East Sussex5</v>
      </c>
      <c r="C215" t="s">
        <v>127</v>
      </c>
      <c r="D215" t="s">
        <v>127</v>
      </c>
      <c r="E215" s="25" t="s">
        <v>0</v>
      </c>
      <c r="F215" s="25" t="s">
        <v>379</v>
      </c>
      <c r="G215" s="25" t="s">
        <v>5</v>
      </c>
      <c r="H215" s="26" t="s">
        <v>891</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SD26</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SD26</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SD26</v>
      </c>
      <c r="B219" s="22" t="str">
        <f>J219&amp;(COUNTIF(J$2:J219,J219))</f>
        <v>Nottinghamshire8</v>
      </c>
      <c r="C219" t="s">
        <v>130</v>
      </c>
      <c r="D219" t="s">
        <v>130</v>
      </c>
      <c r="E219" s="25" t="s">
        <v>366</v>
      </c>
      <c r="F219" s="25" t="s">
        <v>379</v>
      </c>
      <c r="G219" s="25" t="s">
        <v>5</v>
      </c>
      <c r="H219" s="26" t="s">
        <v>891</v>
      </c>
      <c r="I219" s="27" t="s">
        <v>380</v>
      </c>
      <c r="J219" t="s">
        <v>323</v>
      </c>
    </row>
    <row r="220" spans="1:11" ht="14.4">
      <c r="A220" s="22" t="str">
        <f>F220&amp;(COUNTIFS(F$2:F220,F220,K$2:K220,"Sparse"))</f>
        <v>SD26</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891</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SD26</v>
      </c>
      <c r="B225" s="22" t="str">
        <f>J225&amp;(COUNTIF(J$2:J225,J225))</f>
        <v>Kent9</v>
      </c>
      <c r="C225" t="s">
        <v>136</v>
      </c>
      <c r="D225" t="s">
        <v>136</v>
      </c>
      <c r="E225" s="25" t="s">
        <v>0</v>
      </c>
      <c r="F225" s="25" t="s">
        <v>379</v>
      </c>
      <c r="G225" s="25" t="s">
        <v>5</v>
      </c>
      <c r="H225" s="26" t="s">
        <v>891</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891</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SD27</v>
      </c>
      <c r="B231" s="22" t="str">
        <f>J231&amp;(COUNTIF(J$2:J231,J231))</f>
        <v>Cambridgeshire6</v>
      </c>
      <c r="C231" t="s">
        <v>138</v>
      </c>
      <c r="D231" t="s">
        <v>138</v>
      </c>
      <c r="E231" s="25" t="s">
        <v>368</v>
      </c>
      <c r="F231" s="25" t="s">
        <v>379</v>
      </c>
      <c r="G231" s="25" t="s">
        <v>5</v>
      </c>
      <c r="H231" s="26" t="s">
        <v>891</v>
      </c>
      <c r="I231" s="27" t="s">
        <v>380</v>
      </c>
      <c r="J231" s="3" t="s">
        <v>302</v>
      </c>
      <c r="K231" t="s">
        <v>335</v>
      </c>
    </row>
    <row r="232" spans="1:11" ht="14.4">
      <c r="A232" s="22" t="str">
        <f>F232&amp;(COUNTIFS(F$2:F232,F232,K$2:K232,"Sparse"))</f>
        <v>SD27</v>
      </c>
      <c r="B232" s="22" t="str">
        <f>J232&amp;(COUNTIF(J$2:J232,J232))</f>
        <v>Derbyshire9</v>
      </c>
      <c r="C232" t="s">
        <v>139</v>
      </c>
      <c r="D232" t="s">
        <v>139</v>
      </c>
      <c r="E232" s="25" t="s">
        <v>366</v>
      </c>
      <c r="F232" s="25" t="s">
        <v>379</v>
      </c>
      <c r="G232" s="25" t="s">
        <v>5</v>
      </c>
      <c r="H232" s="26" t="s">
        <v>892</v>
      </c>
      <c r="I232" s="27" t="s">
        <v>892</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SD28</v>
      </c>
      <c r="B234" s="22" t="str">
        <f>J234&amp;(COUNTIF(J$2:J234,J234))</f>
        <v>Devon6</v>
      </c>
      <c r="C234" s="27" t="s">
        <v>140</v>
      </c>
      <c r="D234" s="27" t="s">
        <v>140</v>
      </c>
      <c r="E234" s="25" t="s">
        <v>1</v>
      </c>
      <c r="F234" s="25" t="s">
        <v>379</v>
      </c>
      <c r="G234" s="25" t="s">
        <v>5</v>
      </c>
      <c r="H234" s="27" t="s">
        <v>891</v>
      </c>
      <c r="I234" s="27" t="s">
        <v>380</v>
      </c>
      <c r="J234" t="s">
        <v>308</v>
      </c>
      <c r="K234" t="s">
        <v>335</v>
      </c>
    </row>
    <row r="235" spans="1:11" ht="14.4">
      <c r="A235" s="22" t="str">
        <f>F235&amp;(COUNTIFS(F$2:F235,F235,K$2:K235,"Sparse"))</f>
        <v>SD29</v>
      </c>
      <c r="B235" s="22" t="str">
        <f>J235&amp;(COUNTIF(J$2:J235,J235))</f>
        <v>Lincolnshire6</v>
      </c>
      <c r="C235" t="s">
        <v>141</v>
      </c>
      <c r="D235" t="s">
        <v>141</v>
      </c>
      <c r="E235" s="25" t="s">
        <v>366</v>
      </c>
      <c r="F235" s="25" t="s">
        <v>379</v>
      </c>
      <c r="G235" s="25" t="s">
        <v>5</v>
      </c>
      <c r="H235" s="26" t="s">
        <v>891</v>
      </c>
      <c r="I235" s="27" t="s">
        <v>380</v>
      </c>
      <c r="J235" t="s">
        <v>318</v>
      </c>
      <c r="K235" t="s">
        <v>335</v>
      </c>
    </row>
    <row r="236" spans="1:11" ht="14.4">
      <c r="A236" s="22" t="str">
        <f>F236&amp;(COUNTIFS(F$2:F236,F236,K$2:K236,"Sparse"))</f>
        <v>SD30</v>
      </c>
      <c r="B236" s="22" t="str">
        <f>J236&amp;(COUNTIF(J$2:J236,J236))</f>
        <v>Lincolnshire7</v>
      </c>
      <c r="C236" t="s">
        <v>142</v>
      </c>
      <c r="D236" t="s">
        <v>142</v>
      </c>
      <c r="E236" s="25" t="s">
        <v>366</v>
      </c>
      <c r="F236" s="25" t="s">
        <v>379</v>
      </c>
      <c r="G236" s="25" t="s">
        <v>5</v>
      </c>
      <c r="H236" s="26" t="s">
        <v>891</v>
      </c>
      <c r="I236" s="27" t="s">
        <v>380</v>
      </c>
      <c r="J236" t="s">
        <v>318</v>
      </c>
      <c r="K236" t="s">
        <v>335</v>
      </c>
    </row>
    <row r="237" spans="1:11" ht="14.4">
      <c r="A237" s="22" t="str">
        <f>F237&amp;(COUNTIFS(F$2:F237,F237,K$2:K237,"Sparse"))</f>
        <v>SD31</v>
      </c>
      <c r="B237" s="22" t="str">
        <f>J237&amp;(COUNTIF(J$2:J237,J237))</f>
        <v>Norfolk8</v>
      </c>
      <c r="C237" t="s">
        <v>144</v>
      </c>
      <c r="D237" t="s">
        <v>144</v>
      </c>
      <c r="E237" s="25" t="s">
        <v>368</v>
      </c>
      <c r="F237" s="25" t="s">
        <v>379</v>
      </c>
      <c r="G237" s="25" t="s">
        <v>5</v>
      </c>
      <c r="H237" s="26" t="s">
        <v>891</v>
      </c>
      <c r="I237" s="27" t="s">
        <v>380</v>
      </c>
      <c r="J237" s="3" t="s">
        <v>319</v>
      </c>
      <c r="K237" t="s">
        <v>335</v>
      </c>
    </row>
    <row r="238" spans="1:11" ht="14.4">
      <c r="A238" s="22" t="str">
        <f>F238&amp;(COUNTIFS(F$2:F238,F238,K$2:K238,"Sparse"))</f>
        <v>SD32</v>
      </c>
      <c r="B238" s="22" t="str">
        <f>J238&amp;(COUNTIF(J$2:J238,J238))</f>
        <v>Oxfordshire4</v>
      </c>
      <c r="C238" t="s">
        <v>146</v>
      </c>
      <c r="D238" t="s">
        <v>146</v>
      </c>
      <c r="E238" s="25" t="s">
        <v>0</v>
      </c>
      <c r="F238" s="25" t="s">
        <v>379</v>
      </c>
      <c r="G238" s="25" t="s">
        <v>5</v>
      </c>
      <c r="H238" s="26" t="s">
        <v>891</v>
      </c>
      <c r="I238" s="27" t="s">
        <v>380</v>
      </c>
      <c r="J238" t="s">
        <v>324</v>
      </c>
      <c r="K238" t="s">
        <v>335</v>
      </c>
    </row>
    <row r="239" spans="1:11" ht="14.4">
      <c r="A239" s="22" t="str">
        <f>F239&amp;(COUNTIFS(F$2:F239,F239,K$2:K239,"Sparse"))</f>
        <v>SD32</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SD32</v>
      </c>
      <c r="B240" s="22" t="str">
        <f>J240&amp;(COUNTIF(J$2:J240,J240))</f>
        <v>Staffordshire5</v>
      </c>
      <c r="C240" t="s">
        <v>149</v>
      </c>
      <c r="D240" t="s">
        <v>149</v>
      </c>
      <c r="E240" s="25" t="s">
        <v>367</v>
      </c>
      <c r="F240" s="25" t="s">
        <v>379</v>
      </c>
      <c r="G240" s="25" t="s">
        <v>5</v>
      </c>
      <c r="H240" s="26" t="s">
        <v>892</v>
      </c>
      <c r="I240" s="27" t="s">
        <v>892</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SD32</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SD32</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SD33</v>
      </c>
      <c r="B248" s="22" t="str">
        <f>J248&amp;(COUNTIF(J$2:J248,J248))</f>
        <v>Staffordshire6</v>
      </c>
      <c r="C248" t="s">
        <v>153</v>
      </c>
      <c r="D248" t="s">
        <v>153</v>
      </c>
      <c r="E248" s="25" t="s">
        <v>367</v>
      </c>
      <c r="F248" s="25" t="s">
        <v>379</v>
      </c>
      <c r="G248" s="25" t="s">
        <v>5</v>
      </c>
      <c r="H248" s="26" t="s">
        <v>892</v>
      </c>
      <c r="I248" s="27" t="s">
        <v>892</v>
      </c>
      <c r="J248" s="3" t="s">
        <v>327</v>
      </c>
      <c r="K248" t="s">
        <v>335</v>
      </c>
    </row>
    <row r="249" spans="1:11" ht="14.4">
      <c r="A249" s="22" t="str">
        <f>F249&amp;(COUNTIFS(F$2:F249,F249,K$2:K249,"Sparse"))</f>
        <v>SC7</v>
      </c>
      <c r="B249" s="22" t="str">
        <f>J249&amp;(COUNTIF(J$2:J249,J249))</f>
        <v>Staffordshire7</v>
      </c>
      <c r="C249" t="s">
        <v>327</v>
      </c>
      <c r="D249" t="s">
        <v>327</v>
      </c>
      <c r="E249" s="25" t="s">
        <v>367</v>
      </c>
      <c r="F249" s="25" t="s">
        <v>387</v>
      </c>
      <c r="G249" s="25" t="s">
        <v>301</v>
      </c>
      <c r="H249" s="26" t="s">
        <v>892</v>
      </c>
      <c r="I249" s="27" t="s">
        <v>892</v>
      </c>
      <c r="J249" s="3" t="s">
        <v>327</v>
      </c>
      <c r="K249" t="s">
        <v>335</v>
      </c>
    </row>
    <row r="250" spans="1:11" ht="14.4">
      <c r="A250" s="22" t="str">
        <f>F250&amp;(COUNTIFS(F$2:F250,F250,K$2:K250,"Sparse"))</f>
        <v>SD33</v>
      </c>
      <c r="B250" s="22" t="str">
        <f>J250&amp;(COUNTIF(J$2:J250,J250))</f>
        <v>Staffordshire8</v>
      </c>
      <c r="C250" t="s">
        <v>154</v>
      </c>
      <c r="D250" t="s">
        <v>154</v>
      </c>
      <c r="E250" s="25" t="s">
        <v>367</v>
      </c>
      <c r="F250" s="25" t="s">
        <v>379</v>
      </c>
      <c r="G250" s="25" t="s">
        <v>5</v>
      </c>
      <c r="H250" s="26" t="s">
        <v>891</v>
      </c>
      <c r="I250" s="27" t="s">
        <v>380</v>
      </c>
      <c r="J250" t="s">
        <v>327</v>
      </c>
    </row>
    <row r="251" spans="1:11" ht="14.4">
      <c r="A251" s="22" t="str">
        <f>F251&amp;(COUNTIFS(F$2:F251,F251,K$2:K251,"Sparse"))</f>
        <v>SD33</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SD34</v>
      </c>
      <c r="B255" s="22" t="str">
        <f>J255&amp;(COUNTIF(J$2:J255,J255))</f>
        <v>Warwickshire4</v>
      </c>
      <c r="C255" s="27" t="s">
        <v>156</v>
      </c>
      <c r="D255" s="27" t="s">
        <v>156</v>
      </c>
      <c r="E255" s="25" t="s">
        <v>367</v>
      </c>
      <c r="F255" s="25" t="s">
        <v>379</v>
      </c>
      <c r="G255" s="25" t="s">
        <v>5</v>
      </c>
      <c r="H255" s="27" t="s">
        <v>891</v>
      </c>
      <c r="I255" s="27" t="s">
        <v>380</v>
      </c>
      <c r="J255" t="s">
        <v>330</v>
      </c>
      <c r="K255" t="s">
        <v>335</v>
      </c>
    </row>
    <row r="256" spans="1:11" ht="14.4">
      <c r="A256" s="22" t="str">
        <f>F256&amp;(COUNTIFS(F$2:F256,F256,K$2:K256,"Sparse"))</f>
        <v>SD35</v>
      </c>
      <c r="B256" s="22" t="str">
        <f>J256&amp;(COUNTIF(J$2:J256,J256))</f>
        <v>Gloucestershire6</v>
      </c>
      <c r="C256" t="s">
        <v>157</v>
      </c>
      <c r="D256" t="s">
        <v>157</v>
      </c>
      <c r="E256" s="25" t="s">
        <v>1</v>
      </c>
      <c r="F256" s="25" t="s">
        <v>379</v>
      </c>
      <c r="G256" s="25" t="s">
        <v>5</v>
      </c>
      <c r="H256" s="26" t="s">
        <v>892</v>
      </c>
      <c r="I256" s="27" t="s">
        <v>892</v>
      </c>
      <c r="J256" t="s">
        <v>312</v>
      </c>
      <c r="K256" t="s">
        <v>335</v>
      </c>
    </row>
    <row r="257" spans="1:11" ht="14.4">
      <c r="A257" s="22" t="str">
        <f>F257&amp;(COUNTIFS(F$2:F257,F257,K$2:K257,"Sparse"))</f>
        <v>SC8</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SC8</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SD35</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SD35</v>
      </c>
      <c r="B262" s="22" t="str">
        <f>J262&amp;(COUNTIF(J$2:J262,J262))</f>
        <v>Kent10</v>
      </c>
      <c r="C262" t="s">
        <v>160</v>
      </c>
      <c r="D262" t="s">
        <v>160</v>
      </c>
      <c r="E262" s="25" t="s">
        <v>0</v>
      </c>
      <c r="F262" s="25" t="s">
        <v>379</v>
      </c>
      <c r="G262" s="25" t="s">
        <v>5</v>
      </c>
      <c r="H262" s="26" t="s">
        <v>891</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SD35</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SD35</v>
      </c>
      <c r="B266" s="22" t="str">
        <f>J266&amp;(COUNTIF(J$2:J266,J266))</f>
        <v>Surrey10</v>
      </c>
      <c r="C266" t="s">
        <v>162</v>
      </c>
      <c r="D266" t="s">
        <v>162</v>
      </c>
      <c r="E266" s="25" t="s">
        <v>0</v>
      </c>
      <c r="F266" s="25" t="s">
        <v>379</v>
      </c>
      <c r="G266" s="25" t="s">
        <v>5</v>
      </c>
      <c r="H266" s="26" t="s">
        <v>892</v>
      </c>
      <c r="I266" s="27" t="s">
        <v>892</v>
      </c>
      <c r="J266" t="s">
        <v>329</v>
      </c>
    </row>
    <row r="267" spans="1:11" ht="14.4">
      <c r="A267" s="22" t="str">
        <f>F267&amp;(COUNTIFS(F$2:F267,F267,K$2:K267,"Sparse"))</f>
        <v>SD36</v>
      </c>
      <c r="B267" s="22" t="str">
        <f>J267&amp;(COUNTIF(J$2:J267,J267))</f>
        <v>Devon7</v>
      </c>
      <c r="C267" t="s">
        <v>164</v>
      </c>
      <c r="D267" t="s">
        <v>164</v>
      </c>
      <c r="E267" s="25" t="s">
        <v>1</v>
      </c>
      <c r="F267" s="25" t="s">
        <v>379</v>
      </c>
      <c r="G267" s="25" t="s">
        <v>5</v>
      </c>
      <c r="H267" s="26" t="s">
        <v>891</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SD36</v>
      </c>
      <c r="B269" s="22" t="str">
        <f>J269&amp;(COUNTIF(J$2:J269,J269))</f>
        <v>Essex12</v>
      </c>
      <c r="C269" t="s">
        <v>165</v>
      </c>
      <c r="D269" t="s">
        <v>165</v>
      </c>
      <c r="E269" s="25" t="s">
        <v>368</v>
      </c>
      <c r="F269" s="25" t="s">
        <v>379</v>
      </c>
      <c r="G269" s="25" t="s">
        <v>5</v>
      </c>
      <c r="H269" s="26" t="s">
        <v>891</v>
      </c>
      <c r="I269" s="27" t="s">
        <v>380</v>
      </c>
      <c r="J269" s="3" t="s">
        <v>311</v>
      </c>
    </row>
    <row r="270" spans="1:11" ht="14.4">
      <c r="A270" s="22" t="str">
        <f>F270&amp;(COUNTIFS(F$2:F270,F270,K$2:K270,"Sparse"))</f>
        <v>SD36</v>
      </c>
      <c r="B270" s="22" t="str">
        <f>J270&amp;(COUNTIF(J$2:J270,J270))</f>
        <v>Hampshire11</v>
      </c>
      <c r="C270" t="s">
        <v>166</v>
      </c>
      <c r="D270" t="s">
        <v>166</v>
      </c>
      <c r="E270" s="25" t="s">
        <v>0</v>
      </c>
      <c r="F270" s="25" t="s">
        <v>379</v>
      </c>
      <c r="G270" s="25" t="s">
        <v>5</v>
      </c>
      <c r="H270" s="26" t="s">
        <v>892</v>
      </c>
      <c r="I270" s="27" t="s">
        <v>892</v>
      </c>
      <c r="J270" t="s">
        <v>313</v>
      </c>
    </row>
    <row r="271" spans="1:11" ht="14.4">
      <c r="A271" s="22" t="str">
        <f>F271&amp;(COUNTIFS(F$2:F271,F271,K$2:K271,"Sparse"))</f>
        <v>SD37</v>
      </c>
      <c r="B271" s="22" t="str">
        <f>J271&amp;(COUNTIF(J$2:J271,J271))</f>
        <v>Gloucestershire7</v>
      </c>
      <c r="C271" t="s">
        <v>167</v>
      </c>
      <c r="D271" t="s">
        <v>167</v>
      </c>
      <c r="E271" s="25" t="s">
        <v>1</v>
      </c>
      <c r="F271" s="25" t="s">
        <v>379</v>
      </c>
      <c r="G271" s="25" t="s">
        <v>5</v>
      </c>
      <c r="H271" s="26" t="s">
        <v>891</v>
      </c>
      <c r="I271" s="27" t="s">
        <v>380</v>
      </c>
      <c r="J271" t="s">
        <v>312</v>
      </c>
      <c r="K271" t="s">
        <v>335</v>
      </c>
    </row>
    <row r="272" spans="1:11" ht="14.4">
      <c r="A272" s="22" t="str">
        <f>F272&amp;(COUNTIFS(F$2:F272,F272,K$2:K272,"Sparse"))</f>
        <v>SD37</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SD37</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SD37</v>
      </c>
      <c r="B275" s="22" t="str">
        <f>J275&amp;(COUNTIF(J$2:J275,J275))</f>
        <v>Kent12</v>
      </c>
      <c r="C275" t="s">
        <v>349</v>
      </c>
      <c r="D275" t="s">
        <v>349</v>
      </c>
      <c r="E275" s="25" t="s">
        <v>0</v>
      </c>
      <c r="F275" s="25" t="s">
        <v>379</v>
      </c>
      <c r="G275" s="25" t="s">
        <v>5</v>
      </c>
      <c r="H275" s="26" t="s">
        <v>892</v>
      </c>
      <c r="I275" s="27" t="s">
        <v>892</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SD38</v>
      </c>
      <c r="B277" s="22" t="str">
        <f>J277&amp;(COUNTIF(J$2:J277,J277))</f>
        <v>Devon8</v>
      </c>
      <c r="C277" t="s">
        <v>170</v>
      </c>
      <c r="D277" t="s">
        <v>170</v>
      </c>
      <c r="E277" s="25" t="s">
        <v>1</v>
      </c>
      <c r="F277" s="25" t="s">
        <v>379</v>
      </c>
      <c r="G277" s="25" t="s">
        <v>5</v>
      </c>
      <c r="H277" s="26" t="s">
        <v>891</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SD38</v>
      </c>
      <c r="B280" s="22" t="str">
        <f>J280&amp;(COUNTIF(J$2:J280,J280))</f>
        <v>Kent13</v>
      </c>
      <c r="C280" t="s">
        <v>171</v>
      </c>
      <c r="D280" t="s">
        <v>171</v>
      </c>
      <c r="E280" s="25" t="s">
        <v>0</v>
      </c>
      <c r="F280" s="25" t="s">
        <v>379</v>
      </c>
      <c r="G280" s="25" t="s">
        <v>5</v>
      </c>
      <c r="H280" s="26" t="s">
        <v>892</v>
      </c>
      <c r="I280" s="27" t="s">
        <v>892</v>
      </c>
      <c r="J280" s="3" t="s">
        <v>315</v>
      </c>
    </row>
    <row r="281" spans="1:11" ht="14.4">
      <c r="A281" s="22" t="str">
        <f>F281&amp;(COUNTIFS(F$2:F281,F281,K$2:K281,"Sparse"))</f>
        <v>SD39</v>
      </c>
      <c r="B281" s="22" t="str">
        <f>J281&amp;(COUNTIF(J$2:J281,J281))</f>
        <v>Essex13</v>
      </c>
      <c r="C281" t="s">
        <v>172</v>
      </c>
      <c r="D281" t="s">
        <v>172</v>
      </c>
      <c r="E281" s="25" t="s">
        <v>368</v>
      </c>
      <c r="F281" s="25" t="s">
        <v>379</v>
      </c>
      <c r="G281" s="25" t="s">
        <v>5</v>
      </c>
      <c r="H281" s="26" t="s">
        <v>891</v>
      </c>
      <c r="I281" s="27" t="s">
        <v>380</v>
      </c>
      <c r="J281" t="s">
        <v>311</v>
      </c>
      <c r="K281" t="s">
        <v>335</v>
      </c>
    </row>
    <row r="282" spans="1:11" ht="14.4">
      <c r="A282" s="22" t="str">
        <f>F282&amp;(COUNTIFS(F$2:F282,F282,K$2:K282,"Sparse"))</f>
        <v>SD40</v>
      </c>
      <c r="B282" s="22" t="str">
        <f>J282&amp;(COUNTIF(J$2:J282,J282))</f>
        <v>Oxfordshire5</v>
      </c>
      <c r="C282" t="s">
        <v>173</v>
      </c>
      <c r="D282" t="s">
        <v>173</v>
      </c>
      <c r="E282" s="25" t="s">
        <v>0</v>
      </c>
      <c r="F282" s="25" t="s">
        <v>379</v>
      </c>
      <c r="G282" s="25" t="s">
        <v>5</v>
      </c>
      <c r="H282" s="26" t="s">
        <v>891</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SD40</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SC8</v>
      </c>
      <c r="B289" s="22" t="str">
        <f>J289&amp;(COUNTIF(J$2:J289,J289))</f>
        <v>Warwickshire6</v>
      </c>
      <c r="C289" t="s">
        <v>330</v>
      </c>
      <c r="D289" t="s">
        <v>330</v>
      </c>
      <c r="E289" s="25" t="s">
        <v>367</v>
      </c>
      <c r="F289" s="25" t="s">
        <v>387</v>
      </c>
      <c r="G289" s="25" t="s">
        <v>301</v>
      </c>
      <c r="H289" s="26" t="s">
        <v>892</v>
      </c>
      <c r="I289" s="27" t="s">
        <v>892</v>
      </c>
      <c r="J289" t="s">
        <v>330</v>
      </c>
    </row>
    <row r="290" spans="1:11" ht="14.4">
      <c r="A290" s="22" t="str">
        <f>F290&amp;(COUNTIFS(F$2:F290,F290,K$2:K290,"Sparse"))</f>
        <v>SD40</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SD40</v>
      </c>
      <c r="B291" s="22" t="str">
        <f>J291&amp;(COUNTIF(J$2:J291,J291))</f>
        <v>Surrey11</v>
      </c>
      <c r="C291" t="s">
        <v>177</v>
      </c>
      <c r="D291" t="s">
        <v>177</v>
      </c>
      <c r="E291" s="25" t="s">
        <v>0</v>
      </c>
      <c r="F291" s="25" t="s">
        <v>379</v>
      </c>
      <c r="G291" s="25" t="s">
        <v>5</v>
      </c>
      <c r="H291" s="26" t="s">
        <v>891</v>
      </c>
      <c r="I291" s="27" t="s">
        <v>380</v>
      </c>
      <c r="J291" t="s">
        <v>329</v>
      </c>
    </row>
    <row r="292" spans="1:11" ht="14.4">
      <c r="A292" s="22" t="str">
        <f>F292&amp;(COUNTIFS(F$2:F292,F292,K$2:K292,"Sparse"))</f>
        <v>SD41</v>
      </c>
      <c r="B292" s="22" t="str">
        <f>J292&amp;(COUNTIF(J$2:J292,J292))</f>
        <v>East Sussex6</v>
      </c>
      <c r="C292" t="s">
        <v>178</v>
      </c>
      <c r="D292" t="s">
        <v>178</v>
      </c>
      <c r="E292" s="25" t="s">
        <v>0</v>
      </c>
      <c r="F292" s="25" t="s">
        <v>379</v>
      </c>
      <c r="G292" s="25" t="s">
        <v>5</v>
      </c>
      <c r="H292" s="26" t="s">
        <v>891</v>
      </c>
      <c r="I292" s="27" t="s">
        <v>380</v>
      </c>
      <c r="J292" t="s">
        <v>310</v>
      </c>
      <c r="K292" t="s">
        <v>335</v>
      </c>
    </row>
    <row r="293" spans="1:11" ht="14.4">
      <c r="A293" s="22" t="str">
        <f>F293&amp;(COUNTIFS(F$2:F293,F293,K$2:K293,"Sparse"))</f>
        <v>SD41</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892</v>
      </c>
      <c r="I294" s="27" t="s">
        <v>892</v>
      </c>
      <c r="J294" t="s">
        <v>394</v>
      </c>
    </row>
    <row r="295" spans="1:11" ht="14.4">
      <c r="A295" s="22" t="str">
        <f>F295&amp;(COUNTIFS(F$2:F295,F295,K$2:K295,"Sparse"))</f>
        <v>SD42</v>
      </c>
      <c r="B295" s="22" t="str">
        <f>J295&amp;(COUNTIF(J$2:J295,J295))</f>
        <v>Devon9</v>
      </c>
      <c r="C295" s="27" t="s">
        <v>181</v>
      </c>
      <c r="D295" s="27" t="s">
        <v>181</v>
      </c>
      <c r="E295" s="25" t="s">
        <v>1</v>
      </c>
      <c r="F295" s="25" t="s">
        <v>379</v>
      </c>
      <c r="G295" s="25" t="s">
        <v>5</v>
      </c>
      <c r="H295" s="27" t="s">
        <v>891</v>
      </c>
      <c r="I295" s="27" t="s">
        <v>380</v>
      </c>
      <c r="J295" t="s">
        <v>308</v>
      </c>
      <c r="K295" t="s">
        <v>335</v>
      </c>
    </row>
    <row r="296" spans="1:11" ht="14.4">
      <c r="A296" s="22" t="str">
        <f>F296&amp;(COUNTIFS(F$2:F296,F296,K$2:K296,"Sparse"))</f>
        <v>SD42</v>
      </c>
      <c r="B296" s="22" t="str">
        <f>J296&amp;(COUNTIF(J$2:J296,J296))</f>
        <v>Lancashire12</v>
      </c>
      <c r="C296" t="s">
        <v>183</v>
      </c>
      <c r="D296" t="s">
        <v>183</v>
      </c>
      <c r="E296" s="25" t="s">
        <v>374</v>
      </c>
      <c r="F296" s="25" t="s">
        <v>379</v>
      </c>
      <c r="G296" s="25" t="s">
        <v>5</v>
      </c>
      <c r="H296" s="26" t="s">
        <v>892</v>
      </c>
      <c r="I296" s="27" t="s">
        <v>892</v>
      </c>
      <c r="J296" t="s">
        <v>316</v>
      </c>
    </row>
    <row r="297" spans="1:11" ht="14.4">
      <c r="A297" s="22" t="str">
        <f>F297&amp;(COUNTIFS(F$2:F297,F297,K$2:K297,"Sparse"))</f>
        <v>SD43</v>
      </c>
      <c r="B297" s="22" t="str">
        <f>J297&amp;(COUNTIF(J$2:J297,J297))</f>
        <v>Lincolnshire8</v>
      </c>
      <c r="C297" t="s">
        <v>184</v>
      </c>
      <c r="D297" t="s">
        <v>184</v>
      </c>
      <c r="E297" s="25" t="s">
        <v>366</v>
      </c>
      <c r="F297" s="25" t="s">
        <v>379</v>
      </c>
      <c r="G297" s="25" t="s">
        <v>5</v>
      </c>
      <c r="H297" s="26" t="s">
        <v>891</v>
      </c>
      <c r="I297" s="27" t="s">
        <v>380</v>
      </c>
      <c r="J297" t="s">
        <v>318</v>
      </c>
      <c r="K297" t="s">
        <v>335</v>
      </c>
    </row>
    <row r="298" spans="1:11" ht="14.4">
      <c r="A298" s="22" t="str">
        <f>F298&amp;(COUNTIFS(F$2:F298,F298,K$2:K298,"Sparse"))</f>
        <v>UA14</v>
      </c>
      <c r="B298" s="22" t="str">
        <f>J298&amp;(COUNTIF(J$2:J298,J298))</f>
        <v>Unitary57</v>
      </c>
      <c r="C298" t="s">
        <v>898</v>
      </c>
      <c r="D298" t="s">
        <v>898</v>
      </c>
      <c r="E298" s="25" t="s">
        <v>366</v>
      </c>
      <c r="F298" s="25" t="s">
        <v>385</v>
      </c>
      <c r="G298" s="25" t="s">
        <v>394</v>
      </c>
      <c r="H298" s="26" t="s">
        <v>892</v>
      </c>
      <c r="I298" s="27" t="s">
        <v>892</v>
      </c>
      <c r="J298" t="s">
        <v>394</v>
      </c>
      <c r="K298" t="s">
        <v>335</v>
      </c>
    </row>
    <row r="299" spans="1:11" ht="14.4">
      <c r="A299" s="22" t="str">
        <f>F299&amp;(COUNTIFS(F$2:F299,F299,K$2:K299,"Sparse"))</f>
        <v>SD44</v>
      </c>
      <c r="B299" s="22" t="str">
        <f>J299&amp;(COUNTIF(J$2:J299,J299))</f>
        <v>Oxfordshire6</v>
      </c>
      <c r="C299" t="s">
        <v>185</v>
      </c>
      <c r="D299" t="s">
        <v>185</v>
      </c>
      <c r="E299" s="25" t="s">
        <v>0</v>
      </c>
      <c r="F299" s="25" t="s">
        <v>379</v>
      </c>
      <c r="G299" s="25" t="s">
        <v>5</v>
      </c>
      <c r="H299" s="26" t="s">
        <v>891</v>
      </c>
      <c r="I299" s="27" t="s">
        <v>380</v>
      </c>
      <c r="J299" t="s">
        <v>324</v>
      </c>
      <c r="K299" t="s">
        <v>335</v>
      </c>
    </row>
    <row r="300" spans="1:11" ht="14.4">
      <c r="A300" s="22" t="str">
        <f>F300&amp;(COUNTIFS(F$2:F300,F300,K$2:K300,"Sparse"))</f>
        <v>SD45</v>
      </c>
      <c r="B300" s="22" t="str">
        <f>J300&amp;(COUNTIF(J$2:J300,J300))</f>
        <v>Suffolk6</v>
      </c>
      <c r="C300" t="s">
        <v>895</v>
      </c>
      <c r="D300" t="s">
        <v>895</v>
      </c>
      <c r="E300" s="25" t="s">
        <v>368</v>
      </c>
      <c r="F300" s="25" t="s">
        <v>379</v>
      </c>
      <c r="G300" s="25" t="s">
        <v>5</v>
      </c>
      <c r="H300" s="26" t="s">
        <v>891</v>
      </c>
      <c r="I300" s="27" t="s">
        <v>380</v>
      </c>
      <c r="J300" t="s">
        <v>328</v>
      </c>
      <c r="K300" t="s">
        <v>335</v>
      </c>
    </row>
    <row r="301" spans="1:11" ht="14.4">
      <c r="A301" s="22" t="str">
        <f>F301&amp;(COUNTIFS(F$2:F301,F301,K$2:K301,"Sparse"))</f>
        <v>SC8</v>
      </c>
      <c r="B301" s="22" t="str">
        <f>J301&amp;(COUNTIF(J$2:J301,J301))</f>
        <v>West Sussex7</v>
      </c>
      <c r="C301" t="s">
        <v>331</v>
      </c>
      <c r="D301" t="s">
        <v>331</v>
      </c>
      <c r="E301" s="25" t="s">
        <v>0</v>
      </c>
      <c r="F301" s="25" t="s">
        <v>387</v>
      </c>
      <c r="G301" s="25" t="s">
        <v>301</v>
      </c>
      <c r="H301" s="26" t="s">
        <v>892</v>
      </c>
      <c r="I301" s="27" t="s">
        <v>892</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900</v>
      </c>
      <c r="D303" t="s">
        <v>900</v>
      </c>
      <c r="E303" s="25" t="s">
        <v>374</v>
      </c>
      <c r="F303" s="25" t="s">
        <v>385</v>
      </c>
      <c r="G303" s="25" t="s">
        <v>394</v>
      </c>
      <c r="H303" s="26" t="s">
        <v>891</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2772B703-902C-4A2C-9169-BA0CB0F9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2023-09-19T13:29:36Z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