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60924/"/>
    </mc:Choice>
  </mc:AlternateContent>
  <xr:revisionPtr revIDLastSave="27" documentId="8_{61C9329D-B879-447F-A306-D57CA513750D}" xr6:coauthVersionLast="47" xr6:coauthVersionMax="47" xr10:uidLastSave="{050492BC-3886-4EAB-A1B4-82AB522C2F2B}"/>
  <workbookProtection workbookAlgorithmName="SHA-512" workbookHashValue="w1CLjNRVk/E/hAb9sjUQqW4HBdyaYjV+ekSmRw34h1mA2zQRLSkAg6qPujLHuG1Jo+42eh5ZSXzWHw2ulfex0w==" workbookSaltValue="YudYRog4PRa4lO0bOu30E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H69" i="16" s="1"/>
  <c r="I69" i="16" s="1"/>
  <c r="E69" i="16"/>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H207" i="16" s="1"/>
  <c r="I207" i="16" s="1"/>
  <c r="E207" i="16"/>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H259" i="16" s="1"/>
  <c r="I259" i="16" s="1"/>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H322" i="16" s="1"/>
  <c r="I322" i="16" s="1"/>
  <c r="E322" i="16"/>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H157" i="16" s="1"/>
  <c r="AX296" i="16"/>
  <c r="F296" i="16" s="1"/>
  <c r="AX273" i="16"/>
  <c r="AX133" i="16"/>
  <c r="F133" i="16" s="1"/>
  <c r="AX307" i="16"/>
  <c r="F307" i="16" s="1"/>
  <c r="AX162" i="16"/>
  <c r="F162" i="16" s="1"/>
  <c r="AX84" i="16"/>
  <c r="AX265" i="16"/>
  <c r="F265" i="16" s="1"/>
  <c r="AX218" i="16"/>
  <c r="F218" i="16" s="1"/>
  <c r="AX250" i="16"/>
  <c r="F250" i="16" s="1"/>
  <c r="AX130" i="16"/>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AX143" i="16"/>
  <c r="H143" i="16" s="1"/>
  <c r="AX213" i="16"/>
  <c r="AX268" i="16"/>
  <c r="F268" i="16" s="1"/>
  <c r="AX97" i="16"/>
  <c r="F97" i="16" s="1"/>
  <c r="AX288" i="16"/>
  <c r="F288" i="16" s="1"/>
  <c r="AX159" i="16"/>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AX163" i="16"/>
  <c r="F163" i="16" s="1"/>
  <c r="AX129" i="16"/>
  <c r="H129" i="16" s="1"/>
  <c r="AX131" i="16"/>
  <c r="H131" i="16" s="1"/>
  <c r="AX190" i="16"/>
  <c r="AX260" i="16"/>
  <c r="H260" i="16" s="1"/>
  <c r="AX92" i="16"/>
  <c r="F92" i="16" s="1"/>
  <c r="AX278" i="16"/>
  <c r="AX149" i="16"/>
  <c r="F149" i="16" s="1"/>
  <c r="AX64" i="16"/>
  <c r="AX232" i="16"/>
  <c r="F232" i="16" s="1"/>
  <c r="AX298" i="16"/>
  <c r="F298" i="16" s="1"/>
  <c r="AX237" i="16"/>
  <c r="AX118" i="16"/>
  <c r="H118" i="16" s="1"/>
  <c r="AX304" i="16"/>
  <c r="AX137" i="16"/>
  <c r="H137" i="16" s="1"/>
  <c r="AX287" i="16"/>
  <c r="F287" i="16" s="1"/>
  <c r="AX151" i="16"/>
  <c r="AX264" i="16"/>
  <c r="AX148" i="16"/>
  <c r="F148" i="16" s="1"/>
  <c r="AX292" i="16"/>
  <c r="F292" i="16" s="1"/>
  <c r="AX124" i="16"/>
  <c r="F124" i="16" s="1"/>
  <c r="AX326" i="16"/>
  <c r="F326" i="16" s="1"/>
  <c r="AX160" i="16"/>
  <c r="F160" i="16" s="1"/>
  <c r="AX319" i="16"/>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AX103" i="16"/>
  <c r="F103" i="16" s="1"/>
  <c r="AX271" i="16"/>
  <c r="F271" i="16" s="1"/>
  <c r="AX222" i="16"/>
  <c r="F222" i="16" s="1"/>
  <c r="AX77" i="16"/>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AX193" i="16"/>
  <c r="AX249" i="16"/>
  <c r="F249" i="16" s="1"/>
  <c r="AX98" i="16"/>
  <c r="F98" i="16" s="1"/>
  <c r="AX289" i="16"/>
  <c r="F289" i="16" s="1"/>
  <c r="AX114" i="16"/>
  <c r="F114" i="16" s="1"/>
  <c r="AX241" i="16"/>
  <c r="F241" i="16" s="1"/>
  <c r="AX95" i="16"/>
  <c r="F95" i="16" s="1"/>
  <c r="AX253" i="16"/>
  <c r="AX217" i="16"/>
  <c r="AX67" i="16"/>
  <c r="F67" i="16" s="1"/>
  <c r="AX212" i="16"/>
  <c r="AX135" i="16"/>
  <c r="F135" i="16" s="1"/>
  <c r="AX121" i="16"/>
  <c r="F121" i="16" s="1"/>
  <c r="AX102" i="16"/>
  <c r="F102" i="16" s="1"/>
  <c r="AX100" i="16"/>
  <c r="F100" i="16" s="1"/>
  <c r="AX202" i="16"/>
  <c r="F202" i="16" s="1"/>
  <c r="AX284" i="16"/>
  <c r="AX257" i="16"/>
  <c r="F257" i="16" s="1"/>
  <c r="AX81" i="16"/>
  <c r="F81" i="16" s="1"/>
  <c r="AX226" i="16"/>
  <c r="F226" i="16" s="1"/>
  <c r="AX112" i="16"/>
  <c r="F112" i="16" s="1"/>
  <c r="AX231" i="16"/>
  <c r="AX127" i="16"/>
  <c r="F127" i="16" s="1"/>
  <c r="AX179" i="16"/>
  <c r="AX246" i="16"/>
  <c r="F246" i="16" s="1"/>
  <c r="AX68" i="16"/>
  <c r="H68" i="16" s="1"/>
  <c r="AX279" i="16"/>
  <c r="F279" i="16" s="1"/>
  <c r="AX111" i="16"/>
  <c r="F111" i="16" s="1"/>
  <c r="AX225" i="16"/>
  <c r="F225" i="16" s="1"/>
  <c r="AX75" i="16"/>
  <c r="F75" i="16" s="1"/>
  <c r="AX215" i="16"/>
  <c r="AX205" i="16"/>
  <c r="F205" i="16" s="1"/>
  <c r="AX198" i="16"/>
  <c r="F198" i="16" s="1"/>
  <c r="AX207" i="16"/>
  <c r="F207" i="16" s="1"/>
  <c r="AX128" i="16"/>
  <c r="F128" i="16" s="1"/>
  <c r="AX325" i="16"/>
  <c r="F325" i="16" s="1"/>
  <c r="AX94" i="16"/>
  <c r="AX302" i="16"/>
  <c r="H302" i="16" s="1"/>
  <c r="AX183" i="16"/>
  <c r="F183" i="16" s="1"/>
  <c r="AX166" i="16"/>
  <c r="F166" i="16" s="1"/>
  <c r="AX252" i="16"/>
  <c r="AX79" i="16"/>
  <c r="AX204" i="16"/>
  <c r="F204" i="16" s="1"/>
  <c r="AX104" i="16"/>
  <c r="F104" i="16" s="1"/>
  <c r="AX221" i="16"/>
  <c r="F221" i="16" s="1"/>
  <c r="AX101" i="16"/>
  <c r="F101" i="16" s="1"/>
  <c r="AX286" i="16"/>
  <c r="AX236" i="16"/>
  <c r="F236" i="16" s="1"/>
  <c r="AX155" i="16"/>
  <c r="F155" i="16" s="1"/>
  <c r="AX266" i="16"/>
  <c r="H266" i="16" s="1"/>
  <c r="AX106" i="16"/>
  <c r="F106" i="16" s="1"/>
  <c r="AX203" i="16"/>
  <c r="AX70" i="16"/>
  <c r="F70" i="16" s="1"/>
  <c r="AX181" i="16"/>
  <c r="F181" i="16" s="1"/>
  <c r="AX192" i="16"/>
  <c r="F192" i="16" s="1"/>
  <c r="AX291" i="16"/>
  <c r="H291" i="16" s="1"/>
  <c r="AX186" i="16"/>
  <c r="F186" i="16" s="1"/>
  <c r="AX123" i="16"/>
  <c r="F123" i="16" s="1"/>
  <c r="AX314" i="16"/>
  <c r="AX89" i="16"/>
  <c r="F89" i="16" s="1"/>
  <c r="AX297" i="16"/>
  <c r="AX180" i="16"/>
  <c r="AX138" i="16"/>
  <c r="F138" i="16" s="1"/>
  <c r="AX234" i="16"/>
  <c r="F234" i="16" s="1"/>
  <c r="AX66" i="16"/>
  <c r="F66" i="16" s="1"/>
  <c r="AX188" i="16"/>
  <c r="F188" i="16" s="1"/>
  <c r="AX71" i="16"/>
  <c r="AX216" i="16"/>
  <c r="F216" i="16" s="1"/>
  <c r="AX96" i="16"/>
  <c r="F96" i="16" s="1"/>
  <c r="AX276" i="16"/>
  <c r="F276" i="16" s="1"/>
  <c r="AX223" i="16"/>
  <c r="H223" i="16" s="1"/>
  <c r="AX117" i="16"/>
  <c r="F117" i="16" s="1"/>
  <c r="AX256" i="16"/>
  <c r="F256" i="16" s="1"/>
  <c r="AX90" i="16"/>
  <c r="H90" i="16" s="1"/>
  <c r="AX195" i="16"/>
  <c r="AX59" i="16"/>
  <c r="AX176" i="16"/>
  <c r="F176" i="16" s="1"/>
  <c r="AX189" i="16"/>
  <c r="H189" i="16" s="1"/>
  <c r="AX281" i="16"/>
  <c r="F281" i="16" s="1"/>
  <c r="AX178" i="16"/>
  <c r="F178" i="16" s="1"/>
  <c r="AX116" i="16"/>
  <c r="F116" i="16" s="1"/>
  <c r="AX309" i="16"/>
  <c r="H309" i="16" s="1"/>
  <c r="AX69" i="16"/>
  <c r="F69" i="16" s="1"/>
  <c r="AX275" i="16"/>
  <c r="F275" i="16" s="1"/>
  <c r="AX167" i="16"/>
  <c r="AX108" i="16"/>
  <c r="F108" i="16" s="1"/>
  <c r="AX229" i="16"/>
  <c r="F229" i="16" s="1"/>
  <c r="AX315" i="16"/>
  <c r="H315" i="16" s="1"/>
  <c r="AX185" i="16"/>
  <c r="F185" i="16" s="1"/>
  <c r="AX63" i="16"/>
  <c r="F63" i="16" s="1"/>
  <c r="AX211" i="16"/>
  <c r="AX93" i="16"/>
  <c r="H93" i="16" s="1"/>
  <c r="H182" i="16"/>
  <c r="F132" i="16"/>
  <c r="F141" i="16"/>
  <c r="F143" i="16"/>
  <c r="F137" i="16"/>
  <c r="AX243" i="16"/>
  <c r="AX206" i="16"/>
  <c r="F206" i="16" s="1"/>
  <c r="AX88" i="16"/>
  <c r="F88" i="16" s="1"/>
  <c r="AX233" i="16"/>
  <c r="F233" i="16" s="1"/>
  <c r="AX85" i="16"/>
  <c r="F85" i="16" s="1"/>
  <c r="AX184" i="16"/>
  <c r="F184" i="16" s="1"/>
  <c r="AX308" i="16"/>
  <c r="AX300" i="16"/>
  <c r="H300" i="16" s="1"/>
  <c r="AX154" i="16"/>
  <c r="F154" i="16" s="1"/>
  <c r="AX168" i="16"/>
  <c r="F168" i="16" s="1"/>
  <c r="AX173" i="16"/>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AX76" i="16"/>
  <c r="F76" i="16" s="1"/>
  <c r="H318" i="16"/>
  <c r="H62" i="16"/>
  <c r="F129" i="16"/>
  <c r="F200" i="16"/>
  <c r="AX238" i="16"/>
  <c r="AX201" i="16"/>
  <c r="AX83" i="16"/>
  <c r="F83" i="16" s="1"/>
  <c r="AX228" i="16"/>
  <c r="F228" i="16" s="1"/>
  <c r="AX80" i="16"/>
  <c r="F80" i="16" s="1"/>
  <c r="AX171" i="16"/>
  <c r="F171" i="16" s="1"/>
  <c r="AX301" i="16"/>
  <c r="F301" i="16" s="1"/>
  <c r="AX293" i="16"/>
  <c r="F293" i="16" s="1"/>
  <c r="AX152" i="16"/>
  <c r="F152" i="16" s="1"/>
  <c r="AX316" i="16"/>
  <c r="AX165" i="16"/>
  <c r="F165" i="16" s="1"/>
  <c r="AX105" i="16"/>
  <c r="F105" i="16" s="1"/>
  <c r="AX283" i="16"/>
  <c r="F283" i="16" s="1"/>
  <c r="AX261" i="16"/>
  <c r="F261" i="16" s="1"/>
  <c r="AX262" i="16"/>
  <c r="F262" i="16" s="1"/>
  <c r="AX142" i="16"/>
  <c r="H142" i="16" s="1"/>
  <c r="AX322" i="16"/>
  <c r="F322" i="16" s="1"/>
  <c r="AX199" i="16"/>
  <c r="F199" i="16" s="1"/>
  <c r="AX327" i="16"/>
  <c r="AX175" i="16"/>
  <c r="F175" i="16" s="1"/>
  <c r="AX299" i="16"/>
  <c r="F299" i="16" s="1"/>
  <c r="AX172" i="16"/>
  <c r="F172" i="16" s="1"/>
  <c r="AX60" i="16"/>
  <c r="F60" i="16" s="1"/>
  <c r="AX12" i="16"/>
  <c r="AX54" i="16"/>
  <c r="F54" i="16" s="1"/>
  <c r="AX19" i="16"/>
  <c r="F19" i="16" s="1"/>
  <c r="AX22" i="16"/>
  <c r="F22" i="16" s="1"/>
  <c r="AX28" i="16"/>
  <c r="F28" i="16" s="1"/>
  <c r="AX38" i="16"/>
  <c r="F38" i="16" s="1"/>
  <c r="AX39" i="16"/>
  <c r="F39" i="16" s="1"/>
  <c r="AX29" i="16"/>
  <c r="H29" i="16" s="1"/>
  <c r="AX31" i="16"/>
  <c r="AX26" i="16"/>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AX41" i="16"/>
  <c r="H41" i="16" s="1"/>
  <c r="AX35" i="16"/>
  <c r="AX51" i="16"/>
  <c r="F51" i="16" s="1"/>
  <c r="AX46" i="16"/>
  <c r="H46" i="16" s="1"/>
  <c r="AX25" i="16"/>
  <c r="AX27" i="16"/>
  <c r="F27" i="16" s="1"/>
  <c r="AX49" i="16"/>
  <c r="AX36" i="16"/>
  <c r="AX13" i="16"/>
  <c r="F13" i="16" s="1"/>
  <c r="AX42" i="16"/>
  <c r="H11" i="16"/>
  <c r="H8" i="16"/>
  <c r="D22" i="8"/>
  <c r="D21" i="8"/>
  <c r="X9" i="16"/>
  <c r="AI9" i="16"/>
  <c r="AP9" i="16"/>
  <c r="J10" i="8"/>
  <c r="F314" i="16" l="1"/>
  <c r="H314" i="16"/>
  <c r="F286" i="16"/>
  <c r="H286" i="16"/>
  <c r="F212" i="16"/>
  <c r="H212" i="16"/>
  <c r="F77" i="16"/>
  <c r="H77" i="16"/>
  <c r="F84" i="16"/>
  <c r="H84" i="16"/>
  <c r="F36" i="16"/>
  <c r="H36" i="16"/>
  <c r="F217" i="16"/>
  <c r="H217" i="16"/>
  <c r="F319" i="16"/>
  <c r="H319" i="16"/>
  <c r="F308" i="16"/>
  <c r="H308" i="16"/>
  <c r="F253" i="16"/>
  <c r="H253" i="16"/>
  <c r="F159" i="16"/>
  <c r="H159" i="16"/>
  <c r="F215" i="16"/>
  <c r="H215" i="16"/>
  <c r="F263" i="16"/>
  <c r="H263" i="16"/>
  <c r="F64" i="16"/>
  <c r="H64" i="16"/>
  <c r="F273" i="16"/>
  <c r="H273" i="16"/>
  <c r="F25" i="16"/>
  <c r="H25" i="16"/>
  <c r="F79" i="16"/>
  <c r="H79" i="16"/>
  <c r="F122" i="16"/>
  <c r="H122" i="16"/>
  <c r="F252" i="16"/>
  <c r="H252" i="16"/>
  <c r="F278" i="16"/>
  <c r="H278" i="16"/>
  <c r="F42" i="16"/>
  <c r="H42" i="16"/>
  <c r="F167" i="16"/>
  <c r="H167" i="16"/>
  <c r="F196" i="16"/>
  <c r="H196" i="16"/>
  <c r="F49" i="16"/>
  <c r="H49" i="16"/>
  <c r="F65" i="16"/>
  <c r="H65" i="16"/>
  <c r="F240" i="16"/>
  <c r="H240" i="16"/>
  <c r="F211" i="16"/>
  <c r="H211" i="16"/>
  <c r="F71" i="16"/>
  <c r="H71" i="16"/>
  <c r="F35" i="16"/>
  <c r="H35" i="16"/>
  <c r="F238" i="16"/>
  <c r="H238" i="16"/>
  <c r="F59" i="16"/>
  <c r="H59" i="16"/>
  <c r="F203" i="16"/>
  <c r="H203" i="16"/>
  <c r="F264" i="16"/>
  <c r="H264" i="16"/>
  <c r="F213" i="16"/>
  <c r="H213" i="16"/>
  <c r="F31" i="16"/>
  <c r="H31" i="16"/>
  <c r="F173" i="16"/>
  <c r="H173" i="16"/>
  <c r="F237" i="16"/>
  <c r="H237" i="16"/>
  <c r="F201" i="16"/>
  <c r="H201" i="16"/>
  <c r="F284" i="16"/>
  <c r="H284" i="16"/>
  <c r="F12" i="16"/>
  <c r="H12" i="16"/>
  <c r="F43" i="16"/>
  <c r="H43" i="16"/>
  <c r="F145" i="16"/>
  <c r="H145" i="16"/>
  <c r="F151" i="16"/>
  <c r="H151" i="16"/>
  <c r="F130" i="16"/>
  <c r="H130" i="16"/>
  <c r="F297" i="16"/>
  <c r="H297" i="16"/>
  <c r="F327" i="16"/>
  <c r="H327" i="16"/>
  <c r="F231" i="16"/>
  <c r="H231" i="16"/>
  <c r="F195" i="16"/>
  <c r="H195" i="16"/>
  <c r="F30" i="16"/>
  <c r="H30" i="16"/>
  <c r="F316" i="16"/>
  <c r="H316" i="16"/>
  <c r="F243" i="16"/>
  <c r="H243" i="16"/>
  <c r="F180" i="16"/>
  <c r="H180" i="16"/>
  <c r="F87" i="16"/>
  <c r="H87" i="16"/>
  <c r="F190" i="16"/>
  <c r="H190" i="16"/>
  <c r="F26" i="16"/>
  <c r="H26" i="16"/>
  <c r="F94" i="16"/>
  <c r="AG314" i="16" s="1"/>
  <c r="H94" i="16"/>
  <c r="F193" i="16"/>
  <c r="H193" i="16"/>
  <c r="F179" i="16"/>
  <c r="H179" i="16"/>
  <c r="F134" i="16"/>
  <c r="H134" i="16"/>
  <c r="F304" i="16"/>
  <c r="H304" i="16"/>
  <c r="H250" i="16"/>
  <c r="H272" i="16"/>
  <c r="F157" i="16"/>
  <c r="H161"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320" i="16"/>
  <c r="AG322" i="16"/>
  <c r="AG319" i="16"/>
  <c r="AG294" i="16"/>
  <c r="AG312" i="16"/>
  <c r="AG286" i="16"/>
  <c r="AG315" i="16"/>
  <c r="AG287" i="16"/>
  <c r="AG282" i="16"/>
  <c r="AG298"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280" i="16" l="1"/>
  <c r="AG11" i="16"/>
  <c r="L35" i="8"/>
  <c r="G118" i="8" s="1"/>
  <c r="I243" i="16"/>
  <c r="I36" i="16"/>
  <c r="I64" i="16"/>
  <c r="I94" i="16"/>
  <c r="I319" i="16"/>
  <c r="I193" i="16"/>
  <c r="I30" i="16"/>
  <c r="I286" i="16"/>
  <c r="I217" i="16"/>
  <c r="I297" i="16"/>
  <c r="I213" i="16"/>
  <c r="I49" i="16"/>
  <c r="I284" i="16"/>
  <c r="I159" i="16"/>
  <c r="I134" i="16"/>
  <c r="I79" i="16"/>
  <c r="I26" i="16"/>
  <c r="I87" i="16"/>
  <c r="I145" i="16"/>
  <c r="I180" i="16"/>
  <c r="I77" i="16"/>
  <c r="I43" i="16"/>
  <c r="I273" i="16"/>
  <c r="I304" i="16"/>
  <c r="I195" i="16"/>
  <c r="I231" i="16"/>
  <c r="I35" i="16"/>
  <c r="I59" i="16"/>
  <c r="I200" i="16"/>
  <c r="I308" i="16"/>
  <c r="I253" i="16"/>
  <c r="I25" i="16"/>
  <c r="I327" i="16"/>
  <c r="I237" i="16"/>
  <c r="I263" i="16"/>
  <c r="I71" i="16"/>
  <c r="I31" i="16"/>
  <c r="I190" i="16"/>
  <c r="I167" i="16"/>
  <c r="I201" i="16"/>
  <c r="I240" i="16"/>
  <c r="I12" i="16"/>
  <c r="I151" i="16"/>
  <c r="I65" i="16"/>
  <c r="I122" i="16"/>
  <c r="I264" i="16"/>
  <c r="I215" i="16"/>
  <c r="I314" i="16"/>
  <c r="I179" i="16"/>
  <c r="I130" i="16"/>
  <c r="I316" i="16"/>
  <c r="I212" i="16"/>
  <c r="I211" i="16"/>
  <c r="I84" i="16"/>
  <c r="I173" i="16"/>
  <c r="I203" i="16"/>
  <c r="I42" i="16"/>
  <c r="I196" i="16"/>
  <c r="I278" i="16"/>
  <c r="I252" i="16"/>
  <c r="I238"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E4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AC12" i="16" s="1"/>
  <c r="M12" i="16"/>
  <c r="N12" i="16" s="1"/>
  <c r="X12" i="16"/>
  <c r="Y12" i="16" s="1"/>
  <c r="Z12" i="16" s="1"/>
  <c r="AI12" i="16"/>
  <c r="T12" i="16"/>
  <c r="U12" i="16" s="1"/>
  <c r="V12" i="16" s="1"/>
  <c r="K15" i="16"/>
  <c r="L14" i="16"/>
  <c r="S13" i="16"/>
  <c r="T13" i="16"/>
  <c r="AI13" i="16"/>
  <c r="X13" i="16"/>
  <c r="M13" i="16"/>
  <c r="N13" i="16" s="1"/>
  <c r="AA13" i="16"/>
  <c r="AP13" i="16"/>
  <c r="X11" i="16"/>
  <c r="E66" i="8"/>
  <c r="Y66" i="8" s="1"/>
  <c r="T11" i="16"/>
  <c r="AI11" i="16"/>
  <c r="S11" i="16"/>
  <c r="AP11" i="16"/>
  <c r="M11" i="16"/>
  <c r="U66" i="8" s="1"/>
  <c r="AJ12" i="16" l="1"/>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U60" i="16" l="1"/>
  <c r="AJ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AK75" i="16" s="1"/>
  <c r="S75" i="16"/>
  <c r="X75" i="16"/>
  <c r="AA75" i="16"/>
  <c r="AP75" i="16"/>
  <c r="AQ75" i="16" s="1"/>
  <c r="AR75" i="16" s="1"/>
  <c r="AB75" i="16" l="1"/>
  <c r="Y75" i="16"/>
  <c r="U75" i="16"/>
  <c r="T76" i="16"/>
  <c r="AI76" i="16"/>
  <c r="AJ76" i="16" s="1"/>
  <c r="M76" i="16"/>
  <c r="N76" i="16" s="1"/>
  <c r="AA76" i="16"/>
  <c r="AP76" i="16"/>
  <c r="S76" i="16"/>
  <c r="X76" i="16"/>
  <c r="L77" i="16"/>
  <c r="K78" i="16"/>
  <c r="AK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Z18" i="16"/>
  <c r="AC18" i="16"/>
  <c r="V18" i="16"/>
  <c r="V14" i="16"/>
  <c r="V15" i="16"/>
  <c r="AQ79" i="16" l="1"/>
  <c r="AK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I87" i="16"/>
  <c r="S87" i="16"/>
  <c r="T87" i="16"/>
  <c r="U86" i="16"/>
  <c r="AB86" i="16"/>
  <c r="Y86" i="16"/>
  <c r="AQ87" i="16" l="1"/>
  <c r="AJ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X122" i="16"/>
  <c r="AA122" i="16"/>
  <c r="K124" i="16"/>
  <c r="L123" i="16"/>
  <c r="Y122" i="16" l="1"/>
  <c r="AB122" i="16"/>
  <c r="U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V20" i="16" s="1"/>
  <c r="M327" i="16"/>
  <c r="S327" i="16"/>
  <c r="X327" i="16"/>
  <c r="Y327" i="16" s="1"/>
  <c r="Z59" i="16" s="1"/>
  <c r="N327" i="16"/>
  <c r="AP327" i="16"/>
  <c r="AQ327" i="16" s="1"/>
  <c r="AR59" i="16" s="1"/>
  <c r="AA327" i="16"/>
  <c r="AB327" i="16" s="1"/>
  <c r="AR69" i="16" l="1"/>
  <c r="AR49" i="16"/>
  <c r="V30" i="16"/>
  <c r="V19" i="16"/>
  <c r="AC16" i="16"/>
  <c r="AC15" i="16"/>
  <c r="AC19" i="16"/>
  <c r="Z19" i="16"/>
  <c r="Z16" i="16"/>
  <c r="Z15" i="16"/>
  <c r="V60" i="16"/>
  <c r="V16" i="16"/>
  <c r="V22" i="16"/>
  <c r="AR50" i="16"/>
  <c r="AR43" i="16"/>
  <c r="AC23" i="16"/>
  <c r="AC17" i="16"/>
  <c r="Z21" i="16"/>
  <c r="Z17" i="16"/>
  <c r="Z23" i="16"/>
  <c r="AR64" i="16"/>
  <c r="AR47" i="16"/>
  <c r="V23" i="16"/>
  <c r="V43" i="16"/>
  <c r="V38" i="16"/>
  <c r="V51" i="16"/>
  <c r="AR68" i="16"/>
  <c r="AR20" i="16"/>
  <c r="AR40" i="16"/>
  <c r="AC21" i="16"/>
  <c r="AC20" i="16"/>
  <c r="AR41" i="16"/>
  <c r="AR45" i="16"/>
  <c r="V11" i="16"/>
  <c r="V21" i="16"/>
  <c r="V37" i="16"/>
  <c r="Z20" i="16"/>
  <c r="Z11" i="16"/>
  <c r="Z14" i="16"/>
  <c r="AK12" i="16"/>
  <c r="AK22" i="16"/>
  <c r="AK32" i="16"/>
  <c r="AK37" i="16"/>
  <c r="AK39" i="16"/>
  <c r="AK47" i="16"/>
  <c r="AK48" i="16"/>
  <c r="AK50" i="16"/>
  <c r="AK57" i="16"/>
  <c r="AK60" i="16"/>
  <c r="AK59" i="16"/>
  <c r="AK63" i="16"/>
  <c r="AK65" i="16"/>
  <c r="AK66" i="16"/>
  <c r="AK64" i="16"/>
  <c r="AK67" i="16"/>
  <c r="AK69" i="16"/>
  <c r="AK68" i="16"/>
  <c r="AK70" i="16"/>
  <c r="AK72" i="16"/>
  <c r="AK41" i="16"/>
  <c r="AK25" i="16"/>
  <c r="AK29" i="16"/>
  <c r="AK51" i="16"/>
  <c r="AK53" i="16"/>
  <c r="AK30" i="16"/>
  <c r="AK38" i="16"/>
  <c r="AK14" i="16"/>
  <c r="AK45" i="16"/>
  <c r="AK15" i="16"/>
  <c r="AK21" i="16"/>
  <c r="AK40" i="16"/>
  <c r="AK49" i="16"/>
  <c r="AK19" i="16"/>
  <c r="AK26" i="16"/>
  <c r="AK54" i="16"/>
  <c r="AK27" i="16"/>
  <c r="AK11" i="16"/>
  <c r="AK18" i="16"/>
  <c r="AK43" i="16"/>
  <c r="AK23" i="16"/>
  <c r="AK31" i="16"/>
  <c r="AK20" i="16"/>
  <c r="AK17" i="16"/>
  <c r="AK28" i="16"/>
  <c r="AC59" i="16"/>
  <c r="AC11" i="16"/>
  <c r="AR65" i="16"/>
  <c r="AR11" i="16"/>
  <c r="AR23" i="16"/>
  <c r="Z70" i="16"/>
  <c r="Z30" i="16"/>
  <c r="Z22" i="16"/>
  <c r="Z37" i="16"/>
  <c r="Z122" i="16"/>
  <c r="AR58" i="16"/>
  <c r="AR87" i="16"/>
  <c r="AR92" i="16"/>
  <c r="AR102" i="16"/>
  <c r="AR137" i="16"/>
  <c r="AR158" i="16"/>
  <c r="AR162" i="16"/>
  <c r="AK58" i="16"/>
  <c r="AK52" i="16"/>
  <c r="AK80" i="16"/>
  <c r="AK87" i="16"/>
  <c r="AC70" i="16"/>
  <c r="AC22" i="16"/>
  <c r="AC30" i="16"/>
  <c r="AC37" i="16"/>
  <c r="AC34" i="16"/>
  <c r="AC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<sst xmlns="http://schemas.openxmlformats.org/spreadsheetml/2006/main" count="9473" uniqueCount="905">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</sst>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0" xfId="0" applyAlignment="1">
      <alignment horizontal="left"/>
    </xf>
    <xf numFmtId="0" fontId="24" fillId="0" borderId="0" xfId="0" applyFont="1" applyAlignment="1">
      <alignment horizontal="left"/>
    </xf>
    <xf numFmtId="0" fontId="0" fillId="0" borderId="0" xfId="0" applyAlignment="1">
      <alignment horizontal="center"/>
    </xf>
    <xf numFmtId="2" fontId="24" fillId="0" borderId="0" xfId="4" applyNumberFormat="1" applyFont="1" applyAlignment="1">
      <alignment horizontal="right"/>
    </xf>
    <xf numFmtId="0" fontId="39" fillId="23" borderId="0" xfId="0" applyFont="1" applyFill="1" applyAlignment="1">
      <alignment horizontal="center" vertical="center"/>
    </xf>
    <xf numFmtId="2" fontId="0" fillId="0" borderId="0" xfId="52" applyNumberFormat="1" applyFont="1" applyAlignment="1">
      <alignment horizontal="center"/>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1" fillId="23" borderId="0" xfId="0" quotePrefix="1" applyFont="1" applyFill="1" applyAlignment="1">
      <alignment horizontal="center"/>
    </xf>
    <xf numFmtId="0" fontId="24" fillId="0" borderId="0" xfId="0" applyFont="1" applyAlignment="1">
      <alignment horizontal="center"/>
    </xf>
    <xf numFmtId="2" fontId="24" fillId="0" borderId="0" xfId="4" applyNumberFormat="1" applyFont="1" applyAlignment="1">
      <alignment horizontal="center"/>
    </xf>
    <xf numFmtId="1" fontId="0" fillId="0" borderId="0" xfId="0" applyNumberFormat="1" applyAlignment="1">
      <alignment horizontal="center"/>
    </xf>
    <xf numFmtId="0" fontId="55" fillId="23" borderId="0" xfId="0" applyFont="1" applyFill="1" applyAlignment="1">
      <alignment horizontal="center" vertical="center"/>
    </xf>
    <xf numFmtId="0" fontId="36" fillId="0" borderId="0" xfId="0" applyFont="1" applyAlignment="1">
      <alignment horizont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37" fillId="5" borderId="4" xfId="0" applyFont="1" applyFill="1" applyBorder="1" applyAlignment="1">
      <alignment horizontal="center"/>
    </xf>
    <xf numFmtId="43" fontId="23"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4" fillId="23" borderId="0" xfId="0" applyFont="1" applyFill="1" applyAlignment="1">
      <alignment horizontal="center" vertical="center"/>
    </xf>
    <xf numFmtId="43" fontId="23" fillId="0" borderId="14" xfId="54" applyFont="1" applyBorder="1" applyAlignment="1">
      <alignment horizontal="center"/>
    </xf>
    <xf numFmtId="0" fontId="26" fillId="2" borderId="4" xfId="0" applyFont="1" applyFill="1" applyBorder="1" applyAlignment="1">
      <alignment horizontal="center"/>
    </xf>
    <xf numFmtId="1" fontId="25" fillId="0" borderId="4" xfId="4" applyNumberFormat="1" applyFont="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7"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4" fillId="21" borderId="0" xfId="4" applyNumberFormat="1" applyFont="1" applyFill="1" applyAlignment="1">
      <alignment horizontal="center"/>
    </xf>
    <xf numFmtId="0" fontId="24"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
                <c:pt idx="14">
                  <c:v>u</c:v>
                </c:pt>
              </c:strCache>
            </c:strRef>
          </c:cat>
          <c:val>
            <c:numRef>
              <c:f>[0]!TopQuart</c:f>
              <c:numCache>
                <c:formatCode>General</c:formatCode>
                <c:ptCount val="62"/>
                <c:pt idx="0">
                  <c:v>100</c:v>
                </c:pt>
                <c:pt idx="1">
                  <c:v>100</c:v>
                </c:pt>
                <c:pt idx="2">
                  <c:v>100</c:v>
                </c:pt>
                <c:pt idx="3">
                  <c:v>100</c:v>
                </c:pt>
                <c:pt idx="4">
                  <c:v>100</c:v>
                </c:pt>
                <c:pt idx="5">
                  <c:v>100</c:v>
                </c:pt>
                <c:pt idx="6">
                  <c:v>100</c:v>
                </c:pt>
                <c:pt idx="7">
                  <c:v>100</c:v>
                </c:pt>
                <c:pt idx="8">
                  <c:v>98.837209302325576</c:v>
                </c:pt>
                <c:pt idx="9">
                  <c:v>97.826086956521735</c:v>
                </c:pt>
                <c:pt idx="10">
                  <c:v>97.674418604651152</c:v>
                </c:pt>
                <c:pt idx="11">
                  <c:v>97.5</c:v>
                </c:pt>
                <c:pt idx="12">
                  <c:v>94.871794871794862</c:v>
                </c:pt>
                <c:pt idx="13">
                  <c:v>94.73684210526315</c:v>
                </c:pt>
                <c:pt idx="14">
                  <c:v>94.680851063829792</c:v>
                </c:pt>
                <c:pt idx="15">
                  <c:v>94.642857142857139</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
                <c:pt idx="14">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94.444444444444443</c:v>
                </c:pt>
                <c:pt idx="17">
                  <c:v>94.444444444444443</c:v>
                </c:pt>
                <c:pt idx="18">
                  <c:v>94.285714285714278</c:v>
                </c:pt>
                <c:pt idx="19">
                  <c:v>94.117647058823522</c:v>
                </c:pt>
                <c:pt idx="20">
                  <c:v>93.41317365269461</c:v>
                </c:pt>
                <c:pt idx="21">
                  <c:v>93.333333333333329</c:v>
                </c:pt>
                <c:pt idx="22">
                  <c:v>92.96875</c:v>
                </c:pt>
                <c:pt idx="23">
                  <c:v>92.857142857142861</c:v>
                </c:pt>
                <c:pt idx="24">
                  <c:v>92.592592592592595</c:v>
                </c:pt>
                <c:pt idx="25">
                  <c:v>92</c:v>
                </c:pt>
                <c:pt idx="26">
                  <c:v>91.891891891891902</c:v>
                </c:pt>
                <c:pt idx="27">
                  <c:v>91.666666666666657</c:v>
                </c:pt>
                <c:pt idx="28">
                  <c:v>91.17647058823529</c:v>
                </c:pt>
                <c:pt idx="29">
                  <c:v>90.243902439024396</c:v>
                </c:pt>
                <c:pt idx="30">
                  <c:v>90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
                <c:pt idx="14">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89.65517241379311</c:v>
                </c:pt>
                <c:pt idx="32">
                  <c:v>89.473684210526315</c:v>
                </c:pt>
                <c:pt idx="33">
                  <c:v>89.473684210526315</c:v>
                </c:pt>
                <c:pt idx="34">
                  <c:v>89.247311827956992</c:v>
                </c:pt>
                <c:pt idx="35">
                  <c:v>89.130434782608688</c:v>
                </c:pt>
                <c:pt idx="36">
                  <c:v>89.090909090909093</c:v>
                </c:pt>
                <c:pt idx="37">
                  <c:v>88.888888888888886</c:v>
                </c:pt>
                <c:pt idx="38">
                  <c:v>88.679245283018872</c:v>
                </c:pt>
                <c:pt idx="39">
                  <c:v>88.405797101449281</c:v>
                </c:pt>
                <c:pt idx="40">
                  <c:v>87.654320987654316</c:v>
                </c:pt>
                <c:pt idx="41">
                  <c:v>87.5</c:v>
                </c:pt>
                <c:pt idx="42">
                  <c:v>87.5</c:v>
                </c:pt>
                <c:pt idx="43">
                  <c:v>86.956521739130437</c:v>
                </c:pt>
                <c:pt idx="44">
                  <c:v>86.868686868686879</c:v>
                </c:pt>
                <c:pt idx="45">
                  <c:v>86.666666666666671</c:v>
                </c:pt>
                <c:pt idx="46">
                  <c:v>86.666666666666671</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
                <c:pt idx="14">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85.245901639344254</c:v>
                </c:pt>
                <c:pt idx="48">
                  <c:v>85.18518518518519</c:v>
                </c:pt>
                <c:pt idx="49">
                  <c:v>84.848484848484844</c:v>
                </c:pt>
                <c:pt idx="50">
                  <c:v>84.615384615384613</c:v>
                </c:pt>
                <c:pt idx="51">
                  <c:v>84.210526315789465</c:v>
                </c:pt>
                <c:pt idx="52">
                  <c:v>84.05797101449275</c:v>
                </c:pt>
                <c:pt idx="53">
                  <c:v>83.870967741935488</c:v>
                </c:pt>
                <c:pt idx="54">
                  <c:v>82.758620689655174</c:v>
                </c:pt>
                <c:pt idx="55">
                  <c:v>81.981981981981974</c:v>
                </c:pt>
                <c:pt idx="56">
                  <c:v>81.632653061224488</c:v>
                </c:pt>
                <c:pt idx="57">
                  <c:v>81.081081081081081</c:v>
                </c:pt>
                <c:pt idx="58">
                  <c:v>80</c:v>
                </c:pt>
                <c:pt idx="59">
                  <c:v>78.461538461538467</c:v>
                </c:pt>
                <c:pt idx="60">
                  <c:v>77.272727272727266</c:v>
                </c:pt>
                <c:pt idx="61">
                  <c:v>75.342465753424662</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
                <c:pt idx="14">
                  <c:v>u</c:v>
                </c:pt>
              </c:strCache>
            </c:strRef>
          </c:cat>
          <c:val>
            <c:numRef>
              <c:f>[0]!MarkData</c:f>
              <c:numCache>
                <c:formatCode>0.00</c:formatCode>
                <c:ptCount val="62"/>
                <c:pt idx="0">
                  <c:v>100</c:v>
                </c:pt>
                <c:pt idx="1">
                  <c:v>100</c:v>
                </c:pt>
                <c:pt idx="2">
                  <c:v>100</c:v>
                </c:pt>
                <c:pt idx="3">
                  <c:v>100</c:v>
                </c:pt>
                <c:pt idx="4">
                  <c:v>100</c:v>
                </c:pt>
                <c:pt idx="5">
                  <c:v>100</c:v>
                </c:pt>
                <c:pt idx="6">
                  <c:v>100</c:v>
                </c:pt>
                <c:pt idx="7">
                  <c:v>100</c:v>
                </c:pt>
                <c:pt idx="8">
                  <c:v>98.837209302325576</c:v>
                </c:pt>
                <c:pt idx="9">
                  <c:v>97.826086956521735</c:v>
                </c:pt>
                <c:pt idx="10">
                  <c:v>97.674418604651152</c:v>
                </c:pt>
                <c:pt idx="11">
                  <c:v>97.5</c:v>
                </c:pt>
                <c:pt idx="12">
                  <c:v>94.871794871794862</c:v>
                </c:pt>
                <c:pt idx="13">
                  <c:v>94.73684210526315</c:v>
                </c:pt>
                <c:pt idx="14">
                  <c:v>94.680851063829792</c:v>
                </c:pt>
                <c:pt idx="15">
                  <c:v>94.642857142857139</c:v>
                </c:pt>
                <c:pt idx="16">
                  <c:v>94.444444444444443</c:v>
                </c:pt>
                <c:pt idx="17">
                  <c:v>94.444444444444443</c:v>
                </c:pt>
                <c:pt idx="18">
                  <c:v>94.285714285714278</c:v>
                </c:pt>
                <c:pt idx="19">
                  <c:v>94.117647058823522</c:v>
                </c:pt>
                <c:pt idx="20">
                  <c:v>93.41317365269461</c:v>
                </c:pt>
                <c:pt idx="21">
                  <c:v>93.333333333333329</c:v>
                </c:pt>
                <c:pt idx="22">
                  <c:v>92.96875</c:v>
                </c:pt>
                <c:pt idx="23">
                  <c:v>92.857142857142861</c:v>
                </c:pt>
                <c:pt idx="24">
                  <c:v>92.592592592592595</c:v>
                </c:pt>
                <c:pt idx="25">
                  <c:v>92</c:v>
                </c:pt>
                <c:pt idx="26">
                  <c:v>91.891891891891902</c:v>
                </c:pt>
                <c:pt idx="27">
                  <c:v>91.666666666666657</c:v>
                </c:pt>
                <c:pt idx="28">
                  <c:v>91.17647058823529</c:v>
                </c:pt>
                <c:pt idx="29">
                  <c:v>90.243902439024396</c:v>
                </c:pt>
                <c:pt idx="30">
                  <c:v>90</c:v>
                </c:pt>
                <c:pt idx="31">
                  <c:v>89.65517241379311</c:v>
                </c:pt>
                <c:pt idx="32">
                  <c:v>89.473684210526315</c:v>
                </c:pt>
                <c:pt idx="33">
                  <c:v>89.473684210526315</c:v>
                </c:pt>
                <c:pt idx="34">
                  <c:v>89.247311827956992</c:v>
                </c:pt>
                <c:pt idx="35">
                  <c:v>89.130434782608688</c:v>
                </c:pt>
                <c:pt idx="36">
                  <c:v>89.090909090909093</c:v>
                </c:pt>
                <c:pt idx="37">
                  <c:v>88.888888888888886</c:v>
                </c:pt>
                <c:pt idx="38">
                  <c:v>88.679245283018872</c:v>
                </c:pt>
                <c:pt idx="39">
                  <c:v>88.405797101449281</c:v>
                </c:pt>
                <c:pt idx="40">
                  <c:v>87.654320987654316</c:v>
                </c:pt>
                <c:pt idx="41">
                  <c:v>87.5</c:v>
                </c:pt>
                <c:pt idx="42">
                  <c:v>87.5</c:v>
                </c:pt>
                <c:pt idx="43">
                  <c:v>86.956521739130437</c:v>
                </c:pt>
                <c:pt idx="44">
                  <c:v>86.868686868686879</c:v>
                </c:pt>
                <c:pt idx="45">
                  <c:v>86.666666666666671</c:v>
                </c:pt>
                <c:pt idx="46">
                  <c:v>86.666666666666671</c:v>
                </c:pt>
                <c:pt idx="47">
                  <c:v>85.245901639344254</c:v>
                </c:pt>
                <c:pt idx="48">
                  <c:v>85.18518518518519</c:v>
                </c:pt>
                <c:pt idx="49">
                  <c:v>84.848484848484844</c:v>
                </c:pt>
                <c:pt idx="50">
                  <c:v>84.615384615384613</c:v>
                </c:pt>
                <c:pt idx="51">
                  <c:v>84.210526315789465</c:v>
                </c:pt>
                <c:pt idx="52">
                  <c:v>84.05797101449275</c:v>
                </c:pt>
                <c:pt idx="53">
                  <c:v>83.870967741935488</c:v>
                </c:pt>
                <c:pt idx="54">
                  <c:v>82.758620689655174</c:v>
                </c:pt>
                <c:pt idx="55">
                  <c:v>81.981981981981974</c:v>
                </c:pt>
                <c:pt idx="56">
                  <c:v>81.632653061224488</c:v>
                </c:pt>
                <c:pt idx="57">
                  <c:v>81.081081081081081</c:v>
                </c:pt>
                <c:pt idx="58">
                  <c:v>80</c:v>
                </c:pt>
                <c:pt idx="59">
                  <c:v>78.461538461538467</c:v>
                </c:pt>
                <c:pt idx="60">
                  <c:v>77.272727272727266</c:v>
                </c:pt>
                <c:pt idx="61">
                  <c:v>75.342465753424662</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94.680851063829792</c:v>
                </c:pt>
                <c:pt idx="1">
                  <c:v>90.364995398435227</c:v>
                </c:pt>
                <c:pt idx="2">
                  <c:v>89.955275099789901</c:v>
                </c:pt>
                <c:pt idx="3">
                  <c:v>89.038134693441478</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94.593253968253961</c:v>
                </c:pt>
                <c:pt idx="1">
                  <c:v>94.593253968253961</c:v>
                </c:pt>
                <c:pt idx="2">
                  <c:v>94.593253968253961</c:v>
                </c:pt>
                <c:pt idx="3">
                  <c:v>94.593253968253961</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89.827586206896555</c:v>
                </c:pt>
                <c:pt idx="1">
                  <c:v>89.827586206896555</c:v>
                </c:pt>
                <c:pt idx="2">
                  <c:v>89.827586206896555</c:v>
                </c:pt>
                <c:pt idx="3">
                  <c:v>89.827586206896555</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86.666666666666671</c:v>
                </c:pt>
                <c:pt idx="1">
                  <c:v>86.666666666666671</c:v>
                </c:pt>
                <c:pt idx="2">
                  <c:v>86.666666666666671</c:v>
                </c:pt>
                <c:pt idx="3">
                  <c:v>86.666666666666671</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94.680851063829792</c:v>
                </c:pt>
                <c:pt idx="1">
                  <c:v>88.310661562839016</c:v>
                </c:pt>
                <c:pt idx="2">
                  <c:v>91.599938088473806</c:v>
                </c:pt>
                <c:pt idx="3">
                  <c:v>89.124729097758348</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94.593253968253961</c:v>
                </c:pt>
                <c:pt idx="1">
                  <c:v>94.593253968253961</c:v>
                </c:pt>
                <c:pt idx="2">
                  <c:v>94.593253968253961</c:v>
                </c:pt>
                <c:pt idx="3">
                  <c:v>94.593253968253961</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89.827586206896555</c:v>
                </c:pt>
                <c:pt idx="1">
                  <c:v>89.827586206896555</c:v>
                </c:pt>
                <c:pt idx="2">
                  <c:v>89.827586206896555</c:v>
                </c:pt>
                <c:pt idx="3">
                  <c:v>89.827586206896555</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86.666666666666671</c:v>
                </c:pt>
                <c:pt idx="1">
                  <c:v>86.666666666666671</c:v>
                </c:pt>
                <c:pt idx="2">
                  <c:v>86.666666666666671</c:v>
                </c:pt>
                <c:pt idx="3">
                  <c:v>86.666666666666671</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49" t="str">
        <f>VLOOKUP('Filtered Data'!D1,'Filtered Data'!L1:O6,3,FALSE)</f>
        <v>Unitary</v>
      </c>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row>
    <row r="2" spans="2:40"/>
    <row r="3" spans="2:40" ht="19.5" customHeight="1">
      <c r="B3" s="272" t="str">
        <f>Data!B3</f>
        <v>Planning Application Turnaround</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row>
    <row r="4" spans="2:40">
      <c r="D4" s="3"/>
      <c r="E4" s="3"/>
    </row>
    <row r="5" spans="2:40" ht="15.75" customHeight="1">
      <c r="B5" s="300" t="s">
        <v>334</v>
      </c>
      <c r="C5" s="300"/>
      <c r="D5" s="300"/>
      <c r="E5" s="300"/>
      <c r="J5" s="303" t="s">
        <v>304</v>
      </c>
      <c r="K5" s="303"/>
      <c r="L5" s="303"/>
      <c r="M5" s="303"/>
      <c r="N5" s="303"/>
      <c r="O5" s="303"/>
      <c r="P5" s="303"/>
      <c r="Q5" s="303"/>
      <c r="R5" s="303"/>
      <c r="S5" s="303"/>
      <c r="W5" s="279" t="s">
        <v>361</v>
      </c>
      <c r="X5" s="280"/>
      <c r="Y5" s="280"/>
      <c r="Z5" s="280"/>
      <c r="AA5" s="280"/>
      <c r="AB5" s="280"/>
      <c r="AC5" s="280"/>
      <c r="AD5" s="280"/>
      <c r="AE5" s="280"/>
      <c r="AF5" s="280"/>
      <c r="AG5" s="280"/>
      <c r="AH5" s="280"/>
      <c r="AI5" s="280"/>
      <c r="AJ5" s="280"/>
      <c r="AK5" s="280"/>
      <c r="AL5" s="280"/>
      <c r="AM5" s="281"/>
    </row>
    <row r="6" spans="2:40" ht="17.25" customHeight="1">
      <c r="J6" s="303"/>
      <c r="K6" s="303"/>
      <c r="L6" s="303"/>
      <c r="M6" s="303"/>
      <c r="N6" s="303"/>
      <c r="O6" s="303"/>
      <c r="P6" s="303"/>
      <c r="Q6" s="303"/>
      <c r="R6" s="303"/>
      <c r="S6" s="303"/>
      <c r="W6" s="282" t="s">
        <v>901</v>
      </c>
      <c r="X6" s="283"/>
      <c r="Y6" s="283"/>
      <c r="Z6" s="283"/>
      <c r="AA6" s="283"/>
      <c r="AB6" s="283"/>
      <c r="AC6" s="283"/>
      <c r="AD6" s="283"/>
      <c r="AE6" s="283"/>
      <c r="AF6" s="283"/>
      <c r="AG6" s="283"/>
      <c r="AH6" s="283"/>
      <c r="AI6" s="283"/>
      <c r="AJ6" s="283"/>
      <c r="AK6" s="283"/>
      <c r="AL6" s="283"/>
      <c r="AM6" s="284"/>
    </row>
    <row r="7" spans="2:40" ht="12.75" customHeight="1">
      <c r="W7" s="282"/>
      <c r="X7" s="283"/>
      <c r="Y7" s="283"/>
      <c r="Z7" s="283"/>
      <c r="AA7" s="283"/>
      <c r="AB7" s="283"/>
      <c r="AC7" s="283"/>
      <c r="AD7" s="283"/>
      <c r="AE7" s="283"/>
      <c r="AF7" s="283"/>
      <c r="AG7" s="283"/>
      <c r="AH7" s="283"/>
      <c r="AI7" s="283"/>
      <c r="AJ7" s="283"/>
      <c r="AK7" s="283"/>
      <c r="AL7" s="283"/>
      <c r="AM7" s="284"/>
    </row>
    <row r="8" spans="2:40" ht="12.75" customHeight="1">
      <c r="B8" s="233" t="str">
        <f>IF('Filtered Data'!D1="L","County:","Type of Authority:")</f>
        <v>Type of Authority:</v>
      </c>
      <c r="C8" s="304"/>
      <c r="D8" s="304"/>
      <c r="E8" s="304"/>
      <c r="F8" s="304"/>
      <c r="G8" s="304"/>
      <c r="H8" s="304"/>
      <c r="I8" s="304"/>
      <c r="J8" s="3" t="str">
        <f>IF('Filtered Data'!D1="L",'Filtered Data'!I3,VLOOKUP('Filtered Data'!D1,'Filtered Data'!L1:O5,3,FALSE))</f>
        <v>Unitary</v>
      </c>
      <c r="K8" s="3"/>
      <c r="L8" s="3"/>
      <c r="M8" s="3"/>
      <c r="N8" s="3"/>
      <c r="O8" s="3"/>
      <c r="P8" s="3"/>
      <c r="Q8" s="3"/>
      <c r="R8" s="3"/>
      <c r="W8" s="282"/>
      <c r="X8" s="283"/>
      <c r="Y8" s="283"/>
      <c r="Z8" s="283"/>
      <c r="AA8" s="283"/>
      <c r="AB8" s="283"/>
      <c r="AC8" s="283"/>
      <c r="AD8" s="283"/>
      <c r="AE8" s="283"/>
      <c r="AF8" s="283"/>
      <c r="AG8" s="283"/>
      <c r="AH8" s="283"/>
      <c r="AI8" s="283"/>
      <c r="AJ8" s="283"/>
      <c r="AK8" s="283"/>
      <c r="AL8" s="283"/>
      <c r="AM8" s="284"/>
    </row>
    <row r="9" spans="2:40" ht="12.75" customHeight="1">
      <c r="B9" s="233" t="str">
        <f>IF('Filtered Data'!D1="L","Rural Classification:","Region:")</f>
        <v>Region:</v>
      </c>
      <c r="C9" s="304"/>
      <c r="D9" s="304"/>
      <c r="E9" s="304"/>
      <c r="F9" s="304"/>
      <c r="G9" s="304"/>
      <c r="H9" s="304"/>
      <c r="I9" s="304"/>
      <c r="J9" s="3" t="str">
        <f>IF('Filtered Data'!D1="L",'Filtered Data'!H3,'Filtered Data'!G3)</f>
        <v>North West</v>
      </c>
      <c r="K9" s="3"/>
      <c r="L9" s="3"/>
      <c r="M9" s="3"/>
      <c r="N9" s="3"/>
      <c r="O9" s="3"/>
      <c r="P9" s="3"/>
      <c r="Q9" s="3"/>
      <c r="R9" s="3"/>
      <c r="W9" s="282"/>
      <c r="X9" s="283"/>
      <c r="Y9" s="283"/>
      <c r="Z9" s="283"/>
      <c r="AA9" s="283"/>
      <c r="AB9" s="283"/>
      <c r="AC9" s="283"/>
      <c r="AD9" s="283"/>
      <c r="AE9" s="283"/>
      <c r="AF9" s="283"/>
      <c r="AG9" s="283"/>
      <c r="AH9" s="283"/>
      <c r="AI9" s="283"/>
      <c r="AJ9" s="283"/>
      <c r="AK9" s="283"/>
      <c r="AL9" s="283"/>
      <c r="AM9" s="284"/>
    </row>
    <row r="10" spans="2:40" ht="12.75" customHeight="1">
      <c r="B10" s="304" t="str">
        <f>IF('Filtered Data'!D1="L","",IF('Filtered Data'!D1="SC","Rural Classification:",IF('Filtered Data'!D1="UA","Rural Classification:","County:")))</f>
        <v>Rural Classification:</v>
      </c>
      <c r="C10" s="304"/>
      <c r="D10" s="304"/>
      <c r="E10" s="304"/>
      <c r="F10" s="304"/>
      <c r="G10" s="304"/>
      <c r="H10" s="304"/>
      <c r="I10" s="304"/>
      <c r="J10" s="233" t="str">
        <f>IF('Filtered Data'!D1="L","",IF('Filtered Data'!D1="MD",'Filtered Data'!I3,IF('Filtered Data'!D1="SD",'Filtered Data'!I3,'Filtered Data'!H3)))</f>
        <v>Urban with Significant Rural</v>
      </c>
      <c r="K10" s="233"/>
      <c r="L10" s="233"/>
      <c r="M10" s="233"/>
      <c r="N10" s="233"/>
      <c r="O10" s="233"/>
      <c r="P10" s="233"/>
      <c r="Q10" s="233"/>
      <c r="R10" s="233"/>
      <c r="W10" s="282"/>
      <c r="X10" s="283"/>
      <c r="Y10" s="283"/>
      <c r="Z10" s="283"/>
      <c r="AA10" s="283"/>
      <c r="AB10" s="283"/>
      <c r="AC10" s="283"/>
      <c r="AD10" s="283"/>
      <c r="AE10" s="283"/>
      <c r="AF10" s="283"/>
      <c r="AG10" s="283"/>
      <c r="AH10" s="283"/>
      <c r="AI10" s="283"/>
      <c r="AJ10" s="283"/>
      <c r="AK10" s="283"/>
      <c r="AL10" s="283"/>
      <c r="AM10" s="284"/>
    </row>
    <row r="11" spans="2:40" ht="12.75" customHeight="1">
      <c r="B11" s="304" t="str">
        <f>IF('Filtered Data'!D1="L","",IF('Filtered Data'!D1="SC","",IF('Filtered Data'!D1="UA","","Rural Classification:")))</f>
        <v/>
      </c>
      <c r="C11" s="304"/>
      <c r="D11" s="304"/>
      <c r="E11" s="304"/>
      <c r="F11" s="304"/>
      <c r="G11" s="304"/>
      <c r="H11" s="304"/>
      <c r="I11" s="304"/>
      <c r="J11" s="3" t="str">
        <f>IF('Filtered Data'!D1="MD",'Filtered Data'!H3,IF('Filtered Data'!D1="SD",'Filtered Data'!H3,""))</f>
        <v/>
      </c>
      <c r="K11" s="3"/>
      <c r="W11" s="288" t="s">
        <v>364</v>
      </c>
      <c r="X11" s="289"/>
      <c r="Y11" s="289"/>
      <c r="Z11" s="289"/>
      <c r="AA11" s="289"/>
      <c r="AB11" s="289"/>
      <c r="AC11" s="289"/>
      <c r="AD11" s="289"/>
      <c r="AE11" s="289"/>
      <c r="AF11" s="289"/>
      <c r="AG11" s="289"/>
      <c r="AH11" s="289"/>
      <c r="AI11" s="289"/>
      <c r="AJ11" s="289"/>
      <c r="AK11" s="289"/>
      <c r="AL11" s="289"/>
      <c r="AM11" s="290"/>
    </row>
    <row r="12" spans="2:40" ht="12.75" customHeight="1">
      <c r="W12" s="263" t="s">
        <v>904</v>
      </c>
      <c r="X12" s="264"/>
      <c r="Y12" s="264"/>
      <c r="Z12" s="264"/>
      <c r="AA12" s="264"/>
      <c r="AB12" s="264"/>
      <c r="AC12" s="264"/>
      <c r="AD12" s="264"/>
      <c r="AE12" s="264"/>
      <c r="AF12" s="264"/>
      <c r="AG12" s="264"/>
      <c r="AH12" s="264"/>
      <c r="AI12" s="264"/>
      <c r="AJ12" s="264"/>
      <c r="AK12" s="264"/>
      <c r="AL12" s="264"/>
      <c r="AM12" s="265"/>
    </row>
    <row r="13" spans="2:40" ht="12.75" customHeight="1">
      <c r="B13" s="19"/>
      <c r="C13" s="19"/>
      <c r="D13" s="19"/>
      <c r="E13" s="19"/>
      <c r="F13" s="19"/>
      <c r="G13" s="19"/>
      <c r="H13" s="19"/>
      <c r="I13" s="19"/>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19"/>
      <c r="C14" s="19"/>
      <c r="D14" s="19"/>
      <c r="E14" s="19"/>
      <c r="F14" s="19"/>
      <c r="G14" s="19"/>
      <c r="H14" s="19"/>
      <c r="I14" s="19"/>
      <c r="J14" s="3"/>
      <c r="K14" s="3"/>
      <c r="L14" s="3"/>
      <c r="M14" s="3"/>
      <c r="N14" s="3"/>
      <c r="O14" s="3"/>
      <c r="P14" s="3"/>
      <c r="Q14" s="3"/>
      <c r="R14" s="3"/>
      <c r="W14" s="285" t="str">
        <f>HLOOKUP(W6,Data!4:6,3,FALSE)</f>
        <v>www.gov.uk</v>
      </c>
      <c r="X14" s="286"/>
      <c r="Y14" s="286"/>
      <c r="Z14" s="286"/>
      <c r="AA14" s="286"/>
      <c r="AB14" s="286"/>
      <c r="AC14" s="286"/>
      <c r="AD14" s="286"/>
      <c r="AE14" s="286"/>
      <c r="AF14" s="286"/>
      <c r="AG14" s="286"/>
      <c r="AH14" s="286"/>
      <c r="AI14" s="286"/>
      <c r="AJ14" s="286"/>
      <c r="AK14" s="286"/>
      <c r="AL14" s="286"/>
      <c r="AM14" s="287"/>
    </row>
    <row r="15" spans="2:40"/>
    <row r="16" spans="2:40">
      <c r="B16" s="293" t="str">
        <f>W6&amp;" - "&amp;W12</f>
        <v>Major Developments - % decisions in time - Year Ending June 2024</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5"/>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1" t="s">
        <v>340</v>
      </c>
      <c r="F32" s="302"/>
      <c r="G32" s="302"/>
      <c r="H32" s="302"/>
      <c r="I32" s="302"/>
      <c r="J32" s="302"/>
      <c r="K32" s="275">
        <f>IF('Filtered Data'!$H$8="..",'Filtered Data'!O10,'Filtered Data'!O10/100)</f>
        <v>0.94593253968253965</v>
      </c>
      <c r="L32" s="275"/>
      <c r="M32" s="275"/>
      <c r="N32" s="274" t="s">
        <v>351</v>
      </c>
      <c r="O32" s="274"/>
      <c r="P32" s="274"/>
      <c r="Q32" s="274"/>
      <c r="R32" s="274"/>
      <c r="S32" s="274"/>
      <c r="T32" s="275">
        <f>IF('Filtered Data'!$H$8="..",'Filtered Data'!P10,'Filtered Data'!P10/100)</f>
        <v>0.89827586206896559</v>
      </c>
      <c r="U32" s="275"/>
      <c r="V32" s="275"/>
      <c r="W32" s="275"/>
      <c r="X32" s="299" t="s">
        <v>352</v>
      </c>
      <c r="Y32" s="299"/>
      <c r="Z32" s="299"/>
      <c r="AA32" s="299"/>
      <c r="AB32" s="299"/>
      <c r="AC32" s="275">
        <f>IF('Filtered Data'!$H$8="..",'Filtered Data'!Q10,'Filtered Data'!Q10/100)</f>
        <v>0.8666666666666667</v>
      </c>
      <c r="AD32" s="275"/>
      <c r="AE32" s="275"/>
      <c r="AF32" s="266" t="s">
        <v>341</v>
      </c>
      <c r="AG32" s="266"/>
      <c r="AH32" s="266"/>
      <c r="AI32" s="266"/>
      <c r="AJ32" s="266"/>
      <c r="AK32" s="266"/>
      <c r="AL32" s="266"/>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92">
        <f>IF(ISERROR(IF('Filtered Data'!$H$8="%.",(VLOOKUP(J5,'Filtered Data'!C:H,4,FALSE))/100,(VLOOKUP(J5,'Filtered Data'!C:H,4,FALSE)))),"",(IF('Filtered Data'!$H$8="%.",(VLOOKUP(J5,'Filtered Data'!C:H,4,FALSE))/100,(VLOOKUP(J5,'Filtered Data'!C:H,4,FALSE)))))</f>
        <v>0.94680851063829796</v>
      </c>
      <c r="M35" s="292"/>
      <c r="N35" s="292"/>
      <c r="O35" s="292"/>
      <c r="P35" s="92"/>
      <c r="Q35" s="292" t="s">
        <v>353</v>
      </c>
      <c r="R35" s="292"/>
      <c r="S35" s="292"/>
      <c r="T35" s="292"/>
      <c r="U35" s="292"/>
      <c r="V35" s="292"/>
      <c r="W35" s="292"/>
      <c r="AP35" s="56"/>
    </row>
    <row r="36" spans="2:16384" ht="12.75" customHeight="1">
      <c r="B36" s="291" t="str">
        <f>'Filtered Data'!R8&amp;" Quartile"</f>
        <v>Top Quartile</v>
      </c>
      <c r="C36" s="291"/>
      <c r="D36" s="291"/>
      <c r="E36" s="291"/>
      <c r="F36" s="291"/>
      <c r="G36" s="291"/>
      <c r="H36" s="291"/>
      <c r="I36" s="291"/>
      <c r="J36" s="291"/>
      <c r="K36" s="291"/>
      <c r="L36" s="291"/>
      <c r="M36" s="291"/>
      <c r="N36" s="291"/>
      <c r="O36" s="291"/>
      <c r="P36" s="291"/>
      <c r="Q36" s="291"/>
      <c r="R36" s="291"/>
      <c r="S36" s="291"/>
      <c r="T36" s="291"/>
      <c r="U36" s="291"/>
      <c r="V36" s="291"/>
      <c r="W36" s="291"/>
      <c r="Z36" s="17" t="s">
        <v>357</v>
      </c>
      <c r="AB36" s="278" t="s">
        <v>359</v>
      </c>
      <c r="AC36" s="278"/>
      <c r="AD36" s="278"/>
      <c r="AE36" s="278"/>
      <c r="AF36" s="278"/>
      <c r="AG36" s="278"/>
      <c r="AH36" s="278"/>
      <c r="AI36" s="278"/>
      <c r="AJ36" s="278"/>
      <c r="AK36" s="278"/>
      <c r="AL36" s="278"/>
      <c r="AM36" s="110"/>
      <c r="AP36" s="56"/>
    </row>
    <row r="37" spans="2:16384" ht="12.75" customHeight="1">
      <c r="B37" s="93" t="str">
        <f>VLOOKUP('Filtered Data'!D1,'Filtered Data'!L1:O6,2,FALSE)</f>
        <v>Unitaries</v>
      </c>
      <c r="C37" s="93"/>
      <c r="D37" s="93"/>
      <c r="E37" s="93"/>
      <c r="F37" s="93"/>
      <c r="G37" s="93"/>
      <c r="H37" s="93"/>
      <c r="I37" s="93"/>
      <c r="J37" s="239" t="s">
        <v>798</v>
      </c>
      <c r="K37" s="94" t="str">
        <f>IF(Q37="","",IF('Filtered Data'!I8="D",IF($L$35&gt;=L37,"J","L"),IF('Filtered Data'!I8="A",IF($L$35&lt;=L37,"J","L"))))</f>
        <v>J</v>
      </c>
      <c r="L37" s="268">
        <f>'Filtered Data'!M9</f>
        <v>0.90364995398435222</v>
      </c>
      <c r="M37" s="268"/>
      <c r="N37" s="268"/>
      <c r="O37" s="268"/>
      <c r="P37" s="95"/>
      <c r="Q37" s="259">
        <f>VLOOKUP(J5,'Filtered Data'!C:I,7,FALSE)</f>
        <v>15</v>
      </c>
      <c r="R37" s="259"/>
      <c r="S37" s="96"/>
      <c r="T37" s="97" t="s">
        <v>354</v>
      </c>
      <c r="U37" s="98"/>
      <c r="V37" s="259">
        <f>COUNT('Filtered Data'!I11:I333)</f>
        <v>62</v>
      </c>
      <c r="W37" s="259"/>
      <c r="AB37" s="278"/>
      <c r="AC37" s="278"/>
      <c r="AD37" s="278"/>
      <c r="AE37" s="278"/>
      <c r="AF37" s="278"/>
      <c r="AG37" s="278"/>
      <c r="AH37" s="278"/>
      <c r="AI37" s="278"/>
      <c r="AJ37" s="278"/>
      <c r="AK37" s="278"/>
      <c r="AL37" s="278"/>
      <c r="AM37" s="110"/>
      <c r="AP37" s="56"/>
    </row>
    <row r="38" spans="2:16384">
      <c r="B38" s="93" t="str">
        <f>IF('Filtered Data'!D1="L","Family",IF('Filtered Data'!D1="SD",VLOOKUP(J5,classifications!C:J,6,FALSE),"Rural"))</f>
        <v>Rural</v>
      </c>
      <c r="C38" s="93"/>
      <c r="D38" s="93"/>
      <c r="E38" s="93"/>
      <c r="F38" s="93"/>
      <c r="G38" s="93"/>
      <c r="H38" s="93"/>
      <c r="I38" s="93"/>
      <c r="J38" s="240"/>
      <c r="K38" s="94" t="str">
        <f>IF(Q38="","",IF('Filtered Data'!I8="D",IF($L$35&gt;=L38,"J","L"),IF('Filtered Data'!I8="A",IF($L$35&lt;=L38,"J","L"))))</f>
        <v>J</v>
      </c>
      <c r="L38" s="268">
        <f>IF('Filtered Data'!D1="L",'Filtered Data'!AG9,'Filtered Data'!Y9)</f>
        <v>0.89038134693441473</v>
      </c>
      <c r="M38" s="268"/>
      <c r="N38" s="268"/>
      <c r="O38" s="268"/>
      <c r="P38" s="95"/>
      <c r="Q38" s="277">
        <f>IF(ISERROR(IF('Filtered Data'!D1="L",VLOOKUP(J5,'Filtered Data'!AF11:AH25,3,FALSE),VLOOKUP(J5,'Filtered Data'!$L$11:$Z$333,15,FALSE))),"",(IF('Filtered Data'!D1="L",VLOOKUP(J5,'Filtered Data'!AF11:AH25,3,FALSE),VLOOKUP(J5,'Filtered Data'!$L$11:$Z$333,15,FALSE))))</f>
        <v>3</v>
      </c>
      <c r="R38" s="277"/>
      <c r="S38" s="267" t="s">
        <v>354</v>
      </c>
      <c r="T38" s="268"/>
      <c r="U38" s="268"/>
      <c r="V38" s="259">
        <f>IF('Filtered Data'!D1="L",16,COUNT('Filtered Data'!Z:Z))</f>
        <v>24</v>
      </c>
      <c r="W38" s="25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240"/>
      <c r="K39" s="94" t="str">
        <f>IF(Q39="","",IF('Filtered Data'!I8="D",IF($L$35&gt;=L39,"J","L"),IF('Filtered Data'!I8="A",IF($L$35&lt;=L39,"J","L"))))</f>
        <v>J</v>
      </c>
      <c r="L39" s="268">
        <f>IF('Filtered Data'!D1="L","",IF('Filtered Data'!D1="SD",'Filtered Data'!AJ9,'Filtered Data'!AQ9))</f>
        <v>0.899552750997899</v>
      </c>
      <c r="M39" s="268"/>
      <c r="N39" s="268"/>
      <c r="O39" s="268"/>
      <c r="P39" s="95"/>
      <c r="Q39" s="259">
        <f>IF(ISERROR(IF('Filtered Data'!D1="L","",IF('Filtered Data'!D1="SD",VLOOKUP(J5,'Filtered Data'!L:AK,26,FALSE),(VLOOKUP(J5,'Filtered Data'!L:AR,33,FALSE))))),"",(IF('Filtered Data'!D1="L","",IF('Filtered Data'!D1="SD",VLOOKUP(J5,'Filtered Data'!L:AK,26,FALSE),(VLOOKUP(J5,'Filtered Data'!L:AR,33,FALSE))))))</f>
        <v>2</v>
      </c>
      <c r="R39" s="259"/>
      <c r="S39" s="96"/>
      <c r="T39" s="98" t="str">
        <f>IF(B39="","","out of")</f>
        <v>out of</v>
      </c>
      <c r="U39" s="98"/>
      <c r="V39" s="259">
        <f>IF('Filtered Data'!D1="L","",IF('Filtered Data'!D1="SD",COUNT('Filtered Data'!AK11:AK333),(COUNT('Filtered Data'!AQ11:AQ333))))</f>
        <v>8</v>
      </c>
      <c r="W39" s="259"/>
      <c r="Z39" s="11" t="s">
        <v>358</v>
      </c>
      <c r="AB39" s="278" t="s">
        <v>360</v>
      </c>
      <c r="AC39" s="278"/>
      <c r="AD39" s="278"/>
      <c r="AE39" s="278"/>
      <c r="AF39" s="278"/>
      <c r="AG39" s="278"/>
      <c r="AH39" s="278"/>
      <c r="AI39" s="278"/>
      <c r="AJ39" s="278"/>
      <c r="AK39" s="278"/>
      <c r="AL39" s="278"/>
      <c r="AM39" s="278"/>
      <c r="AP39" s="56"/>
    </row>
    <row r="40" spans="2:16384" ht="12.75" customHeight="1">
      <c r="B40" s="106"/>
      <c r="C40" s="106"/>
      <c r="D40" s="106"/>
      <c r="E40" s="106"/>
      <c r="F40" s="106"/>
      <c r="G40" s="106"/>
      <c r="H40" s="106"/>
      <c r="I40" s="106"/>
      <c r="J40" s="105"/>
      <c r="K40" s="107"/>
      <c r="L40" s="269"/>
      <c r="M40" s="269"/>
      <c r="N40" s="269"/>
      <c r="O40" s="269"/>
      <c r="P40" s="108"/>
      <c r="Q40" s="270"/>
      <c r="R40" s="270"/>
      <c r="S40" s="269"/>
      <c r="T40" s="273"/>
      <c r="U40" s="273"/>
      <c r="V40" s="270"/>
      <c r="W40" s="270"/>
      <c r="AB40" s="278"/>
      <c r="AC40" s="278"/>
      <c r="AD40" s="278"/>
      <c r="AE40" s="278"/>
      <c r="AF40" s="278"/>
      <c r="AG40" s="278"/>
      <c r="AH40" s="278"/>
      <c r="AI40" s="278"/>
      <c r="AJ40" s="278"/>
      <c r="AK40" s="278"/>
      <c r="AL40" s="278"/>
      <c r="AM40" s="278"/>
      <c r="AP40" s="56"/>
    </row>
    <row r="41" spans="2:16384">
      <c r="B41" s="225"/>
      <c r="C41" s="225"/>
      <c r="D41" s="225"/>
      <c r="E41" s="225"/>
      <c r="F41" s="225"/>
      <c r="G41" s="225"/>
      <c r="H41" s="225"/>
      <c r="I41" s="225"/>
      <c r="J41" s="105"/>
      <c r="K41" s="226" t="str">
        <f>IF(B41="","",IF('Filtered Data'!D1="UA","",(IF($L$35&gt;=L41,"J","L"))))</f>
        <v/>
      </c>
      <c r="L41" s="260"/>
      <c r="M41" s="260"/>
      <c r="N41" s="260"/>
      <c r="O41" s="260"/>
      <c r="P41" s="227"/>
      <c r="Q41" s="271"/>
      <c r="R41" s="271"/>
      <c r="S41" s="276"/>
      <c r="T41" s="276"/>
      <c r="U41" s="276"/>
      <c r="V41" s="271"/>
      <c r="W41" s="271"/>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5" t="s">
        <v>356</v>
      </c>
      <c r="C43" s="256"/>
      <c r="D43" s="256"/>
      <c r="E43" s="256"/>
      <c r="F43" s="256"/>
      <c r="G43" s="256"/>
      <c r="H43" s="256"/>
      <c r="I43" s="256"/>
      <c r="J43" s="256"/>
      <c r="K43" s="256"/>
      <c r="L43" s="256"/>
      <c r="M43" s="256"/>
      <c r="N43" s="256"/>
      <c r="O43" s="251" t="str">
        <f>W6&amp;" - "&amp;W12</f>
        <v>Major Developments - % decisions in time - Year Ending June 2024</v>
      </c>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2"/>
      <c r="AP43" s="56"/>
    </row>
    <row r="44" spans="2:16384">
      <c r="B44" s="257"/>
      <c r="C44" s="258"/>
      <c r="D44" s="258"/>
      <c r="E44" s="258"/>
      <c r="F44" s="258"/>
      <c r="G44" s="258"/>
      <c r="H44" s="258"/>
      <c r="I44" s="258"/>
      <c r="J44" s="258"/>
      <c r="K44" s="258"/>
      <c r="L44" s="258"/>
      <c r="M44" s="258"/>
      <c r="N44" s="258"/>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61">
        <f>IF('Filtered Data'!$H$8="..",L35,L35*100)</f>
        <v>94.680851063829792</v>
      </c>
      <c r="F48" s="261"/>
      <c r="G48" s="261"/>
      <c r="H48" s="261"/>
      <c r="K48" s="235">
        <f>IF('Filtered Data'!$H$8="..",K$32,K$32*100)</f>
        <v>94.593253968253961</v>
      </c>
      <c r="L48" s="235"/>
      <c r="M48" s="235">
        <f>IF('Filtered Data'!$H$8="..",T$32,T$32*100)</f>
        <v>89.827586206896555</v>
      </c>
      <c r="N48" s="235"/>
      <c r="O48" s="235">
        <f>IF('Filtered Data'!$H$8="..",AC$32,AC$32*100)</f>
        <v>86.666666666666671</v>
      </c>
      <c r="P48" s="235"/>
      <c r="AM48" s="6"/>
      <c r="AP48" s="56"/>
    </row>
    <row r="49" spans="2:42">
      <c r="B49" s="5"/>
      <c r="D49" t="str">
        <f>B37</f>
        <v>Unitaries</v>
      </c>
      <c r="E49" s="261">
        <f>IF('Filtered Data'!$H$8="..",L37,L37*100)</f>
        <v>90.364995398435227</v>
      </c>
      <c r="F49" s="261"/>
      <c r="G49" s="261"/>
      <c r="H49" s="261"/>
      <c r="K49" s="235">
        <f>IF('Filtered Data'!$H$8="..",K$32,K$32*100)</f>
        <v>94.593253968253961</v>
      </c>
      <c r="L49" s="235"/>
      <c r="M49" s="235">
        <f>IF('Filtered Data'!$H$8="..",T$32,T$32*100)</f>
        <v>89.827586206896555</v>
      </c>
      <c r="N49" s="235"/>
      <c r="O49" s="235">
        <f>IF('Filtered Data'!$H$8="..",AC$32,AC$32*100)</f>
        <v>86.666666666666671</v>
      </c>
      <c r="P49" s="235"/>
      <c r="AM49" s="6"/>
      <c r="AP49" s="56"/>
    </row>
    <row r="50" spans="2:42">
      <c r="B50" s="5"/>
      <c r="D50" s="64" t="str">
        <f>B39</f>
        <v>Regional</v>
      </c>
      <c r="E50" s="261">
        <f>IF('Filtered Data'!$H$8="..",L39,L39*100)</f>
        <v>89.955275099789901</v>
      </c>
      <c r="F50" s="261"/>
      <c r="G50" s="261"/>
      <c r="H50" s="261"/>
      <c r="K50" s="235">
        <f>IF('Filtered Data'!$H$8="..",K$32,K$32*100)</f>
        <v>94.593253968253961</v>
      </c>
      <c r="L50" s="235"/>
      <c r="M50" s="235">
        <f>IF('Filtered Data'!$H$8="..",T$32,T$32*100)</f>
        <v>89.827586206896555</v>
      </c>
      <c r="N50" s="235"/>
      <c r="O50" s="235">
        <f>IF('Filtered Data'!$H$8="..",AC$32,AC$32*100)</f>
        <v>86.666666666666671</v>
      </c>
      <c r="P50" s="235"/>
      <c r="AM50" s="6"/>
      <c r="AP50" s="56"/>
    </row>
    <row r="51" spans="2:42">
      <c r="B51" s="5"/>
      <c r="D51" s="228" t="str">
        <f>B38</f>
        <v>Rural</v>
      </c>
      <c r="E51" s="261">
        <f>IF('Filtered Data'!$H$8="..",L38,L38*100)</f>
        <v>89.038134693441478</v>
      </c>
      <c r="F51" s="261"/>
      <c r="G51" s="261"/>
      <c r="H51" s="261"/>
      <c r="K51" s="235">
        <f>IF('Filtered Data'!$H$8="..",K$32,K$32*100)</f>
        <v>94.593253968253961</v>
      </c>
      <c r="L51" s="235"/>
      <c r="M51" s="235">
        <f>IF('Filtered Data'!$H$8="..",T$32,T$32*100)</f>
        <v>89.827586206896555</v>
      </c>
      <c r="N51" s="235"/>
      <c r="O51" s="235">
        <f>IF('Filtered Data'!$H$8="..",AC$32,AC$32*100)</f>
        <v>86.666666666666671</v>
      </c>
      <c r="P51" s="235"/>
      <c r="AM51" s="6"/>
      <c r="AP51" s="56"/>
    </row>
    <row r="52" spans="2:42">
      <c r="B52" s="5"/>
      <c r="E52" s="261"/>
      <c r="F52" s="261"/>
      <c r="G52" s="261"/>
      <c r="H52" s="261"/>
      <c r="K52" s="235"/>
      <c r="L52" s="235"/>
      <c r="M52" s="235"/>
      <c r="N52" s="235"/>
      <c r="O52" s="235"/>
      <c r="P52" s="235"/>
      <c r="AM52" s="6"/>
      <c r="AP52" s="56"/>
    </row>
    <row r="53" spans="2:42">
      <c r="B53" s="5"/>
      <c r="E53" s="262"/>
      <c r="F53" s="262"/>
      <c r="G53" s="262"/>
      <c r="H53" s="262"/>
      <c r="K53" s="235"/>
      <c r="L53" s="235"/>
      <c r="M53" s="235"/>
      <c r="N53" s="235"/>
      <c r="O53" s="235"/>
      <c r="P53" s="235"/>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7" t="str">
        <f>B3</f>
        <v>Planning Application Turnaround</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P59" s="56"/>
    </row>
    <row r="60" spans="2:42">
      <c r="AP60" s="56"/>
    </row>
    <row r="61" spans="2:42" ht="12" customHeight="1">
      <c r="B61" s="1" t="str">
        <f>W6&amp;" - "&amp;W12</f>
        <v>Major Developments - % decisions in time - Year Ending June 2024</v>
      </c>
      <c r="AP61" s="56"/>
    </row>
    <row r="62" spans="2:42" ht="12" customHeight="1">
      <c r="AP62" s="56"/>
    </row>
    <row r="63" spans="2:42" ht="12" customHeight="1">
      <c r="B63" s="1" t="s">
        <v>362</v>
      </c>
      <c r="AP63" s="56"/>
    </row>
    <row r="64" spans="2:42" ht="12" customHeight="1">
      <c r="AP64" s="56"/>
    </row>
    <row r="65" spans="2:42" ht="12" customHeight="1">
      <c r="B65" s="246" t="s">
        <v>353</v>
      </c>
      <c r="C65" s="246"/>
      <c r="D65" s="246"/>
      <c r="E65" s="234" t="s">
        <v>333</v>
      </c>
      <c r="F65" s="234"/>
      <c r="G65" s="234"/>
      <c r="H65" s="234"/>
      <c r="I65" s="234"/>
      <c r="J65" s="234"/>
      <c r="K65" s="234"/>
      <c r="L65" s="234"/>
      <c r="M65" s="234"/>
      <c r="N65" s="234"/>
      <c r="O65" s="234"/>
      <c r="P65" s="234"/>
      <c r="Q65" s="234"/>
      <c r="R65" s="234"/>
      <c r="S65" s="234"/>
      <c r="T65" s="234"/>
      <c r="U65" s="246" t="s">
        <v>363</v>
      </c>
      <c r="V65" s="246"/>
      <c r="W65" s="246"/>
      <c r="X65" s="246"/>
      <c r="Y65" s="1"/>
      <c r="Z65" s="1"/>
      <c r="AA65" s="1"/>
      <c r="AB65" s="1"/>
      <c r="AC65" s="4"/>
      <c r="AD65" s="1"/>
      <c r="AE65" s="1"/>
      <c r="AF65" s="1"/>
      <c r="AG65" s="1"/>
      <c r="AI65" s="1"/>
      <c r="AJ65" s="1"/>
      <c r="AK65" s="1"/>
      <c r="AL65" s="1"/>
      <c r="AP65" s="56"/>
    </row>
    <row r="66" spans="2:42" ht="12" customHeight="1">
      <c r="B66" s="243">
        <v>1</v>
      </c>
      <c r="C66" s="235"/>
      <c r="D66" s="235"/>
      <c r="E66" s="233" t="str">
        <f>VLOOKUP(B66,'Filtered Data'!K:L,2,FALSE)</f>
        <v>Bath &amp; North East Somerset</v>
      </c>
      <c r="F66" s="233"/>
      <c r="G66" s="233"/>
      <c r="H66" s="233"/>
      <c r="I66" s="233"/>
      <c r="J66" s="233"/>
      <c r="K66" s="233"/>
      <c r="L66" s="233"/>
      <c r="M66" s="233"/>
      <c r="N66" s="233"/>
      <c r="O66" s="233"/>
      <c r="P66" s="233"/>
      <c r="Q66" s="233"/>
      <c r="R66" s="233"/>
      <c r="S66" s="233"/>
      <c r="T66" s="233"/>
      <c r="U66" s="238">
        <f>IF('Filtered Data'!$H$8="%.",(VLOOKUP(B66,'Filtered Data'!K:M,3,FALSE))/100,VLOOKUP(B66,'Filtered Data'!K:M,3,FALSE))</f>
        <v>1</v>
      </c>
      <c r="V66" s="238"/>
      <c r="W66" s="238"/>
      <c r="X66" s="238"/>
      <c r="Y66" s="132" t="str">
        <f>IF((VLOOKUP(E66,classifications!C:K,9,FALSE))="Sparse","S","")</f>
        <v/>
      </c>
      <c r="Z66" s="132"/>
      <c r="AA66" s="132"/>
      <c r="AB66" s="132"/>
      <c r="AC66" s="132"/>
      <c r="AD66" s="250"/>
      <c r="AE66" s="250"/>
      <c r="AF66" s="250"/>
      <c r="AG66" s="250"/>
      <c r="AH66" s="250"/>
      <c r="AI66" s="250"/>
      <c r="AJ66" s="250"/>
      <c r="AK66" s="250"/>
      <c r="AL66" s="250"/>
      <c r="AP66" s="56"/>
    </row>
    <row r="67" spans="2:42" ht="12" customHeight="1">
      <c r="B67" s="243">
        <v>2</v>
      </c>
      <c r="C67" s="235"/>
      <c r="D67" s="235"/>
      <c r="E67" s="233" t="str">
        <f>VLOOKUP(B67,'Filtered Data'!K:L,2,FALSE)</f>
        <v>Blackburn with Darwen</v>
      </c>
      <c r="F67" s="233"/>
      <c r="G67" s="233"/>
      <c r="H67" s="233"/>
      <c r="I67" s="233"/>
      <c r="J67" s="233"/>
      <c r="K67" s="233"/>
      <c r="L67" s="233"/>
      <c r="M67" s="233"/>
      <c r="N67" s="233"/>
      <c r="O67" s="233"/>
      <c r="P67" s="233"/>
      <c r="Q67" s="233"/>
      <c r="R67" s="233"/>
      <c r="S67" s="233"/>
      <c r="T67" s="233"/>
      <c r="U67" s="238">
        <f>IF('Filtered Data'!$H$8="%.",(VLOOKUP(B67,'Filtered Data'!K:M,3,FALSE))/100,VLOOKUP(B67,'Filtered Data'!K:M,3,FALSE))</f>
        <v>1</v>
      </c>
      <c r="V67" s="238"/>
      <c r="W67" s="238"/>
      <c r="X67" s="238"/>
      <c r="Y67" s="132" t="str">
        <f>IF((VLOOKUP(E67,classifications!C:K,9,FALSE))="Sparse","S","")</f>
        <v/>
      </c>
      <c r="Z67" s="132"/>
      <c r="AA67" s="132"/>
      <c r="AB67" s="132"/>
      <c r="AC67" s="132"/>
      <c r="AD67" s="250"/>
      <c r="AE67" s="250"/>
      <c r="AF67" s="250"/>
      <c r="AG67" s="250"/>
      <c r="AH67" s="250"/>
      <c r="AI67" s="250"/>
      <c r="AJ67" s="250"/>
      <c r="AK67" s="250"/>
      <c r="AL67" s="250"/>
      <c r="AP67" s="56"/>
    </row>
    <row r="68" spans="2:42" ht="12" customHeight="1">
      <c r="B68" s="243">
        <v>3</v>
      </c>
      <c r="C68" s="235"/>
      <c r="D68" s="235"/>
      <c r="E68" s="233" t="str">
        <f>VLOOKUP(B68,'Filtered Data'!K:L,2,FALSE)</f>
        <v>Hartlepool</v>
      </c>
      <c r="F68" s="233"/>
      <c r="G68" s="233"/>
      <c r="H68" s="233"/>
      <c r="I68" s="233"/>
      <c r="J68" s="233"/>
      <c r="K68" s="233"/>
      <c r="L68" s="233"/>
      <c r="M68" s="233"/>
      <c r="N68" s="233"/>
      <c r="O68" s="233"/>
      <c r="P68" s="233"/>
      <c r="Q68" s="233"/>
      <c r="R68" s="233"/>
      <c r="S68" s="233"/>
      <c r="T68" s="233"/>
      <c r="U68" s="238">
        <f>IF('Filtered Data'!$H$8="%.",(VLOOKUP(B68,'Filtered Data'!K:M,3,FALSE))/100,VLOOKUP(B68,'Filtered Data'!K:M,3,FALSE))</f>
        <v>1</v>
      </c>
      <c r="V68" s="238"/>
      <c r="W68" s="238"/>
      <c r="X68" s="238"/>
      <c r="Y68" s="132" t="str">
        <f>IF((VLOOKUP(E68,classifications!C:K,9,FALSE))="Sparse","S","")</f>
        <v/>
      </c>
      <c r="Z68" s="132"/>
      <c r="AA68" s="132"/>
      <c r="AB68" s="132"/>
      <c r="AC68" s="132"/>
      <c r="AD68" s="250"/>
      <c r="AE68" s="250"/>
      <c r="AF68" s="250"/>
      <c r="AG68" s="250"/>
      <c r="AH68" s="250"/>
      <c r="AI68" s="250"/>
      <c r="AJ68" s="250"/>
      <c r="AK68" s="250"/>
      <c r="AL68" s="250"/>
      <c r="AP68" s="56"/>
    </row>
    <row r="69" spans="2:42" ht="12" customHeight="1">
      <c r="B69" s="243">
        <v>4</v>
      </c>
      <c r="C69" s="235"/>
      <c r="D69" s="235"/>
      <c r="E69" s="233" t="str">
        <f>VLOOKUP(B69,'Filtered Data'!K:L,2,FALSE)</f>
        <v>Plymouth</v>
      </c>
      <c r="F69" s="233"/>
      <c r="G69" s="233"/>
      <c r="H69" s="233"/>
      <c r="I69" s="233"/>
      <c r="J69" s="233"/>
      <c r="K69" s="233"/>
      <c r="L69" s="233"/>
      <c r="M69" s="233"/>
      <c r="N69" s="233"/>
      <c r="O69" s="233"/>
      <c r="P69" s="233"/>
      <c r="Q69" s="233"/>
      <c r="R69" s="233"/>
      <c r="S69" s="233"/>
      <c r="T69" s="233"/>
      <c r="U69" s="238">
        <f>IF('Filtered Data'!$H$8="%.",(VLOOKUP(B69,'Filtered Data'!K:M,3,FALSE))/100,VLOOKUP(B69,'Filtered Data'!K:M,3,FALSE))</f>
        <v>1</v>
      </c>
      <c r="V69" s="238"/>
      <c r="W69" s="238"/>
      <c r="X69" s="238"/>
      <c r="Y69" s="132" t="str">
        <f>IF((VLOOKUP(E69,classifications!C:K,9,FALSE))="Sparse","S","")</f>
        <v/>
      </c>
      <c r="Z69" s="132"/>
      <c r="AA69" s="132"/>
      <c r="AB69" s="132"/>
      <c r="AC69" s="132"/>
      <c r="AD69" s="250"/>
      <c r="AE69" s="250"/>
      <c r="AF69" s="250"/>
      <c r="AG69" s="250"/>
      <c r="AH69" s="250"/>
      <c r="AI69" s="250"/>
      <c r="AJ69" s="250"/>
      <c r="AK69" s="250"/>
      <c r="AL69" s="250"/>
      <c r="AP69" s="56"/>
    </row>
    <row r="70" spans="2:42" ht="12" customHeight="1">
      <c r="B70" s="243">
        <v>5</v>
      </c>
      <c r="C70" s="235"/>
      <c r="D70" s="235"/>
      <c r="E70" s="233" t="str">
        <f>VLOOKUP(B70,'Filtered Data'!K:L,2,FALSE)</f>
        <v>Portsmouth</v>
      </c>
      <c r="F70" s="233"/>
      <c r="G70" s="233"/>
      <c r="H70" s="233"/>
      <c r="I70" s="233"/>
      <c r="J70" s="233"/>
      <c r="K70" s="233"/>
      <c r="L70" s="233"/>
      <c r="M70" s="233"/>
      <c r="N70" s="233"/>
      <c r="O70" s="233"/>
      <c r="P70" s="233"/>
      <c r="Q70" s="233"/>
      <c r="R70" s="233"/>
      <c r="S70" s="233"/>
      <c r="T70" s="233"/>
      <c r="U70" s="238">
        <f>IF('Filtered Data'!$H$8="%.",(VLOOKUP(B70,'Filtered Data'!K:M,3,FALSE))/100,VLOOKUP(B70,'Filtered Data'!K:M,3,FALSE))</f>
        <v>1</v>
      </c>
      <c r="V70" s="238"/>
      <c r="W70" s="238"/>
      <c r="X70" s="238"/>
      <c r="Y70" s="132" t="str">
        <f>IF((VLOOKUP(E70,classifications!C:K,9,FALSE))="Sparse","S","")</f>
        <v/>
      </c>
      <c r="Z70" s="132"/>
      <c r="AA70" s="132"/>
      <c r="AB70" s="132"/>
      <c r="AC70" s="132"/>
      <c r="AD70" s="250"/>
      <c r="AE70" s="250"/>
      <c r="AF70" s="250"/>
      <c r="AG70" s="250"/>
      <c r="AH70" s="250"/>
      <c r="AI70" s="250"/>
      <c r="AJ70" s="250"/>
      <c r="AK70" s="250"/>
      <c r="AL70" s="250"/>
      <c r="AP70" s="56"/>
    </row>
    <row r="71" spans="2:42" ht="12" customHeight="1">
      <c r="B71" s="243">
        <v>6</v>
      </c>
      <c r="C71" s="235"/>
      <c r="D71" s="235"/>
      <c r="E71" s="233" t="str">
        <f>VLOOKUP(B71,'Filtered Data'!K:L,2,FALSE)</f>
        <v>Southend-on-Sea</v>
      </c>
      <c r="F71" s="233"/>
      <c r="G71" s="233"/>
      <c r="H71" s="233"/>
      <c r="I71" s="233"/>
      <c r="J71" s="233"/>
      <c r="K71" s="233"/>
      <c r="L71" s="233"/>
      <c r="M71" s="233"/>
      <c r="N71" s="233"/>
      <c r="O71" s="233"/>
      <c r="P71" s="233"/>
      <c r="Q71" s="233"/>
      <c r="R71" s="233"/>
      <c r="S71" s="233"/>
      <c r="T71" s="233"/>
      <c r="U71" s="238">
        <f>IF('Filtered Data'!$H$8="%.",(VLOOKUP(B71,'Filtered Data'!K:M,3,FALSE))/100,VLOOKUP(B71,'Filtered Data'!K:M,3,FALSE))</f>
        <v>1</v>
      </c>
      <c r="V71" s="238"/>
      <c r="W71" s="238"/>
      <c r="X71" s="238"/>
      <c r="Y71" s="132" t="str">
        <f>IF((VLOOKUP(E71,classifications!C:K,9,FALSE))="Sparse","S","")</f>
        <v/>
      </c>
      <c r="Z71" s="132"/>
      <c r="AA71" s="132"/>
      <c r="AB71" s="132"/>
      <c r="AC71" s="132"/>
      <c r="AD71" s="250"/>
      <c r="AE71" s="250"/>
      <c r="AF71" s="250"/>
      <c r="AG71" s="250"/>
      <c r="AH71" s="250"/>
      <c r="AI71" s="250"/>
      <c r="AJ71" s="250"/>
      <c r="AK71" s="250"/>
      <c r="AL71" s="250"/>
      <c r="AP71" s="56"/>
    </row>
    <row r="72" spans="2:42" ht="12" customHeight="1">
      <c r="B72" s="243">
        <v>7</v>
      </c>
      <c r="C72" s="235"/>
      <c r="D72" s="235"/>
      <c r="E72" s="233" t="str">
        <f>VLOOKUP(B72,'Filtered Data'!K:L,2,FALSE)</f>
        <v>Stoke-on-Trent</v>
      </c>
      <c r="F72" s="233"/>
      <c r="G72" s="233"/>
      <c r="H72" s="233"/>
      <c r="I72" s="233"/>
      <c r="J72" s="233"/>
      <c r="K72" s="233"/>
      <c r="L72" s="233"/>
      <c r="M72" s="233"/>
      <c r="N72" s="233"/>
      <c r="O72" s="233"/>
      <c r="P72" s="233"/>
      <c r="Q72" s="233"/>
      <c r="R72" s="233"/>
      <c r="S72" s="233"/>
      <c r="T72" s="233"/>
      <c r="U72" s="238">
        <f>IF('Filtered Data'!$H$8="%.",(VLOOKUP(B72,'Filtered Data'!K:M,3,FALSE))/100,VLOOKUP(B72,'Filtered Data'!K:M,3,FALSE))</f>
        <v>1</v>
      </c>
      <c r="V72" s="238"/>
      <c r="W72" s="238"/>
      <c r="X72" s="238"/>
      <c r="Y72" s="132" t="str">
        <f>IF((VLOOKUP(E72,classifications!C:K,9,FALSE))="Sparse","S","")</f>
        <v/>
      </c>
      <c r="Z72" s="132"/>
      <c r="AA72" s="132"/>
      <c r="AB72" s="132"/>
      <c r="AC72" s="132"/>
      <c r="AD72" s="250"/>
      <c r="AE72" s="250"/>
      <c r="AF72" s="250"/>
      <c r="AG72" s="250"/>
      <c r="AH72" s="250"/>
      <c r="AI72" s="250"/>
      <c r="AJ72" s="250"/>
      <c r="AK72" s="250"/>
      <c r="AL72" s="250"/>
      <c r="AP72" s="56"/>
    </row>
    <row r="73" spans="2:42" ht="12" customHeight="1">
      <c r="B73" s="243">
        <v>8</v>
      </c>
      <c r="C73" s="235"/>
      <c r="D73" s="235"/>
      <c r="E73" s="233" t="str">
        <f>VLOOKUP(B73,'Filtered Data'!K:L,2,FALSE)</f>
        <v>Telford &amp; Wrekin</v>
      </c>
      <c r="F73" s="233"/>
      <c r="G73" s="233"/>
      <c r="H73" s="233"/>
      <c r="I73" s="233"/>
      <c r="J73" s="233"/>
      <c r="K73" s="233"/>
      <c r="L73" s="233"/>
      <c r="M73" s="233"/>
      <c r="N73" s="233"/>
      <c r="O73" s="233"/>
      <c r="P73" s="233"/>
      <c r="Q73" s="233"/>
      <c r="R73" s="233"/>
      <c r="S73" s="233"/>
      <c r="T73" s="233"/>
      <c r="U73" s="238">
        <f>IF('Filtered Data'!$H$8="%.",(VLOOKUP(B73,'Filtered Data'!K:M,3,FALSE))/100,VLOOKUP(B73,'Filtered Data'!K:M,3,FALSE))</f>
        <v>1</v>
      </c>
      <c r="V73" s="238"/>
      <c r="W73" s="238"/>
      <c r="X73" s="238"/>
      <c r="Y73" s="132" t="str">
        <f>IF((VLOOKUP(E73,classifications!C:K,9,FALSE))="Sparse","S","")</f>
        <v/>
      </c>
      <c r="Z73" s="132"/>
      <c r="AA73" s="132"/>
      <c r="AB73" s="132"/>
      <c r="AC73" s="132"/>
      <c r="AD73" s="250"/>
      <c r="AE73" s="250"/>
      <c r="AF73" s="250"/>
      <c r="AG73" s="250"/>
      <c r="AH73" s="250"/>
      <c r="AI73" s="250"/>
      <c r="AJ73" s="250"/>
      <c r="AK73" s="250"/>
      <c r="AL73" s="250"/>
      <c r="AP73" s="56"/>
    </row>
    <row r="74" spans="2:42" ht="12" customHeight="1">
      <c r="B74" s="243">
        <v>9</v>
      </c>
      <c r="C74" s="235"/>
      <c r="D74" s="235"/>
      <c r="E74" s="233" t="str">
        <f>VLOOKUP(B74,'Filtered Data'!K:L,2,FALSE)</f>
        <v>Milton Keynes</v>
      </c>
      <c r="F74" s="233"/>
      <c r="G74" s="233"/>
      <c r="H74" s="233"/>
      <c r="I74" s="233"/>
      <c r="J74" s="233"/>
      <c r="K74" s="233"/>
      <c r="L74" s="233"/>
      <c r="M74" s="233"/>
      <c r="N74" s="233"/>
      <c r="O74" s="233"/>
      <c r="P74" s="233"/>
      <c r="Q74" s="233"/>
      <c r="R74" s="233"/>
      <c r="S74" s="233"/>
      <c r="T74" s="233"/>
      <c r="U74" s="238">
        <f>IF('Filtered Data'!$H$8="%.",(VLOOKUP(B74,'Filtered Data'!K:M,3,FALSE))/100,VLOOKUP(B74,'Filtered Data'!K:M,3,FALSE))</f>
        <v>0.98837209302325579</v>
      </c>
      <c r="V74" s="238"/>
      <c r="W74" s="238"/>
      <c r="X74" s="238"/>
      <c r="Y74" s="132" t="str">
        <f>IF((VLOOKUP(E74,classifications!C:K,9,FALSE))="Sparse","S","")</f>
        <v/>
      </c>
      <c r="Z74" s="132"/>
      <c r="AA74" s="132"/>
      <c r="AB74" s="132"/>
      <c r="AC74" s="132"/>
      <c r="AD74" s="250"/>
      <c r="AE74" s="250"/>
      <c r="AF74" s="250"/>
      <c r="AG74" s="250"/>
      <c r="AH74" s="250"/>
      <c r="AI74" s="250"/>
      <c r="AJ74" s="250"/>
      <c r="AK74" s="250"/>
      <c r="AL74" s="250"/>
      <c r="AP74" s="56"/>
    </row>
    <row r="75" spans="2:42" ht="12" customHeight="1">
      <c r="B75" s="243">
        <v>10</v>
      </c>
      <c r="C75" s="235"/>
      <c r="D75" s="235"/>
      <c r="E75" s="233" t="str">
        <f>VLOOKUP(B75,'Filtered Data'!K:L,2,FALSE)</f>
        <v>Medway</v>
      </c>
      <c r="F75" s="233"/>
      <c r="G75" s="233"/>
      <c r="H75" s="233"/>
      <c r="I75" s="233"/>
      <c r="J75" s="233"/>
      <c r="K75" s="233"/>
      <c r="L75" s="233"/>
      <c r="M75" s="233"/>
      <c r="N75" s="233"/>
      <c r="O75" s="233"/>
      <c r="P75" s="233"/>
      <c r="Q75" s="233"/>
      <c r="R75" s="233"/>
      <c r="S75" s="233"/>
      <c r="T75" s="233"/>
      <c r="U75" s="238">
        <f>IF('Filtered Data'!$H$8="%.",(VLOOKUP(B75,'Filtered Data'!K:M,3,FALSE))/100,VLOOKUP(B75,'Filtered Data'!K:M,3,FALSE))</f>
        <v>0.97826086956521729</v>
      </c>
      <c r="V75" s="238"/>
      <c r="W75" s="238"/>
      <c r="X75" s="238"/>
      <c r="Y75" s="132" t="str">
        <f>IF((VLOOKUP(E75,classifications!C:K,9,FALSE))="Sparse","S","")</f>
        <v/>
      </c>
      <c r="Z75" s="132"/>
      <c r="AA75" s="132"/>
      <c r="AB75" s="132"/>
      <c r="AC75" s="132"/>
      <c r="AD75" s="250"/>
      <c r="AE75" s="250"/>
      <c r="AF75" s="250"/>
      <c r="AG75" s="250"/>
      <c r="AH75" s="250"/>
      <c r="AI75" s="250"/>
      <c r="AJ75" s="250"/>
      <c r="AK75" s="250"/>
      <c r="AL75" s="250"/>
      <c r="AP75" s="56"/>
    </row>
    <row r="76" spans="2:42" ht="12" customHeight="1">
      <c r="B76" s="243">
        <v>11</v>
      </c>
      <c r="C76" s="235"/>
      <c r="D76" s="235"/>
      <c r="E76" s="233" t="str">
        <f>VLOOKUP(B76,'Filtered Data'!K:L,2,FALSE)</f>
        <v>Wokingham</v>
      </c>
      <c r="F76" s="233"/>
      <c r="G76" s="233"/>
      <c r="H76" s="233"/>
      <c r="I76" s="233"/>
      <c r="J76" s="233"/>
      <c r="K76" s="233"/>
      <c r="L76" s="233"/>
      <c r="M76" s="233"/>
      <c r="N76" s="233"/>
      <c r="O76" s="233"/>
      <c r="P76" s="233"/>
      <c r="Q76" s="233"/>
      <c r="R76" s="233"/>
      <c r="S76" s="233"/>
      <c r="T76" s="233"/>
      <c r="U76" s="238">
        <f>IF('Filtered Data'!$H$8="%.",(VLOOKUP(B76,'Filtered Data'!K:M,3,FALSE))/100,VLOOKUP(B76,'Filtered Data'!K:M,3,FALSE))</f>
        <v>0.97674418604651148</v>
      </c>
      <c r="V76" s="238"/>
      <c r="W76" s="238"/>
      <c r="X76" s="238"/>
      <c r="Y76" s="132" t="str">
        <f>IF((VLOOKUP(E76,classifications!C:K,9,FALSE))="Sparse","S","")</f>
        <v/>
      </c>
      <c r="Z76" s="132"/>
      <c r="AA76" s="132"/>
      <c r="AB76" s="132"/>
      <c r="AC76" s="132"/>
      <c r="AD76" s="250"/>
      <c r="AE76" s="250"/>
      <c r="AF76" s="250"/>
      <c r="AG76" s="250"/>
      <c r="AH76" s="250"/>
      <c r="AI76" s="250"/>
      <c r="AJ76" s="250"/>
      <c r="AK76" s="250"/>
      <c r="AL76" s="250"/>
      <c r="AP76" s="56"/>
    </row>
    <row r="77" spans="2:42" ht="12" customHeight="1">
      <c r="B77" s="243">
        <v>12</v>
      </c>
      <c r="C77" s="235"/>
      <c r="D77" s="235"/>
      <c r="E77" s="233" t="str">
        <f>VLOOKUP(B77,'Filtered Data'!K:L,2,FALSE)</f>
        <v>North East Lincolnshire</v>
      </c>
      <c r="F77" s="233"/>
      <c r="G77" s="233"/>
      <c r="H77" s="233"/>
      <c r="I77" s="233"/>
      <c r="J77" s="233"/>
      <c r="K77" s="233"/>
      <c r="L77" s="233"/>
      <c r="M77" s="233"/>
      <c r="N77" s="233"/>
      <c r="O77" s="233"/>
      <c r="P77" s="233"/>
      <c r="Q77" s="233"/>
      <c r="R77" s="233"/>
      <c r="S77" s="233"/>
      <c r="T77" s="233"/>
      <c r="U77" s="238">
        <f>IF('Filtered Data'!$H$8="%.",(VLOOKUP(B77,'Filtered Data'!K:M,3,FALSE))/100,VLOOKUP(B77,'Filtered Data'!K:M,3,FALSE))</f>
        <v>0.97499999999999998</v>
      </c>
      <c r="V77" s="238"/>
      <c r="W77" s="238"/>
      <c r="X77" s="238"/>
      <c r="Y77" s="132" t="str">
        <f>IF((VLOOKUP(E77,classifications!C:K,9,FALSE))="Sparse","S","")</f>
        <v/>
      </c>
      <c r="Z77" s="132"/>
      <c r="AA77" s="132"/>
      <c r="AB77" s="132"/>
      <c r="AC77" s="132"/>
      <c r="AD77" s="250"/>
      <c r="AE77" s="250"/>
      <c r="AF77" s="250"/>
      <c r="AG77" s="250"/>
      <c r="AH77" s="250"/>
      <c r="AI77" s="250"/>
      <c r="AJ77" s="250"/>
      <c r="AK77" s="250"/>
      <c r="AL77" s="250"/>
      <c r="AP77" s="56"/>
    </row>
    <row r="78" spans="2:42" ht="12" customHeight="1">
      <c r="B78" s="243">
        <v>13</v>
      </c>
      <c r="C78" s="235"/>
      <c r="D78" s="235"/>
      <c r="E78" s="233" t="str">
        <f>VLOOKUP(B78,'Filtered Data'!K:L,2,FALSE)</f>
        <v>York</v>
      </c>
      <c r="F78" s="233"/>
      <c r="G78" s="233"/>
      <c r="H78" s="233"/>
      <c r="I78" s="233"/>
      <c r="J78" s="233"/>
      <c r="K78" s="233"/>
      <c r="L78" s="233"/>
      <c r="M78" s="233"/>
      <c r="N78" s="233"/>
      <c r="O78" s="233"/>
      <c r="P78" s="233"/>
      <c r="Q78" s="233"/>
      <c r="R78" s="233"/>
      <c r="S78" s="233"/>
      <c r="T78" s="233"/>
      <c r="U78" s="238">
        <f>IF('Filtered Data'!$H$8="%.",(VLOOKUP(B78,'Filtered Data'!K:M,3,FALSE))/100,VLOOKUP(B78,'Filtered Data'!K:M,3,FALSE))</f>
        <v>0.94871794871794857</v>
      </c>
      <c r="V78" s="238"/>
      <c r="W78" s="238"/>
      <c r="X78" s="238"/>
      <c r="Y78" s="132" t="str">
        <f>IF((VLOOKUP(E78,classifications!C:K,9,FALSE))="Sparse","S","")</f>
        <v/>
      </c>
      <c r="Z78" s="132"/>
      <c r="AA78" s="132"/>
      <c r="AB78" s="132"/>
      <c r="AC78" s="132"/>
      <c r="AD78" s="250"/>
      <c r="AE78" s="250"/>
      <c r="AF78" s="250"/>
      <c r="AG78" s="250"/>
      <c r="AH78" s="250"/>
      <c r="AI78" s="250"/>
      <c r="AJ78" s="250"/>
      <c r="AK78" s="250"/>
      <c r="AL78" s="250"/>
      <c r="AP78" s="56"/>
    </row>
    <row r="79" spans="2:42" ht="12" customHeight="1">
      <c r="B79" s="243">
        <v>14</v>
      </c>
      <c r="C79" s="235"/>
      <c r="D79" s="235"/>
      <c r="E79" s="233" t="str">
        <f>VLOOKUP(B79,'Filtered Data'!K:L,2,FALSE)</f>
        <v>East Riding of Yorkshire</v>
      </c>
      <c r="F79" s="233"/>
      <c r="G79" s="233"/>
      <c r="H79" s="233"/>
      <c r="I79" s="233"/>
      <c r="J79" s="233"/>
      <c r="K79" s="233"/>
      <c r="L79" s="233"/>
      <c r="M79" s="233"/>
      <c r="N79" s="233"/>
      <c r="O79" s="233"/>
      <c r="P79" s="233"/>
      <c r="Q79" s="233"/>
      <c r="R79" s="233"/>
      <c r="S79" s="233"/>
      <c r="T79" s="233"/>
      <c r="U79" s="238">
        <f>IF('Filtered Data'!$H$8="%.",(VLOOKUP(B79,'Filtered Data'!K:M,3,FALSE))/100,VLOOKUP(B79,'Filtered Data'!K:M,3,FALSE))</f>
        <v>0.94736842105263153</v>
      </c>
      <c r="V79" s="238"/>
      <c r="W79" s="238"/>
      <c r="X79" s="238"/>
      <c r="Y79" s="132" t="str">
        <f>IF((VLOOKUP(E79,classifications!C:K,9,FALSE))="Sparse","S","")</f>
        <v>S</v>
      </c>
      <c r="Z79" s="132"/>
      <c r="AA79" s="132"/>
      <c r="AB79" s="132"/>
      <c r="AC79" s="132"/>
      <c r="AD79" s="250"/>
      <c r="AE79" s="250"/>
      <c r="AF79" s="250"/>
      <c r="AG79" s="250"/>
      <c r="AH79" s="250"/>
      <c r="AI79" s="250"/>
      <c r="AJ79" s="250"/>
      <c r="AK79" s="250"/>
      <c r="AL79" s="250"/>
      <c r="AP79" s="56"/>
    </row>
    <row r="80" spans="2:42" ht="12" customHeight="1">
      <c r="B80" s="243">
        <v>15</v>
      </c>
      <c r="C80" s="235"/>
      <c r="D80" s="235"/>
      <c r="E80" s="233" t="str">
        <f>VLOOKUP(B80,'Filtered Data'!K:L,2,FALSE)</f>
        <v>Cheshire East</v>
      </c>
      <c r="F80" s="233"/>
      <c r="G80" s="233"/>
      <c r="H80" s="233"/>
      <c r="I80" s="233"/>
      <c r="J80" s="233"/>
      <c r="K80" s="233"/>
      <c r="L80" s="233"/>
      <c r="M80" s="233"/>
      <c r="N80" s="233"/>
      <c r="O80" s="233"/>
      <c r="P80" s="233"/>
      <c r="Q80" s="233"/>
      <c r="R80" s="233"/>
      <c r="S80" s="233"/>
      <c r="T80" s="233"/>
      <c r="U80" s="238">
        <f>IF('Filtered Data'!$H$8="%.",(VLOOKUP(B80,'Filtered Data'!K:M,3,FALSE))/100,VLOOKUP(B80,'Filtered Data'!K:M,3,FALSE))</f>
        <v>0.94680851063829796</v>
      </c>
      <c r="V80" s="238"/>
      <c r="W80" s="238"/>
      <c r="X80" s="238"/>
      <c r="Y80" s="132" t="str">
        <f>IF((VLOOKUP(E80,classifications!C:K,9,FALSE))="Sparse","S","")</f>
        <v>S</v>
      </c>
      <c r="Z80" s="132"/>
      <c r="AA80" s="132"/>
      <c r="AB80" s="132"/>
      <c r="AC80" s="132"/>
      <c r="AD80" s="250"/>
      <c r="AE80" s="250"/>
      <c r="AF80" s="250"/>
      <c r="AG80" s="250"/>
      <c r="AH80" s="250"/>
      <c r="AI80" s="250"/>
      <c r="AJ80" s="250"/>
      <c r="AK80" s="250"/>
      <c r="AL80" s="250"/>
      <c r="AP80" s="56"/>
    </row>
    <row r="81" spans="1:48" ht="12" customHeight="1">
      <c r="B81" s="243">
        <v>16</v>
      </c>
      <c r="C81" s="235"/>
      <c r="D81" s="235"/>
      <c r="E81" s="233" t="str">
        <f>VLOOKUP(B81,'Filtered Data'!K:L,2,FALSE)</f>
        <v>Herefordshire</v>
      </c>
      <c r="F81" s="233"/>
      <c r="G81" s="233"/>
      <c r="H81" s="233"/>
      <c r="I81" s="233"/>
      <c r="J81" s="233"/>
      <c r="K81" s="233"/>
      <c r="L81" s="233"/>
      <c r="M81" s="233"/>
      <c r="N81" s="233"/>
      <c r="O81" s="233"/>
      <c r="P81" s="233"/>
      <c r="Q81" s="233"/>
      <c r="R81" s="233"/>
      <c r="S81" s="233"/>
      <c r="T81" s="233"/>
      <c r="U81" s="238">
        <f>IF('Filtered Data'!$H$8="%.",(VLOOKUP(B81,'Filtered Data'!K:M,3,FALSE))/100,VLOOKUP(B81,'Filtered Data'!K:M,3,FALSE))</f>
        <v>0.9464285714285714</v>
      </c>
      <c r="V81" s="238"/>
      <c r="W81" s="238"/>
      <c r="X81" s="238"/>
      <c r="Y81" s="132" t="str">
        <f>IF((VLOOKUP(E81,classifications!C:K,9,FALSE))="Sparse","S","")</f>
        <v>S</v>
      </c>
      <c r="Z81" s="132"/>
      <c r="AA81" s="132"/>
      <c r="AB81" s="132"/>
      <c r="AC81" s="132"/>
      <c r="AD81" s="250"/>
      <c r="AE81" s="250"/>
      <c r="AF81" s="250"/>
      <c r="AG81" s="250"/>
      <c r="AH81" s="250"/>
      <c r="AI81" s="250"/>
      <c r="AJ81" s="250"/>
      <c r="AK81" s="250"/>
      <c r="AL81" s="250"/>
      <c r="AP81" s="56"/>
    </row>
    <row r="82" spans="1:48" ht="12" customHeight="1">
      <c r="B82" s="243">
        <v>17</v>
      </c>
      <c r="C82" s="235"/>
      <c r="D82" s="235"/>
      <c r="E82" s="233" t="str">
        <f>VLOOKUP(B82,'Filtered Data'!K:L,2,FALSE)</f>
        <v>Cheshire West &amp; Chester</v>
      </c>
      <c r="F82" s="233"/>
      <c r="G82" s="233"/>
      <c r="H82" s="233"/>
      <c r="I82" s="233"/>
      <c r="J82" s="233"/>
      <c r="K82" s="233"/>
      <c r="L82" s="233"/>
      <c r="M82" s="233"/>
      <c r="N82" s="233"/>
      <c r="O82" s="233"/>
      <c r="P82" s="233"/>
      <c r="Q82" s="233"/>
      <c r="R82" s="233"/>
      <c r="S82" s="233"/>
      <c r="T82" s="233"/>
      <c r="U82" s="238">
        <f>IF('Filtered Data'!$H$8="%.",(VLOOKUP(B82,'Filtered Data'!K:M,3,FALSE))/100,VLOOKUP(B82,'Filtered Data'!K:M,3,FALSE))</f>
        <v>0.94444444444444442</v>
      </c>
      <c r="V82" s="238"/>
      <c r="W82" s="238"/>
      <c r="X82" s="238"/>
      <c r="Y82" s="132" t="str">
        <f>IF((VLOOKUP(E82,classifications!C:K,9,FALSE))="Sparse","S","")</f>
        <v/>
      </c>
      <c r="Z82" s="132"/>
      <c r="AA82" s="132"/>
      <c r="AB82" s="132"/>
      <c r="AC82" s="132"/>
      <c r="AD82" s="250"/>
      <c r="AE82" s="250"/>
      <c r="AF82" s="250"/>
      <c r="AG82" s="250"/>
      <c r="AH82" s="250"/>
      <c r="AI82" s="250"/>
      <c r="AJ82" s="250"/>
      <c r="AK82" s="250"/>
      <c r="AL82" s="250"/>
      <c r="AP82" s="56"/>
    </row>
    <row r="83" spans="1:48" ht="12" customHeight="1">
      <c r="B83" s="243">
        <v>18</v>
      </c>
      <c r="C83" s="235"/>
      <c r="D83" s="235"/>
      <c r="E83" s="233" t="str">
        <f>VLOOKUP(B83,'Filtered Data'!K:L,2,FALSE)</f>
        <v>Kingston upon Hull</v>
      </c>
      <c r="F83" s="233"/>
      <c r="G83" s="233"/>
      <c r="H83" s="233"/>
      <c r="I83" s="233"/>
      <c r="J83" s="233"/>
      <c r="K83" s="233"/>
      <c r="L83" s="233"/>
      <c r="M83" s="233"/>
      <c r="N83" s="233"/>
      <c r="O83" s="233"/>
      <c r="P83" s="233"/>
      <c r="Q83" s="233"/>
      <c r="R83" s="233"/>
      <c r="S83" s="233"/>
      <c r="T83" s="233"/>
      <c r="U83" s="238">
        <f>IF('Filtered Data'!$H$8="%.",(VLOOKUP(B83,'Filtered Data'!K:M,3,FALSE))/100,VLOOKUP(B83,'Filtered Data'!K:M,3,FALSE))</f>
        <v>0.94444444444444442</v>
      </c>
      <c r="V83" s="238"/>
      <c r="W83" s="238"/>
      <c r="X83" s="238"/>
      <c r="Y83" s="132" t="str">
        <f>IF((VLOOKUP(E83,classifications!C:K,9,FALSE))="Sparse","S","")</f>
        <v/>
      </c>
      <c r="Z83" s="132"/>
      <c r="AA83" s="132"/>
      <c r="AB83" s="132"/>
      <c r="AC83" s="132"/>
      <c r="AD83" s="250"/>
      <c r="AE83" s="250"/>
      <c r="AF83" s="250"/>
      <c r="AG83" s="250"/>
      <c r="AH83" s="250"/>
      <c r="AI83" s="250"/>
      <c r="AJ83" s="250"/>
      <c r="AK83" s="250"/>
      <c r="AL83" s="250"/>
      <c r="AP83" s="56"/>
    </row>
    <row r="84" spans="1:48" ht="12" customHeight="1">
      <c r="B84" s="243">
        <v>19</v>
      </c>
      <c r="C84" s="235"/>
      <c r="D84" s="235"/>
      <c r="E84" s="233" t="str">
        <f>VLOOKUP(B84,'Filtered Data'!K:L,2,FALSE)</f>
        <v>Brighton &amp; Hove</v>
      </c>
      <c r="F84" s="233"/>
      <c r="G84" s="233"/>
      <c r="H84" s="233"/>
      <c r="I84" s="233"/>
      <c r="J84" s="233"/>
      <c r="K84" s="233"/>
      <c r="L84" s="233"/>
      <c r="M84" s="233"/>
      <c r="N84" s="233"/>
      <c r="O84" s="233"/>
      <c r="P84" s="233"/>
      <c r="Q84" s="233"/>
      <c r="R84" s="233"/>
      <c r="S84" s="233"/>
      <c r="T84" s="233"/>
      <c r="U84" s="238">
        <f>IF('Filtered Data'!$H$8="%.",(VLOOKUP(B84,'Filtered Data'!K:M,3,FALSE))/100,VLOOKUP(B84,'Filtered Data'!K:M,3,FALSE))</f>
        <v>0.94285714285714273</v>
      </c>
      <c r="V84" s="238"/>
      <c r="W84" s="238"/>
      <c r="X84" s="238"/>
      <c r="Y84" s="132" t="str">
        <f>IF((VLOOKUP(E84,classifications!C:K,9,FALSE))="Sparse","S","")</f>
        <v/>
      </c>
      <c r="Z84" s="132"/>
      <c r="AA84" s="132"/>
      <c r="AB84" s="132"/>
      <c r="AC84" s="132"/>
      <c r="AD84" s="250"/>
      <c r="AE84" s="250"/>
      <c r="AF84" s="250"/>
      <c r="AG84" s="250"/>
      <c r="AH84" s="250"/>
      <c r="AI84" s="250"/>
      <c r="AJ84" s="250"/>
      <c r="AK84" s="250"/>
      <c r="AL84" s="250"/>
      <c r="AP84" s="56"/>
    </row>
    <row r="85" spans="1:48" ht="12" customHeight="1">
      <c r="B85" s="243">
        <v>20</v>
      </c>
      <c r="C85" s="243"/>
      <c r="D85" s="243"/>
      <c r="E85" s="233" t="str">
        <f>VLOOKUP(B85,'Filtered Data'!K:L,2,FALSE)</f>
        <v>Reading</v>
      </c>
      <c r="F85" s="233"/>
      <c r="G85" s="233"/>
      <c r="H85" s="233"/>
      <c r="I85" s="233"/>
      <c r="J85" s="233"/>
      <c r="K85" s="233"/>
      <c r="L85" s="233"/>
      <c r="M85" s="233"/>
      <c r="N85" s="233"/>
      <c r="O85" s="233"/>
      <c r="P85" s="233"/>
      <c r="Q85" s="233"/>
      <c r="R85" s="233"/>
      <c r="S85" s="233"/>
      <c r="T85" s="233"/>
      <c r="U85" s="238">
        <f>IF('Filtered Data'!$H$8="%.",(VLOOKUP(B85,'Filtered Data'!K:M,3,FALSE))/100,VLOOKUP(B85,'Filtered Data'!K:M,3,FALSE))</f>
        <v>0.94117647058823517</v>
      </c>
      <c r="V85" s="238"/>
      <c r="W85" s="238"/>
      <c r="X85" s="238"/>
      <c r="Y85" s="132" t="str">
        <f>IF((VLOOKUP(E85,classifications!C:K,9,FALSE))="Sparse","S","")</f>
        <v/>
      </c>
      <c r="Z85" s="132"/>
      <c r="AA85" s="132"/>
      <c r="AB85" s="132"/>
      <c r="AC85" s="132"/>
      <c r="AD85" s="250"/>
      <c r="AE85" s="250"/>
      <c r="AF85" s="250"/>
      <c r="AG85" s="250"/>
      <c r="AH85" s="250"/>
      <c r="AI85" s="250"/>
      <c r="AJ85" s="250"/>
      <c r="AK85" s="250"/>
      <c r="AL85" s="250"/>
      <c r="AP85" s="56"/>
    </row>
    <row r="86" spans="1:48" ht="12" customHeight="1">
      <c r="A86" s="51"/>
      <c r="B86" s="245" t="str">
        <f>IF(Q37&lt;=MAX(B66:D85),"",Q37)</f>
        <v/>
      </c>
      <c r="C86" s="245"/>
      <c r="D86" s="245"/>
      <c r="E86" s="244" t="str">
        <f>IF(B86="","",VLOOKUP(B86,'Filtered Data'!K:L,2,FALSE))</f>
        <v/>
      </c>
      <c r="F86" s="244"/>
      <c r="G86" s="244"/>
      <c r="H86" s="244"/>
      <c r="I86" s="244"/>
      <c r="J86" s="244"/>
      <c r="K86" s="244"/>
      <c r="L86" s="244"/>
      <c r="M86" s="244"/>
      <c r="N86" s="244"/>
      <c r="O86" s="244"/>
      <c r="P86" s="244"/>
      <c r="Q86" s="244"/>
      <c r="R86" s="244"/>
      <c r="S86" s="244"/>
      <c r="T86" s="244"/>
      <c r="U86" s="309" t="str">
        <f>IF(B86="","",L35)</f>
        <v/>
      </c>
      <c r="V86" s="309"/>
      <c r="W86" s="309"/>
      <c r="X86" s="309"/>
      <c r="Y86" s="132" t="str">
        <f>IF(B86="","",IF((VLOOKUP(E86,classifications!C:K,9,FALSE))="Sparse","S",""))</f>
        <v/>
      </c>
      <c r="Z86" s="132"/>
      <c r="AA86" s="132"/>
      <c r="AB86" s="132"/>
      <c r="AC86" s="132"/>
      <c r="AD86" s="310"/>
      <c r="AE86" s="310"/>
      <c r="AF86" s="310"/>
      <c r="AG86" s="310"/>
      <c r="AH86" s="310"/>
      <c r="AI86" s="310"/>
      <c r="AJ86" s="310"/>
      <c r="AK86" s="310"/>
      <c r="AL86" s="310"/>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46" t="str">
        <f>IF('Filtered Data'!D1="MD","",IF('Filtered Data'!D1="SC","","Rank"))</f>
        <v>Rank</v>
      </c>
      <c r="C91" s="246"/>
      <c r="D91" s="246"/>
      <c r="E91" s="234" t="str">
        <f>IF('Filtered Data'!D1="MD","",IF('Filtered Data'!D1="SC","","Authority"))</f>
        <v>Authority</v>
      </c>
      <c r="F91" s="234"/>
      <c r="G91" s="234"/>
      <c r="H91" s="234"/>
      <c r="I91" s="234"/>
      <c r="J91" s="234"/>
      <c r="K91" s="234"/>
      <c r="L91" s="234"/>
      <c r="M91" s="234"/>
      <c r="N91" s="234"/>
      <c r="O91" s="231"/>
      <c r="P91" s="231"/>
      <c r="Q91" s="231"/>
      <c r="R91" s="231"/>
      <c r="S91" s="231"/>
      <c r="T91" s="231"/>
      <c r="U91" s="246" t="str">
        <f>IF('Filtered Data'!D1="MD","",IF('Filtered Data'!D1="SC","","Value"))</f>
        <v>Value</v>
      </c>
      <c r="V91" s="246"/>
      <c r="W91" s="246"/>
      <c r="X91" s="246"/>
      <c r="AA91" s="246"/>
      <c r="AB91" s="246"/>
      <c r="AC91" s="246"/>
      <c r="AD91" s="234"/>
      <c r="AE91" s="234"/>
      <c r="AF91" s="234"/>
      <c r="AG91" s="234"/>
      <c r="AH91" s="234"/>
      <c r="AI91" s="234"/>
      <c r="AJ91" s="234"/>
      <c r="AK91" s="234"/>
      <c r="AL91" s="234"/>
      <c r="AM91" s="234"/>
      <c r="AN91" s="246"/>
      <c r="AO91" s="246"/>
      <c r="AP91" s="246"/>
      <c r="AV91" s="56"/>
    </row>
    <row r="92" spans="1:48" ht="12" customHeight="1">
      <c r="B92" s="241">
        <f>IF('Filtered Data'!$D$1="MD","",IF('Filtered Data'!$D$1="SC","",IF('Filtered Data'!$D$1="UA",'Filtered Data'!AS11,'Filtered Data'!AL11)))</f>
        <v>1</v>
      </c>
      <c r="C92" s="242"/>
      <c r="D92" s="24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3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38"/>
      <c r="W92" s="238"/>
      <c r="X92" s="238"/>
      <c r="Y92" s="133" t="str">
        <f>IF(E92="","",IF((VLOOKUP(E92,classifications!C:K,9,FALSE))="Sparse","S",""))</f>
        <v/>
      </c>
      <c r="AA92" s="248"/>
      <c r="AB92" s="235"/>
      <c r="AC92" s="235"/>
      <c r="AD92" s="233"/>
      <c r="AE92" s="233"/>
      <c r="AF92" s="233"/>
      <c r="AG92" s="233"/>
      <c r="AH92" s="233"/>
      <c r="AI92" s="233"/>
      <c r="AJ92" s="233"/>
      <c r="AK92" s="233"/>
      <c r="AL92" s="233"/>
      <c r="AM92" s="233"/>
      <c r="AN92" s="308"/>
      <c r="AO92" s="308"/>
      <c r="AP92" s="308"/>
      <c r="AQ92" s="308"/>
      <c r="AR92" s="133"/>
      <c r="AV92" s="56"/>
    </row>
    <row r="93" spans="1:48" ht="12" customHeight="1">
      <c r="B93" s="241">
        <f>IF('Filtered Data'!$D$1="MD","",IF('Filtered Data'!$D$1="SC","",IF('Filtered Data'!$D$1="UA",'Filtered Data'!AS12,'Filtered Data'!AL12)))</f>
        <v>2</v>
      </c>
      <c r="C93" s="242"/>
      <c r="D93" s="242"/>
      <c r="E93" s="244" t="str">
        <f>IF(B93="","",IF('Filtered Data'!$D$1="UA",VLOOKUP(B93,'Filtered Data'!AS:AU,2,FALSE),VLOOKUP(B93,'Filtered Data'!AL:AN,2,FALSE)))</f>
        <v>Cheshire East</v>
      </c>
      <c r="F93" s="244"/>
      <c r="G93" s="244"/>
      <c r="H93" s="244"/>
      <c r="I93" s="244"/>
      <c r="J93" s="244"/>
      <c r="K93" s="244"/>
      <c r="L93" s="244"/>
      <c r="M93" s="244"/>
      <c r="N93" s="244"/>
      <c r="O93" s="244"/>
      <c r="P93" s="244"/>
      <c r="Q93" s="244"/>
      <c r="R93" s="244"/>
      <c r="S93" s="244"/>
      <c r="T93" s="244"/>
      <c r="U93" s="23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0.94680851063829796</v>
      </c>
      <c r="V93" s="238"/>
      <c r="W93" s="238"/>
      <c r="X93" s="238"/>
      <c r="Y93" s="133" t="str">
        <f>IF(E93="","",IF((VLOOKUP(E93,classifications!C:K,9,FALSE))="Sparse","S",""))</f>
        <v>S</v>
      </c>
      <c r="AA93" s="248"/>
      <c r="AB93" s="235"/>
      <c r="AC93" s="235"/>
      <c r="AD93" s="233"/>
      <c r="AE93" s="233"/>
      <c r="AF93" s="233"/>
      <c r="AG93" s="233"/>
      <c r="AH93" s="233"/>
      <c r="AI93" s="233"/>
      <c r="AJ93" s="233"/>
      <c r="AK93" s="233"/>
      <c r="AL93" s="233"/>
      <c r="AM93" s="233"/>
      <c r="AN93" s="308"/>
      <c r="AO93" s="308"/>
      <c r="AP93" s="308"/>
      <c r="AQ93" s="308"/>
      <c r="AR93" s="133"/>
      <c r="AV93" s="56"/>
    </row>
    <row r="94" spans="1:48" ht="12" customHeight="1">
      <c r="B94" s="241">
        <f>IF('Filtered Data'!$D$1="MD","",IF('Filtered Data'!$D$1="SC","",IF('Filtered Data'!$D$1="UA",'Filtered Data'!AS13,'Filtered Data'!AL13)))</f>
        <v>3</v>
      </c>
      <c r="C94" s="242"/>
      <c r="D94" s="242"/>
      <c r="E94" s="244" t="str">
        <f>IF(B94="","",IF('Filtered Data'!$D$1="UA",VLOOKUP(B94,'Filtered Data'!AS:AU,2,FALSE),VLOOKUP(B94,'Filtered Data'!AL:AN,2,FALSE)))</f>
        <v>Cheshire West &amp; Chester</v>
      </c>
      <c r="F94" s="244"/>
      <c r="G94" s="244"/>
      <c r="H94" s="244"/>
      <c r="I94" s="244"/>
      <c r="J94" s="244"/>
      <c r="K94" s="244"/>
      <c r="L94" s="244"/>
      <c r="M94" s="244"/>
      <c r="N94" s="244"/>
      <c r="O94" s="244"/>
      <c r="P94" s="244"/>
      <c r="Q94" s="244"/>
      <c r="R94" s="244"/>
      <c r="S94" s="244"/>
      <c r="T94" s="244"/>
      <c r="U94" s="23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0.94444444444444442</v>
      </c>
      <c r="V94" s="238"/>
      <c r="W94" s="238"/>
      <c r="X94" s="238"/>
      <c r="Y94" s="133" t="str">
        <f>IF(E94="","",IF((VLOOKUP(E94,classifications!C:K,9,FALSE))="Sparse","S",""))</f>
        <v/>
      </c>
      <c r="AA94" s="248"/>
      <c r="AB94" s="235"/>
      <c r="AC94" s="235"/>
      <c r="AD94" s="233"/>
      <c r="AE94" s="233"/>
      <c r="AF94" s="233"/>
      <c r="AG94" s="233"/>
      <c r="AH94" s="233"/>
      <c r="AI94" s="233"/>
      <c r="AJ94" s="233"/>
      <c r="AK94" s="233"/>
      <c r="AL94" s="233"/>
      <c r="AM94" s="233"/>
      <c r="AN94" s="308"/>
      <c r="AO94" s="308"/>
      <c r="AP94" s="308"/>
      <c r="AQ94" s="308"/>
      <c r="AR94" s="133"/>
      <c r="AV94" s="56"/>
    </row>
    <row r="95" spans="1:48" ht="12" customHeight="1">
      <c r="B95" s="241">
        <f>IF('Filtered Data'!$D$1="MD","",IF('Filtered Data'!$D$1="SC","",IF('Filtered Data'!$D$1="UA",'Filtered Data'!AS14,'Filtered Data'!AL14)))</f>
        <v>4</v>
      </c>
      <c r="C95" s="242"/>
      <c r="D95" s="242"/>
      <c r="E95" s="244" t="str">
        <f>IF(B95="","",IF('Filtered Data'!$D$1="UA",VLOOKUP(B95,'Filtered Data'!AS:AU,2,FALSE),VLOOKUP(B95,'Filtered Data'!AL:AN,2,FALSE)))</f>
        <v>Westmorland &amp; Furness</v>
      </c>
      <c r="F95" s="244"/>
      <c r="G95" s="244"/>
      <c r="H95" s="244"/>
      <c r="I95" s="244"/>
      <c r="J95" s="244"/>
      <c r="K95" s="244"/>
      <c r="L95" s="244"/>
      <c r="M95" s="244"/>
      <c r="N95" s="244"/>
      <c r="O95" s="244"/>
      <c r="P95" s="244"/>
      <c r="Q95" s="244"/>
      <c r="R95" s="244"/>
      <c r="S95" s="244"/>
      <c r="T95" s="244"/>
      <c r="U95" s="23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0.89473684210526316</v>
      </c>
      <c r="V95" s="238"/>
      <c r="W95" s="238"/>
      <c r="X95" s="238"/>
      <c r="Y95" s="133" t="str">
        <f>IF(E95="","",IF((VLOOKUP(E95,classifications!C:K,9,FALSE))="Sparse","S",""))</f>
        <v>S</v>
      </c>
      <c r="AA95" s="248"/>
      <c r="AB95" s="235"/>
      <c r="AC95" s="235"/>
      <c r="AD95" s="233"/>
      <c r="AE95" s="233"/>
      <c r="AF95" s="233"/>
      <c r="AG95" s="233"/>
      <c r="AH95" s="233"/>
      <c r="AI95" s="233"/>
      <c r="AJ95" s="233"/>
      <c r="AK95" s="233"/>
      <c r="AL95" s="233"/>
      <c r="AM95" s="233"/>
      <c r="AN95" s="308"/>
      <c r="AO95" s="308"/>
      <c r="AP95" s="308"/>
      <c r="AQ95" s="308"/>
      <c r="AR95" s="133"/>
      <c r="AV95" s="56"/>
    </row>
    <row r="96" spans="1:48" ht="12" customHeight="1">
      <c r="B96" s="241">
        <f>IF('Filtered Data'!$D$1="MD","",IF('Filtered Data'!$D$1="SC","",IF('Filtered Data'!$D$1="UA",'Filtered Data'!AS15,'Filtered Data'!AL15)))</f>
        <v>5</v>
      </c>
      <c r="C96" s="242"/>
      <c r="D96" s="242"/>
      <c r="E96" s="244" t="str">
        <f>IF(B96="","",IF('Filtered Data'!$D$1="UA",VLOOKUP(B96,'Filtered Data'!AS:AU,2,FALSE),VLOOKUP(B96,'Filtered Data'!AL:AN,2,FALSE)))</f>
        <v>Blackpool</v>
      </c>
      <c r="F96" s="244"/>
      <c r="G96" s="244"/>
      <c r="H96" s="244"/>
      <c r="I96" s="244"/>
      <c r="J96" s="244"/>
      <c r="K96" s="244"/>
      <c r="L96" s="244"/>
      <c r="M96" s="244"/>
      <c r="N96" s="244"/>
      <c r="O96" s="244"/>
      <c r="P96" s="244"/>
      <c r="Q96" s="244"/>
      <c r="R96" s="244"/>
      <c r="S96" s="244"/>
      <c r="T96" s="244"/>
      <c r="U96" s="23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0.88888888888888884</v>
      </c>
      <c r="V96" s="238"/>
      <c r="W96" s="238"/>
      <c r="X96" s="238"/>
      <c r="Y96" s="133" t="str">
        <f>IF(E96="","",IF((VLOOKUP(E96,classifications!C:K,9,FALSE))="Sparse","S",""))</f>
        <v/>
      </c>
      <c r="AA96" s="248"/>
      <c r="AB96" s="235"/>
      <c r="AC96" s="235"/>
      <c r="AD96" s="233"/>
      <c r="AE96" s="233"/>
      <c r="AF96" s="233"/>
      <c r="AG96" s="233"/>
      <c r="AH96" s="233"/>
      <c r="AI96" s="233"/>
      <c r="AJ96" s="233"/>
      <c r="AK96" s="233"/>
      <c r="AL96" s="233"/>
      <c r="AM96" s="233"/>
      <c r="AN96" s="308"/>
      <c r="AO96" s="308"/>
      <c r="AP96" s="308"/>
      <c r="AQ96" s="308"/>
      <c r="AR96" s="133"/>
      <c r="AV96" s="56"/>
    </row>
    <row r="97" spans="2:48" ht="12" customHeight="1">
      <c r="B97" s="241">
        <f>IF('Filtered Data'!$D$1="MD","",IF('Filtered Data'!$D$1="SC","",IF('Filtered Data'!$D$1="UA",'Filtered Data'!AS16,'Filtered Data'!AL16)))</f>
        <v>6</v>
      </c>
      <c r="C97" s="242"/>
      <c r="D97" s="242"/>
      <c r="E97" s="244" t="str">
        <f>IF(B97="","",IF('Filtered Data'!$D$1="UA",VLOOKUP(B97,'Filtered Data'!AS:AU,2,FALSE),VLOOKUP(B97,'Filtered Data'!AL:AN,2,FALSE)))</f>
        <v>Halton</v>
      </c>
      <c r="F97" s="244"/>
      <c r="G97" s="244"/>
      <c r="H97" s="244"/>
      <c r="I97" s="244"/>
      <c r="J97" s="244"/>
      <c r="K97" s="244"/>
      <c r="L97" s="244"/>
      <c r="M97" s="244"/>
      <c r="N97" s="244"/>
      <c r="O97" s="244"/>
      <c r="P97" s="244"/>
      <c r="Q97" s="244"/>
      <c r="R97" s="244"/>
      <c r="S97" s="244"/>
      <c r="T97" s="244"/>
      <c r="U97" s="23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0.85185185185185186</v>
      </c>
      <c r="V97" s="238"/>
      <c r="W97" s="238"/>
      <c r="X97" s="238"/>
      <c r="Y97" s="133" t="str">
        <f>IF(E97="","",IF((VLOOKUP(E97,classifications!C:K,9,FALSE))="Sparse","S",""))</f>
        <v/>
      </c>
      <c r="AA97" s="248"/>
      <c r="AB97" s="235"/>
      <c r="AC97" s="235"/>
      <c r="AD97" s="233"/>
      <c r="AE97" s="233"/>
      <c r="AF97" s="233"/>
      <c r="AG97" s="233"/>
      <c r="AH97" s="233"/>
      <c r="AI97" s="233"/>
      <c r="AJ97" s="233"/>
      <c r="AK97" s="233"/>
      <c r="AL97" s="233"/>
      <c r="AM97" s="233"/>
      <c r="AN97" s="308"/>
      <c r="AO97" s="308"/>
      <c r="AP97" s="308"/>
      <c r="AQ97" s="308"/>
      <c r="AR97" s="133"/>
      <c r="AV97" s="56"/>
    </row>
    <row r="98" spans="2:48" ht="12" customHeight="1">
      <c r="B98" s="241">
        <f>IF('Filtered Data'!$D$1="MD","",IF('Filtered Data'!$D$1="SC","",IF('Filtered Data'!$D$1="UA",'Filtered Data'!AS17,'Filtered Data'!AL17)))</f>
        <v>7</v>
      </c>
      <c r="C98" s="242"/>
      <c r="D98" s="242"/>
      <c r="E98" s="244" t="str">
        <f>IF(B98="","",IF('Filtered Data'!$D$1="UA",VLOOKUP(B98,'Filtered Data'!AS:AU,2,FALSE),VLOOKUP(B98,'Filtered Data'!AL:AN,2,FALSE)))</f>
        <v>Cumberland</v>
      </c>
      <c r="F98" s="244"/>
      <c r="G98" s="244"/>
      <c r="H98" s="244"/>
      <c r="I98" s="244"/>
      <c r="J98" s="244"/>
      <c r="K98" s="244"/>
      <c r="L98" s="244"/>
      <c r="M98" s="244"/>
      <c r="N98" s="244"/>
      <c r="O98" s="244"/>
      <c r="P98" s="244"/>
      <c r="Q98" s="244"/>
      <c r="R98" s="244"/>
      <c r="S98" s="244"/>
      <c r="T98" s="244"/>
      <c r="U98" s="238">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0.84210526315789469</v>
      </c>
      <c r="V98" s="238"/>
      <c r="W98" s="238"/>
      <c r="X98" s="238"/>
      <c r="Y98" s="133" t="str">
        <f>IF(E98="","",IF((VLOOKUP(E98,classifications!C:K,9,FALSE))="Sparse","S",""))</f>
        <v>S</v>
      </c>
      <c r="AA98" s="248"/>
      <c r="AB98" s="235"/>
      <c r="AC98" s="235"/>
      <c r="AD98" s="233"/>
      <c r="AE98" s="233"/>
      <c r="AF98" s="233"/>
      <c r="AG98" s="233"/>
      <c r="AH98" s="233"/>
      <c r="AI98" s="233"/>
      <c r="AJ98" s="233"/>
      <c r="AK98" s="233"/>
      <c r="AL98" s="233"/>
      <c r="AM98" s="233"/>
      <c r="AN98" s="308"/>
      <c r="AO98" s="308"/>
      <c r="AP98" s="308"/>
      <c r="AQ98" s="308"/>
      <c r="AR98" s="133"/>
      <c r="AV98" s="56"/>
    </row>
    <row r="99" spans="2:48" ht="12" customHeight="1">
      <c r="B99" s="241">
        <f>IF('Filtered Data'!$D$1="MD","",IF('Filtered Data'!$D$1="SC","",IF('Filtered Data'!$D$1="UA",'Filtered Data'!AS18,'Filtered Data'!AL18)))</f>
        <v>8</v>
      </c>
      <c r="C99" s="242"/>
      <c r="D99" s="242"/>
      <c r="E99" s="244" t="str">
        <f>IF(B99="","",IF('Filtered Data'!$D$1="UA",VLOOKUP(B99,'Filtered Data'!AS:AU,2,FALSE),VLOOKUP(B99,'Filtered Data'!AL:AN,2,FALSE)))</f>
        <v>Warrington</v>
      </c>
      <c r="F99" s="244"/>
      <c r="G99" s="244"/>
      <c r="H99" s="244"/>
      <c r="I99" s="244"/>
      <c r="J99" s="244"/>
      <c r="K99" s="244"/>
      <c r="L99" s="244"/>
      <c r="M99" s="244"/>
      <c r="N99" s="244"/>
      <c r="O99" s="244"/>
      <c r="P99" s="244"/>
      <c r="Q99" s="244"/>
      <c r="R99" s="244"/>
      <c r="S99" s="244"/>
      <c r="T99" s="244"/>
      <c r="U99" s="238">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0.82758620689655171</v>
      </c>
      <c r="V99" s="238"/>
      <c r="W99" s="238"/>
      <c r="X99" s="238"/>
      <c r="Y99" s="133" t="str">
        <f>IF(E99="","",IF((VLOOKUP(E99,classifications!C:K,9,FALSE))="Sparse","S",""))</f>
        <v/>
      </c>
      <c r="AA99" s="248"/>
      <c r="AB99" s="235"/>
      <c r="AC99" s="235"/>
      <c r="AD99" s="233"/>
      <c r="AE99" s="233"/>
      <c r="AF99" s="233"/>
      <c r="AG99" s="233"/>
      <c r="AH99" s="233"/>
      <c r="AI99" s="233"/>
      <c r="AJ99" s="233"/>
      <c r="AK99" s="233"/>
      <c r="AL99" s="233"/>
      <c r="AM99" s="233"/>
      <c r="AN99" s="308"/>
      <c r="AO99" s="308"/>
      <c r="AP99" s="308"/>
      <c r="AQ99" s="308"/>
      <c r="AR99" s="133"/>
      <c r="AV99" s="56"/>
    </row>
    <row r="100" spans="2:48" ht="12" customHeight="1">
      <c r="B100" s="241" t="str">
        <f>IF('Filtered Data'!$D$1="MD","",IF('Filtered Data'!$D$1="SC","",IF('Filtered Data'!$D$1="UA",'Filtered Data'!AS19,'Filtered Data'!AL19)))</f>
        <v/>
      </c>
      <c r="C100" s="242"/>
      <c r="D100" s="24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3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8"/>
      <c r="W100" s="238"/>
      <c r="X100" s="238"/>
      <c r="Y100" s="133" t="str">
        <f>IF(E100="","",IF((VLOOKUP(E100,classifications!C:K,9,FALSE))="Sparse","S",""))</f>
        <v/>
      </c>
      <c r="AA100" s="248"/>
      <c r="AB100" s="235"/>
      <c r="AC100" s="235"/>
      <c r="AD100" s="233"/>
      <c r="AE100" s="233"/>
      <c r="AF100" s="233"/>
      <c r="AG100" s="233"/>
      <c r="AH100" s="233"/>
      <c r="AI100" s="233"/>
      <c r="AJ100" s="233"/>
      <c r="AK100" s="233"/>
      <c r="AL100" s="233"/>
      <c r="AM100" s="233"/>
      <c r="AN100" s="308"/>
      <c r="AO100" s="308"/>
      <c r="AP100" s="308"/>
      <c r="AQ100" s="308"/>
      <c r="AR100" s="133"/>
      <c r="AV100" s="56"/>
    </row>
    <row r="101" spans="2:48" ht="12" customHeight="1">
      <c r="B101" s="241" t="str">
        <f>IF('Filtered Data'!$D$1="MD","",IF('Filtered Data'!$D$1="SC","",IF('Filtered Data'!$D$1="UA",'Filtered Data'!AS20,'Filtered Data'!AL20)))</f>
        <v/>
      </c>
      <c r="C101" s="242"/>
      <c r="D101" s="24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3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8"/>
      <c r="W101" s="238"/>
      <c r="X101" s="238"/>
      <c r="Y101" s="133" t="str">
        <f>IF(E101="","",IF((VLOOKUP(E101,classifications!C:K,9,FALSE))="Sparse","S",""))</f>
        <v/>
      </c>
      <c r="AA101" s="248"/>
      <c r="AB101" s="235"/>
      <c r="AC101" s="235"/>
      <c r="AD101" s="233"/>
      <c r="AE101" s="233"/>
      <c r="AF101" s="233"/>
      <c r="AG101" s="233"/>
      <c r="AH101" s="233"/>
      <c r="AI101" s="233"/>
      <c r="AJ101" s="233"/>
      <c r="AK101" s="233"/>
      <c r="AL101" s="233"/>
      <c r="AM101" s="233"/>
      <c r="AN101" s="308"/>
      <c r="AO101" s="308"/>
      <c r="AP101" s="308"/>
      <c r="AQ101" s="308"/>
      <c r="AR101" s="133"/>
      <c r="AV101" s="56"/>
    </row>
    <row r="102" spans="2:48" ht="12" customHeight="1">
      <c r="B102" s="241" t="str">
        <f>IF('Filtered Data'!$D$1="MD","",IF('Filtered Data'!$D$1="SC","",IF('Filtered Data'!$D$1="UA",'Filtered Data'!AS21,'Filtered Data'!AL21)))</f>
        <v/>
      </c>
      <c r="C102" s="242"/>
      <c r="D102" s="24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3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8"/>
      <c r="W102" s="238"/>
      <c r="X102" s="238"/>
      <c r="Y102" s="133" t="str">
        <f>IF(E102="","",IF((VLOOKUP(E102,classifications!C:K,9,FALSE))="Sparse","S",""))</f>
        <v/>
      </c>
      <c r="AA102" s="248"/>
      <c r="AB102" s="235"/>
      <c r="AC102" s="235"/>
      <c r="AD102" s="233"/>
      <c r="AE102" s="233"/>
      <c r="AF102" s="233"/>
      <c r="AG102" s="233"/>
      <c r="AH102" s="233"/>
      <c r="AI102" s="233"/>
      <c r="AJ102" s="233"/>
      <c r="AK102" s="233"/>
      <c r="AL102" s="233"/>
      <c r="AM102" s="233"/>
      <c r="AN102" s="308"/>
      <c r="AO102" s="308"/>
      <c r="AP102" s="308"/>
      <c r="AQ102" s="308"/>
      <c r="AR102" s="133"/>
      <c r="AV102" s="56"/>
    </row>
    <row r="103" spans="2:48" ht="12" customHeight="1">
      <c r="B103" s="241" t="str">
        <f>IF('Filtered Data'!$D$1="MD","",IF('Filtered Data'!$D$1="SC","",IF('Filtered Data'!$D$1="UA",'Filtered Data'!AS22,'Filtered Data'!AL22)))</f>
        <v/>
      </c>
      <c r="C103" s="242"/>
      <c r="D103" s="24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3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8"/>
      <c r="W103" s="238"/>
      <c r="X103" s="238"/>
      <c r="Y103" s="133" t="str">
        <f>IF(E103="","",IF((VLOOKUP(E103,classifications!C:K,9,FALSE))="Sparse","S",""))</f>
        <v/>
      </c>
      <c r="AA103" s="248"/>
      <c r="AB103" s="235"/>
      <c r="AC103" s="235"/>
      <c r="AD103" s="233"/>
      <c r="AE103" s="233"/>
      <c r="AF103" s="233"/>
      <c r="AG103" s="233"/>
      <c r="AH103" s="233"/>
      <c r="AI103" s="233"/>
      <c r="AJ103" s="233"/>
      <c r="AK103" s="233"/>
      <c r="AL103" s="233"/>
      <c r="AM103" s="233"/>
      <c r="AN103" s="308"/>
      <c r="AO103" s="308"/>
      <c r="AP103" s="308"/>
      <c r="AQ103" s="308"/>
      <c r="AR103" s="133"/>
      <c r="AV103" s="56"/>
    </row>
    <row r="104" spans="2:48" ht="12" customHeight="1">
      <c r="B104" s="241" t="str">
        <f>IF('Filtered Data'!$D$1="MD","",IF('Filtered Data'!$D$1="SC","",IF('Filtered Data'!$D$1="UA",'Filtered Data'!AS23,'Filtered Data'!AL23)))</f>
        <v/>
      </c>
      <c r="C104" s="242"/>
      <c r="D104" s="24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3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8"/>
      <c r="W104" s="238"/>
      <c r="X104" s="238"/>
      <c r="Y104" s="133" t="str">
        <f>IF(E104="","",IF((VLOOKUP(E104,classifications!C:K,9,FALSE))="Sparse","S",""))</f>
        <v/>
      </c>
      <c r="AA104" s="248"/>
      <c r="AB104" s="235"/>
      <c r="AC104" s="235"/>
      <c r="AD104" s="233"/>
      <c r="AE104" s="233"/>
      <c r="AF104" s="233"/>
      <c r="AG104" s="233"/>
      <c r="AH104" s="233"/>
      <c r="AI104" s="233"/>
      <c r="AJ104" s="233"/>
      <c r="AK104" s="233"/>
      <c r="AL104" s="233"/>
      <c r="AM104" s="233"/>
      <c r="AN104" s="308"/>
      <c r="AO104" s="308"/>
      <c r="AP104" s="308"/>
      <c r="AQ104" s="308"/>
      <c r="AR104" s="133"/>
      <c r="AV104" s="56"/>
    </row>
    <row r="105" spans="2:48" ht="12" customHeight="1">
      <c r="B105" s="241" t="str">
        <f>IF('Filtered Data'!$D$1="MD","",IF('Filtered Data'!$D$1="SC","",IF('Filtered Data'!$D$1="UA",'Filtered Data'!AS24,'Filtered Data'!AL24)))</f>
        <v/>
      </c>
      <c r="C105" s="242"/>
      <c r="D105" s="24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3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8"/>
      <c r="W105" s="238"/>
      <c r="X105" s="238"/>
      <c r="Y105" s="133" t="str">
        <f>IF(E105="","",IF((VLOOKUP(E105,classifications!C:K,9,FALSE))="Sparse","S",""))</f>
        <v/>
      </c>
      <c r="AA105" s="248"/>
      <c r="AB105" s="235"/>
      <c r="AC105" s="235"/>
      <c r="AD105" s="233"/>
      <c r="AE105" s="233"/>
      <c r="AF105" s="233"/>
      <c r="AG105" s="233"/>
      <c r="AH105" s="233"/>
      <c r="AI105" s="233"/>
      <c r="AJ105" s="233"/>
      <c r="AK105" s="233"/>
      <c r="AL105" s="233"/>
      <c r="AM105" s="233"/>
      <c r="AN105" s="308"/>
      <c r="AO105" s="308"/>
      <c r="AP105" s="308"/>
      <c r="AQ105" s="308"/>
      <c r="AR105" s="133"/>
      <c r="AV105" s="56"/>
    </row>
    <row r="106" spans="2:48" ht="12" customHeight="1">
      <c r="B106" s="241" t="str">
        <f>IF('Filtered Data'!$D$1="MD","",IF('Filtered Data'!$D$1="SC","",IF('Filtered Data'!$D$1="UA",'Filtered Data'!AS25,'Filtered Data'!AL25)))</f>
        <v/>
      </c>
      <c r="C106" s="242"/>
      <c r="D106" s="24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3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8"/>
      <c r="W106" s="238"/>
      <c r="X106" s="238"/>
      <c r="Y106" s="133" t="str">
        <f>IF(E106="","",IF((VLOOKUP(E106,classifications!C:K,9,FALSE))="Sparse","S",""))</f>
        <v/>
      </c>
      <c r="AA106" s="248"/>
      <c r="AB106" s="235"/>
      <c r="AC106" s="235"/>
      <c r="AD106" s="233"/>
      <c r="AE106" s="233"/>
      <c r="AF106" s="233"/>
      <c r="AG106" s="233"/>
      <c r="AH106" s="233"/>
      <c r="AI106" s="233"/>
      <c r="AJ106" s="233"/>
      <c r="AK106" s="233"/>
      <c r="AL106" s="233"/>
      <c r="AM106" s="233"/>
      <c r="AN106" s="308"/>
      <c r="AO106" s="308"/>
      <c r="AP106" s="308"/>
      <c r="AQ106" s="308"/>
      <c r="AR106" s="133"/>
      <c r="AV106" s="56"/>
    </row>
    <row r="107" spans="2:48" ht="12" customHeight="1">
      <c r="B107" s="241" t="str">
        <f>IF('Filtered Data'!$D$1="MD","",IF('Filtered Data'!$D$1="SC","",IF('Filtered Data'!$D$1="UA",'Filtered Data'!AS26,'Filtered Data'!AL26)))</f>
        <v/>
      </c>
      <c r="C107" s="242"/>
      <c r="D107" s="24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3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8"/>
      <c r="W107" s="238"/>
      <c r="X107" s="238"/>
      <c r="Y107" s="133" t="str">
        <f>IF(E107="","",IF((VLOOKUP(E107,classifications!C:K,9,FALSE))="Sparse","S",""))</f>
        <v/>
      </c>
      <c r="AA107" s="248"/>
      <c r="AB107" s="235"/>
      <c r="AC107" s="235"/>
      <c r="AD107" s="233"/>
      <c r="AE107" s="233"/>
      <c r="AF107" s="233"/>
      <c r="AG107" s="233"/>
      <c r="AH107" s="233"/>
      <c r="AI107" s="233"/>
      <c r="AJ107" s="233"/>
      <c r="AK107" s="233"/>
      <c r="AL107" s="233"/>
      <c r="AM107" s="233"/>
      <c r="AN107" s="308"/>
      <c r="AO107" s="308"/>
      <c r="AP107" s="308"/>
      <c r="AQ107" s="308"/>
      <c r="AR107" s="133"/>
      <c r="AV107" s="56"/>
    </row>
    <row r="108" spans="2:48" ht="12" customHeight="1">
      <c r="B108" s="235"/>
      <c r="C108" s="235"/>
      <c r="D108" s="235"/>
      <c r="E108" s="234" t="str">
        <f>IF('Filtered Data'!D1="MD","",IF('Filtered Data'!D1="SC","","Average"))</f>
        <v>Average</v>
      </c>
      <c r="F108" s="234"/>
      <c r="G108" s="234"/>
      <c r="H108" s="234"/>
      <c r="I108" s="234"/>
      <c r="J108" s="234"/>
      <c r="K108" s="234"/>
      <c r="L108" s="234"/>
      <c r="M108" s="234"/>
      <c r="N108" s="234"/>
      <c r="O108" s="231"/>
      <c r="P108" s="231"/>
      <c r="Q108" s="231"/>
      <c r="R108" s="231"/>
      <c r="S108" s="231"/>
      <c r="T108" s="231"/>
      <c r="U108" s="247">
        <f>L39</f>
        <v>0.899552750997899</v>
      </c>
      <c r="V108" s="247"/>
      <c r="W108" s="247"/>
      <c r="X108" s="247"/>
      <c r="Y108" s="133"/>
      <c r="AA108" s="235"/>
      <c r="AB108" s="235"/>
      <c r="AC108" s="235"/>
      <c r="AD108" s="1"/>
      <c r="AE108" s="1"/>
      <c r="AF108" s="1"/>
      <c r="AG108" s="1"/>
      <c r="AH108" s="1"/>
      <c r="AI108" s="1"/>
      <c r="AJ108" s="1"/>
      <c r="AK108" s="1"/>
      <c r="AL108" s="1"/>
      <c r="AM108" s="21"/>
      <c r="AN108" s="236"/>
      <c r="AO108" s="236"/>
      <c r="AP108" s="236"/>
      <c r="AQ108" s="236"/>
      <c r="AV108" s="56"/>
    </row>
    <row r="109" spans="2:48" ht="12" customHeight="1">
      <c r="W109" s="18">
        <f>COUNT(AA92:AB107)</f>
        <v>0</v>
      </c>
    </row>
    <row r="110" spans="2:48" ht="19.5" customHeight="1">
      <c r="B110" s="237" t="str">
        <f>B3</f>
        <v>Planning Application Turnaround</v>
      </c>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row>
    <row r="111" spans="2:48" ht="12" customHeight="1"/>
    <row r="112" spans="2:48" ht="12" customHeight="1">
      <c r="B112" s="234" t="s">
        <v>370</v>
      </c>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4"/>
      <c r="AF112" s="234"/>
      <c r="AG112" s="234"/>
      <c r="AH112" s="234"/>
      <c r="AI112" s="234"/>
      <c r="AJ112" s="234"/>
      <c r="AK112" s="234"/>
      <c r="AL112" s="234"/>
      <c r="AM112" s="234"/>
      <c r="AN112" s="234"/>
    </row>
    <row r="113" spans="2:40" ht="12" customHeight="1"/>
    <row r="114" spans="2:40" ht="12" customHeight="1">
      <c r="B114" s="293" t="str">
        <f>W6&amp;" - "&amp;W12</f>
        <v>Major Developments - % decisions in time - Year Ending June 2024</v>
      </c>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c r="AA114" s="294"/>
      <c r="AB114" s="294"/>
      <c r="AC114" s="294"/>
      <c r="AD114" s="294"/>
      <c r="AE114" s="294"/>
      <c r="AF114" s="294"/>
      <c r="AG114" s="294"/>
      <c r="AH114" s="294"/>
      <c r="AI114" s="294"/>
      <c r="AJ114" s="294"/>
      <c r="AK114" s="294"/>
      <c r="AL114" s="294"/>
      <c r="AM114" s="294"/>
      <c r="AN114" s="20"/>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311">
        <f>IF('Filtered Data'!H8="..",L35,L35*100)</f>
        <v>94.680851063829792</v>
      </c>
      <c r="H118" s="311"/>
      <c r="I118" s="311"/>
      <c r="J118" s="311"/>
      <c r="K118" s="311"/>
      <c r="M118" s="235">
        <f>K$48</f>
        <v>94.593253968253961</v>
      </c>
      <c r="N118" s="235"/>
      <c r="O118" s="235">
        <f>M$48</f>
        <v>89.827586206896555</v>
      </c>
      <c r="P118" s="235"/>
      <c r="Q118" s="235">
        <f>O$48</f>
        <v>86.666666666666671</v>
      </c>
      <c r="R118" s="235"/>
      <c r="AN118" s="6"/>
    </row>
    <row r="119" spans="2:40" ht="12" customHeight="1">
      <c r="B119" s="5"/>
      <c r="F119" t="s">
        <v>380</v>
      </c>
      <c r="G119" s="311">
        <f>IF('Filtered Data'!H8="%%",(AVERAGEIF('Filtered Data'!AA$10:AA$333,$F119,'Filtered Data'!M$10:M$333))*100,(AVERAGEIF('Filtered Data'!AA$10:AA$333,$F119,'Filtered Data'!M$10:M$333)))</f>
        <v>88.310661562839016</v>
      </c>
      <c r="H119" s="311"/>
      <c r="I119" s="311"/>
      <c r="J119" s="311"/>
      <c r="K119" s="311"/>
      <c r="M119" s="235">
        <f>K$48</f>
        <v>94.593253968253961</v>
      </c>
      <c r="N119" s="235"/>
      <c r="O119" s="235">
        <f>M$48</f>
        <v>89.827586206896555</v>
      </c>
      <c r="P119" s="235"/>
      <c r="Q119" s="235">
        <f>O$48</f>
        <v>86.666666666666671</v>
      </c>
      <c r="R119" s="235"/>
      <c r="AN119" s="6"/>
    </row>
    <row r="120" spans="2:40" ht="12" customHeight="1">
      <c r="B120" s="5"/>
      <c r="F120" t="s">
        <v>382</v>
      </c>
      <c r="G120" s="311">
        <f>IF('Filtered Data'!H8="%%",(AVERAGEIF('Filtered Data'!AA$10:AA$333,$F120,'Filtered Data'!M$10:M$333))*100,(AVERAGEIF('Filtered Data'!AA$10:AA$333,$F120,'Filtered Data'!M$10:M$333)))</f>
        <v>91.599938088473806</v>
      </c>
      <c r="H120" s="311"/>
      <c r="I120" s="311"/>
      <c r="J120" s="311"/>
      <c r="K120" s="311"/>
      <c r="M120" s="235">
        <f>K$48</f>
        <v>94.593253968253961</v>
      </c>
      <c r="N120" s="235"/>
      <c r="O120" s="235">
        <f>M$48</f>
        <v>89.827586206896555</v>
      </c>
      <c r="P120" s="235"/>
      <c r="Q120" s="235">
        <f>O$48</f>
        <v>86.666666666666671</v>
      </c>
      <c r="R120" s="235"/>
      <c r="AN120" s="6"/>
    </row>
    <row r="121" spans="2:40" ht="12" customHeight="1">
      <c r="B121" s="5"/>
      <c r="F121" t="s">
        <v>892</v>
      </c>
      <c r="G121" s="311">
        <f>IF('Filtered Data'!H8="%%",(AVERAGEIF('Filtered Data'!AA$10:AA$333,$F121,'Filtered Data'!M$10:M$333))*100,(AVERAGEIF('Filtered Data'!AA$10:AA$333,$F121,'Filtered Data'!M$10:M$333)))</f>
        <v>89.124729097758348</v>
      </c>
      <c r="H121" s="311"/>
      <c r="I121" s="311"/>
      <c r="J121" s="311"/>
      <c r="K121" s="311"/>
      <c r="M121" s="235">
        <f>K$48</f>
        <v>94.593253968253961</v>
      </c>
      <c r="N121" s="235"/>
      <c r="O121" s="235">
        <f>M$48</f>
        <v>89.827586206896555</v>
      </c>
      <c r="P121" s="235"/>
      <c r="Q121" s="235">
        <f>O$48</f>
        <v>86.666666666666671</v>
      </c>
      <c r="R121" s="235"/>
      <c r="AN121" s="6"/>
    </row>
    <row r="122" spans="2:40" ht="12" customHeight="1">
      <c r="B122" s="5"/>
      <c r="G122" s="311"/>
      <c r="H122" s="311"/>
      <c r="I122" s="311"/>
      <c r="J122" s="311"/>
      <c r="K122" s="311"/>
      <c r="M122" s="235"/>
      <c r="N122" s="235"/>
      <c r="O122" s="235"/>
      <c r="P122" s="235"/>
      <c r="Q122" s="235"/>
      <c r="R122" s="235"/>
      <c r="AN122" s="6"/>
    </row>
    <row r="123" spans="2:40" ht="12" customHeight="1">
      <c r="B123" s="5"/>
      <c r="G123" s="311"/>
      <c r="H123" s="311"/>
      <c r="I123" s="311"/>
      <c r="J123" s="311"/>
      <c r="K123" s="311"/>
      <c r="M123" s="235"/>
      <c r="N123" s="235"/>
      <c r="O123" s="235"/>
      <c r="P123" s="235"/>
      <c r="Q123" s="235"/>
      <c r="R123" s="235"/>
      <c r="AN123" s="6"/>
    </row>
    <row r="124" spans="2:40" ht="12" customHeight="1">
      <c r="B124" s="5"/>
      <c r="G124" s="311"/>
      <c r="H124" s="311"/>
      <c r="I124" s="311"/>
      <c r="J124" s="311"/>
      <c r="K124" s="311"/>
      <c r="M124" s="235"/>
      <c r="N124" s="235"/>
      <c r="O124" s="235"/>
      <c r="P124" s="235"/>
      <c r="Q124" s="235"/>
      <c r="R124" s="23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312"/>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4"/>
    </row>
    <row r="140" spans="2:40">
      <c r="B140" s="312"/>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4"/>
    </row>
    <row r="141" spans="2:40">
      <c r="B141" s="312"/>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4"/>
    </row>
    <row r="142" spans="2:40">
      <c r="B142" s="312"/>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3"/>
      <c r="AJ142" s="313"/>
      <c r="AK142" s="313"/>
      <c r="AL142" s="313"/>
      <c r="AM142" s="313"/>
      <c r="AN142" s="314"/>
    </row>
    <row r="143" spans="2:40">
      <c r="B143" s="312"/>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313"/>
      <c r="AL143" s="313"/>
      <c r="AM143" s="313"/>
      <c r="AN143" s="314"/>
    </row>
    <row r="144" spans="2:40">
      <c r="B144" s="312"/>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4"/>
    </row>
    <row r="145" spans="2:40">
      <c r="B145" s="312"/>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4"/>
    </row>
    <row r="146" spans="2:40">
      <c r="B146" s="312"/>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4"/>
    </row>
    <row r="147" spans="2:40">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row>
    <row r="148" spans="2:40">
      <c r="B148" s="312"/>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4"/>
    </row>
    <row r="149" spans="2:40">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4"/>
    </row>
    <row r="150" spans="2:40">
      <c r="B150" s="312"/>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4"/>
    </row>
    <row r="151" spans="2:40">
      <c r="B151" s="312"/>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4"/>
    </row>
    <row r="152" spans="2:40">
      <c r="B152" s="312"/>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4"/>
    </row>
    <row r="153" spans="2:40">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4"/>
    </row>
    <row r="154" spans="2:40">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4"/>
    </row>
    <row r="155" spans="2:40">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4"/>
    </row>
    <row r="156" spans="2:40">
      <c r="B156" s="312"/>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4"/>
    </row>
    <row r="157" spans="2:40">
      <c r="B157" s="312"/>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4"/>
    </row>
    <row r="158" spans="2:40">
      <c r="B158" s="312"/>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4"/>
    </row>
    <row r="159" spans="2:40">
      <c r="B159" s="312"/>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4"/>
    </row>
    <row r="160" spans="2:40">
      <c r="B160" s="312"/>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4"/>
    </row>
    <row r="161" spans="2:40">
      <c r="B161" s="312"/>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4"/>
    </row>
    <row r="162" spans="2:40">
      <c r="B162" s="312"/>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4"/>
    </row>
    <row r="163" spans="2:40">
      <c r="B163" s="312"/>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4"/>
    </row>
    <row r="164" spans="2:40">
      <c r="B164" s="312"/>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4"/>
    </row>
    <row r="165" spans="2:40">
      <c r="B165" s="312"/>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4"/>
    </row>
    <row r="166" spans="2:40">
      <c r="B166" s="312"/>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4"/>
    </row>
    <row r="167" spans="2:40">
      <c r="B167" s="312"/>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4"/>
    </row>
    <row r="168" spans="2:40" ht="13.8" thickBot="1">
      <c r="B168" s="315"/>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c r="AK168" s="316"/>
      <c r="AL168" s="316"/>
      <c r="AM168" s="316"/>
      <c r="AN168" s="317"/>
    </row>
    <row r="169" spans="2:40"/>
  </sheetData>
  <sheetProtection algorithmName="SHA-512" hashValue="zWNRZbUj7K39ExaekD+7UqggIYtXUh9Bg3SOu0kL1H0PdmsNcYzqKSJsiDkFYFAizpWOcYbcCDH+JFeSs2hxjQ==" saltValue="pznFSheaQkIGMg9/bGw0Cw=="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L34" workbookViewId="0">
      <selection activeCell="Y51" sqref="Y5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June 2024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75.342465753424662</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94.680851063829792</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0.90364995398435222</v>
      </c>
      <c r="N9" s="81"/>
      <c r="O9" s="84" t="s">
        <v>340</v>
      </c>
      <c r="P9" s="84" t="s">
        <v>351</v>
      </c>
      <c r="Q9" s="84" t="s">
        <v>352</v>
      </c>
      <c r="R9" s="86" t="s">
        <v>399</v>
      </c>
      <c r="S9" s="36"/>
      <c r="T9" s="168" t="s">
        <v>819</v>
      </c>
      <c r="U9" s="169">
        <f>IF($H$8="%.",(AVERAGE(U11:U333))/100,(AVERAGE(U11:U333)))</f>
        <v>0.88184948281072262</v>
      </c>
      <c r="V9" s="170"/>
      <c r="W9" s="170"/>
      <c r="X9" s="79" t="str">
        <f>"Lower Level Ranking for Authorites in "&amp;H3&amp;" &amp; are a "&amp;F3</f>
        <v>Lower Level Ranking for Authorites in Urban with Significant Rural &amp; are a UA</v>
      </c>
      <c r="Y9" s="81">
        <f>IF($H$8="%.",(AVERAGE(Y11:Y333))/100,(AVERAGE(Y11:Y333)))</f>
        <v>0.89038134693441473</v>
      </c>
      <c r="Z9" s="80"/>
      <c r="AA9" s="175" t="s">
        <v>378</v>
      </c>
      <c r="AB9" s="169">
        <f>IF($H$8="%.",(AVERAGE(AB11:AB333))/100,(AVERAGE(AB11:AB333)))</f>
        <v>0.89124729097758348</v>
      </c>
      <c r="AC9" s="176"/>
      <c r="AD9" s="176"/>
      <c r="AE9" s="37" t="s">
        <v>408</v>
      </c>
      <c r="AG9" s="81">
        <f>IF($H$8="%.",(AVERAGE(AG11:AG333))/100,(AVERAGE(AG11:AG333)))</f>
        <v>0.94445190206651275</v>
      </c>
      <c r="AI9" s="79" t="str">
        <f>"County Ranking &amp; Top Authorites in "&amp;I3&amp;" &amp; are a "&amp;F3</f>
        <v>County Ranking &amp; Top Authorites in Unitary &amp; are a UA</v>
      </c>
      <c r="AJ9" s="81">
        <f>IF($H$8="%.",(AVERAGE(AJ11:AJ333))/100,(AVERAGE(AJ11:AJ333)))</f>
        <v>0.90364995398435222</v>
      </c>
      <c r="AK9" s="80"/>
      <c r="AL9" s="44"/>
      <c r="AM9"/>
      <c r="AN9"/>
      <c r="AP9" s="79" t="str">
        <f>"Regional Ranking in for "&amp;F3</f>
        <v>Regional Ranking in for UA</v>
      </c>
      <c r="AQ9" s="81">
        <f>IF($H$8="%.",(AVERAGE(AQ11:AQ333))/100,(AVERAGE(AQ11:AQ333)))</f>
        <v>0.899552750997899</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94.593253968253961</v>
      </c>
      <c r="P10" s="88">
        <f>QUARTILE(N:N,2)</f>
        <v>89.827586206896555</v>
      </c>
      <c r="Q10" s="88">
        <f>IF(I8="A",QUARTILE(N:N,3),QUARTILE(N:N,1))</f>
        <v>86.666666666666671</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June 2024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90</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Bath &amp; North East Somerset</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Urban with Significant Rural</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Urban with Significant Rural</v>
      </c>
      <c r="AB11" s="173">
        <f>IF(AA11=$J$3,M11,"")</f>
        <v>100</v>
      </c>
      <c r="AC11" s="173">
        <f>IF(AB11="","",IF($I$8="A",(RANK(AB11,AB$11:AB$333)+COUNTIF(AB$11:AB11,AB11)-1),(RANK(AB11,AB$11:AB$333,1)+COUNTIF(AB$11:AB11,AB11)-1)))</f>
        <v>11</v>
      </c>
      <c r="AD11" s="173"/>
      <c r="AE11" s="45">
        <f>IF(I$8="A",(RANK(AG11,AG$11:AG$333,1)+COUNTIF(AG$11:AG11,AG11)-1),(RANK(AG11,AG$11:AG$333)+COUNTIF(AG$11:AG11,AG11)-1))</f>
        <v>1</v>
      </c>
      <c r="AF11" s="43" t="str">
        <f>'Filtered Data'!D3</f>
        <v>Cheshire East</v>
      </c>
      <c r="AG11" s="99">
        <f>VLOOKUP(Profile!$J$5,$C$11:$H$333,4,FALSE)</f>
        <v>94.680851063829792</v>
      </c>
      <c r="AH11" s="46">
        <f>AE11</f>
        <v>1</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Bath &amp; North East Somerset</v>
      </c>
      <c r="AN11">
        <f t="shared" ref="AN11:AN74" si="7">(VLOOKUP(AM11,L:M,2,FALSE))</f>
        <v>100</v>
      </c>
      <c r="AP11" s="5" t="str">
        <f>IF(L11="","",VLOOKUP($L11,classifications!$C:$E,3,FALSE))</f>
        <v>South West</v>
      </c>
      <c r="AQ11" s="42" t="str">
        <f>IF(AP11=$G$3,$M11,"")</f>
        <v/>
      </c>
      <c r="AR11" s="39" t="str">
        <f>IF(AQ11="","",IF(I$8="A",(RANK(AQ11,AQ$11:AQ$333,1)+COUNTIF(AQ$11:AQ11,AQ11)-1),(RANK(AQ11,AQ$11:AQ$333)+COUNTIF(AQ$11:AQ11,AQ11)-1)))</f>
        <v/>
      </c>
      <c r="AS11" s="39">
        <v>1</v>
      </c>
      <c r="AT11" s="39" t="str">
        <f t="shared" ref="AT11:AT74" si="8">IF(AS11="","",INDEX(L$11:L$333,MATCH(AS11,AR$11:AR$333,0)))</f>
        <v>Blackburn with Darwen</v>
      </c>
      <c r="AU11" s="42">
        <f t="shared" ref="AU11:AU74" si="9">IF(AT11="","",VLOOKUP(AT11,L:M,2,FALSE))</f>
        <v>100</v>
      </c>
      <c r="AX11">
        <f>HLOOKUP($AX$9&amp;$AX$10,Data!$A$1:$ZT$1975,(MATCH($C11,Data!$A$1:$A$1975,0)),FALSE)</f>
        <v>90</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84.210526315789465</v>
      </c>
      <c r="G12" s="15"/>
      <c r="H12" s="41">
        <f t="shared" si="1"/>
        <v>84.210526315789465</v>
      </c>
      <c r="I12" s="73">
        <f>IF(H12="","",IF($I$8="A",(RANK(H12,H$11:H$333,1)+COUNTIF(H$11:H12,H12)-1),(RANK(H12,H$11:H$333)+COUNTIF(H$11:H12,H12)-1)))</f>
        <v>52</v>
      </c>
      <c r="J12" s="40"/>
      <c r="K12" s="35">
        <f t="shared" ref="K12:K75" si="10">IF(K11="","",IF(K11+1&gt;(COUNT(H$11:H$333)),"",K11+1))</f>
        <v>2</v>
      </c>
      <c r="L12" t="str">
        <f t="shared" si="2"/>
        <v>Blackburn with Darwen</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f>IF(I$8="A",(RANK(AG12,AG$11:AG$333,1)+COUNTIF(AG$11:AG12,AG12)-1),(RANK(AG12,AG$11:AG$333)+COUNTIF(AG$11:AG12,AG12)-1))</f>
        <v>2</v>
      </c>
      <c r="AF12" t="str">
        <f>VLOOKUP(Profile!$J$5,Families!$C:$R,2,FALSE)</f>
        <v>Cheshire West &amp; Chester</v>
      </c>
      <c r="AG12" s="15">
        <f t="shared" ref="AG12:AG75" si="15">VLOOKUP(AF12,$C$11:$H$333,4,FALSE)</f>
        <v>94.444444444444443</v>
      </c>
      <c r="AH12" s="46">
        <f>AE12</f>
        <v>2</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Blackburn with Darwen</v>
      </c>
      <c r="AN12">
        <f t="shared" si="7"/>
        <v>100</v>
      </c>
      <c r="AP12" s="5" t="str">
        <f>IF(L12="","",VLOOKUP($L12,classifications!$C:$E,3,FALSE))</f>
        <v>North West</v>
      </c>
      <c r="AQ12" s="42">
        <f t="shared" ref="AQ12" si="17">IF(AP12=$G$3,$M12,"")</f>
        <v>100</v>
      </c>
      <c r="AR12" s="39">
        <f>IF(AQ12="","",IF(I$8="A",(RANK(AQ12,AQ$11:AQ$333,1)+COUNTIF(AQ$11:AQ12,AQ12)-1),(RANK(AQ12,AQ$11:AQ$333)+COUNTIF(AQ$11:AQ12,AQ12)-1)))</f>
        <v>1</v>
      </c>
      <c r="AS12" s="3">
        <f t="shared" ref="AS12:AS75" si="18">IF(AS11="","",IF(AS11+1&gt;(COUNT(AQ$11:AQ$333)),"",AS11+1))</f>
        <v>2</v>
      </c>
      <c r="AT12" s="39" t="str">
        <f t="shared" si="8"/>
        <v>Cheshire East</v>
      </c>
      <c r="AU12" s="42">
        <f t="shared" si="9"/>
        <v>94.680851063829792</v>
      </c>
      <c r="AX12">
        <f>HLOOKUP($AX$9&amp;$AX$10,Data!$A$1:$ZT$1975,(MATCH($C12,Data!$A$1:$A$1975,0)),FALSE)</f>
        <v>84.210526315789465</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93.333333333333329</v>
      </c>
      <c r="G13" s="15"/>
      <c r="H13" s="41" t="str">
        <f t="shared" si="1"/>
        <v/>
      </c>
      <c r="I13" s="73" t="str">
        <f>IF(H13="","",IF($I$8="A",(RANK(H13,H$11:H$333,1)+COUNTIF(H$11:H13,H13)-1),(RANK(H13,H$11:H$333)+COUNTIF(H$11:H13,H13)-1)))</f>
        <v/>
      </c>
      <c r="J13" s="40"/>
      <c r="K13" s="35">
        <f t="shared" si="10"/>
        <v>3</v>
      </c>
      <c r="L13" t="str">
        <f t="shared" si="2"/>
        <v>Hartlepool</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94.444444444444443</v>
      </c>
      <c r="AH13" s="46">
        <f t="shared" ref="AH13:AH57" si="28">AE13</f>
        <v>3</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Hartlepool</v>
      </c>
      <c r="AN13">
        <f t="shared" si="7"/>
        <v>100</v>
      </c>
      <c r="AP13" s="5" t="str">
        <f>IF(L13="","",VLOOKUP($L13,classifications!$C:$E,3,FALSE))</f>
        <v>NE</v>
      </c>
      <c r="AQ13" s="42" t="str">
        <f t="shared" ref="AQ13:AQ57" si="30">IF(AP13=$G$3,$M13,"")</f>
        <v/>
      </c>
      <c r="AR13" s="39" t="str">
        <f>IF(AQ13="","",IF(I$8="A",(RANK(AQ13,AQ$11:AQ$333,1)+COUNTIF(AQ$11:AQ13,AQ13)-1),(RANK(AQ13,AQ$11:AQ$333)+COUNTIF(AQ$11:AQ13,AQ13)-1)))</f>
        <v/>
      </c>
      <c r="AS13" s="3">
        <f t="shared" si="18"/>
        <v>3</v>
      </c>
      <c r="AT13" s="39" t="str">
        <f t="shared" si="8"/>
        <v>Cheshire West &amp; Chester</v>
      </c>
      <c r="AU13" s="42">
        <f t="shared" si="9"/>
        <v>94.444444444444443</v>
      </c>
      <c r="AX13">
        <f>HLOOKUP($AX$9&amp;$AX$10,Data!$A$1:$ZT$1975,(MATCH($C13,Data!$A$1:$A$1975,0)),FALSE)</f>
        <v>93.333333333333329</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78</v>
      </c>
      <c r="G14" s="15"/>
      <c r="H14" s="41" t="str">
        <f t="shared" si="1"/>
        <v/>
      </c>
      <c r="I14" s="73" t="str">
        <f>IF(H14="","",IF($I$8="A",(RANK(H14,H$11:H$333,1)+COUNTIF(H$11:H14,H14)-1),(RANK(H14,H$11:H$333)+COUNTIF(H$11:H14,H14)-1)))</f>
        <v/>
      </c>
      <c r="J14" s="40"/>
      <c r="K14" s="35">
        <f t="shared" si="10"/>
        <v>4</v>
      </c>
      <c r="L14" t="str">
        <f t="shared" si="2"/>
        <v>Plymouth</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4</v>
      </c>
      <c r="AF14" t="str">
        <f>VLOOKUP(Profile!$J$5,Families!$C:$R,2,FALSE)</f>
        <v>Cheshire West &amp; Chester</v>
      </c>
      <c r="AG14" s="15">
        <f t="shared" si="15"/>
        <v>94.444444444444443</v>
      </c>
      <c r="AH14" s="46">
        <f t="shared" si="28"/>
        <v>4</v>
      </c>
      <c r="AI14" s="5" t="str">
        <f>IF(L14="","",VLOOKUP($L14,classifications!$C:$J,8,FALSE))</f>
        <v>Unitary</v>
      </c>
      <c r="AJ14" s="42">
        <f t="shared" si="29"/>
        <v>100</v>
      </c>
      <c r="AK14" s="39">
        <f>IF(AJ14="","",IF(I$8="A",(RANK(AJ14,AJ$11:AJ$333,1)+COUNTIF(AJ$11:AJ14,AJ14)-1),(RANK(AJ14,AJ$11:AJ$333)+COUNTIF(AJ$11:AJ14,AJ14)-1)))</f>
        <v>4</v>
      </c>
      <c r="AL14" s="3">
        <f t="shared" si="16"/>
        <v>4</v>
      </c>
      <c r="AM14" t="str">
        <f t="shared" si="6"/>
        <v>Plymouth</v>
      </c>
      <c r="AN14">
        <f t="shared" si="7"/>
        <v>100</v>
      </c>
      <c r="AP14" s="5" t="str">
        <f>IF(L14="","",VLOOKUP($L14,classifications!$C:$E,3,FALSE))</f>
        <v>South West</v>
      </c>
      <c r="AQ14" s="42" t="str">
        <f t="shared" si="30"/>
        <v/>
      </c>
      <c r="AR14" s="39" t="str">
        <f>IF(AQ14="","",IF(I$8="A",(RANK(AQ14,AQ$11:AQ$333,1)+COUNTIF(AQ$11:AQ14,AQ14)-1),(RANK(AQ14,AQ$11:AQ$333)+COUNTIF(AQ$11:AQ14,AQ14)-1)))</f>
        <v/>
      </c>
      <c r="AS14" s="3">
        <f t="shared" si="18"/>
        <v>4</v>
      </c>
      <c r="AT14" s="39" t="str">
        <f t="shared" si="8"/>
        <v>Westmorland &amp; Furness</v>
      </c>
      <c r="AU14" s="42">
        <f t="shared" si="9"/>
        <v>89.473684210526315</v>
      </c>
      <c r="AX14">
        <f>HLOOKUP($AX$9&amp;$AX$10,Data!$A$1:$ZT$1975,(MATCH($C14,Data!$A$1:$A$1975,0)),FALSE)</f>
        <v>78</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85.18518518518519</v>
      </c>
      <c r="G15" s="15"/>
      <c r="H15" s="41" t="str">
        <f t="shared" si="1"/>
        <v/>
      </c>
      <c r="I15" s="73" t="str">
        <f>IF(H15="","",IF($I$8="A",(RANK(H15,H$11:H$333,1)+COUNTIF(H$11:H15,H15)-1),(RANK(H15,H$11:H$333)+COUNTIF(H$11:H15,H15)-1)))</f>
        <v/>
      </c>
      <c r="J15" s="40"/>
      <c r="K15" s="35">
        <f t="shared" si="10"/>
        <v>5</v>
      </c>
      <c r="L15" t="str">
        <f t="shared" si="2"/>
        <v>Portsmouth</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94.444444444444443</v>
      </c>
      <c r="AH15" s="46">
        <f t="shared" si="28"/>
        <v>5</v>
      </c>
      <c r="AI15" s="5" t="str">
        <f>IF(L15="","",VLOOKUP($L15,classifications!$C:$J,8,FALSE))</f>
        <v>Unitary</v>
      </c>
      <c r="AJ15" s="42">
        <f t="shared" si="29"/>
        <v>100</v>
      </c>
      <c r="AK15" s="39">
        <f>IF(AJ15="","",IF(I$8="A",(RANK(AJ15,AJ$11:AJ$333,1)+COUNTIF(AJ$11:AJ15,AJ15)-1),(RANK(AJ15,AJ$11:AJ$333)+COUNTIF(AJ$11:AJ15,AJ15)-1)))</f>
        <v>5</v>
      </c>
      <c r="AL15" s="3">
        <f t="shared" si="16"/>
        <v>5</v>
      </c>
      <c r="AM15" t="str">
        <f t="shared" si="6"/>
        <v>Portsmouth</v>
      </c>
      <c r="AN15">
        <f t="shared" si="7"/>
        <v>100</v>
      </c>
      <c r="AP15" s="5" t="str">
        <f>IF(L15="","",VLOOKUP($L15,classifications!$C:$E,3,FALSE))</f>
        <v>South East</v>
      </c>
      <c r="AQ15" s="42" t="str">
        <f t="shared" si="30"/>
        <v/>
      </c>
      <c r="AR15" s="39" t="str">
        <f>IF(AQ15="","",IF(I$8="A",(RANK(AQ15,AQ$11:AQ$333,1)+COUNTIF(AQ$11:AQ15,AQ15)-1),(RANK(AQ15,AQ$11:AQ$333)+COUNTIF(AQ$11:AQ15,AQ15)-1)))</f>
        <v/>
      </c>
      <c r="AS15" s="3">
        <f t="shared" si="18"/>
        <v>5</v>
      </c>
      <c r="AT15" s="39" t="str">
        <f t="shared" si="8"/>
        <v>Blackpool</v>
      </c>
      <c r="AU15" s="42">
        <f t="shared" si="9"/>
        <v>88.888888888888886</v>
      </c>
      <c r="AX15">
        <f>HLOOKUP($AX$9&amp;$AX$10,Data!$A$1:$ZT$1975,(MATCH($C15,Data!$A$1:$A$1975,0)),FALSE)</f>
        <v>85.18518518518519</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83.78378378378379</v>
      </c>
      <c r="G16" s="15"/>
      <c r="H16" s="41" t="str">
        <f t="shared" si="1"/>
        <v/>
      </c>
      <c r="I16" s="73" t="str">
        <f>IF(H16="","",IF($I$8="A",(RANK(H16,H$11:H$333,1)+COUNTIF(H$11:H16,H16)-1),(RANK(H16,H$11:H$333)+COUNTIF(H$11:H16,H16)-1)))</f>
        <v/>
      </c>
      <c r="J16" s="40"/>
      <c r="K16" s="35">
        <f t="shared" si="10"/>
        <v>6</v>
      </c>
      <c r="L16" t="str">
        <f t="shared" si="2"/>
        <v>Southend-on-Sea</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94.444444444444443</v>
      </c>
      <c r="AH16" s="46">
        <f t="shared" si="28"/>
        <v>6</v>
      </c>
      <c r="AI16" s="5" t="str">
        <f>IF(L16="","",VLOOKUP($L16,classifications!$C:$J,8,FALSE))</f>
        <v>Unitary</v>
      </c>
      <c r="AJ16" s="42">
        <f t="shared" si="29"/>
        <v>100</v>
      </c>
      <c r="AK16" s="39">
        <f>IF(AJ16="","",IF(I$8="A",(RANK(AJ16,AJ$11:AJ$333,1)+COUNTIF(AJ$11:AJ16,AJ16)-1),(RANK(AJ16,AJ$11:AJ$333)+COUNTIF(AJ$11:AJ16,AJ16)-1)))</f>
        <v>6</v>
      </c>
      <c r="AL16" s="3">
        <f t="shared" si="16"/>
        <v>6</v>
      </c>
      <c r="AM16" t="str">
        <f t="shared" si="6"/>
        <v>Southend-on-Sea</v>
      </c>
      <c r="AN16">
        <f t="shared" si="7"/>
        <v>100</v>
      </c>
      <c r="AP16" s="5" t="str">
        <f>IF(L16="","",VLOOKUP($L16,classifications!$C:$E,3,FALSE))</f>
        <v>East of England</v>
      </c>
      <c r="AQ16" s="42" t="str">
        <f t="shared" si="30"/>
        <v/>
      </c>
      <c r="AR16" s="39" t="str">
        <f>IF(AQ16="","",IF(I$8="A",(RANK(AQ16,AQ$11:AQ$333,1)+COUNTIF(AQ$11:AQ16,AQ16)-1),(RANK(AQ16,AQ$11:AQ$333)+COUNTIF(AQ$11:AQ16,AQ16)-1)))</f>
        <v/>
      </c>
      <c r="AS16" s="3">
        <f t="shared" si="18"/>
        <v>6</v>
      </c>
      <c r="AT16" s="39" t="str">
        <f t="shared" si="8"/>
        <v>Halton</v>
      </c>
      <c r="AU16" s="42">
        <f t="shared" si="9"/>
        <v>85.18518518518519</v>
      </c>
      <c r="AX16">
        <f>HLOOKUP($AX$9&amp;$AX$10,Data!$A$1:$ZT$1975,(MATCH($C16,Data!$A$1:$A$1975,0)),FALSE)</f>
        <v>83.78378378378379</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90.322580645161281</v>
      </c>
      <c r="G17" s="15"/>
      <c r="H17" s="41" t="str">
        <f t="shared" si="1"/>
        <v/>
      </c>
      <c r="I17" s="73" t="str">
        <f>IF(H17="","",IF($I$8="A",(RANK(H17,H$11:H$333,1)+COUNTIF(H$11:H17,H17)-1),(RANK(H17,H$11:H$333)+COUNTIF(H$11:H17,H17)-1)))</f>
        <v/>
      </c>
      <c r="J17" s="40"/>
      <c r="K17" s="35">
        <f t="shared" si="10"/>
        <v>7</v>
      </c>
      <c r="L17" t="str">
        <f t="shared" si="2"/>
        <v>Stoke-on-Trent</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94.444444444444443</v>
      </c>
      <c r="AH17" s="46">
        <f t="shared" si="28"/>
        <v>7</v>
      </c>
      <c r="AI17" s="5" t="str">
        <f>IF(L17="","",VLOOKUP($L17,classifications!$C:$J,8,FALSE))</f>
        <v>Unitary</v>
      </c>
      <c r="AJ17" s="42">
        <f t="shared" si="29"/>
        <v>100</v>
      </c>
      <c r="AK17" s="39">
        <f>IF(AJ17="","",IF(I$8="A",(RANK(AJ17,AJ$11:AJ$333,1)+COUNTIF(AJ$11:AJ17,AJ17)-1),(RANK(AJ17,AJ$11:AJ$333)+COUNTIF(AJ$11:AJ17,AJ17)-1)))</f>
        <v>7</v>
      </c>
      <c r="AL17" s="3">
        <f t="shared" si="16"/>
        <v>7</v>
      </c>
      <c r="AM17" t="str">
        <f t="shared" si="6"/>
        <v>Stoke-on-Trent</v>
      </c>
      <c r="AN17">
        <f t="shared" si="7"/>
        <v>100</v>
      </c>
      <c r="AP17" s="5" t="str">
        <f>IF(L17="","",VLOOKUP($L17,classifications!$C:$E,3,FALSE))</f>
        <v>West Midlands</v>
      </c>
      <c r="AQ17" s="42" t="str">
        <f t="shared" si="30"/>
        <v/>
      </c>
      <c r="AR17" s="39" t="str">
        <f>IF(AQ17="","",IF(I$8="A",(RANK(AQ17,AQ$11:AQ$333,1)+COUNTIF(AQ$11:AQ17,AQ17)-1),(RANK(AQ17,AQ$11:AQ$333)+COUNTIF(AQ$11:AQ17,AQ17)-1)))</f>
        <v/>
      </c>
      <c r="AS17" s="3">
        <f t="shared" si="18"/>
        <v>7</v>
      </c>
      <c r="AT17" s="39" t="str">
        <f t="shared" si="8"/>
        <v>Cumberland</v>
      </c>
      <c r="AU17" s="42">
        <f t="shared" si="9"/>
        <v>84.210526315789465</v>
      </c>
      <c r="AX17">
        <f>HLOOKUP($AX$9&amp;$AX$10,Data!$A$1:$ZT$1975,(MATCH($C17,Data!$A$1:$A$1975,0)),FALSE)</f>
        <v>90.322580645161281</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Telford &amp; Wrekin</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94.444444444444443</v>
      </c>
      <c r="AH18" s="46">
        <f t="shared" si="28"/>
        <v>8</v>
      </c>
      <c r="AI18" s="5" t="str">
        <f>IF(L18="","",VLOOKUP($L18,classifications!$C:$J,8,FALSE))</f>
        <v>Unitary</v>
      </c>
      <c r="AJ18" s="42">
        <f t="shared" si="29"/>
        <v>100</v>
      </c>
      <c r="AK18" s="39">
        <f>IF(AJ18="","",IF(I$8="A",(RANK(AJ18,AJ$11:AJ$333,1)+COUNTIF(AJ$11:AJ18,AJ18)-1),(RANK(AJ18,AJ$11:AJ$333)+COUNTIF(AJ$11:AJ18,AJ18)-1)))</f>
        <v>8</v>
      </c>
      <c r="AL18" s="3">
        <f t="shared" si="16"/>
        <v>8</v>
      </c>
      <c r="AM18" t="str">
        <f t="shared" si="6"/>
        <v>Telford &amp; Wrekin</v>
      </c>
      <c r="AN18">
        <f t="shared" si="7"/>
        <v>100</v>
      </c>
      <c r="AP18" s="5" t="str">
        <f>IF(L18="","",VLOOKUP($L18,classifications!$C:$E,3,FALSE))</f>
        <v>West Midlands</v>
      </c>
      <c r="AQ18" s="42" t="str">
        <f t="shared" si="30"/>
        <v/>
      </c>
      <c r="AR18" s="39" t="str">
        <f>IF(AQ18="","",IF(I$8="A",(RANK(AQ18,AQ$11:AQ$333,1)+COUNTIF(AQ$11:AQ18,AQ18)-1),(RANK(AQ18,AQ$11:AQ$333)+COUNTIF(AQ$11:AQ18,AQ18)-1)))</f>
        <v/>
      </c>
      <c r="AS18" s="3">
        <f t="shared" si="18"/>
        <v>8</v>
      </c>
      <c r="AT18" s="39" t="str">
        <f t="shared" si="8"/>
        <v>Warrington</v>
      </c>
      <c r="AU18" s="42">
        <f t="shared" si="9"/>
        <v>82.758620689655174</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95.121951219512198</v>
      </c>
      <c r="G19" s="15"/>
      <c r="H19" s="41" t="str">
        <f t="shared" si="1"/>
        <v/>
      </c>
      <c r="I19" s="73" t="str">
        <f>IF(H19="","",IF($I$8="A",(RANK(H19,H$11:H$333,1)+COUNTIF(H$11:H19,H19)-1),(RANK(H19,H$11:H$333)+COUNTIF(H$11:H19,H19)-1)))</f>
        <v/>
      </c>
      <c r="J19" s="40"/>
      <c r="K19" s="35">
        <f t="shared" si="10"/>
        <v>9</v>
      </c>
      <c r="L19" t="str">
        <f t="shared" si="2"/>
        <v>Milton Keynes</v>
      </c>
      <c r="M19" s="109">
        <f t="shared" si="3"/>
        <v>98.837209302325576</v>
      </c>
      <c r="N19" s="104">
        <f t="shared" si="19"/>
        <v>98.837209302325576</v>
      </c>
      <c r="O19" s="89">
        <f t="shared" si="20"/>
        <v>98.837209302325576</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94.444444444444443</v>
      </c>
      <c r="AH19" s="46">
        <f t="shared" si="28"/>
        <v>9</v>
      </c>
      <c r="AI19" s="5" t="str">
        <f>IF(L19="","",VLOOKUP($L19,classifications!$C:$J,8,FALSE))</f>
        <v>Unitary</v>
      </c>
      <c r="AJ19" s="42">
        <f t="shared" si="29"/>
        <v>98.837209302325576</v>
      </c>
      <c r="AK19" s="39">
        <f>IF(AJ19="","",IF(I$8="A",(RANK(AJ19,AJ$11:AJ$333,1)+COUNTIF(AJ$11:AJ19,AJ19)-1),(RANK(AJ19,AJ$11:AJ$333)+COUNTIF(AJ$11:AJ19,AJ19)-1)))</f>
        <v>9</v>
      </c>
      <c r="AL19" s="3">
        <f t="shared" si="16"/>
        <v>9</v>
      </c>
      <c r="AM19" t="str">
        <f t="shared" si="6"/>
        <v>Milton Keynes</v>
      </c>
      <c r="AN19">
        <f t="shared" si="7"/>
        <v>98.837209302325576</v>
      </c>
      <c r="AP19" s="5" t="str">
        <f>IF(L19="","",VLOOKUP($L19,classifications!$C:$E,3,FALSE))</f>
        <v>South East</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95.121951219512198</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Medway</v>
      </c>
      <c r="M20" s="109">
        <f t="shared" si="3"/>
        <v>97.826086956521735</v>
      </c>
      <c r="N20" s="104">
        <f t="shared" si="19"/>
        <v>97.826086956521735</v>
      </c>
      <c r="O20" s="89">
        <f t="shared" si="20"/>
        <v>97.826086956521735</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94.444444444444443</v>
      </c>
      <c r="AH20" s="46">
        <f t="shared" si="28"/>
        <v>10</v>
      </c>
      <c r="AI20" s="5" t="str">
        <f>IF(L20="","",VLOOKUP($L20,classifications!$C:$J,8,FALSE))</f>
        <v>Unitary</v>
      </c>
      <c r="AJ20" s="42">
        <f t="shared" si="29"/>
        <v>97.826086956521735</v>
      </c>
      <c r="AK20" s="39">
        <f>IF(AJ20="","",IF(I$8="A",(RANK(AJ20,AJ$11:AJ$333,1)+COUNTIF(AJ$11:AJ20,AJ20)-1),(RANK(AJ20,AJ$11:AJ$333)+COUNTIF(AJ$11:AJ20,AJ20)-1)))</f>
        <v>10</v>
      </c>
      <c r="AL20" s="3">
        <f t="shared" si="16"/>
        <v>10</v>
      </c>
      <c r="AM20" t="str">
        <f t="shared" si="6"/>
        <v>Medway</v>
      </c>
      <c r="AN20">
        <f t="shared" si="7"/>
        <v>97.826086956521735</v>
      </c>
      <c r="AP20" s="5" t="str">
        <f>IF(L20="","",VLOOKUP($L20,classifications!$C:$E,3,FALSE))</f>
        <v>South East</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89.473684210526315</v>
      </c>
      <c r="G21" s="15"/>
      <c r="H21" s="41">
        <f t="shared" si="1"/>
        <v>89.473684210526315</v>
      </c>
      <c r="I21" s="73">
        <f>IF(H21="","",IF($I$8="A",(RANK(H21,H$11:H$333,1)+COUNTIF(H$11:H21,H21)-1),(RANK(H21,H$11:H$333)+COUNTIF(H$11:H21,H21)-1)))</f>
        <v>33</v>
      </c>
      <c r="J21" s="40"/>
      <c r="K21" s="35">
        <f t="shared" si="10"/>
        <v>11</v>
      </c>
      <c r="L21" t="str">
        <f t="shared" si="2"/>
        <v>Wokingham</v>
      </c>
      <c r="M21" s="109">
        <f t="shared" si="3"/>
        <v>97.674418604651152</v>
      </c>
      <c r="N21" s="104">
        <f t="shared" si="19"/>
        <v>97.674418604651152</v>
      </c>
      <c r="O21" s="89">
        <f t="shared" si="20"/>
        <v>97.674418604651152</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94.444444444444443</v>
      </c>
      <c r="AH21" s="46">
        <f t="shared" si="28"/>
        <v>11</v>
      </c>
      <c r="AI21" s="5" t="str">
        <f>IF(L21="","",VLOOKUP($L21,classifications!$C:$J,8,FALSE))</f>
        <v>Unitary</v>
      </c>
      <c r="AJ21" s="42">
        <f t="shared" si="29"/>
        <v>97.674418604651152</v>
      </c>
      <c r="AK21" s="39">
        <f>IF(AJ21="","",IF(I$8="A",(RANK(AJ21,AJ$11:AJ$333,1)+COUNTIF(AJ$11:AJ21,AJ21)-1),(RANK(AJ21,AJ$11:AJ$333)+COUNTIF(AJ$11:AJ21,AJ21)-1)))</f>
        <v>11</v>
      </c>
      <c r="AL21" s="3">
        <f t="shared" si="16"/>
        <v>11</v>
      </c>
      <c r="AM21" t="str">
        <f t="shared" si="6"/>
        <v>Wokingham</v>
      </c>
      <c r="AN21">
        <f t="shared" si="7"/>
        <v>97.674418604651152</v>
      </c>
      <c r="AP21" s="5" t="str">
        <f>IF(L21="","",VLOOKUP($L21,classifications!$C:$E,3,FALSE))</f>
        <v>South East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89.473684210526315</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88.235294117647058</v>
      </c>
      <c r="G22" s="15"/>
      <c r="H22" s="41" t="str">
        <f t="shared" si="1"/>
        <v/>
      </c>
      <c r="I22" s="73" t="str">
        <f>IF(H22="","",IF($I$8="A",(RANK(H22,H$11:H$333,1)+COUNTIF(H$11:H22,H22)-1),(RANK(H22,H$11:H$333)+COUNTIF(H$11:H22,H22)-1)))</f>
        <v/>
      </c>
      <c r="J22" s="40"/>
      <c r="K22" s="35">
        <f t="shared" si="10"/>
        <v>12</v>
      </c>
      <c r="L22" t="str">
        <f t="shared" si="2"/>
        <v>North East Lincolnshire</v>
      </c>
      <c r="M22" s="109">
        <f t="shared" si="3"/>
        <v>97.5</v>
      </c>
      <c r="N22" s="104">
        <f t="shared" si="19"/>
        <v>97.5</v>
      </c>
      <c r="O22" s="89">
        <f t="shared" si="20"/>
        <v>97.5</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94.444444444444443</v>
      </c>
      <c r="AH22" s="46">
        <f t="shared" si="28"/>
        <v>12</v>
      </c>
      <c r="AI22" s="5" t="str">
        <f>IF(L22="","",VLOOKUP($L22,classifications!$C:$J,8,FALSE))</f>
        <v>Unitary</v>
      </c>
      <c r="AJ22" s="42">
        <f t="shared" si="29"/>
        <v>97.5</v>
      </c>
      <c r="AK22" s="39">
        <f>IF(AJ22="","",IF(I$8="A",(RANK(AJ22,AJ$11:AJ$333,1)+COUNTIF(AJ$11:AJ22,AJ22)-1),(RANK(AJ22,AJ$11:AJ$333)+COUNTIF(AJ$11:AJ22,AJ22)-1)))</f>
        <v>12</v>
      </c>
      <c r="AL22" s="3">
        <f t="shared" si="16"/>
        <v>12</v>
      </c>
      <c r="AM22" t="str">
        <f t="shared" si="6"/>
        <v>North East Lincolnshire</v>
      </c>
      <c r="AN22">
        <f t="shared" si="7"/>
        <v>97.5</v>
      </c>
      <c r="AP22" s="5" t="str">
        <f>IF(L22="","",VLOOKUP($L22,classifications!$C:$E,3,FALSE))</f>
        <v>Yorkshire &amp; Humberside</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88.235294117647058</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87.5</v>
      </c>
      <c r="G23" s="15"/>
      <c r="H23" s="41" t="str">
        <f t="shared" si="1"/>
        <v/>
      </c>
      <c r="I23" s="73" t="str">
        <f>IF(H23="","",IF($I$8="A",(RANK(H23,H$11:H$333,1)+COUNTIF(H$11:H23,H23)-1),(RANK(H23,H$11:H$333)+COUNTIF(H$11:H23,H23)-1)))</f>
        <v/>
      </c>
      <c r="J23" s="40"/>
      <c r="K23" s="35">
        <f t="shared" si="10"/>
        <v>13</v>
      </c>
      <c r="L23" t="str">
        <f t="shared" si="2"/>
        <v>York</v>
      </c>
      <c r="M23" s="109">
        <f t="shared" si="3"/>
        <v>94.871794871794862</v>
      </c>
      <c r="N23" s="104">
        <f t="shared" si="19"/>
        <v>94.871794871794862</v>
      </c>
      <c r="O23" s="89">
        <f t="shared" si="20"/>
        <v>94.871794871794862</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94.444444444444443</v>
      </c>
      <c r="AH23" s="46">
        <f t="shared" si="28"/>
        <v>13</v>
      </c>
      <c r="AI23" s="5" t="str">
        <f>IF(L23="","",VLOOKUP($L23,classifications!$C:$J,8,FALSE))</f>
        <v>Unitary</v>
      </c>
      <c r="AJ23" s="42">
        <f t="shared" si="29"/>
        <v>94.871794871794862</v>
      </c>
      <c r="AK23" s="39">
        <f>IF(AJ23="","",IF(I$8="A",(RANK(AJ23,AJ$11:AJ$333,1)+COUNTIF(AJ$11:AJ23,AJ23)-1),(RANK(AJ23,AJ$11:AJ$333)+COUNTIF(AJ$11:AJ23,AJ23)-1)))</f>
        <v>13</v>
      </c>
      <c r="AL23" s="3">
        <f t="shared" si="16"/>
        <v>13</v>
      </c>
      <c r="AM23" t="str">
        <f t="shared" si="6"/>
        <v>York</v>
      </c>
      <c r="AN23">
        <f t="shared" si="7"/>
        <v>94.871794871794862</v>
      </c>
      <c r="AP23" s="5" t="str">
        <f>IF(L23="","",VLOOKUP($L23,classifications!$C:$E,3,FALSE))</f>
        <v>Yorkshire &amp; Humberside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87.5</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93.333333333333329</v>
      </c>
      <c r="G24" s="15"/>
      <c r="H24" s="41" t="str">
        <f t="shared" si="1"/>
        <v/>
      </c>
      <c r="I24" s="73" t="str">
        <f>IF(H24="","",IF($I$8="A",(RANK(H24,H$11:H$333,1)+COUNTIF(H$11:H24,H24)-1),(RANK(H24,H$11:H$333)+COUNTIF(H$11:H24,H24)-1)))</f>
        <v/>
      </c>
      <c r="J24" s="40"/>
      <c r="K24" s="35">
        <f t="shared" si="10"/>
        <v>14</v>
      </c>
      <c r="L24" t="str">
        <f t="shared" si="2"/>
        <v>East Riding of Yorkshire</v>
      </c>
      <c r="M24" s="109">
        <f t="shared" si="3"/>
        <v>94.73684210526315</v>
      </c>
      <c r="N24" s="104">
        <f t="shared" si="19"/>
        <v>94.73684210526315</v>
      </c>
      <c r="O24" s="89">
        <f t="shared" si="20"/>
        <v>94.73684210526315</v>
      </c>
      <c r="P24" s="89" t="str">
        <f t="shared" si="21"/>
        <v/>
      </c>
      <c r="Q24" s="89" t="str">
        <f t="shared" si="22"/>
        <v/>
      </c>
      <c r="R24" s="85" t="str">
        <f t="shared" si="23"/>
        <v/>
      </c>
      <c r="S24" s="41" t="str">
        <f t="shared" si="24"/>
        <v/>
      </c>
      <c r="T24" s="166" t="str">
        <f>IF(L24="","",VLOOKUP(L24,classifications!C:K,9,FALSE))</f>
        <v>Sparse</v>
      </c>
      <c r="U24" s="167">
        <f t="shared" si="25"/>
        <v>94.73684210526315</v>
      </c>
      <c r="V24" s="173">
        <f>IF(U24="","",IF($I$8="A",(RANK(U24,U$11:U$333)+COUNTIF(U$11:U24,U24)-1),(RANK(U24,U$11:U$333,1)+COUNTIF(U$11:U24,U24)-1)))</f>
        <v>15</v>
      </c>
      <c r="W24" s="174"/>
      <c r="X24" s="5" t="str">
        <f>IF(L24="","",VLOOKUP($L24,classifications!$C:$J,6,FALSE))</f>
        <v xml:space="preserve">Predominantly Rural </v>
      </c>
      <c r="Y24">
        <f t="shared" si="26"/>
        <v>94.73684210526315</v>
      </c>
      <c r="Z24" s="39">
        <f>IF(Y24="","",IF(I$8="A",(RANK(Y24,Y$11:Y$333,1)+COUNTIF(Y$11:Y24,Y24)-1),(RANK(Y24,Y$11:Y$333)+COUNTIF(Y$11:Y24,Y24)-1)))</f>
        <v>2</v>
      </c>
      <c r="AA24" s="177" t="str">
        <f>IF(L24="","",VLOOKUP($L24,classifications!C:I,7,FALSE))</f>
        <v>Predominantly Rural</v>
      </c>
      <c r="AB24" s="173" t="str">
        <f t="shared" si="27"/>
        <v/>
      </c>
      <c r="AC24" s="173" t="str">
        <f>IF(AB24="","",IF($I$8="A",(RANK(AB24,AB$11:AB$333)+COUNTIF(AB$11:AB24,AB24)-1),(RANK(AB24,AB$11:AB$333,1)+COUNTIF(AB$11:AB24,AB24)-1)))</f>
        <v/>
      </c>
      <c r="AD24" s="173"/>
      <c r="AE24" s="45">
        <f>IF(I$8="A",(RANK(AG24,AG$11:AG$333,1)+COUNTIF(AG$11:AG24,AG24)-1),(RANK(AG24,AG$11:AG$333)+COUNTIF(AG$11:AG24,AG24)-1))</f>
        <v>14</v>
      </c>
      <c r="AF24" t="str">
        <f>VLOOKUP(Profile!$J$5,Families!$C:$R,2,FALSE)</f>
        <v>Cheshire West &amp; Chester</v>
      </c>
      <c r="AG24" s="15">
        <f t="shared" si="15"/>
        <v>94.444444444444443</v>
      </c>
      <c r="AH24" s="46">
        <f t="shared" si="28"/>
        <v>14</v>
      </c>
      <c r="AI24" s="5" t="str">
        <f>IF(L24="","",VLOOKUP($L24,classifications!$C:$J,8,FALSE))</f>
        <v>Unitary</v>
      </c>
      <c r="AJ24" s="42">
        <f t="shared" si="29"/>
        <v>94.73684210526315</v>
      </c>
      <c r="AK24" s="39">
        <f>IF(AJ24="","",IF(I$8="A",(RANK(AJ24,AJ$11:AJ$333,1)+COUNTIF(AJ$11:AJ24,AJ24)-1),(RANK(AJ24,AJ$11:AJ$333)+COUNTIF(AJ$11:AJ24,AJ24)-1)))</f>
        <v>14</v>
      </c>
      <c r="AL24" s="3">
        <f t="shared" si="16"/>
        <v>14</v>
      </c>
      <c r="AM24" t="str">
        <f t="shared" si="6"/>
        <v>East Riding of Yorkshire</v>
      </c>
      <c r="AN24">
        <f t="shared" si="7"/>
        <v>94.73684210526315</v>
      </c>
      <c r="AP24" s="5" t="str">
        <f>IF(L24="","",VLOOKUP($L24,classifications!$C:$E,3,FALSE))</f>
        <v>Yorkshire &amp; Humberside</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93.333333333333329</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100</v>
      </c>
      <c r="G25" s="15"/>
      <c r="H25" s="41">
        <f t="shared" si="1"/>
        <v>100</v>
      </c>
      <c r="I25" s="73">
        <f>IF(H25="","",IF($I$8="A",(RANK(H25,H$11:H$333,1)+COUNTIF(H$11:H25,H25)-1),(RANK(H25,H$11:H$333)+COUNTIF(H$11:H25,H25)-1)))</f>
        <v>1</v>
      </c>
      <c r="J25" s="40"/>
      <c r="K25" s="35">
        <f t="shared" si="10"/>
        <v>15</v>
      </c>
      <c r="L25" t="str">
        <f t="shared" si="2"/>
        <v>Cheshire East</v>
      </c>
      <c r="M25" s="109">
        <f t="shared" si="3"/>
        <v>94.680851063829792</v>
      </c>
      <c r="N25" s="104">
        <f t="shared" si="19"/>
        <v>94.680851063829792</v>
      </c>
      <c r="O25" s="89">
        <f t="shared" si="20"/>
        <v>94.680851063829792</v>
      </c>
      <c r="P25" s="89" t="str">
        <f t="shared" si="21"/>
        <v/>
      </c>
      <c r="Q25" s="89" t="str">
        <f t="shared" si="22"/>
        <v/>
      </c>
      <c r="R25" s="85" t="str">
        <f t="shared" si="23"/>
        <v/>
      </c>
      <c r="S25" s="41" t="str">
        <f t="shared" si="24"/>
        <v>u</v>
      </c>
      <c r="T25" s="166" t="str">
        <f>IF(L25="","",VLOOKUP(L25,classifications!C:K,9,FALSE))</f>
        <v>Sparse</v>
      </c>
      <c r="U25" s="167">
        <f t="shared" si="25"/>
        <v>94.680851063829792</v>
      </c>
      <c r="V25" s="173">
        <f>IF(U25="","",IF($I$8="A",(RANK(U25,U$11:U$333)+COUNTIF(U$11:U25,U25)-1),(RANK(U25,U$11:U$333,1)+COUNTIF(U$11:U25,U25)-1)))</f>
        <v>14</v>
      </c>
      <c r="W25" s="174"/>
      <c r="X25" s="5" t="str">
        <f>IF(L25="","",VLOOKUP($L25,classifications!$C:$J,6,FALSE))</f>
        <v>Urban with Significant Rural</v>
      </c>
      <c r="Y25">
        <f t="shared" si="26"/>
        <v>94.680851063829792</v>
      </c>
      <c r="Z25" s="39">
        <f>IF(Y25="","",IF(I$8="A",(RANK(Y25,Y$11:Y$333,1)+COUNTIF(Y$11:Y25,Y25)-1),(RANK(Y25,Y$11:Y$333)+COUNTIF(Y$11:Y25,Y25)-1)))</f>
        <v>3</v>
      </c>
      <c r="AA25" s="177" t="str">
        <f>IF(L25="","",VLOOKUP($L25,classifications!C:I,7,FALSE))</f>
        <v>Urban with Significant Rural</v>
      </c>
      <c r="AB25" s="173">
        <f t="shared" si="27"/>
        <v>94.680851063829792</v>
      </c>
      <c r="AC25" s="173">
        <f>IF(AB25="","",IF($I$8="A",(RANK(AB25,AB$11:AB$333)+COUNTIF(AB$11:AB25,AB25)-1),(RANK(AB25,AB$11:AB$333,1)+COUNTIF(AB$11:AB25,AB25)-1)))</f>
        <v>10</v>
      </c>
      <c r="AD25" s="173"/>
      <c r="AE25" s="45">
        <f>IF(I$8="A",(RANK(AG25,AG$11:AG$333,1)+COUNTIF(AG$11:AG25,AG25)-1),(RANK(AG25,AG$11:AG$333)+COUNTIF(AG$11:AG25,AG25)-1))</f>
        <v>15</v>
      </c>
      <c r="AF25" t="str">
        <f>VLOOKUP(Profile!$J$5,Families!$C:$R,2,FALSE)</f>
        <v>Cheshire West &amp; Chester</v>
      </c>
      <c r="AG25" s="15">
        <f t="shared" si="15"/>
        <v>94.444444444444443</v>
      </c>
      <c r="AH25" s="46">
        <f t="shared" si="28"/>
        <v>15</v>
      </c>
      <c r="AI25" s="5" t="str">
        <f>IF(L25="","",VLOOKUP($L25,classifications!$C:$J,8,FALSE))</f>
        <v>Unitary</v>
      </c>
      <c r="AJ25" s="42">
        <f t="shared" si="29"/>
        <v>94.680851063829792</v>
      </c>
      <c r="AK25" s="39">
        <f>IF(AJ25="","",IF(I$8="A",(RANK(AJ25,AJ$11:AJ$333,1)+COUNTIF(AJ$11:AJ25,AJ25)-1),(RANK(AJ25,AJ$11:AJ$333)+COUNTIF(AJ$11:AJ25,AJ25)-1)))</f>
        <v>15</v>
      </c>
      <c r="AL25" s="3">
        <f t="shared" si="16"/>
        <v>15</v>
      </c>
      <c r="AM25" t="str">
        <f t="shared" si="6"/>
        <v>Cheshire East</v>
      </c>
      <c r="AN25">
        <f t="shared" si="7"/>
        <v>94.680851063829792</v>
      </c>
      <c r="AP25" s="5" t="str">
        <f>IF(L25="","",VLOOKUP($L25,classifications!$C:$E,3,FALSE))</f>
        <v>North West</v>
      </c>
      <c r="AQ25" s="42">
        <f t="shared" si="30"/>
        <v>94.680851063829792</v>
      </c>
      <c r="AR25" s="39">
        <f>IF(AQ25="","",IF(I$8="A",(RANK(AQ25,AQ$11:AQ$333,1)+COUNTIF(AQ$11:AQ25,AQ25)-1),(RANK(AQ25,AQ$11:AQ$333)+COUNTIF(AQ$11:AQ25,AQ25)-1)))</f>
        <v>2</v>
      </c>
      <c r="AS25" s="3" t="str">
        <f t="shared" si="18"/>
        <v/>
      </c>
      <c r="AT25" s="39" t="str">
        <f t="shared" si="8"/>
        <v/>
      </c>
      <c r="AU25" s="42" t="str">
        <f t="shared" si="9"/>
        <v/>
      </c>
      <c r="AX25">
        <f>HLOOKUP($AX$9&amp;$AX$10,Data!$A$1:$ZT$1975,(MATCH($C25,Data!$A$1:$A$1975,0)),FALSE)</f>
        <v>100</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88.679245283018872</v>
      </c>
      <c r="G26" s="15"/>
      <c r="H26" s="41">
        <f t="shared" si="1"/>
        <v>88.679245283018872</v>
      </c>
      <c r="I26" s="73">
        <f>IF(H26="","",IF($I$8="A",(RANK(H26,H$11:H$333,1)+COUNTIF(H$11:H26,H26)-1),(RANK(H26,H$11:H$333)+COUNTIF(H$11:H26,H26)-1)))</f>
        <v>39</v>
      </c>
      <c r="J26" s="40"/>
      <c r="K26" s="35">
        <f t="shared" si="10"/>
        <v>16</v>
      </c>
      <c r="L26" t="str">
        <f t="shared" si="2"/>
        <v>Herefordshire</v>
      </c>
      <c r="M26" s="109">
        <f t="shared" si="3"/>
        <v>94.642857142857139</v>
      </c>
      <c r="N26" s="104">
        <f t="shared" si="19"/>
        <v>94.642857142857139</v>
      </c>
      <c r="O26" s="89">
        <f t="shared" si="20"/>
        <v>94.642857142857139</v>
      </c>
      <c r="P26" s="89" t="str">
        <f t="shared" si="21"/>
        <v/>
      </c>
      <c r="Q26" s="89" t="str">
        <f t="shared" si="22"/>
        <v/>
      </c>
      <c r="R26" s="85" t="str">
        <f t="shared" si="23"/>
        <v/>
      </c>
      <c r="S26" s="41" t="str">
        <f t="shared" si="24"/>
        <v/>
      </c>
      <c r="T26" s="166" t="str">
        <f>IF(L26="","",VLOOKUP(L26,classifications!C:K,9,FALSE))</f>
        <v>Sparse</v>
      </c>
      <c r="U26" s="167">
        <f t="shared" si="25"/>
        <v>94.642857142857139</v>
      </c>
      <c r="V26" s="173">
        <f>IF(U26="","",IF($I$8="A",(RANK(U26,U$11:U$333)+COUNTIF(U$11:U26,U26)-1),(RANK(U26,U$11:U$333,1)+COUNTIF(U$11:U26,U26)-1)))</f>
        <v>13</v>
      </c>
      <c r="W26" s="174"/>
      <c r="X26" s="5" t="str">
        <f>IF(L26="","",VLOOKUP($L26,classifications!$C:$J,6,FALSE))</f>
        <v xml:space="preserve">Predominantly Rural </v>
      </c>
      <c r="Y26">
        <f t="shared" si="26"/>
        <v>94.642857142857139</v>
      </c>
      <c r="Z26" s="39">
        <f>IF(Y26="","",IF(I$8="A",(RANK(Y26,Y$11:Y$333,1)+COUNTIF(Y$11:Y26,Y26)-1),(RANK(Y26,Y$11:Y$333)+COUNTIF(Y$11:Y26,Y26)-1)))</f>
        <v>4</v>
      </c>
      <c r="AA26" s="177" t="str">
        <f>IF(L26="","",VLOOKUP($L26,classifications!C:I,7,FALSE))</f>
        <v>Predominantly Rural</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94.444444444444443</v>
      </c>
      <c r="AH26" s="46">
        <f t="shared" si="28"/>
        <v>16</v>
      </c>
      <c r="AI26" s="5" t="str">
        <f>IF(L26="","",VLOOKUP($L26,classifications!$C:$J,8,FALSE))</f>
        <v>Unitary</v>
      </c>
      <c r="AJ26" s="42">
        <f t="shared" si="29"/>
        <v>94.642857142857139</v>
      </c>
      <c r="AK26" s="39">
        <f>IF(AJ26="","",IF(I$8="A",(RANK(AJ26,AJ$11:AJ$333,1)+COUNTIF(AJ$11:AJ26,AJ26)-1),(RANK(AJ26,AJ$11:AJ$333)+COUNTIF(AJ$11:AJ26,AJ26)-1)))</f>
        <v>16</v>
      </c>
      <c r="AL26" s="3">
        <f t="shared" si="16"/>
        <v>16</v>
      </c>
      <c r="AM26" t="str">
        <f t="shared" si="6"/>
        <v>Herefordshire</v>
      </c>
      <c r="AN26">
        <f t="shared" si="7"/>
        <v>94.642857142857139</v>
      </c>
      <c r="AP26" s="5" t="str">
        <f>IF(L26="","",VLOOKUP($L26,classifications!$C:$E,3,FALSE))</f>
        <v>West Midlands</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88.679245283018872</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Cheshire West &amp; Chester</v>
      </c>
      <c r="M27" s="109">
        <f t="shared" si="3"/>
        <v>94.444444444444443</v>
      </c>
      <c r="N27" s="104">
        <f t="shared" si="19"/>
        <v>94.444444444444443</v>
      </c>
      <c r="O27" s="89" t="str">
        <f t="shared" si="20"/>
        <v/>
      </c>
      <c r="P27" s="89">
        <f t="shared" si="21"/>
        <v>94.444444444444443</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Urban with Significant Rural</v>
      </c>
      <c r="Y27">
        <f t="shared" si="26"/>
        <v>94.444444444444443</v>
      </c>
      <c r="Z27" s="39">
        <f>IF(Y27="","",IF(I$8="A",(RANK(Y27,Y$11:Y$333,1)+COUNTIF(Y$11:Y27,Y27)-1),(RANK(Y27,Y$11:Y$333)+COUNTIF(Y$11:Y27,Y27)-1)))</f>
        <v>5</v>
      </c>
      <c r="AA27" s="177" t="str">
        <f>IF(L27="","",VLOOKUP($L27,classifications!C:I,7,FALSE))</f>
        <v>Urban with Significant Rural</v>
      </c>
      <c r="AB27" s="173">
        <f t="shared" si="27"/>
        <v>94.444444444444443</v>
      </c>
      <c r="AC27" s="173">
        <f>IF(AB27="","",IF($I$8="A",(RANK(AB27,AB$11:AB$333)+COUNTIF(AB$11:AB27,AB27)-1),(RANK(AB27,AB$11:AB$333,1)+COUNTIF(AB$11:AB27,AB27)-1)))</f>
        <v>9</v>
      </c>
      <c r="AD27" s="173"/>
      <c r="AE27" s="45">
        <f>IF(I$8="A",(RANK(AG27,AG$11:AG$333,1)+COUNTIF(AG$11:AG27,AG27)-1),(RANK(AG27,AG$11:AG$333)+COUNTIF(AG$11:AG27,AG27)-1))</f>
        <v>17</v>
      </c>
      <c r="AF27" t="str">
        <f>VLOOKUP(Profile!$J$5,Families!$C:$R,2,FALSE)</f>
        <v>Cheshire West &amp; Chester</v>
      </c>
      <c r="AG27" s="15">
        <f t="shared" si="15"/>
        <v>94.444444444444443</v>
      </c>
      <c r="AH27" s="46">
        <f t="shared" si="28"/>
        <v>17</v>
      </c>
      <c r="AI27" s="5" t="str">
        <f>IF(L27="","",VLOOKUP($L27,classifications!$C:$J,8,FALSE))</f>
        <v>Unitary</v>
      </c>
      <c r="AJ27" s="42">
        <f t="shared" si="29"/>
        <v>94.444444444444443</v>
      </c>
      <c r="AK27" s="39">
        <f>IF(AJ27="","",IF(I$8="A",(RANK(AJ27,AJ$11:AJ$333,1)+COUNTIF(AJ$11:AJ27,AJ27)-1),(RANK(AJ27,AJ$11:AJ$333)+COUNTIF(AJ$11:AJ27,AJ27)-1)))</f>
        <v>17</v>
      </c>
      <c r="AL27" s="3">
        <f t="shared" si="16"/>
        <v>17</v>
      </c>
      <c r="AM27" t="str">
        <f t="shared" si="6"/>
        <v>Cheshire West &amp; Chester</v>
      </c>
      <c r="AN27">
        <f t="shared" si="7"/>
        <v>94.444444444444443</v>
      </c>
      <c r="AP27" s="5" t="str">
        <f>IF(L27="","",VLOOKUP($L27,classifications!$C:$E,3,FALSE))</f>
        <v>North West</v>
      </c>
      <c r="AQ27" s="42">
        <f t="shared" si="30"/>
        <v>94.444444444444443</v>
      </c>
      <c r="AR27" s="39">
        <f>IF(AQ27="","",IF(I$8="A",(RANK(AQ27,AQ$11:AQ$333,1)+COUNTIF(AQ$11:AQ27,AQ27)-1),(RANK(AQ27,AQ$11:AQ$333)+COUNTIF(AQ$11:AQ27,AQ27)-1)))</f>
        <v>3</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90.476190476190482</v>
      </c>
      <c r="G28" s="15"/>
      <c r="H28" s="41" t="str">
        <f t="shared" si="1"/>
        <v/>
      </c>
      <c r="I28" s="73" t="str">
        <f>IF(H28="","",IF($I$8="A",(RANK(H28,H$11:H$333,1)+COUNTIF(H$11:H28,H28)-1),(RANK(H28,H$11:H$333)+COUNTIF(H$11:H28,H28)-1)))</f>
        <v/>
      </c>
      <c r="J28" s="40"/>
      <c r="K28" s="35">
        <f t="shared" si="10"/>
        <v>18</v>
      </c>
      <c r="L28" t="str">
        <f t="shared" si="2"/>
        <v>Kingston upon Hull</v>
      </c>
      <c r="M28" s="109">
        <f t="shared" si="3"/>
        <v>94.444444444444443</v>
      </c>
      <c r="N28" s="104">
        <f t="shared" si="19"/>
        <v>94.444444444444443</v>
      </c>
      <c r="O28" s="89" t="str">
        <f t="shared" si="20"/>
        <v/>
      </c>
      <c r="P28" s="89">
        <f t="shared" si="21"/>
        <v>94.444444444444443</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94.444444444444443</v>
      </c>
      <c r="AH28" s="46">
        <f t="shared" si="28"/>
        <v>18</v>
      </c>
      <c r="AI28" s="5" t="str">
        <f>IF(L28="","",VLOOKUP($L28,classifications!$C:$J,8,FALSE))</f>
        <v>Unitary</v>
      </c>
      <c r="AJ28" s="42">
        <f t="shared" si="29"/>
        <v>94.444444444444443</v>
      </c>
      <c r="AK28" s="39">
        <f>IF(AJ28="","",IF(I$8="A",(RANK(AJ28,AJ$11:AJ$333,1)+COUNTIF(AJ$11:AJ28,AJ28)-1),(RANK(AJ28,AJ$11:AJ$333)+COUNTIF(AJ$11:AJ28,AJ28)-1)))</f>
        <v>18</v>
      </c>
      <c r="AL28" s="3">
        <f t="shared" si="16"/>
        <v>18</v>
      </c>
      <c r="AM28" t="str">
        <f t="shared" si="6"/>
        <v>Kingston upon Hull</v>
      </c>
      <c r="AN28">
        <f t="shared" si="7"/>
        <v>94.444444444444443</v>
      </c>
      <c r="AP28" s="5" t="str">
        <f>IF(L28="","",VLOOKUP($L28,classifications!$C:$E,3,FALSE))</f>
        <v>Yorkshire &amp; Humberside</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90.476190476190482</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93.75</v>
      </c>
      <c r="G29" s="15"/>
      <c r="H29" s="41" t="str">
        <f t="shared" si="1"/>
        <v/>
      </c>
      <c r="I29" s="73" t="str">
        <f>IF(H29="","",IF($I$8="A",(RANK(H29,H$11:H$333,1)+COUNTIF(H$11:H29,H29)-1),(RANK(H29,H$11:H$333)+COUNTIF(H$11:H29,H29)-1)))</f>
        <v/>
      </c>
      <c r="J29" s="40"/>
      <c r="K29" s="35">
        <f t="shared" si="10"/>
        <v>19</v>
      </c>
      <c r="L29" t="str">
        <f t="shared" si="2"/>
        <v>Brighton &amp; Hove</v>
      </c>
      <c r="M29" s="109">
        <f t="shared" si="3"/>
        <v>94.285714285714278</v>
      </c>
      <c r="N29" s="104">
        <f t="shared" si="19"/>
        <v>94.285714285714278</v>
      </c>
      <c r="O29" s="89" t="str">
        <f t="shared" si="20"/>
        <v/>
      </c>
      <c r="P29" s="89">
        <f t="shared" si="21"/>
        <v>94.285714285714278</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94.444444444444443</v>
      </c>
      <c r="AH29" s="46">
        <f t="shared" si="28"/>
        <v>19</v>
      </c>
      <c r="AI29" s="5" t="str">
        <f>IF(L29="","",VLOOKUP($L29,classifications!$C:$J,8,FALSE))</f>
        <v>Unitary</v>
      </c>
      <c r="AJ29" s="42">
        <f t="shared" si="29"/>
        <v>94.285714285714278</v>
      </c>
      <c r="AK29" s="39">
        <f>IF(AJ29="","",IF(I$8="A",(RANK(AJ29,AJ$11:AJ$333,1)+COUNTIF(AJ$11:AJ29,AJ29)-1),(RANK(AJ29,AJ$11:AJ$333)+COUNTIF(AJ$11:AJ29,AJ29)-1)))</f>
        <v>19</v>
      </c>
      <c r="AL29" s="3">
        <f t="shared" si="16"/>
        <v>19</v>
      </c>
      <c r="AM29" t="str">
        <f t="shared" si="6"/>
        <v>Brighton &amp; Hove</v>
      </c>
      <c r="AN29">
        <f t="shared" si="7"/>
        <v>94.285714285714278</v>
      </c>
      <c r="AP29" s="5" t="str">
        <f>IF(L29="","",VLOOKUP($L29,classifications!$C:$E,3,FALSE))</f>
        <v>South East</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93.75</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2</v>
      </c>
      <c r="J30" s="40"/>
      <c r="K30" s="35">
        <f t="shared" si="10"/>
        <v>20</v>
      </c>
      <c r="L30" t="str">
        <f t="shared" si="2"/>
        <v>Reading</v>
      </c>
      <c r="M30" s="109">
        <f t="shared" si="3"/>
        <v>94.117647058823522</v>
      </c>
      <c r="N30" s="104">
        <f t="shared" si="19"/>
        <v>94.117647058823522</v>
      </c>
      <c r="O30" s="89" t="str">
        <f t="shared" si="20"/>
        <v/>
      </c>
      <c r="P30" s="89">
        <f t="shared" si="21"/>
        <v>94.117647058823522</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94.444444444444443</v>
      </c>
      <c r="AH30" s="46">
        <f t="shared" si="28"/>
        <v>20</v>
      </c>
      <c r="AI30" s="5" t="str">
        <f>IF(L30="","",VLOOKUP($L30,classifications!$C:$J,8,FALSE))</f>
        <v>Unitary</v>
      </c>
      <c r="AJ30" s="42">
        <f t="shared" si="29"/>
        <v>94.117647058823522</v>
      </c>
      <c r="AK30" s="39">
        <f>IF(AJ30="","",IF(I$8="A",(RANK(AJ30,AJ$11:AJ$333,1)+COUNTIF(AJ$11:AJ30,AJ30)-1),(RANK(AJ30,AJ$11:AJ$333)+COUNTIF(AJ$11:AJ30,AJ30)-1)))</f>
        <v>20</v>
      </c>
      <c r="AL30" s="3">
        <f t="shared" si="16"/>
        <v>20</v>
      </c>
      <c r="AM30" t="str">
        <f t="shared" si="6"/>
        <v>Reading</v>
      </c>
      <c r="AN30">
        <f t="shared" si="7"/>
        <v>94.117647058823522</v>
      </c>
      <c r="AP30" s="5" t="str">
        <f>IF(L30="","",VLOOKUP($L30,classifications!$C:$E,3,FALSE))</f>
        <v>South East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88.888888888888886</v>
      </c>
      <c r="G31" s="15"/>
      <c r="H31" s="41">
        <f t="shared" si="1"/>
        <v>88.888888888888886</v>
      </c>
      <c r="I31" s="73">
        <f>IF(H31="","",IF($I$8="A",(RANK(H31,H$11:H$333,1)+COUNTIF(H$11:H31,H31)-1),(RANK(H31,H$11:H$333)+COUNTIF(H$11:H31,H31)-1)))</f>
        <v>38</v>
      </c>
      <c r="J31" s="40"/>
      <c r="K31" s="35">
        <f t="shared" si="10"/>
        <v>21</v>
      </c>
      <c r="L31" t="str">
        <f t="shared" si="2"/>
        <v>Buckinghamshire</v>
      </c>
      <c r="M31" s="109">
        <f t="shared" si="3"/>
        <v>93.41317365269461</v>
      </c>
      <c r="N31" s="104">
        <f t="shared" si="19"/>
        <v>93.41317365269461</v>
      </c>
      <c r="O31" s="89" t="str">
        <f t="shared" si="20"/>
        <v/>
      </c>
      <c r="P31" s="89">
        <f t="shared" si="21"/>
        <v>93.41317365269461</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Urban with Significant Rural</v>
      </c>
      <c r="Y31">
        <f t="shared" si="26"/>
        <v>93.41317365269461</v>
      </c>
      <c r="Z31" s="39">
        <f>IF(Y31="","",IF(I$8="A",(RANK(Y31,Y$11:Y$333,1)+COUNTIF(Y$11:Y31,Y31)-1),(RANK(Y31,Y$11:Y$333)+COUNTIF(Y$11:Y31,Y31)-1)))</f>
        <v>6</v>
      </c>
      <c r="AA31" s="177" t="str">
        <f>IF(L31="","",VLOOKUP($L31,classifications!C:I,7,FALSE))</f>
        <v>Urban with Significant Rural</v>
      </c>
      <c r="AB31" s="173">
        <f t="shared" si="27"/>
        <v>93.41317365269461</v>
      </c>
      <c r="AC31" s="173">
        <f>IF(AB31="","",IF($I$8="A",(RANK(AB31,AB$11:AB$333)+COUNTIF(AB$11:AB31,AB31)-1),(RANK(AB31,AB$11:AB$333,1)+COUNTIF(AB$11:AB31,AB31)-1)))</f>
        <v>8</v>
      </c>
      <c r="AD31" s="173"/>
      <c r="AE31" s="45">
        <f>IF(I$8="A",(RANK(AG31,AG$11:AG$333,1)+COUNTIF(AG$11:AG31,AG31)-1),(RANK(AG31,AG$11:AG$333)+COUNTIF(AG$11:AG31,AG31)-1))</f>
        <v>21</v>
      </c>
      <c r="AF31" t="str">
        <f>VLOOKUP(Profile!$J$5,Families!$C:$R,2,FALSE)</f>
        <v>Cheshire West &amp; Chester</v>
      </c>
      <c r="AG31" s="15">
        <f t="shared" si="15"/>
        <v>94.444444444444443</v>
      </c>
      <c r="AH31" s="46">
        <f t="shared" si="28"/>
        <v>21</v>
      </c>
      <c r="AI31" s="5" t="str">
        <f>IF(L31="","",VLOOKUP($L31,classifications!$C:$J,8,FALSE))</f>
        <v>Unitary</v>
      </c>
      <c r="AJ31" s="42">
        <f t="shared" si="29"/>
        <v>93.41317365269461</v>
      </c>
      <c r="AK31" s="39">
        <f>IF(AJ31="","",IF(I$8="A",(RANK(AJ31,AJ$11:AJ$333,1)+COUNTIF(AJ$11:AJ31,AJ31)-1),(RANK(AJ31,AJ$11:AJ$333)+COUNTIF(AJ$11:AJ31,AJ31)-1)))</f>
        <v>21</v>
      </c>
      <c r="AL31" s="3">
        <f t="shared" si="16"/>
        <v>21</v>
      </c>
      <c r="AM31" t="str">
        <f t="shared" si="6"/>
        <v>Buckinghamshire</v>
      </c>
      <c r="AN31">
        <f t="shared" si="7"/>
        <v>93.41317365269461</v>
      </c>
      <c r="AP31" s="5" t="str">
        <f>IF(L31="","",VLOOKUP($L31,classifications!$C:$E,3,FALSE))</f>
        <v>South East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88.888888888888886</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93.333333333333329</v>
      </c>
      <c r="G32" s="15"/>
      <c r="H32" s="41" t="str">
        <f t="shared" si="1"/>
        <v/>
      </c>
      <c r="I32" s="73" t="str">
        <f>IF(H32="","",IF($I$8="A",(RANK(H32,H$11:H$333,1)+COUNTIF(H$11:H32,H32)-1),(RANK(H32,H$11:H$333)+COUNTIF(H$11:H32,H32)-1)))</f>
        <v/>
      </c>
      <c r="J32" s="40"/>
      <c r="K32" s="35">
        <f t="shared" si="10"/>
        <v>22</v>
      </c>
      <c r="L32" t="str">
        <f t="shared" si="2"/>
        <v>Redcar &amp; Cleveland</v>
      </c>
      <c r="M32" s="109">
        <f t="shared" si="3"/>
        <v>93.333333333333329</v>
      </c>
      <c r="N32" s="104">
        <f t="shared" si="19"/>
        <v>93.333333333333329</v>
      </c>
      <c r="O32" s="89" t="str">
        <f t="shared" si="20"/>
        <v/>
      </c>
      <c r="P32" s="89">
        <f t="shared" si="21"/>
        <v>93.333333333333329</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f t="shared" si="26"/>
        <v>93.333333333333329</v>
      </c>
      <c r="Z32" s="39">
        <f>IF(Y32="","",IF(I$8="A",(RANK(Y32,Y$11:Y$333,1)+COUNTIF(Y$11:Y32,Y32)-1),(RANK(Y32,Y$11:Y$333)+COUNTIF(Y$11:Y32,Y32)-1)))</f>
        <v>7</v>
      </c>
      <c r="AA32" s="177" t="str">
        <f>IF(L32="","",VLOOKUP($L32,classifications!C:I,7,FALSE))</f>
        <v>Urban with Significant Rural</v>
      </c>
      <c r="AB32" s="173">
        <f t="shared" si="27"/>
        <v>93.333333333333329</v>
      </c>
      <c r="AC32" s="173">
        <f>IF(AB32="","",IF($I$8="A",(RANK(AB32,AB$11:AB$333)+COUNTIF(AB$11:AB32,AB32)-1),(RANK(AB32,AB$11:AB$333,1)+COUNTIF(AB$11:AB32,AB32)-1)))</f>
        <v>7</v>
      </c>
      <c r="AD32" s="173"/>
      <c r="AE32" s="45">
        <f>IF(I$8="A",(RANK(AG32,AG$11:AG$333,1)+COUNTIF(AG$11:AG32,AG32)-1),(RANK(AG32,AG$11:AG$333)+COUNTIF(AG$11:AG32,AG32)-1))</f>
        <v>22</v>
      </c>
      <c r="AF32" t="str">
        <f>VLOOKUP(Profile!$J$5,Families!$C:$R,2,FALSE)</f>
        <v>Cheshire West &amp; Chester</v>
      </c>
      <c r="AG32" s="15">
        <f t="shared" si="15"/>
        <v>94.444444444444443</v>
      </c>
      <c r="AH32" s="46">
        <f t="shared" si="28"/>
        <v>22</v>
      </c>
      <c r="AI32" s="5" t="str">
        <f>IF(L32="","",VLOOKUP($L32,classifications!$C:$J,8,FALSE))</f>
        <v>Unitary</v>
      </c>
      <c r="AJ32" s="42">
        <f t="shared" si="29"/>
        <v>93.333333333333329</v>
      </c>
      <c r="AK32" s="39">
        <f>IF(AJ32="","",IF(I$8="A",(RANK(AJ32,AJ$11:AJ$333,1)+COUNTIF(AJ$11:AJ32,AJ32)-1),(RANK(AJ32,AJ$11:AJ$333)+COUNTIF(AJ$11:AJ32,AJ32)-1)))</f>
        <v>22</v>
      </c>
      <c r="AL32" s="3">
        <f t="shared" si="16"/>
        <v>22</v>
      </c>
      <c r="AM32" t="str">
        <f t="shared" si="6"/>
        <v>Redcar &amp; Cleveland</v>
      </c>
      <c r="AN32">
        <f t="shared" si="7"/>
        <v>93.333333333333329</v>
      </c>
      <c r="AP32" s="5" t="str">
        <f>IF(L32="","",VLOOKUP($L32,classifications!$C:$E,3,FALSE))</f>
        <v>NE</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93.333333333333329</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88.888888888888886</v>
      </c>
      <c r="G33" s="15"/>
      <c r="H33" s="41" t="str">
        <f t="shared" si="1"/>
        <v/>
      </c>
      <c r="I33" s="73" t="str">
        <f>IF(H33="","",IF($I$8="A",(RANK(H33,H$11:H$333,1)+COUNTIF(H$11:H33,H33)-1),(RANK(H33,H$11:H$333)+COUNTIF(H$11:H33,H33)-1)))</f>
        <v/>
      </c>
      <c r="J33" s="40"/>
      <c r="K33" s="35">
        <f t="shared" si="10"/>
        <v>23</v>
      </c>
      <c r="L33" t="str">
        <f t="shared" si="2"/>
        <v>Wiltshire</v>
      </c>
      <c r="M33" s="109">
        <f t="shared" si="3"/>
        <v>92.96875</v>
      </c>
      <c r="N33" s="104">
        <f t="shared" si="19"/>
        <v>92.96875</v>
      </c>
      <c r="O33" s="89" t="str">
        <f t="shared" si="20"/>
        <v/>
      </c>
      <c r="P33" s="89">
        <f t="shared" si="21"/>
        <v>92.96875</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 xml:space="preserve">Predominantly Rural </v>
      </c>
      <c r="Y33">
        <f t="shared" si="26"/>
        <v>92.96875</v>
      </c>
      <c r="Z33" s="39">
        <f>IF(Y33="","",IF(I$8="A",(RANK(Y33,Y$11:Y$333,1)+COUNTIF(Y$11:Y33,Y33)-1),(RANK(Y33,Y$11:Y$333)+COUNTIF(Y$11:Y33,Y33)-1)))</f>
        <v>8</v>
      </c>
      <c r="AA33" s="177" t="str">
        <f>IF(L33="","",VLOOKUP($L33,classifications!C:I,7,FALSE))</f>
        <v>Predominantly Rural</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94.444444444444443</v>
      </c>
      <c r="AH33" s="46">
        <f t="shared" si="28"/>
        <v>23</v>
      </c>
      <c r="AI33" s="5" t="str">
        <f>IF(L33="","",VLOOKUP($L33,classifications!$C:$J,8,FALSE))</f>
        <v>Unitary</v>
      </c>
      <c r="AJ33" s="42">
        <f t="shared" si="29"/>
        <v>92.96875</v>
      </c>
      <c r="AK33" s="39">
        <f>IF(AJ33="","",IF(I$8="A",(RANK(AJ33,AJ$11:AJ$333,1)+COUNTIF(AJ$11:AJ33,AJ33)-1),(RANK(AJ33,AJ$11:AJ$333)+COUNTIF(AJ$11:AJ33,AJ33)-1)))</f>
        <v>23</v>
      </c>
      <c r="AL33" s="3">
        <f t="shared" si="16"/>
        <v>23</v>
      </c>
      <c r="AM33" t="str">
        <f t="shared" si="6"/>
        <v>Wiltshire</v>
      </c>
      <c r="AN33">
        <f t="shared" si="7"/>
        <v>92.96875</v>
      </c>
      <c r="AP33" s="5" t="str">
        <f>IF(L33="","",VLOOKUP($L33,classifications!$C:$E,3,FALSE))</f>
        <v>South West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88.888888888888886</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93.333333333333329</v>
      </c>
      <c r="G34" s="15"/>
      <c r="H34" s="41" t="str">
        <f t="shared" si="1"/>
        <v/>
      </c>
      <c r="I34" s="73" t="str">
        <f>IF(H34="","",IF($I$8="A",(RANK(H34,H$11:H$333,1)+COUNTIF(H$11:H34,H34)-1),(RANK(H34,H$11:H$333)+COUNTIF(H$11:H34,H34)-1)))</f>
        <v/>
      </c>
      <c r="J34" s="40"/>
      <c r="K34" s="35">
        <f t="shared" si="10"/>
        <v>24</v>
      </c>
      <c r="L34" t="str">
        <f t="shared" si="2"/>
        <v>Rutland</v>
      </c>
      <c r="M34" s="109">
        <f t="shared" si="3"/>
        <v>92.857142857142861</v>
      </c>
      <c r="N34" s="104">
        <f t="shared" si="19"/>
        <v>92.857142857142861</v>
      </c>
      <c r="O34" s="89" t="str">
        <f t="shared" si="20"/>
        <v/>
      </c>
      <c r="P34" s="89">
        <f t="shared" si="21"/>
        <v>92.857142857142861</v>
      </c>
      <c r="Q34" s="89" t="str">
        <f t="shared" si="22"/>
        <v/>
      </c>
      <c r="R34" s="85" t="str">
        <f t="shared" si="23"/>
        <v/>
      </c>
      <c r="S34" s="41" t="str">
        <f t="shared" si="24"/>
        <v/>
      </c>
      <c r="T34" s="166" t="str">
        <f>IF(L34="","",VLOOKUP(L34,classifications!C:K,9,FALSE))</f>
        <v>Sparse</v>
      </c>
      <c r="U34" s="167">
        <f t="shared" si="25"/>
        <v>92.857142857142861</v>
      </c>
      <c r="V34" s="173">
        <f>IF(U34="","",IF($I$8="A",(RANK(U34,U$11:U$333)+COUNTIF(U$11:U34,U34)-1),(RANK(U34,U$11:U$333,1)+COUNTIF(U$11:U34,U34)-1)))</f>
        <v>12</v>
      </c>
      <c r="W34" s="174"/>
      <c r="X34" s="5" t="str">
        <f>IF(L34="","",VLOOKUP($L34,classifications!$C:$J,6,FALSE))</f>
        <v xml:space="preserve">Predominantly Rural </v>
      </c>
      <c r="Y34">
        <f t="shared" si="26"/>
        <v>92.857142857142861</v>
      </c>
      <c r="Z34" s="39">
        <f>IF(Y34="","",IF(I$8="A",(RANK(Y34,Y$11:Y$333,1)+COUNTIF(Y$11:Y34,Y34)-1),(RANK(Y34,Y$11:Y$333)+COUNTIF(Y$11:Y34,Y34)-1)))</f>
        <v>9</v>
      </c>
      <c r="AA34" s="177" t="str">
        <f>IF(L34="","",VLOOKUP($L34,classifications!C:I,7,FALSE))</f>
        <v>Predominantly Rural</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94.444444444444443</v>
      </c>
      <c r="AH34" s="46">
        <f t="shared" si="28"/>
        <v>24</v>
      </c>
      <c r="AI34" s="5" t="str">
        <f>IF(L34="","",VLOOKUP($L34,classifications!$C:$J,8,FALSE))</f>
        <v>Unitary</v>
      </c>
      <c r="AJ34" s="42">
        <f t="shared" si="29"/>
        <v>92.857142857142861</v>
      </c>
      <c r="AK34" s="39">
        <f>IF(AJ34="","",IF(I$8="A",(RANK(AJ34,AJ$11:AJ$333,1)+COUNTIF(AJ$11:AJ34,AJ34)-1),(RANK(AJ34,AJ$11:AJ$333)+COUNTIF(AJ$11:AJ34,AJ34)-1)))</f>
        <v>24</v>
      </c>
      <c r="AL34" s="3">
        <f t="shared" si="16"/>
        <v>24</v>
      </c>
      <c r="AM34" t="str">
        <f t="shared" si="6"/>
        <v>Rutland</v>
      </c>
      <c r="AN34">
        <f t="shared" si="7"/>
        <v>92.857142857142861</v>
      </c>
      <c r="AP34" s="5" t="str">
        <f>IF(L34="","",VLOOKUP($L34,classifications!$C:$E,3,FALSE))</f>
        <v>East Midlands</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93.333333333333329</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81.632653061224488</v>
      </c>
      <c r="G35" s="15"/>
      <c r="H35" s="41">
        <f t="shared" si="1"/>
        <v>81.632653061224488</v>
      </c>
      <c r="I35" s="73">
        <f>IF(H35="","",IF($I$8="A",(RANK(H35,H$11:H$333,1)+COUNTIF(H$11:H35,H35)-1),(RANK(H35,H$11:H$333)+COUNTIF(H$11:H35,H35)-1)))</f>
        <v>57</v>
      </c>
      <c r="J35" s="40"/>
      <c r="K35" s="35">
        <f t="shared" si="10"/>
        <v>25</v>
      </c>
      <c r="L35" t="str">
        <f t="shared" si="2"/>
        <v>Bracknell Forest</v>
      </c>
      <c r="M35" s="109">
        <f t="shared" si="3"/>
        <v>92.592592592592595</v>
      </c>
      <c r="N35" s="104">
        <f t="shared" si="19"/>
        <v>92.592592592592595</v>
      </c>
      <c r="O35" s="89" t="str">
        <f t="shared" si="20"/>
        <v/>
      </c>
      <c r="P35" s="89">
        <f t="shared" si="21"/>
        <v>92.592592592592595</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94.444444444444443</v>
      </c>
      <c r="AH35" s="46">
        <f t="shared" si="28"/>
        <v>25</v>
      </c>
      <c r="AI35" s="5" t="str">
        <f>IF(L35="","",VLOOKUP($L35,classifications!$C:$J,8,FALSE))</f>
        <v>Unitary</v>
      </c>
      <c r="AJ35" s="42">
        <f t="shared" si="29"/>
        <v>92.592592592592595</v>
      </c>
      <c r="AK35" s="39">
        <f>IF(AJ35="","",IF(I$8="A",(RANK(AJ35,AJ$11:AJ$333,1)+COUNTIF(AJ$11:AJ35,AJ35)-1),(RANK(AJ35,AJ$11:AJ$333)+COUNTIF(AJ$11:AJ35,AJ35)-1)))</f>
        <v>25</v>
      </c>
      <c r="AL35" s="3">
        <f t="shared" si="16"/>
        <v>25</v>
      </c>
      <c r="AM35" t="str">
        <f t="shared" si="6"/>
        <v>Bracknell Forest</v>
      </c>
      <c r="AN35">
        <f t="shared" si="7"/>
        <v>92.592592592592595</v>
      </c>
      <c r="AP35" s="5" t="str">
        <f>IF(L35="","",VLOOKUP($L35,classifications!$C:$E,3,FALSE))</f>
        <v>South East</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81.632653061224488</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92.592592592592595</v>
      </c>
      <c r="G36" s="15"/>
      <c r="H36" s="41">
        <f t="shared" si="1"/>
        <v>92.592592592592595</v>
      </c>
      <c r="I36" s="73">
        <f>IF(H36="","",IF($I$8="A",(RANK(H36,H$11:H$333,1)+COUNTIF(H$11:H36,H36)-1),(RANK(H36,H$11:H$333)+COUNTIF(H$11:H36,H36)-1)))</f>
        <v>25</v>
      </c>
      <c r="J36" s="40"/>
      <c r="K36" s="35">
        <f t="shared" si="10"/>
        <v>26</v>
      </c>
      <c r="L36" t="str">
        <f t="shared" si="2"/>
        <v>Luton</v>
      </c>
      <c r="M36" s="109">
        <f t="shared" si="3"/>
        <v>92</v>
      </c>
      <c r="N36" s="104">
        <f t="shared" si="19"/>
        <v>92</v>
      </c>
      <c r="O36" s="89" t="str">
        <f t="shared" si="20"/>
        <v/>
      </c>
      <c r="P36" s="89">
        <f t="shared" si="21"/>
        <v>92</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94.444444444444443</v>
      </c>
      <c r="AH36" s="46">
        <f t="shared" si="28"/>
        <v>26</v>
      </c>
      <c r="AI36" s="5" t="str">
        <f>IF(L36="","",VLOOKUP($L36,classifications!$C:$J,8,FALSE))</f>
        <v>Unitary</v>
      </c>
      <c r="AJ36" s="42">
        <f t="shared" si="29"/>
        <v>92</v>
      </c>
      <c r="AK36" s="39">
        <f>IF(AJ36="","",IF(I$8="A",(RANK(AJ36,AJ$11:AJ$333,1)+COUNTIF(AJ$11:AJ36,AJ36)-1),(RANK(AJ36,AJ$11:AJ$333)+COUNTIF(AJ$11:AJ36,AJ36)-1)))</f>
        <v>26</v>
      </c>
      <c r="AL36" s="3">
        <f t="shared" si="16"/>
        <v>26</v>
      </c>
      <c r="AM36" t="str">
        <f t="shared" si="6"/>
        <v>Luton</v>
      </c>
      <c r="AN36">
        <f t="shared" si="7"/>
        <v>92</v>
      </c>
      <c r="AP36" s="5" t="str">
        <f>IF(L36="","",VLOOKUP($L36,classifications!$C:$E,3,FALSE))</f>
        <v>East of England</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92.592592592592595</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87.931034482758619</v>
      </c>
      <c r="G37" s="15"/>
      <c r="H37" s="41" t="str">
        <f t="shared" si="1"/>
        <v/>
      </c>
      <c r="I37" s="73" t="str">
        <f>IF(H37="","",IF($I$8="A",(RANK(H37,H$11:H$333,1)+COUNTIF(H$11:H37,H37)-1),(RANK(H37,H$11:H$333)+COUNTIF(H$11:H37,H37)-1)))</f>
        <v/>
      </c>
      <c r="J37" s="40"/>
      <c r="K37" s="35">
        <f t="shared" si="10"/>
        <v>27</v>
      </c>
      <c r="L37" t="str">
        <f t="shared" si="2"/>
        <v>Nottingham</v>
      </c>
      <c r="M37" s="109">
        <f t="shared" si="3"/>
        <v>91.891891891891902</v>
      </c>
      <c r="N37" s="104">
        <f t="shared" si="19"/>
        <v>91.891891891891902</v>
      </c>
      <c r="O37" s="89" t="str">
        <f t="shared" si="20"/>
        <v/>
      </c>
      <c r="P37" s="89">
        <f t="shared" si="21"/>
        <v>91.891891891891902</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94.444444444444443</v>
      </c>
      <c r="AH37" s="46">
        <f t="shared" si="28"/>
        <v>27</v>
      </c>
      <c r="AI37" s="5" t="str">
        <f>IF(L37="","",VLOOKUP($L37,classifications!$C:$J,8,FALSE))</f>
        <v>Unitary</v>
      </c>
      <c r="AJ37" s="42">
        <f t="shared" si="29"/>
        <v>91.891891891891902</v>
      </c>
      <c r="AK37" s="39">
        <f>IF(AJ37="","",IF(I$8="A",(RANK(AJ37,AJ$11:AJ$333,1)+COUNTIF(AJ$11:AJ37,AJ37)-1),(RANK(AJ37,AJ$11:AJ$333)+COUNTIF(AJ$11:AJ37,AJ37)-1)))</f>
        <v>27</v>
      </c>
      <c r="AL37" s="3">
        <f t="shared" si="16"/>
        <v>27</v>
      </c>
      <c r="AM37" t="str">
        <f t="shared" si="6"/>
        <v>Nottingham</v>
      </c>
      <c r="AN37">
        <f t="shared" si="7"/>
        <v>91.891891891891902</v>
      </c>
      <c r="AP37" s="5" t="str">
        <f>IF(L37="","",VLOOKUP($L37,classifications!$C:$E,3,FALSE))</f>
        <v>East Midlands</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87.931034482758619</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82.926829268292678</v>
      </c>
      <c r="G38" s="15"/>
      <c r="H38" s="41" t="str">
        <f t="shared" si="1"/>
        <v/>
      </c>
      <c r="I38" s="73" t="str">
        <f>IF(H38="","",IF($I$8="A",(RANK(H38,H$11:H$333,1)+COUNTIF(H$11:H38,H38)-1),(RANK(H38,H$11:H$333)+COUNTIF(H$11:H38,H38)-1)))</f>
        <v/>
      </c>
      <c r="J38" s="40"/>
      <c r="K38" s="35">
        <f t="shared" si="10"/>
        <v>28</v>
      </c>
      <c r="L38" t="str">
        <f t="shared" si="2"/>
        <v>Middlesbrough</v>
      </c>
      <c r="M38" s="109">
        <f t="shared" si="3"/>
        <v>91.666666666666657</v>
      </c>
      <c r="N38" s="104">
        <f t="shared" si="19"/>
        <v>91.666666666666657</v>
      </c>
      <c r="O38" s="89" t="str">
        <f t="shared" si="20"/>
        <v/>
      </c>
      <c r="P38" s="89">
        <f t="shared" si="21"/>
        <v>91.666666666666657</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94.444444444444443</v>
      </c>
      <c r="AH38" s="46">
        <f t="shared" si="28"/>
        <v>28</v>
      </c>
      <c r="AI38" s="5" t="str">
        <f>IF(L38="","",VLOOKUP($L38,classifications!$C:$J,8,FALSE))</f>
        <v>Unitary</v>
      </c>
      <c r="AJ38" s="42">
        <f t="shared" si="29"/>
        <v>91.666666666666657</v>
      </c>
      <c r="AK38" s="39">
        <f>IF(AJ38="","",IF(I$8="A",(RANK(AJ38,AJ$11:AJ$333,1)+COUNTIF(AJ$11:AJ38,AJ38)-1),(RANK(AJ38,AJ$11:AJ$333)+COUNTIF(AJ$11:AJ38,AJ38)-1)))</f>
        <v>28</v>
      </c>
      <c r="AL38" s="3">
        <f t="shared" si="16"/>
        <v>28</v>
      </c>
      <c r="AM38" t="str">
        <f t="shared" si="6"/>
        <v>Middlesbrough</v>
      </c>
      <c r="AN38">
        <f t="shared" si="7"/>
        <v>91.666666666666657</v>
      </c>
      <c r="AP38" s="5" t="str">
        <f>IF(L38="","",VLOOKUP($L38,classifications!$C:$E,3,FALSE))</f>
        <v>NE</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82.926829268292678</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91.666666666666657</v>
      </c>
      <c r="G39" s="15"/>
      <c r="H39" s="41" t="str">
        <f t="shared" si="1"/>
        <v/>
      </c>
      <c r="I39" s="73" t="str">
        <f>IF(H39="","",IF($I$8="A",(RANK(H39,H$11:H$333,1)+COUNTIF(H$11:H39,H39)-1),(RANK(H39,H$11:H$333)+COUNTIF(H$11:H39,H39)-1)))</f>
        <v/>
      </c>
      <c r="J39" s="40"/>
      <c r="K39" s="35">
        <f t="shared" si="10"/>
        <v>29</v>
      </c>
      <c r="L39" t="str">
        <f t="shared" si="2"/>
        <v>Isle Of Wight</v>
      </c>
      <c r="M39" s="109">
        <f t="shared" si="3"/>
        <v>91.17647058823529</v>
      </c>
      <c r="N39" s="104">
        <f t="shared" si="19"/>
        <v>91.17647058823529</v>
      </c>
      <c r="O39" s="89" t="str">
        <f t="shared" si="20"/>
        <v/>
      </c>
      <c r="P39" s="89">
        <f t="shared" si="21"/>
        <v>91.17647058823529</v>
      </c>
      <c r="Q39" s="89" t="str">
        <f t="shared" si="22"/>
        <v/>
      </c>
      <c r="R39" s="85" t="str">
        <f t="shared" si="23"/>
        <v/>
      </c>
      <c r="S39" s="41" t="str">
        <f t="shared" si="24"/>
        <v/>
      </c>
      <c r="T39" s="166" t="str">
        <f>IF(L39="","",VLOOKUP(L39,classifications!C:K,9,FALSE))</f>
        <v>Sparse</v>
      </c>
      <c r="U39" s="167">
        <f t="shared" si="25"/>
        <v>91.17647058823529</v>
      </c>
      <c r="V39" s="173">
        <f>IF(U39="","",IF($I$8="A",(RANK(U39,U$11:U$333)+COUNTIF(U$11:U39,U39)-1),(RANK(U39,U$11:U$333,1)+COUNTIF(U$11:U39,U39)-1)))</f>
        <v>11</v>
      </c>
      <c r="W39" s="174"/>
      <c r="X39" s="5" t="str">
        <f>IF(L39="","",VLOOKUP($L39,classifications!$C:$J,6,FALSE))</f>
        <v xml:space="preserve">Predominantly Rural </v>
      </c>
      <c r="Y39">
        <f t="shared" si="26"/>
        <v>91.17647058823529</v>
      </c>
      <c r="Z39" s="39">
        <f>IF(Y39="","",IF(I$8="A",(RANK(Y39,Y$11:Y$333,1)+COUNTIF(Y$11:Y39,Y39)-1),(RANK(Y39,Y$11:Y$333)+COUNTIF(Y$11:Y39,Y39)-1)))</f>
        <v>10</v>
      </c>
      <c r="AA39" s="177" t="str">
        <f>IF(L39="","",VLOOKUP($L39,classifications!C:I,7,FALSE))</f>
        <v>Predominantly Rural</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94.444444444444443</v>
      </c>
      <c r="AH39" s="46">
        <f t="shared" si="28"/>
        <v>29</v>
      </c>
      <c r="AI39" s="5" t="str">
        <f>IF(L39="","",VLOOKUP($L39,classifications!$C:$J,8,FALSE))</f>
        <v>Unitary</v>
      </c>
      <c r="AJ39" s="42">
        <f t="shared" si="29"/>
        <v>91.17647058823529</v>
      </c>
      <c r="AK39" s="39">
        <f>IF(AJ39="","",IF(I$8="A",(RANK(AJ39,AJ$11:AJ$333,1)+COUNTIF(AJ$11:AJ39,AJ39)-1),(RANK(AJ39,AJ$11:AJ$333)+COUNTIF(AJ$11:AJ39,AJ39)-1)))</f>
        <v>29</v>
      </c>
      <c r="AL39" s="3">
        <f t="shared" si="16"/>
        <v>29</v>
      </c>
      <c r="AM39" t="str">
        <f t="shared" si="6"/>
        <v>Isle Of Wight</v>
      </c>
      <c r="AN39">
        <f t="shared" si="7"/>
        <v>91.17647058823529</v>
      </c>
      <c r="AP39" s="5" t="str">
        <f>IF(L39="","",VLOOKUP($L39,classifications!$C:$E,3,FALSE))</f>
        <v>South East</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91.666666666666657</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West Northamptonshire</v>
      </c>
      <c r="M40" s="109">
        <f t="shared" si="3"/>
        <v>90.243902439024396</v>
      </c>
      <c r="N40" s="104">
        <f t="shared" si="19"/>
        <v>90.243902439024396</v>
      </c>
      <c r="O40" s="89" t="str">
        <f t="shared" si="20"/>
        <v/>
      </c>
      <c r="P40" s="89">
        <f t="shared" si="21"/>
        <v>90.243902439024396</v>
      </c>
      <c r="Q40" s="89" t="str">
        <f t="shared" si="22"/>
        <v/>
      </c>
      <c r="R40" s="85" t="str">
        <f t="shared" si="23"/>
        <v/>
      </c>
      <c r="S40" s="41" t="str">
        <f t="shared" si="24"/>
        <v/>
      </c>
      <c r="T40" s="166" t="str">
        <f>IF(L40="","",VLOOKUP(L40,classifications!C:K,9,FALSE))</f>
        <v>Sparse</v>
      </c>
      <c r="U40" s="167">
        <f t="shared" si="25"/>
        <v>90.243902439024396</v>
      </c>
      <c r="V40" s="173">
        <f>IF(U40="","",IF($I$8="A",(RANK(U40,U$11:U$333)+COUNTIF(U$11:U40,U40)-1),(RANK(U40,U$11:U$333,1)+COUNTIF(U$11:U40,U40)-1)))</f>
        <v>10</v>
      </c>
      <c r="W40" s="174"/>
      <c r="X40" s="5" t="str">
        <f>IF(L40="","",VLOOKUP($L40,classifications!$C:$J,6,FALSE))</f>
        <v>Urban with Significant Rural</v>
      </c>
      <c r="Y40">
        <f t="shared" si="26"/>
        <v>90.243902439024396</v>
      </c>
      <c r="Z40" s="39">
        <f>IF(Y40="","",IF(I$8="A",(RANK(Y40,Y$11:Y$333,1)+COUNTIF(Y$11:Y40,Y40)-1),(RANK(Y40,Y$11:Y$333)+COUNTIF(Y$11:Y40,Y40)-1)))</f>
        <v>11</v>
      </c>
      <c r="AA40" s="177" t="str">
        <f>IF(L40="","",VLOOKUP($L40,classifications!C:I,7,FALSE))</f>
        <v>Urban with Significant Rural</v>
      </c>
      <c r="AB40" s="173">
        <f t="shared" si="27"/>
        <v>90.243902439024396</v>
      </c>
      <c r="AC40" s="173">
        <f>IF(AB40="","",IF($I$8="A",(RANK(AB40,AB$11:AB$333)+COUNTIF(AB$11:AB40,AB40)-1),(RANK(AB40,AB$11:AB$333,1)+COUNTIF(AB$11:AB40,AB40)-1)))</f>
        <v>6</v>
      </c>
      <c r="AD40" s="173"/>
      <c r="AE40" s="45">
        <f>IF(I$8="A",(RANK(AG40,AG$11:AG$333,1)+COUNTIF(AG$11:AG40,AG40)-1),(RANK(AG40,AG$11:AG$333)+COUNTIF(AG$11:AG40,AG40)-1))</f>
        <v>30</v>
      </c>
      <c r="AF40" t="str">
        <f>VLOOKUP(Profile!$J$5,Families!$C:$R,2,FALSE)</f>
        <v>Cheshire West &amp; Chester</v>
      </c>
      <c r="AG40" s="15">
        <f t="shared" si="15"/>
        <v>94.444444444444443</v>
      </c>
      <c r="AH40" s="46">
        <f t="shared" si="28"/>
        <v>30</v>
      </c>
      <c r="AI40" s="5" t="str">
        <f>IF(L40="","",VLOOKUP($L40,classifications!$C:$J,8,FALSE))</f>
        <v>Unitary</v>
      </c>
      <c r="AJ40" s="42">
        <f t="shared" si="29"/>
        <v>90.243902439024396</v>
      </c>
      <c r="AK40" s="39">
        <f>IF(AJ40="","",IF(I$8="A",(RANK(AJ40,AJ$11:AJ$333,1)+COUNTIF(AJ$11:AJ40,AJ40)-1),(RANK(AJ40,AJ$11:AJ$333)+COUNTIF(AJ$11:AJ40,AJ40)-1)))</f>
        <v>30</v>
      </c>
      <c r="AL40" s="3">
        <f t="shared" si="16"/>
        <v>30</v>
      </c>
      <c r="AM40" t="str">
        <f t="shared" si="6"/>
        <v>West Northamptonshire</v>
      </c>
      <c r="AN40">
        <f t="shared" si="7"/>
        <v>90.243902439024396</v>
      </c>
      <c r="AP40" s="5" t="str">
        <f>IF(L40="","",VLOOKUP($L40,classifications!$C:$E,3,FALSE))</f>
        <v>East Midlands</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100</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90.476190476190482</v>
      </c>
      <c r="G41" s="15"/>
      <c r="H41" s="41" t="str">
        <f t="shared" si="1"/>
        <v/>
      </c>
      <c r="I41" s="73" t="str">
        <f>IF(H41="","",IF($I$8="A",(RANK(H41,H$11:H$333,1)+COUNTIF(H$11:H41,H41)-1),(RANK(H41,H$11:H$333)+COUNTIF(H$11:H41,H41)-1)))</f>
        <v/>
      </c>
      <c r="J41" s="40"/>
      <c r="K41" s="35">
        <f t="shared" si="10"/>
        <v>31</v>
      </c>
      <c r="L41" t="str">
        <f t="shared" si="2"/>
        <v>Derby</v>
      </c>
      <c r="M41" s="109">
        <f t="shared" si="3"/>
        <v>90</v>
      </c>
      <c r="N41" s="104">
        <f t="shared" si="19"/>
        <v>90</v>
      </c>
      <c r="O41" s="89" t="str">
        <f t="shared" si="20"/>
        <v/>
      </c>
      <c r="P41" s="89">
        <f t="shared" si="21"/>
        <v>90</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f>IF(I$8="A",(RANK(AG41,AG$11:AG$333,1)+COUNTIF(AG$11:AG41,AG41)-1),(RANK(AG41,AG$11:AG$333)+COUNTIF(AG$11:AG41,AG41)-1))</f>
        <v>31</v>
      </c>
      <c r="AF41" t="str">
        <f>VLOOKUP(Profile!$J$5,Families!$C:$R,2,FALSE)</f>
        <v>Cheshire West &amp; Chester</v>
      </c>
      <c r="AG41" s="15">
        <f t="shared" si="15"/>
        <v>94.444444444444443</v>
      </c>
      <c r="AH41" s="46">
        <f t="shared" si="28"/>
        <v>31</v>
      </c>
      <c r="AI41" s="5" t="str">
        <f>IF(L41="","",VLOOKUP($L41,classifications!$C:$J,8,FALSE))</f>
        <v>Unitary</v>
      </c>
      <c r="AJ41" s="42">
        <f t="shared" si="29"/>
        <v>90</v>
      </c>
      <c r="AK41" s="39">
        <f>IF(AJ41="","",IF(I$8="A",(RANK(AJ41,AJ$11:AJ$333,1)+COUNTIF(AJ$11:AJ41,AJ41)-1),(RANK(AJ41,AJ$11:AJ$333)+COUNTIF(AJ$11:AJ41,AJ41)-1)))</f>
        <v>31</v>
      </c>
      <c r="AL41" s="3">
        <f t="shared" si="16"/>
        <v>31</v>
      </c>
      <c r="AM41" t="str">
        <f t="shared" si="6"/>
        <v>Derby</v>
      </c>
      <c r="AN41">
        <f t="shared" si="7"/>
        <v>90</v>
      </c>
      <c r="AP41" s="5" t="str">
        <f>IF(L41="","",VLOOKUP($L41,classifications!$C:$E,3,FALSE))</f>
        <v>East Midlands</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90.476190476190482</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94.285714285714278</v>
      </c>
      <c r="G42" s="15"/>
      <c r="H42" s="41">
        <f t="shared" si="1"/>
        <v>94.285714285714278</v>
      </c>
      <c r="I42" s="73">
        <f>IF(H42="","",IF($I$8="A",(RANK(H42,H$11:H$333,1)+COUNTIF(H$11:H42,H42)-1),(RANK(H42,H$11:H$333)+COUNTIF(H$11:H42,H42)-1)))</f>
        <v>19</v>
      </c>
      <c r="J42" s="40"/>
      <c r="K42" s="35">
        <f t="shared" si="10"/>
        <v>32</v>
      </c>
      <c r="L42" t="str">
        <f t="shared" si="2"/>
        <v>Dorset</v>
      </c>
      <c r="M42" s="109">
        <f t="shared" si="3"/>
        <v>89.65517241379311</v>
      </c>
      <c r="N42" s="104">
        <f t="shared" si="19"/>
        <v>89.65517241379311</v>
      </c>
      <c r="O42" s="89" t="str">
        <f t="shared" si="20"/>
        <v/>
      </c>
      <c r="P42" s="89" t="str">
        <f t="shared" si="21"/>
        <v/>
      </c>
      <c r="Q42" s="89">
        <f t="shared" si="22"/>
        <v>89.65517241379311</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Rural</v>
      </c>
      <c r="Y42" t="str">
        <f t="shared" si="26"/>
        <v/>
      </c>
      <c r="Z42" s="39" t="str">
        <f>IF(Y42="","",IF(I$8="A",(RANK(Y42,Y$11:Y$333,1)+COUNTIF(Y$11:Y42,Y42)-1),(RANK(Y42,Y$11:Y$333)+COUNTIF(Y$11:Y42,Y42)-1)))</f>
        <v/>
      </c>
      <c r="AA42" s="177" t="str">
        <f>IF(L42="","",VLOOKUP($L42,classifications!C:I,7,FALSE))</f>
        <v>Predominantly Rural</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94.444444444444443</v>
      </c>
      <c r="AH42" s="46">
        <f t="shared" si="28"/>
        <v>32</v>
      </c>
      <c r="AI42" s="5" t="str">
        <f>IF(L42="","",VLOOKUP($L42,classifications!$C:$J,8,FALSE))</f>
        <v>Unitary</v>
      </c>
      <c r="AJ42" s="42">
        <f t="shared" si="29"/>
        <v>89.65517241379311</v>
      </c>
      <c r="AK42" s="39">
        <f>IF(AJ42="","",IF(I$8="A",(RANK(AJ42,AJ$11:AJ$333,1)+COUNTIF(AJ$11:AJ42,AJ42)-1),(RANK(AJ42,AJ$11:AJ$333)+COUNTIF(AJ$11:AJ42,AJ42)-1)))</f>
        <v>32</v>
      </c>
      <c r="AL42" s="3">
        <f t="shared" si="16"/>
        <v>32</v>
      </c>
      <c r="AM42" t="str">
        <f t="shared" si="6"/>
        <v>Dorset</v>
      </c>
      <c r="AN42">
        <f t="shared" si="7"/>
        <v>89.65517241379311</v>
      </c>
      <c r="AP42" s="5" t="str">
        <f>IF(L42="","",VLOOKUP($L42,classifications!$C:$E,3,FALSE))</f>
        <v>South West</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94.285714285714278</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85.245901639344254</v>
      </c>
      <c r="G43" s="15"/>
      <c r="H43" s="41">
        <f t="shared" si="1"/>
        <v>85.245901639344254</v>
      </c>
      <c r="I43" s="73">
        <f>IF(H43="","",IF($I$8="A",(RANK(H43,H$11:H$333,1)+COUNTIF(H$11:H43,H43)-1),(RANK(H43,H$11:H$333)+COUNTIF(H$11:H43,H43)-1)))</f>
        <v>48</v>
      </c>
      <c r="J43" s="40"/>
      <c r="K43" s="35">
        <f t="shared" si="10"/>
        <v>33</v>
      </c>
      <c r="L43" t="str">
        <f t="shared" si="2"/>
        <v>Westmorland &amp; Furness</v>
      </c>
      <c r="M43" s="109">
        <f t="shared" si="3"/>
        <v>89.473684210526315</v>
      </c>
      <c r="N43" s="104">
        <f t="shared" si="19"/>
        <v>89.473684210526315</v>
      </c>
      <c r="O43" s="89" t="str">
        <f t="shared" si="20"/>
        <v/>
      </c>
      <c r="P43" s="89" t="str">
        <f t="shared" si="21"/>
        <v/>
      </c>
      <c r="Q43" s="89">
        <f t="shared" si="22"/>
        <v>89.473684210526315</v>
      </c>
      <c r="R43" s="85" t="str">
        <f t="shared" si="23"/>
        <v/>
      </c>
      <c r="S43" s="41" t="str">
        <f t="shared" si="24"/>
        <v/>
      </c>
      <c r="T43" s="166" t="str">
        <f>IF(L43="","",VLOOKUP(L43,classifications!C:K,9,FALSE))</f>
        <v>Sparse</v>
      </c>
      <c r="U43" s="167">
        <f t="shared" si="25"/>
        <v>89.473684210526315</v>
      </c>
      <c r="V43" s="173">
        <f>IF(U43="","",IF($I$8="A",(RANK(U43,U$11:U$333)+COUNTIF(U$11:U43,U43)-1),(RANK(U43,U$11:U$333,1)+COUNTIF(U$11:U43,U43)-1)))</f>
        <v>9</v>
      </c>
      <c r="W43" s="174"/>
      <c r="X43" s="5" t="str">
        <f>IF(L43="","",VLOOKUP($L43,classifications!$C:$J,6,FALSE))</f>
        <v xml:space="preserve">Predominantly Rural </v>
      </c>
      <c r="Y43">
        <f t="shared" si="26"/>
        <v>89.473684210526315</v>
      </c>
      <c r="Z43" s="39">
        <f>IF(Y43="","",IF(I$8="A",(RANK(Y43,Y$11:Y$333,1)+COUNTIF(Y$11:Y43,Y43)-1),(RANK(Y43,Y$11:Y$333)+COUNTIF(Y$11:Y43,Y43)-1)))</f>
        <v>12</v>
      </c>
      <c r="AA43" s="177" t="str">
        <f>IF(L43="","",VLOOKUP($L43,classifications!C:I,7,FALSE))</f>
        <v>Predominantly Rural</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94.444444444444443</v>
      </c>
      <c r="AH43" s="46">
        <f t="shared" si="28"/>
        <v>33</v>
      </c>
      <c r="AI43" s="5" t="str">
        <f>IF(L43="","",VLOOKUP($L43,classifications!$C:$J,8,FALSE))</f>
        <v>Unitary</v>
      </c>
      <c r="AJ43" s="42">
        <f t="shared" si="29"/>
        <v>89.473684210526315</v>
      </c>
      <c r="AK43" s="39">
        <f>IF(AJ43="","",IF(I$8="A",(RANK(AJ43,AJ$11:AJ$333,1)+COUNTIF(AJ$11:AJ43,AJ43)-1),(RANK(AJ43,AJ$11:AJ$333)+COUNTIF(AJ$11:AJ43,AJ43)-1)))</f>
        <v>33</v>
      </c>
      <c r="AL43" s="3">
        <f t="shared" si="16"/>
        <v>33</v>
      </c>
      <c r="AM43" t="str">
        <f t="shared" si="6"/>
        <v>Westmorland &amp; Furness</v>
      </c>
      <c r="AN43">
        <f t="shared" si="7"/>
        <v>89.473684210526315</v>
      </c>
      <c r="AP43" s="5" t="str">
        <f>IF(L43="","",VLOOKUP($L43,classifications!$C:$E,3,FALSE))</f>
        <v>North West</v>
      </c>
      <c r="AQ43" s="42">
        <f t="shared" si="30"/>
        <v>89.473684210526315</v>
      </c>
      <c r="AR43" s="39">
        <f>IF(AQ43="","",IF(I$8="A",(RANK(AQ43,AQ$11:AQ$333,1)+COUNTIF(AQ$11:AQ43,AQ43)-1),(RANK(AQ43,AQ$11:AQ$333)+COUNTIF(AQ$11:AQ43,AQ43)-1)))</f>
        <v>4</v>
      </c>
      <c r="AS43" s="3" t="str">
        <f t="shared" si="18"/>
        <v/>
      </c>
      <c r="AT43" s="39" t="str">
        <f t="shared" si="8"/>
        <v/>
      </c>
      <c r="AU43" s="42" t="str">
        <f t="shared" si="9"/>
        <v/>
      </c>
      <c r="AX43">
        <f>HLOOKUP($AX$9&amp;$AX$10,Data!$A$1:$ZT$1975,(MATCH($C43,Data!$A$1:$A$1975,0)),FALSE)</f>
        <v>85.245901639344254</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94.444444444444443</v>
      </c>
      <c r="G44" s="15"/>
      <c r="H44" s="41" t="str">
        <f t="shared" si="1"/>
        <v/>
      </c>
      <c r="I44" s="73" t="str">
        <f>IF(H44="","",IF($I$8="A",(RANK(H44,H$11:H$333,1)+COUNTIF(H$11:H44,H44)-1),(RANK(H44,H$11:H$333)+COUNTIF(H$11:H44,H44)-1)))</f>
        <v/>
      </c>
      <c r="J44" s="40"/>
      <c r="K44" s="35">
        <f t="shared" si="10"/>
        <v>34</v>
      </c>
      <c r="L44" t="str">
        <f t="shared" si="2"/>
        <v>Swindon</v>
      </c>
      <c r="M44" s="109">
        <f t="shared" si="3"/>
        <v>89.473684210526315</v>
      </c>
      <c r="N44" s="104">
        <f t="shared" si="19"/>
        <v>89.473684210526315</v>
      </c>
      <c r="O44" s="89" t="str">
        <f t="shared" si="20"/>
        <v/>
      </c>
      <c r="P44" s="89" t="str">
        <f t="shared" si="21"/>
        <v/>
      </c>
      <c r="Q44" s="89">
        <f t="shared" si="22"/>
        <v>89.473684210526315</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94.444444444444443</v>
      </c>
      <c r="AH44" s="46">
        <f t="shared" si="28"/>
        <v>34</v>
      </c>
      <c r="AI44" s="5" t="str">
        <f>IF(L44="","",VLOOKUP($L44,classifications!$C:$J,8,FALSE))</f>
        <v>Unitary</v>
      </c>
      <c r="AJ44" s="42">
        <f t="shared" si="29"/>
        <v>89.473684210526315</v>
      </c>
      <c r="AK44" s="39">
        <f>IF(AJ44="","",IF(I$8="A",(RANK(AJ44,AJ$11:AJ$333,1)+COUNTIF(AJ$11:AJ44,AJ44)-1),(RANK(AJ44,AJ$11:AJ$333)+COUNTIF(AJ$11:AJ44,AJ44)-1)))</f>
        <v>34</v>
      </c>
      <c r="AL44" s="3">
        <f t="shared" si="16"/>
        <v>34</v>
      </c>
      <c r="AM44" t="str">
        <f t="shared" si="6"/>
        <v>Swindon</v>
      </c>
      <c r="AN44">
        <f t="shared" si="7"/>
        <v>89.473684210526315</v>
      </c>
      <c r="AP44" s="5" t="str">
        <f>IF(L44="","",VLOOKUP($L44,classifications!$C:$E,3,FALSE))</f>
        <v>South West</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94.444444444444443</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83.333333333333343</v>
      </c>
      <c r="G45" s="15"/>
      <c r="H45" s="41" t="str">
        <f t="shared" si="1"/>
        <v/>
      </c>
      <c r="I45" s="73" t="str">
        <f>IF(H45="","",IF($I$8="A",(RANK(H45,H$11:H$333,1)+COUNTIF(H$11:H45,H45)-1),(RANK(H45,H$11:H$333)+COUNTIF(H$11:H45,H45)-1)))</f>
        <v/>
      </c>
      <c r="J45" s="40"/>
      <c r="K45" s="35">
        <f t="shared" si="10"/>
        <v>35</v>
      </c>
      <c r="L45" t="str">
        <f t="shared" si="2"/>
        <v>Northumberland</v>
      </c>
      <c r="M45" s="109">
        <f t="shared" si="3"/>
        <v>89.247311827956992</v>
      </c>
      <c r="N45" s="104">
        <f t="shared" si="19"/>
        <v>89.247311827956992</v>
      </c>
      <c r="O45" s="89" t="str">
        <f t="shared" si="20"/>
        <v/>
      </c>
      <c r="P45" s="89" t="str">
        <f t="shared" si="21"/>
        <v/>
      </c>
      <c r="Q45" s="89">
        <f t="shared" si="22"/>
        <v>89.247311827956992</v>
      </c>
      <c r="R45" s="85" t="str">
        <f t="shared" si="23"/>
        <v/>
      </c>
      <c r="S45" s="41" t="str">
        <f t="shared" si="24"/>
        <v/>
      </c>
      <c r="T45" s="166" t="str">
        <f>IF(L45="","",VLOOKUP(L45,classifications!C:K,9,FALSE))</f>
        <v>Sparse</v>
      </c>
      <c r="U45" s="167">
        <f t="shared" si="25"/>
        <v>89.247311827956992</v>
      </c>
      <c r="V45" s="173">
        <f>IF(U45="","",IF($I$8="A",(RANK(U45,U$11:U$333)+COUNTIF(U$11:U45,U45)-1),(RANK(U45,U$11:U$333,1)+COUNTIF(U$11:U45,U45)-1)))</f>
        <v>8</v>
      </c>
      <c r="W45" s="174"/>
      <c r="X45" s="5" t="str">
        <f>IF(L45="","",VLOOKUP($L45,classifications!$C:$J,6,FALSE))</f>
        <v xml:space="preserve">Predominantly Rural </v>
      </c>
      <c r="Y45">
        <f t="shared" si="26"/>
        <v>89.247311827956992</v>
      </c>
      <c r="Z45" s="39">
        <f>IF(Y45="","",IF(I$8="A",(RANK(Y45,Y$11:Y$333,1)+COUNTIF(Y$11:Y45,Y45)-1),(RANK(Y45,Y$11:Y$333)+COUNTIF(Y$11:Y45,Y45)-1)))</f>
        <v>13</v>
      </c>
      <c r="AA45" s="177" t="str">
        <f>IF(L45="","",VLOOKUP($L45,classifications!C:I,7,FALSE))</f>
        <v>Predominantly Rural</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94.444444444444443</v>
      </c>
      <c r="AH45" s="46">
        <f t="shared" si="28"/>
        <v>35</v>
      </c>
      <c r="AI45" s="5" t="str">
        <f>IF(L45="","",VLOOKUP($L45,classifications!$C:$J,8,FALSE))</f>
        <v>Unitary</v>
      </c>
      <c r="AJ45" s="42">
        <f t="shared" si="29"/>
        <v>89.247311827956992</v>
      </c>
      <c r="AK45" s="39">
        <f>IF(AJ45="","",IF(I$8="A",(RANK(AJ45,AJ$11:AJ$333,1)+COUNTIF(AJ$11:AJ45,AJ45)-1),(RANK(AJ45,AJ$11:AJ$333)+COUNTIF(AJ$11:AJ45,AJ45)-1)))</f>
        <v>35</v>
      </c>
      <c r="AL45" s="3">
        <f t="shared" si="16"/>
        <v>35</v>
      </c>
      <c r="AM45" t="str">
        <f t="shared" si="6"/>
        <v>Northumberland</v>
      </c>
      <c r="AN45">
        <f t="shared" si="7"/>
        <v>89.247311827956992</v>
      </c>
      <c r="AP45" s="5" t="str">
        <f>IF(L45="","",VLOOKUP($L45,classifications!$C:$E,3,FALSE))</f>
        <v>NE</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83.333333333333343</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71.428571428571431</v>
      </c>
      <c r="G46" s="15"/>
      <c r="H46" s="41" t="str">
        <f t="shared" si="1"/>
        <v/>
      </c>
      <c r="I46" s="73" t="str">
        <f>IF(H46="","",IF($I$8="A",(RANK(H46,H$11:H$333,1)+COUNTIF(H$11:H46,H46)-1),(RANK(H46,H$11:H$333)+COUNTIF(H$11:H46,H46)-1)))</f>
        <v/>
      </c>
      <c r="J46" s="40"/>
      <c r="K46" s="35">
        <f t="shared" si="10"/>
        <v>36</v>
      </c>
      <c r="L46" t="str">
        <f t="shared" si="2"/>
        <v>Leicester</v>
      </c>
      <c r="M46" s="109">
        <f t="shared" si="3"/>
        <v>89.130434782608688</v>
      </c>
      <c r="N46" s="104">
        <f t="shared" si="19"/>
        <v>89.130434782608688</v>
      </c>
      <c r="O46" s="89" t="str">
        <f t="shared" si="20"/>
        <v/>
      </c>
      <c r="P46" s="89" t="str">
        <f t="shared" si="21"/>
        <v/>
      </c>
      <c r="Q46" s="89">
        <f t="shared" si="22"/>
        <v>89.130434782608688</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94.444444444444443</v>
      </c>
      <c r="AH46" s="46">
        <f t="shared" si="28"/>
        <v>36</v>
      </c>
      <c r="AI46" s="5" t="str">
        <f>IF(L46="","",VLOOKUP($L46,classifications!$C:$J,8,FALSE))</f>
        <v>Unitary</v>
      </c>
      <c r="AJ46" s="42">
        <f t="shared" si="29"/>
        <v>89.130434782608688</v>
      </c>
      <c r="AK46" s="39">
        <f>IF(AJ46="","",IF(I$8="A",(RANK(AJ46,AJ$11:AJ$333,1)+COUNTIF(AJ$11:AJ46,AJ46)-1),(RANK(AJ46,AJ$11:AJ$333)+COUNTIF(AJ$11:AJ46,AJ46)-1)))</f>
        <v>36</v>
      </c>
      <c r="AL46" s="3">
        <f t="shared" si="16"/>
        <v>36</v>
      </c>
      <c r="AM46" t="str">
        <f t="shared" si="6"/>
        <v>Leicester</v>
      </c>
      <c r="AN46">
        <f t="shared" si="7"/>
        <v>89.130434782608688</v>
      </c>
      <c r="AP46" s="5" t="str">
        <f>IF(L46="","",VLOOKUP($L46,classifications!$C:$E,3,FALSE))</f>
        <v>East Midlands</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71.428571428571431</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86.666666666666671</v>
      </c>
      <c r="G47" s="15"/>
      <c r="H47" s="41" t="str">
        <f t="shared" si="1"/>
        <v/>
      </c>
      <c r="I47" s="73" t="str">
        <f>IF(H47="","",IF($I$8="A",(RANK(H47,H$11:H$333,1)+COUNTIF(H$11:H47,H47)-1),(RANK(H47,H$11:H$333)+COUNTIF(H$11:H47,H47)-1)))</f>
        <v/>
      </c>
      <c r="J47" s="40"/>
      <c r="K47" s="35">
        <f t="shared" si="10"/>
        <v>37</v>
      </c>
      <c r="L47" t="str">
        <f t="shared" si="2"/>
        <v>West Berkshire</v>
      </c>
      <c r="M47" s="109">
        <f t="shared" si="3"/>
        <v>89.090909090909093</v>
      </c>
      <c r="N47" s="104">
        <f t="shared" si="19"/>
        <v>89.090909090909093</v>
      </c>
      <c r="O47" s="89" t="str">
        <f t="shared" si="20"/>
        <v/>
      </c>
      <c r="P47" s="89" t="str">
        <f t="shared" si="21"/>
        <v/>
      </c>
      <c r="Q47" s="89">
        <f t="shared" si="22"/>
        <v>89.090909090909093</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Urban with Significant Rural</v>
      </c>
      <c r="Y47">
        <f t="shared" si="26"/>
        <v>89.090909090909093</v>
      </c>
      <c r="Z47" s="39">
        <f>IF(Y47="","",IF(I$8="A",(RANK(Y47,Y$11:Y$333,1)+COUNTIF(Y$11:Y47,Y47)-1),(RANK(Y47,Y$11:Y$333)+COUNTIF(Y$11:Y47,Y47)-1)))</f>
        <v>14</v>
      </c>
      <c r="AA47" s="177" t="str">
        <f>IF(L47="","",VLOOKUP($L47,classifications!C:I,7,FALSE))</f>
        <v>Urban with Significant Rural</v>
      </c>
      <c r="AB47" s="173">
        <f t="shared" si="27"/>
        <v>89.090909090909093</v>
      </c>
      <c r="AC47" s="173">
        <f>IF(AB47="","",IF($I$8="A",(RANK(AB47,AB$11:AB$333)+COUNTIF(AB$11:AB47,AB47)-1),(RANK(AB47,AB$11:AB$333,1)+COUNTIF(AB$11:AB47,AB47)-1)))</f>
        <v>5</v>
      </c>
      <c r="AD47" s="173"/>
      <c r="AE47" s="45">
        <f>IF(I$8="A",(RANK(AG47,AG$11:AG$333,1)+COUNTIF(AG$11:AG47,AG47)-1),(RANK(AG47,AG$11:AG$333)+COUNTIF(AG$11:AG47,AG47)-1))</f>
        <v>37</v>
      </c>
      <c r="AF47" t="str">
        <f>VLOOKUP(Profile!$J$5,Families!$C:$R,2,FALSE)</f>
        <v>Cheshire West &amp; Chester</v>
      </c>
      <c r="AG47" s="15">
        <f t="shared" si="15"/>
        <v>94.444444444444443</v>
      </c>
      <c r="AH47" s="46">
        <f t="shared" si="28"/>
        <v>37</v>
      </c>
      <c r="AI47" s="5" t="str">
        <f>IF(L47="","",VLOOKUP($L47,classifications!$C:$J,8,FALSE))</f>
        <v>Unitary</v>
      </c>
      <c r="AJ47" s="42">
        <f t="shared" si="29"/>
        <v>89.090909090909093</v>
      </c>
      <c r="AK47" s="39">
        <f>IF(AJ47="","",IF(I$8="A",(RANK(AJ47,AJ$11:AJ$333,1)+COUNTIF(AJ$11:AJ47,AJ47)-1),(RANK(AJ47,AJ$11:AJ$333)+COUNTIF(AJ$11:AJ47,AJ47)-1)))</f>
        <v>37</v>
      </c>
      <c r="AL47" s="3">
        <f t="shared" si="16"/>
        <v>37</v>
      </c>
      <c r="AM47" t="str">
        <f t="shared" si="6"/>
        <v>West Berkshire</v>
      </c>
      <c r="AN47">
        <f t="shared" si="7"/>
        <v>89.090909090909093</v>
      </c>
      <c r="AP47" s="5" t="str">
        <f>IF(L47="","",VLOOKUP($L47,classifications!$C:$E,3,FALSE))</f>
        <v>South East</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86.666666666666671</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83.333333333333343</v>
      </c>
      <c r="G48" s="15"/>
      <c r="H48" s="41" t="str">
        <f t="shared" si="1"/>
        <v/>
      </c>
      <c r="I48" s="73" t="str">
        <f>IF(H48="","",IF($I$8="A",(RANK(H48,H$11:H$333,1)+COUNTIF(H$11:H48,H48)-1),(RANK(H48,H$11:H$333)+COUNTIF(H$11:H48,H48)-1)))</f>
        <v/>
      </c>
      <c r="J48" s="40"/>
      <c r="K48" s="35">
        <f t="shared" si="10"/>
        <v>38</v>
      </c>
      <c r="L48" t="str">
        <f t="shared" si="2"/>
        <v>Blackpool</v>
      </c>
      <c r="M48" s="109">
        <f t="shared" si="3"/>
        <v>88.888888888888886</v>
      </c>
      <c r="N48" s="104">
        <f t="shared" si="19"/>
        <v>88.888888888888886</v>
      </c>
      <c r="O48" s="89" t="str">
        <f t="shared" si="20"/>
        <v/>
      </c>
      <c r="P48" s="89" t="str">
        <f t="shared" si="21"/>
        <v/>
      </c>
      <c r="Q48" s="89">
        <f t="shared" si="22"/>
        <v>88.888888888888886</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94.444444444444443</v>
      </c>
      <c r="AH48" s="46">
        <f t="shared" si="28"/>
        <v>38</v>
      </c>
      <c r="AI48" s="5" t="str">
        <f>IF(L48="","",VLOOKUP($L48,classifications!$C:$J,8,FALSE))</f>
        <v>Unitary</v>
      </c>
      <c r="AJ48" s="42">
        <f t="shared" si="29"/>
        <v>88.888888888888886</v>
      </c>
      <c r="AK48" s="39">
        <f>IF(AJ48="","",IF(I$8="A",(RANK(AJ48,AJ$11:AJ$333,1)+COUNTIF(AJ$11:AJ48,AJ48)-1),(RANK(AJ48,AJ$11:AJ$333)+COUNTIF(AJ$11:AJ48,AJ48)-1)))</f>
        <v>38</v>
      </c>
      <c r="AL48" s="3">
        <f t="shared" si="16"/>
        <v>38</v>
      </c>
      <c r="AM48" t="str">
        <f t="shared" si="6"/>
        <v>Blackpool</v>
      </c>
      <c r="AN48">
        <f t="shared" si="7"/>
        <v>88.888888888888886</v>
      </c>
      <c r="AP48" s="5" t="str">
        <f>IF(L48="","",VLOOKUP($L48,classifications!$C:$E,3,FALSE))</f>
        <v>North West</v>
      </c>
      <c r="AQ48" s="42">
        <f t="shared" si="30"/>
        <v>88.888888888888886</v>
      </c>
      <c r="AR48" s="39">
        <f>IF(AQ48="","",IF(I$8="A",(RANK(AQ48,AQ$11:AQ$333,1)+COUNTIF(AQ$11:AQ48,AQ48)-1),(RANK(AQ48,AQ$11:AQ$333)+COUNTIF(AQ$11:AQ48,AQ48)-1)))</f>
        <v>5</v>
      </c>
      <c r="AS48" s="3" t="str">
        <f t="shared" si="18"/>
        <v/>
      </c>
      <c r="AT48" s="39" t="str">
        <f t="shared" si="8"/>
        <v/>
      </c>
      <c r="AU48" s="42" t="str">
        <f t="shared" si="9"/>
        <v/>
      </c>
      <c r="AX48">
        <f>HLOOKUP($AX$9&amp;$AX$10,Data!$A$1:$ZT$1975,(MATCH($C48,Data!$A$1:$A$1975,0)),FALSE)</f>
        <v>83.333333333333343</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93.41317365269461</v>
      </c>
      <c r="G49" s="15"/>
      <c r="H49" s="41">
        <f t="shared" si="1"/>
        <v>93.41317365269461</v>
      </c>
      <c r="I49" s="73">
        <f>IF(H49="","",IF($I$8="A",(RANK(H49,H$11:H$333,1)+COUNTIF(H$11:H49,H49)-1),(RANK(H49,H$11:H$333)+COUNTIF(H$11:H49,H49)-1)))</f>
        <v>21</v>
      </c>
      <c r="J49" s="40"/>
      <c r="K49" s="35">
        <f t="shared" si="10"/>
        <v>39</v>
      </c>
      <c r="L49" t="str">
        <f t="shared" si="2"/>
        <v>Bedford</v>
      </c>
      <c r="M49" s="109">
        <f t="shared" si="3"/>
        <v>88.679245283018872</v>
      </c>
      <c r="N49" s="104">
        <f t="shared" si="19"/>
        <v>88.679245283018872</v>
      </c>
      <c r="O49" s="89" t="str">
        <f t="shared" si="20"/>
        <v/>
      </c>
      <c r="P49" s="89" t="str">
        <f t="shared" si="21"/>
        <v/>
      </c>
      <c r="Q49" s="89">
        <f t="shared" si="22"/>
        <v>88.679245283018872</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Urban with Significant Rural</v>
      </c>
      <c r="Y49">
        <f t="shared" si="26"/>
        <v>88.679245283018872</v>
      </c>
      <c r="Z49" s="39">
        <f>IF(Y49="","",IF(I$8="A",(RANK(Y49,Y$11:Y$333,1)+COUNTIF(Y$11:Y49,Y49)-1),(RANK(Y49,Y$11:Y$333)+COUNTIF(Y$11:Y49,Y49)-1)))</f>
        <v>15</v>
      </c>
      <c r="AA49" s="177" t="str">
        <f>IF(L49="","",VLOOKUP($L49,classifications!C:I,7,FALSE))</f>
        <v>Urban with Significant Rural</v>
      </c>
      <c r="AB49" s="173">
        <f t="shared" si="27"/>
        <v>88.679245283018872</v>
      </c>
      <c r="AC49" s="173">
        <f>IF(AB49="","",IF($I$8="A",(RANK(AB49,AB$11:AB$333)+COUNTIF(AB$11:AB49,AB49)-1),(RANK(AB49,AB$11:AB$333,1)+COUNTIF(AB$11:AB49,AB49)-1)))</f>
        <v>4</v>
      </c>
      <c r="AD49" s="173"/>
      <c r="AE49" s="45">
        <f>IF(I$8="A",(RANK(AG49,AG$11:AG$333,1)+COUNTIF(AG$11:AG49,AG49)-1),(RANK(AG49,AG$11:AG$333)+COUNTIF(AG$11:AG49,AG49)-1))</f>
        <v>39</v>
      </c>
      <c r="AF49" t="str">
        <f>VLOOKUP(Profile!$J$5,Families!$C:$R,2,FALSE)</f>
        <v>Cheshire West &amp; Chester</v>
      </c>
      <c r="AG49" s="15">
        <f t="shared" si="15"/>
        <v>94.444444444444443</v>
      </c>
      <c r="AH49" s="46">
        <f t="shared" si="28"/>
        <v>39</v>
      </c>
      <c r="AI49" s="5" t="str">
        <f>IF(L49="","",VLOOKUP($L49,classifications!$C:$J,8,FALSE))</f>
        <v>Unitary</v>
      </c>
      <c r="AJ49" s="42">
        <f t="shared" si="29"/>
        <v>88.679245283018872</v>
      </c>
      <c r="AK49" s="39">
        <f>IF(AJ49="","",IF(I$8="A",(RANK(AJ49,AJ$11:AJ$333,1)+COUNTIF(AJ$11:AJ49,AJ49)-1),(RANK(AJ49,AJ$11:AJ$333)+COUNTIF(AJ$11:AJ49,AJ49)-1)))</f>
        <v>39</v>
      </c>
      <c r="AL49" s="3">
        <f t="shared" si="16"/>
        <v>39</v>
      </c>
      <c r="AM49" t="str">
        <f t="shared" si="6"/>
        <v>Bedford</v>
      </c>
      <c r="AN49">
        <f t="shared" si="7"/>
        <v>88.679245283018872</v>
      </c>
      <c r="AP49" s="5" t="str">
        <f>IF(L49="","",VLOOKUP($L49,classifications!$C:$E,3,FALSE))</f>
        <v>East of England</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93.41317365269461</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100</v>
      </c>
      <c r="G50" s="15"/>
      <c r="H50" s="41" t="str">
        <f t="shared" si="1"/>
        <v/>
      </c>
      <c r="I50" s="73" t="str">
        <f>IF(H50="","",IF($I$8="A",(RANK(H50,H$11:H$333,1)+COUNTIF(H$11:H50,H50)-1),(RANK(H50,H$11:H$333)+COUNTIF(H$11:H50,H50)-1)))</f>
        <v/>
      </c>
      <c r="J50" s="40"/>
      <c r="K50" s="35">
        <f t="shared" si="10"/>
        <v>40</v>
      </c>
      <c r="L50" t="str">
        <f t="shared" si="2"/>
        <v>South Gloucestershire</v>
      </c>
      <c r="M50" s="109">
        <f t="shared" si="3"/>
        <v>88.405797101449281</v>
      </c>
      <c r="N50" s="104">
        <f t="shared" si="19"/>
        <v>88.405797101449281</v>
      </c>
      <c r="O50" s="89" t="str">
        <f t="shared" si="20"/>
        <v/>
      </c>
      <c r="P50" s="89" t="str">
        <f t="shared" si="21"/>
        <v/>
      </c>
      <c r="Q50" s="89">
        <f t="shared" si="22"/>
        <v>88.405797101449281</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94.444444444444443</v>
      </c>
      <c r="AH50" s="46">
        <f t="shared" si="28"/>
        <v>40</v>
      </c>
      <c r="AI50" s="5" t="str">
        <f>IF(L50="","",VLOOKUP($L50,classifications!$C:$J,8,FALSE))</f>
        <v>Unitary</v>
      </c>
      <c r="AJ50" s="42">
        <f t="shared" si="29"/>
        <v>88.405797101449281</v>
      </c>
      <c r="AK50" s="39">
        <f>IF(AJ50="","",IF(I$8="A",(RANK(AJ50,AJ$11:AJ$333,1)+COUNTIF(AJ$11:AJ50,AJ50)-1),(RANK(AJ50,AJ$11:AJ$333)+COUNTIF(AJ$11:AJ50,AJ50)-1)))</f>
        <v>40</v>
      </c>
      <c r="AL50" s="3">
        <f t="shared" si="16"/>
        <v>40</v>
      </c>
      <c r="AM50" t="str">
        <f t="shared" si="6"/>
        <v>South Gloucestershire</v>
      </c>
      <c r="AN50">
        <f t="shared" si="7"/>
        <v>88.405797101449281</v>
      </c>
      <c r="AP50" s="5" t="str">
        <f>IF(L50="","",VLOOKUP($L50,classifications!$C:$E,3,FALSE))</f>
        <v>South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96.875</v>
      </c>
      <c r="G51" s="15"/>
      <c r="H51" s="41" t="str">
        <f t="shared" si="1"/>
        <v/>
      </c>
      <c r="I51" s="73" t="str">
        <f>IF(H51="","",IF($I$8="A",(RANK(H51,H$11:H$333,1)+COUNTIF(H$11:H51,H51)-1),(RANK(H51,H$11:H$333)+COUNTIF(H$11:H51,H51)-1)))</f>
        <v/>
      </c>
      <c r="J51" s="40"/>
      <c r="K51" s="35">
        <f t="shared" si="10"/>
        <v>41</v>
      </c>
      <c r="L51" t="str">
        <f t="shared" si="2"/>
        <v>Durham</v>
      </c>
      <c r="M51" s="109">
        <f t="shared" si="3"/>
        <v>87.654320987654316</v>
      </c>
      <c r="N51" s="104">
        <f t="shared" si="19"/>
        <v>87.654320987654316</v>
      </c>
      <c r="O51" s="89" t="str">
        <f t="shared" si="20"/>
        <v/>
      </c>
      <c r="P51" s="89" t="str">
        <f t="shared" si="21"/>
        <v/>
      </c>
      <c r="Q51" s="89">
        <f t="shared" si="22"/>
        <v>87.654320987654316</v>
      </c>
      <c r="R51" s="85" t="str">
        <f t="shared" si="23"/>
        <v/>
      </c>
      <c r="S51" s="41" t="str">
        <f t="shared" si="24"/>
        <v/>
      </c>
      <c r="T51" s="166" t="str">
        <f>IF(L51="","",VLOOKUP(L51,classifications!C:K,9,FALSE))</f>
        <v>Sparse</v>
      </c>
      <c r="U51" s="167">
        <f t="shared" si="25"/>
        <v>87.654320987654316</v>
      </c>
      <c r="V51" s="173">
        <f>IF(U51="","",IF($I$8="A",(RANK(U51,U$11:U$333)+COUNTIF(U$11:U51,U51)-1),(RANK(U51,U$11:U$333,1)+COUNTIF(U$11:U51,U51)-1)))</f>
        <v>7</v>
      </c>
      <c r="W51" s="174"/>
      <c r="X51" s="5" t="str">
        <f>IF(L51="","",VLOOKUP($L51,classifications!$C:$J,6,FALSE))</f>
        <v xml:space="preserve">Predominantly Rural </v>
      </c>
      <c r="Y51">
        <f t="shared" si="26"/>
        <v>87.654320987654316</v>
      </c>
      <c r="Z51" s="39">
        <f>IF(Y51="","",IF(I$8="A",(RANK(Y51,Y$11:Y$333,1)+COUNTIF(Y$11:Y51,Y51)-1),(RANK(Y51,Y$11:Y$333)+COUNTIF(Y$11:Y51,Y51)-1)))</f>
        <v>16</v>
      </c>
      <c r="AA51" s="177" t="str">
        <f>IF(L51="","",VLOOKUP($L51,classifications!C:I,7,FALSE))</f>
        <v>Predominantly Rural</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94.444444444444443</v>
      </c>
      <c r="AH51" s="46">
        <f t="shared" si="28"/>
        <v>41</v>
      </c>
      <c r="AI51" s="5" t="str">
        <f>IF(L51="","",VLOOKUP($L51,classifications!$C:$J,8,FALSE))</f>
        <v>Unitary</v>
      </c>
      <c r="AJ51" s="42">
        <f t="shared" si="29"/>
        <v>87.654320987654316</v>
      </c>
      <c r="AK51" s="39">
        <f>IF(AJ51="","",IF(I$8="A",(RANK(AJ51,AJ$11:AJ$333,1)+COUNTIF(AJ$11:AJ51,AJ51)-1),(RANK(AJ51,AJ$11:AJ$333)+COUNTIF(AJ$11:AJ51,AJ51)-1)))</f>
        <v>41</v>
      </c>
      <c r="AL51" s="3">
        <f t="shared" si="16"/>
        <v>41</v>
      </c>
      <c r="AM51" t="str">
        <f t="shared" si="6"/>
        <v>Durham</v>
      </c>
      <c r="AN51">
        <f t="shared" si="7"/>
        <v>87.654320987654316</v>
      </c>
      <c r="AP51" s="5" t="str">
        <f>IF(L51="","",VLOOKUP($L51,classifications!$C:$E,3,FALSE))</f>
        <v>NE</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96.875</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95.652173913043484</v>
      </c>
      <c r="G52" s="15"/>
      <c r="H52" s="41" t="str">
        <f t="shared" si="1"/>
        <v/>
      </c>
      <c r="I52" s="73" t="str">
        <f>IF(H52="","",IF($I$8="A",(RANK(H52,H$11:H$333,1)+COUNTIF(H$11:H52,H52)-1),(RANK(H52,H$11:H$333)+COUNTIF(H$11:H52,H52)-1)))</f>
        <v/>
      </c>
      <c r="J52" s="40"/>
      <c r="K52" s="35">
        <f t="shared" si="10"/>
        <v>42</v>
      </c>
      <c r="L52" t="str">
        <f t="shared" si="2"/>
        <v>Darlington</v>
      </c>
      <c r="M52" s="109">
        <f t="shared" si="3"/>
        <v>87.5</v>
      </c>
      <c r="N52" s="104">
        <f t="shared" si="19"/>
        <v>87.5</v>
      </c>
      <c r="O52" s="89" t="str">
        <f t="shared" si="20"/>
        <v/>
      </c>
      <c r="P52" s="89" t="str">
        <f t="shared" si="21"/>
        <v/>
      </c>
      <c r="Q52" s="89">
        <f t="shared" si="22"/>
        <v>87.5</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94.444444444444443</v>
      </c>
      <c r="AH52" s="46">
        <f t="shared" si="28"/>
        <v>42</v>
      </c>
      <c r="AI52" s="5" t="str">
        <f>IF(L52="","",VLOOKUP($L52,classifications!$C:$J,8,FALSE))</f>
        <v>Unitary</v>
      </c>
      <c r="AJ52" s="42">
        <f t="shared" si="29"/>
        <v>87.5</v>
      </c>
      <c r="AK52" s="39">
        <f>IF(AJ52="","",IF(I$8="A",(RANK(AJ52,AJ$11:AJ$333,1)+COUNTIF(AJ$11:AJ52,AJ52)-1),(RANK(AJ52,AJ$11:AJ$333)+COUNTIF(AJ$11:AJ52,AJ52)-1)))</f>
        <v>42</v>
      </c>
      <c r="AL52" s="3">
        <f t="shared" si="16"/>
        <v>42</v>
      </c>
      <c r="AM52" t="str">
        <f t="shared" si="6"/>
        <v>Darlington</v>
      </c>
      <c r="AN52">
        <f t="shared" si="7"/>
        <v>87.5</v>
      </c>
      <c r="AP52" s="5" t="str">
        <f>IF(L52="","",VLOOKUP($L52,classifications!$C:$E,3,FALSE))</f>
        <v>NE</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95.652173913043484</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88.888888888888886</v>
      </c>
      <c r="G53" s="15"/>
      <c r="H53" s="41" t="str">
        <f t="shared" si="1"/>
        <v/>
      </c>
      <c r="I53" s="73" t="str">
        <f>IF(H53="","",IF($I$8="A",(RANK(H53,H$11:H$333,1)+COUNTIF(H$11:H53,H53)-1),(RANK(H53,H$11:H$333)+COUNTIF(H$11:H53,H53)-1)))</f>
        <v/>
      </c>
      <c r="J53" s="40"/>
      <c r="K53" s="35">
        <f t="shared" si="10"/>
        <v>43</v>
      </c>
      <c r="L53" t="str">
        <f t="shared" si="2"/>
        <v>Southampton</v>
      </c>
      <c r="M53" s="109">
        <f t="shared" si="3"/>
        <v>87.5</v>
      </c>
      <c r="N53" s="104">
        <f t="shared" si="19"/>
        <v>87.5</v>
      </c>
      <c r="O53" s="89" t="str">
        <f t="shared" si="20"/>
        <v/>
      </c>
      <c r="P53" s="89" t="str">
        <f t="shared" si="21"/>
        <v/>
      </c>
      <c r="Q53" s="89">
        <f t="shared" si="22"/>
        <v>87.5</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94.444444444444443</v>
      </c>
      <c r="AH53" s="46">
        <f t="shared" si="28"/>
        <v>43</v>
      </c>
      <c r="AI53" s="5" t="str">
        <f>IF(L53="","",VLOOKUP($L53,classifications!$C:$J,8,FALSE))</f>
        <v>Unitary</v>
      </c>
      <c r="AJ53" s="42">
        <f t="shared" si="29"/>
        <v>87.5</v>
      </c>
      <c r="AK53" s="39">
        <f>IF(AJ53="","",IF(I$8="A",(RANK(AJ53,AJ$11:AJ$333,1)+COUNTIF(AJ$11:AJ53,AJ53)-1),(RANK(AJ53,AJ$11:AJ$333)+COUNTIF(AJ$11:AJ53,AJ53)-1)))</f>
        <v>43</v>
      </c>
      <c r="AL53" s="3">
        <f t="shared" si="16"/>
        <v>43</v>
      </c>
      <c r="AM53" t="str">
        <f t="shared" si="6"/>
        <v>Southampton</v>
      </c>
      <c r="AN53">
        <f t="shared" si="7"/>
        <v>87.5</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88.888888888888886</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Thurrock</v>
      </c>
      <c r="M54" s="109">
        <f t="shared" si="3"/>
        <v>86.956521739130437</v>
      </c>
      <c r="N54" s="104">
        <f t="shared" si="19"/>
        <v>86.956521739130437</v>
      </c>
      <c r="O54" s="89" t="str">
        <f t="shared" si="20"/>
        <v/>
      </c>
      <c r="P54" s="89" t="str">
        <f t="shared" si="21"/>
        <v/>
      </c>
      <c r="Q54" s="89">
        <f t="shared" si="22"/>
        <v>86.956521739130437</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94.444444444444443</v>
      </c>
      <c r="AH54" s="46">
        <f t="shared" si="28"/>
        <v>44</v>
      </c>
      <c r="AI54" s="5" t="str">
        <f>IF(L54="","",VLOOKUP($L54,classifications!$C:$J,8,FALSE))</f>
        <v>Unitary</v>
      </c>
      <c r="AJ54" s="42">
        <f t="shared" si="29"/>
        <v>86.956521739130437</v>
      </c>
      <c r="AK54" s="39">
        <f>IF(AJ54="","",IF(I$8="A",(RANK(AJ54,AJ$11:AJ$333,1)+COUNTIF(AJ$11:AJ54,AJ54)-1),(RANK(AJ54,AJ$11:AJ$333)+COUNTIF(AJ$11:AJ54,AJ54)-1)))</f>
        <v>44</v>
      </c>
      <c r="AL54" s="3">
        <f t="shared" si="16"/>
        <v>44</v>
      </c>
      <c r="AM54" t="str">
        <f t="shared" si="6"/>
        <v>Thurrock</v>
      </c>
      <c r="AN54">
        <f t="shared" si="7"/>
        <v>86.956521739130437</v>
      </c>
      <c r="AP54" s="5" t="str">
        <f>IF(L54="","",VLOOKUP($L54,classifications!$C:$E,3,FALSE))</f>
        <v>East of England</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68.181818181818173</v>
      </c>
      <c r="G55" s="15"/>
      <c r="H55" s="41" t="str">
        <f t="shared" si="1"/>
        <v/>
      </c>
      <c r="I55" s="73" t="str">
        <f>IF(H55="","",IF($I$8="A",(RANK(H55,H$11:H$333,1)+COUNTIF(H$11:H55,H55)-1),(RANK(H55,H$11:H$333)+COUNTIF(H$11:H55,H55)-1)))</f>
        <v/>
      </c>
      <c r="J55" s="40"/>
      <c r="K55" s="35">
        <f t="shared" si="10"/>
        <v>45</v>
      </c>
      <c r="L55" t="str">
        <f t="shared" si="2"/>
        <v>Central Bedfordshire</v>
      </c>
      <c r="M55" s="109">
        <f t="shared" si="3"/>
        <v>86.868686868686879</v>
      </c>
      <c r="N55" s="104">
        <f t="shared" si="19"/>
        <v>86.868686868686879</v>
      </c>
      <c r="O55" s="89" t="str">
        <f t="shared" si="20"/>
        <v/>
      </c>
      <c r="P55" s="89" t="str">
        <f t="shared" si="21"/>
        <v/>
      </c>
      <c r="Q55" s="89">
        <f t="shared" si="22"/>
        <v>86.868686868686879</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 xml:space="preserve">Predominantly Rural </v>
      </c>
      <c r="Y55">
        <f t="shared" si="26"/>
        <v>86.868686868686879</v>
      </c>
      <c r="Z55" s="39">
        <f>IF(Y55="","",IF(I$8="A",(RANK(Y55,Y$11:Y$333,1)+COUNTIF(Y$11:Y55,Y55)-1),(RANK(Y55,Y$11:Y$333)+COUNTIF(Y$11:Y55,Y55)-1)))</f>
        <v>17</v>
      </c>
      <c r="AA55" s="177" t="str">
        <f>IF(L55="","",VLOOKUP($L55,classifications!C:I,7,FALSE))</f>
        <v>Predominantly Rural</v>
      </c>
      <c r="AB55" s="173" t="str">
        <f t="shared" si="27"/>
        <v/>
      </c>
      <c r="AC55" s="173" t="str">
        <f>IF(AB55="","",IF($I$8="A",(RANK(AB55,AB$11:AB$333)+COUNTIF(AB$11:AB55,AB55)-1),(RANK(AB55,AB$11:AB$333,1)+COUNTIF(AB$11:AB55,AB55)-1)))</f>
        <v/>
      </c>
      <c r="AD55" s="173"/>
      <c r="AE55" s="45">
        <f>IF(I$8="A",(RANK(AG55,AG$11:AG$333,1)+COUNTIF(AG$11:AG55,AG55)-1),(RANK(AG55,AG$11:AG$333)+COUNTIF(AG$11:AG55,AG55)-1))</f>
        <v>45</v>
      </c>
      <c r="AF55" t="str">
        <f>VLOOKUP(Profile!$J$5,Families!$C:$R,2,FALSE)</f>
        <v>Cheshire West &amp; Chester</v>
      </c>
      <c r="AG55" s="15">
        <f t="shared" si="15"/>
        <v>94.444444444444443</v>
      </c>
      <c r="AH55" s="46">
        <f t="shared" si="28"/>
        <v>45</v>
      </c>
      <c r="AI55" s="5" t="str">
        <f>IF(L55="","",VLOOKUP($L55,classifications!$C:$J,8,FALSE))</f>
        <v>Unitary</v>
      </c>
      <c r="AJ55" s="42">
        <f t="shared" si="29"/>
        <v>86.868686868686879</v>
      </c>
      <c r="AK55" s="39">
        <f>IF(AJ55="","",IF(I$8="A",(RANK(AJ55,AJ$11:AJ$333,1)+COUNTIF(AJ$11:AJ55,AJ55)-1),(RANK(AJ55,AJ$11:AJ$333)+COUNTIF(AJ$11:AJ55,AJ55)-1)))</f>
        <v>45</v>
      </c>
      <c r="AL55" s="3">
        <f t="shared" si="16"/>
        <v>45</v>
      </c>
      <c r="AM55" t="str">
        <f t="shared" si="6"/>
        <v>Central Bedfordshire</v>
      </c>
      <c r="AN55">
        <f t="shared" si="7"/>
        <v>86.868686868686879</v>
      </c>
      <c r="AP55" s="5" t="str">
        <f>IF(L55="","",VLOOKUP($L55,classifications!$C:$E,3,FALSE))</f>
        <v>East of England</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68.181818181818173</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85.714285714285708</v>
      </c>
      <c r="G56" s="15"/>
      <c r="H56" s="41" t="str">
        <f t="shared" si="1"/>
        <v/>
      </c>
      <c r="I56" s="73" t="str">
        <f>IF(H56="","",IF($I$8="A",(RANK(H56,H$11:H$333,1)+COUNTIF(H$11:H56,H56)-1),(RANK(H56,H$11:H$333)+COUNTIF(H$11:H56,H56)-1)))</f>
        <v/>
      </c>
      <c r="J56" s="40"/>
      <c r="K56" s="35">
        <f t="shared" si="10"/>
        <v>46</v>
      </c>
      <c r="L56" t="str">
        <f t="shared" si="2"/>
        <v>North Yorkshire</v>
      </c>
      <c r="M56" s="109">
        <f t="shared" si="3"/>
        <v>86.666666666666671</v>
      </c>
      <c r="N56" s="104">
        <f t="shared" si="19"/>
        <v>86.666666666666671</v>
      </c>
      <c r="O56" s="89" t="str">
        <f t="shared" si="20"/>
        <v/>
      </c>
      <c r="P56" s="89" t="str">
        <f t="shared" si="21"/>
        <v/>
      </c>
      <c r="Q56" s="89">
        <f t="shared" si="22"/>
        <v>86.666666666666671</v>
      </c>
      <c r="R56" s="85" t="str">
        <f t="shared" si="23"/>
        <v/>
      </c>
      <c r="S56" s="41" t="str">
        <f t="shared" si="24"/>
        <v/>
      </c>
      <c r="T56" s="166" t="str">
        <f>IF(L56="","",VLOOKUP(L56,classifications!C:K,9,FALSE))</f>
        <v>Sparse</v>
      </c>
      <c r="U56" s="167">
        <f t="shared" si="25"/>
        <v>86.666666666666671</v>
      </c>
      <c r="V56" s="173">
        <f>IF(U56="","",IF($I$8="A",(RANK(U56,U$11:U$333)+COUNTIF(U$11:U56,U56)-1),(RANK(U56,U$11:U$333,1)+COUNTIF(U$11:U56,U56)-1)))</f>
        <v>6</v>
      </c>
      <c r="W56" s="174"/>
      <c r="X56" s="5" t="str">
        <f>IF(L56="","",VLOOKUP($L56,classifications!$C:$J,6,FALSE))</f>
        <v xml:space="preserve">Predominantly Rural </v>
      </c>
      <c r="Y56">
        <f t="shared" si="26"/>
        <v>86.666666666666671</v>
      </c>
      <c r="Z56" s="39">
        <f>IF(Y56="","",IF(I$8="A",(RANK(Y56,Y$11:Y$333,1)+COUNTIF(Y$11:Y56,Y56)-1),(RANK(Y56,Y$11:Y$333)+COUNTIF(Y$11:Y56,Y56)-1)))</f>
        <v>18</v>
      </c>
      <c r="AA56" s="177" t="str">
        <f>IF(L56="","",VLOOKUP($L56,classifications!C:I,7,FALSE))</f>
        <v>Predominantly Rural</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94.444444444444443</v>
      </c>
      <c r="AH56" s="46">
        <f t="shared" si="28"/>
        <v>46</v>
      </c>
      <c r="AI56" s="5" t="str">
        <f>IF(L56="","",VLOOKUP($L56,classifications!$C:$J,8,FALSE))</f>
        <v>Unitary</v>
      </c>
      <c r="AJ56" s="42">
        <f t="shared" si="29"/>
        <v>86.666666666666671</v>
      </c>
      <c r="AK56" s="39">
        <f>IF(AJ56="","",IF(I$8="A",(RANK(AJ56,AJ$11:AJ$333,1)+COUNTIF(AJ$11:AJ56,AJ56)-1),(RANK(AJ56,AJ$11:AJ$333)+COUNTIF(AJ$11:AJ56,AJ56)-1)))</f>
        <v>46</v>
      </c>
      <c r="AL56" s="3">
        <f t="shared" si="16"/>
        <v>46</v>
      </c>
      <c r="AM56" t="str">
        <f t="shared" si="6"/>
        <v>North Yorkshire</v>
      </c>
      <c r="AN56">
        <f t="shared" si="7"/>
        <v>86.666666666666671</v>
      </c>
      <c r="AP56" s="5" t="str">
        <f>IF(L56="","",VLOOKUP($L56,classifications!$C:$E,3,FALSE))</f>
        <v>Yorkshire &amp; Humberside</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85.714285714285708</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94.73684210526315</v>
      </c>
      <c r="G57" s="15"/>
      <c r="H57" s="41" t="str">
        <f t="shared" si="1"/>
        <v/>
      </c>
      <c r="I57" s="73" t="str">
        <f>IF(H57="","",IF($I$8="A",(RANK(H57,H$11:H$333,1)+COUNTIF(H$11:H57,H57)-1),(RANK(H57,H$11:H$333)+COUNTIF(H$11:H57,H57)-1)))</f>
        <v/>
      </c>
      <c r="J57" s="40"/>
      <c r="K57" s="35">
        <f t="shared" si="10"/>
        <v>47</v>
      </c>
      <c r="L57" t="str">
        <f t="shared" si="2"/>
        <v>Slough</v>
      </c>
      <c r="M57" s="109">
        <f t="shared" si="3"/>
        <v>86.666666666666671</v>
      </c>
      <c r="N57" s="104">
        <f t="shared" si="19"/>
        <v>86.666666666666671</v>
      </c>
      <c r="O57" s="89" t="str">
        <f t="shared" si="20"/>
        <v/>
      </c>
      <c r="P57" s="89" t="str">
        <f t="shared" si="21"/>
        <v/>
      </c>
      <c r="Q57" s="89">
        <f t="shared" si="22"/>
        <v>86.666666666666671</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94.444444444444443</v>
      </c>
      <c r="AH57" s="46">
        <f t="shared" si="28"/>
        <v>47</v>
      </c>
      <c r="AI57" s="5" t="str">
        <f>IF(L57="","",VLOOKUP($L57,classifications!$C:$J,8,FALSE))</f>
        <v>Unitary</v>
      </c>
      <c r="AJ57" s="42">
        <f t="shared" si="29"/>
        <v>86.666666666666671</v>
      </c>
      <c r="AK57" s="39">
        <f>IF(AJ57="","",IF(I$8="A",(RANK(AJ57,AJ$11:AJ$333,1)+COUNTIF(AJ$11:AJ57,AJ57)-1),(RANK(AJ57,AJ$11:AJ$333)+COUNTIF(AJ$11:AJ57,AJ57)-1)))</f>
        <v>47</v>
      </c>
      <c r="AL57" s="3">
        <f t="shared" si="16"/>
        <v>47</v>
      </c>
      <c r="AM57" t="str">
        <f t="shared" si="6"/>
        <v>Slough</v>
      </c>
      <c r="AN57">
        <f t="shared" si="7"/>
        <v>86.666666666666671</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94.73684210526315</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75</v>
      </c>
      <c r="G58" s="15"/>
      <c r="H58" s="41" t="str">
        <f t="shared" si="1"/>
        <v/>
      </c>
      <c r="I58" s="73" t="str">
        <f>IF(H58="","",IF($I$8="A",(RANK(H58,H$11:H$333,1)+COUNTIF(H$11:H58,H58)-1),(RANK(H58,H$11:H$333)+COUNTIF(H$11:H58,H58)-1)))</f>
        <v/>
      </c>
      <c r="J58" s="40"/>
      <c r="K58" s="35">
        <f t="shared" si="10"/>
        <v>48</v>
      </c>
      <c r="L58" t="str">
        <f t="shared" si="2"/>
        <v>Bristol</v>
      </c>
      <c r="M58" s="109">
        <f t="shared" si="3"/>
        <v>85.245901639344254</v>
      </c>
      <c r="N58" s="104">
        <f t="shared" ref="N58:N121" si="31">IF(L58="","",IF($H$8="%%",M58*100,M58))</f>
        <v>85.245901639344254</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85.245901639344254</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94.444444444444443</v>
      </c>
      <c r="AH58" s="46">
        <f t="shared" ref="AH58:AH121" si="40">AE58</f>
        <v>48</v>
      </c>
      <c r="AI58" s="5" t="str">
        <f>IF(L58="","",VLOOKUP($L58,classifications!$C:$J,8,FALSE))</f>
        <v>Unitary</v>
      </c>
      <c r="AJ58" s="42">
        <f t="shared" ref="AJ58:AJ121" si="41">IF(AI58=$I$3,M58,"")</f>
        <v>85.245901639344254</v>
      </c>
      <c r="AK58" s="39">
        <f>IF(AJ58="","",IF(I$8="A",(RANK(AJ58,AJ$11:AJ$333,1)+COUNTIF(AJ$11:AJ58,AJ58)-1),(RANK(AJ58,AJ$11:AJ$333)+COUNTIF(AJ$11:AJ58,AJ58)-1)))</f>
        <v>48</v>
      </c>
      <c r="AL58" s="3">
        <f t="shared" si="16"/>
        <v>48</v>
      </c>
      <c r="AM58" t="str">
        <f t="shared" si="6"/>
        <v>Bristol</v>
      </c>
      <c r="AN58">
        <f t="shared" si="7"/>
        <v>85.245901639344254</v>
      </c>
      <c r="AP58" s="5" t="str">
        <f>IF(L58="","",VLOOKUP($L58,classifications!$C:$E,3,FALSE))</f>
        <v>South West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75</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86.868686868686879</v>
      </c>
      <c r="G59" s="15"/>
      <c r="H59" s="41">
        <f t="shared" si="1"/>
        <v>86.868686868686879</v>
      </c>
      <c r="I59" s="73">
        <f>IF(H59="","",IF($I$8="A",(RANK(H59,H$11:H$333,1)+COUNTIF(H$11:H59,H59)-1),(RANK(H59,H$11:H$333)+COUNTIF(H$11:H59,H59)-1)))</f>
        <v>45</v>
      </c>
      <c r="J59" s="40"/>
      <c r="K59" s="35">
        <f t="shared" si="10"/>
        <v>49</v>
      </c>
      <c r="L59" t="str">
        <f t="shared" si="2"/>
        <v>Halton</v>
      </c>
      <c r="M59" s="109">
        <f t="shared" si="3"/>
        <v>85.18518518518519</v>
      </c>
      <c r="N59" s="104">
        <f t="shared" si="31"/>
        <v>85.18518518518519</v>
      </c>
      <c r="O59" s="89" t="str">
        <f t="shared" si="32"/>
        <v/>
      </c>
      <c r="P59" s="89" t="str">
        <f t="shared" si="33"/>
        <v/>
      </c>
      <c r="Q59" s="89" t="str">
        <f t="shared" si="34"/>
        <v/>
      </c>
      <c r="R59" s="85">
        <f t="shared" si="35"/>
        <v>85.18518518518519</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94.444444444444443</v>
      </c>
      <c r="AH59" s="46">
        <f t="shared" si="40"/>
        <v>49</v>
      </c>
      <c r="AI59" s="5" t="str">
        <f>IF(L59="","",VLOOKUP($L59,classifications!$C:$J,8,FALSE))</f>
        <v>Unitary</v>
      </c>
      <c r="AJ59" s="42">
        <f t="shared" si="41"/>
        <v>85.18518518518519</v>
      </c>
      <c r="AK59" s="39">
        <f>IF(AJ59="","",IF(I$8="A",(RANK(AJ59,AJ$11:AJ$333,1)+COUNTIF(AJ$11:AJ59,AJ59)-1),(RANK(AJ59,AJ$11:AJ$333)+COUNTIF(AJ$11:AJ59,AJ59)-1)))</f>
        <v>49</v>
      </c>
      <c r="AL59" s="3">
        <f t="shared" si="16"/>
        <v>49</v>
      </c>
      <c r="AM59" t="str">
        <f t="shared" si="6"/>
        <v>Halton</v>
      </c>
      <c r="AN59">
        <f t="shared" si="7"/>
        <v>85.18518518518519</v>
      </c>
      <c r="AP59" s="5" t="str">
        <f>IF(L59="","",VLOOKUP($L59,classifications!$C:$E,3,FALSE))</f>
        <v>North West</v>
      </c>
      <c r="AQ59" s="42">
        <f t="shared" si="42"/>
        <v>85.18518518518519</v>
      </c>
      <c r="AR59" s="39">
        <f>IF(AQ59="","",IF(I$8="A",(RANK(AQ59,AQ$11:AQ$333,1)+COUNTIF(AQ$11:AQ59,AQ59)-1),(RANK(AQ59,AQ$11:AQ$333)+COUNTIF(AQ$11:AQ59,AQ59)-1)))</f>
        <v>6</v>
      </c>
      <c r="AS59" s="3" t="str">
        <f t="shared" si="18"/>
        <v/>
      </c>
      <c r="AT59" s="39" t="str">
        <f t="shared" si="8"/>
        <v/>
      </c>
      <c r="AU59" s="42" t="str">
        <f t="shared" si="9"/>
        <v/>
      </c>
      <c r="AX59">
        <f>HLOOKUP($AX$9&amp;$AX$10,Data!$A$1:$ZT$1975,(MATCH($C59,Data!$A$1:$A$1975,0)),FALSE)</f>
        <v>86.868686868686879</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80</v>
      </c>
      <c r="G60" s="15"/>
      <c r="H60" s="41" t="str">
        <f t="shared" si="1"/>
        <v/>
      </c>
      <c r="I60" s="73" t="str">
        <f>IF(H60="","",IF($I$8="A",(RANK(H60,H$11:H$333,1)+COUNTIF(H$11:H60,H60)-1),(RANK(H60,H$11:H$333)+COUNTIF(H$11:H60,H60)-1)))</f>
        <v/>
      </c>
      <c r="J60" s="40"/>
      <c r="K60" s="35">
        <f t="shared" si="10"/>
        <v>50</v>
      </c>
      <c r="L60" t="str">
        <f t="shared" si="2"/>
        <v>Windsor &amp; Maidenhead</v>
      </c>
      <c r="M60" s="109">
        <f t="shared" si="3"/>
        <v>84.848484848484844</v>
      </c>
      <c r="N60" s="104">
        <f t="shared" si="31"/>
        <v>84.848484848484844</v>
      </c>
      <c r="O60" s="89" t="str">
        <f t="shared" si="32"/>
        <v/>
      </c>
      <c r="P60" s="89" t="str">
        <f t="shared" si="33"/>
        <v/>
      </c>
      <c r="Q60" s="89" t="str">
        <f t="shared" si="34"/>
        <v/>
      </c>
      <c r="R60" s="85">
        <f t="shared" si="35"/>
        <v>84.848484848484844</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94.444444444444443</v>
      </c>
      <c r="AH60" s="46">
        <f t="shared" si="40"/>
        <v>50</v>
      </c>
      <c r="AI60" s="5" t="str">
        <f>IF(L60="","",VLOOKUP($L60,classifications!$C:$J,8,FALSE))</f>
        <v>Unitary</v>
      </c>
      <c r="AJ60" s="42">
        <f t="shared" si="41"/>
        <v>84.848484848484844</v>
      </c>
      <c r="AK60" s="39">
        <f>IF(AJ60="","",IF(I$8="A",(RANK(AJ60,AJ$11:AJ$333,1)+COUNTIF(AJ$11:AJ60,AJ60)-1),(RANK(AJ60,AJ$11:AJ$333)+COUNTIF(AJ$11:AJ60,AJ60)-1)))</f>
        <v>50</v>
      </c>
      <c r="AL60" s="3">
        <f t="shared" si="16"/>
        <v>50</v>
      </c>
      <c r="AM60" t="str">
        <f t="shared" si="6"/>
        <v>Windsor &amp; Maidenhead</v>
      </c>
      <c r="AN60">
        <f t="shared" si="7"/>
        <v>84.848484848484844</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80</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80</v>
      </c>
      <c r="G61" s="15"/>
      <c r="H61" s="41" t="str">
        <f t="shared" si="1"/>
        <v/>
      </c>
      <c r="I61" s="73" t="str">
        <f>IF(H61="","",IF($I$8="A",(RANK(H61,H$11:H$333,1)+COUNTIF(H$11:H61,H61)-1),(RANK(H61,H$11:H$333)+COUNTIF(H$11:H61,H61)-1)))</f>
        <v/>
      </c>
      <c r="J61" s="40"/>
      <c r="K61" s="35">
        <f t="shared" si="10"/>
        <v>51</v>
      </c>
      <c r="L61" t="str">
        <f t="shared" si="2"/>
        <v>Peterborough</v>
      </c>
      <c r="M61" s="109">
        <f t="shared" si="3"/>
        <v>84.615384615384613</v>
      </c>
      <c r="N61" s="104">
        <f t="shared" si="31"/>
        <v>84.615384615384613</v>
      </c>
      <c r="O61" s="89" t="str">
        <f t="shared" si="32"/>
        <v/>
      </c>
      <c r="P61" s="89" t="str">
        <f t="shared" si="33"/>
        <v/>
      </c>
      <c r="Q61" s="89" t="str">
        <f t="shared" si="34"/>
        <v/>
      </c>
      <c r="R61" s="85">
        <f t="shared" si="35"/>
        <v>84.615384615384613</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94.444444444444443</v>
      </c>
      <c r="AH61" s="46">
        <f t="shared" si="40"/>
        <v>51</v>
      </c>
      <c r="AI61" s="5" t="str">
        <f>IF(L61="","",VLOOKUP($L61,classifications!$C:$J,8,FALSE))</f>
        <v>Unitary</v>
      </c>
      <c r="AJ61" s="42">
        <f t="shared" si="41"/>
        <v>84.615384615384613</v>
      </c>
      <c r="AK61" s="39">
        <f>IF(AJ61="","",IF(I$8="A",(RANK(AJ61,AJ$11:AJ$333,1)+COUNTIF(AJ$11:AJ61,AJ61)-1),(RANK(AJ61,AJ$11:AJ$333)+COUNTIF(AJ$11:AJ61,AJ61)-1)))</f>
        <v>51</v>
      </c>
      <c r="AL61" s="3">
        <f t="shared" si="16"/>
        <v>51</v>
      </c>
      <c r="AM61" t="str">
        <f t="shared" si="6"/>
        <v>Peterborough</v>
      </c>
      <c r="AN61">
        <f t="shared" si="7"/>
        <v>84.615384615384613</v>
      </c>
      <c r="AP61" s="5" t="str">
        <f>IF(L61="","",VLOOKUP($L61,classifications!$C:$E,3,FALSE))</f>
        <v>East of England</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80</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89.473684210526315</v>
      </c>
      <c r="G62" s="15"/>
      <c r="H62" s="41" t="str">
        <f t="shared" si="1"/>
        <v/>
      </c>
      <c r="I62" s="73" t="str">
        <f>IF(H62="","",IF($I$8="A",(RANK(H62,H$11:H$333,1)+COUNTIF(H$11:H62,H62)-1),(RANK(H62,H$11:H$333)+COUNTIF(H$11:H62,H62)-1)))</f>
        <v/>
      </c>
      <c r="J62" s="40"/>
      <c r="K62" s="35">
        <f t="shared" si="10"/>
        <v>52</v>
      </c>
      <c r="L62" t="str">
        <f t="shared" si="2"/>
        <v>Cumberland</v>
      </c>
      <c r="M62" s="109">
        <f t="shared" si="3"/>
        <v>84.210526315789465</v>
      </c>
      <c r="N62" s="104">
        <f t="shared" si="31"/>
        <v>84.210526315789465</v>
      </c>
      <c r="O62" s="89" t="str">
        <f t="shared" si="32"/>
        <v/>
      </c>
      <c r="P62" s="89" t="str">
        <f t="shared" si="33"/>
        <v/>
      </c>
      <c r="Q62" s="89" t="str">
        <f t="shared" si="34"/>
        <v/>
      </c>
      <c r="R62" s="85">
        <f t="shared" si="35"/>
        <v>84.210526315789465</v>
      </c>
      <c r="S62" s="41" t="str">
        <f t="shared" si="36"/>
        <v/>
      </c>
      <c r="T62" s="166" t="str">
        <f>IF(L62="","",VLOOKUP(L62,classifications!C:K,9,FALSE))</f>
        <v>Sparse</v>
      </c>
      <c r="U62" s="167">
        <f t="shared" si="37"/>
        <v>84.210526315789465</v>
      </c>
      <c r="V62" s="173">
        <f>IF(U62="","",IF($I$8="A",(RANK(U62,U$11:U$333)+COUNTIF(U$11:U62,U62)-1),(RANK(U62,U$11:U$333,1)+COUNTIF(U$11:U62,U62)-1)))</f>
        <v>5</v>
      </c>
      <c r="W62" s="174"/>
      <c r="X62" s="5" t="str">
        <f>IF(L62="","",VLOOKUP($L62,classifications!$C:$J,6,FALSE))</f>
        <v xml:space="preserve">Predominantly Rural </v>
      </c>
      <c r="Y62">
        <f t="shared" si="38"/>
        <v>84.210526315789465</v>
      </c>
      <c r="Z62" s="39">
        <f>IF(Y62="","",IF(I$8="A",(RANK(Y62,Y$11:Y$333,1)+COUNTIF(Y$11:Y62,Y62)-1),(RANK(Y62,Y$11:Y$333)+COUNTIF(Y$11:Y62,Y62)-1)))</f>
        <v>19</v>
      </c>
      <c r="AA62" s="177" t="str">
        <f>IF(L62="","",VLOOKUP($L62,classifications!C:I,7,FALSE))</f>
        <v>Predominantly Rural</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94.444444444444443</v>
      </c>
      <c r="AH62" s="46">
        <f t="shared" si="40"/>
        <v>52</v>
      </c>
      <c r="AI62" s="5" t="str">
        <f>IF(L62="","",VLOOKUP($L62,classifications!$C:$J,8,FALSE))</f>
        <v>Unitary</v>
      </c>
      <c r="AJ62" s="42">
        <f t="shared" si="41"/>
        <v>84.210526315789465</v>
      </c>
      <c r="AK62" s="39">
        <f>IF(AJ62="","",IF(I$8="A",(RANK(AJ62,AJ$11:AJ$333,1)+COUNTIF(AJ$11:AJ62,AJ62)-1),(RANK(AJ62,AJ$11:AJ$333)+COUNTIF(AJ$11:AJ62,AJ62)-1)))</f>
        <v>52</v>
      </c>
      <c r="AL62" s="3">
        <f t="shared" si="16"/>
        <v>52</v>
      </c>
      <c r="AM62" t="str">
        <f t="shared" si="6"/>
        <v>Cumberland</v>
      </c>
      <c r="AN62">
        <f t="shared" si="7"/>
        <v>84.210526315789465</v>
      </c>
      <c r="AP62" s="5" t="str">
        <f>IF(L62="","",VLOOKUP($L62,classifications!$C:$E,3,FALSE))</f>
        <v>North West</v>
      </c>
      <c r="AQ62" s="42">
        <f t="shared" si="42"/>
        <v>84.210526315789465</v>
      </c>
      <c r="AR62" s="39">
        <f>IF(AQ62="","",IF(I$8="A",(RANK(AQ62,AQ$11:AQ$333,1)+COUNTIF(AQ$11:AQ62,AQ62)-1),(RANK(AQ62,AQ$11:AQ$333)+COUNTIF(AQ$11:AQ62,AQ62)-1)))</f>
        <v>7</v>
      </c>
      <c r="AS62" s="3" t="str">
        <f t="shared" si="18"/>
        <v/>
      </c>
      <c r="AT62" s="39" t="str">
        <f t="shared" si="8"/>
        <v/>
      </c>
      <c r="AU62" s="42" t="str">
        <f t="shared" si="9"/>
        <v/>
      </c>
      <c r="AX62">
        <f>HLOOKUP($AX$9&amp;$AX$10,Data!$A$1:$ZT$1975,(MATCH($C62,Data!$A$1:$A$1975,0)),FALSE)</f>
        <v>89.473684210526315</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84.375</v>
      </c>
      <c r="G63" s="15"/>
      <c r="H63" s="41" t="str">
        <f t="shared" si="1"/>
        <v/>
      </c>
      <c r="I63" s="73" t="str">
        <f>IF(H63="","",IF($I$8="A",(RANK(H63,H$11:H$333,1)+COUNTIF(H$11:H63,H63)-1),(RANK(H63,H$11:H$333)+COUNTIF(H$11:H63,H63)-1)))</f>
        <v/>
      </c>
      <c r="J63" s="40"/>
      <c r="K63" s="35">
        <f t="shared" si="10"/>
        <v>53</v>
      </c>
      <c r="L63" t="str">
        <f t="shared" si="2"/>
        <v>Cornwall</v>
      </c>
      <c r="M63" s="109">
        <f t="shared" si="3"/>
        <v>84.05797101449275</v>
      </c>
      <c r="N63" s="104">
        <f t="shared" si="31"/>
        <v>84.05797101449275</v>
      </c>
      <c r="O63" s="89" t="str">
        <f t="shared" si="32"/>
        <v/>
      </c>
      <c r="P63" s="89" t="str">
        <f t="shared" si="33"/>
        <v/>
      </c>
      <c r="Q63" s="89" t="str">
        <f t="shared" si="34"/>
        <v/>
      </c>
      <c r="R63" s="85">
        <f t="shared" si="35"/>
        <v>84.05797101449275</v>
      </c>
      <c r="S63" s="41" t="str">
        <f t="shared" si="36"/>
        <v/>
      </c>
      <c r="T63" s="166" t="str">
        <f>IF(L63="","",VLOOKUP(L63,classifications!C:K,9,FALSE))</f>
        <v>Sparse</v>
      </c>
      <c r="U63" s="167">
        <f t="shared" si="37"/>
        <v>84.05797101449275</v>
      </c>
      <c r="V63" s="173">
        <f>IF(U63="","",IF($I$8="A",(RANK(U63,U$11:U$333)+COUNTIF(U$11:U63,U63)-1),(RANK(U63,U$11:U$333,1)+COUNTIF(U$11:U63,U63)-1)))</f>
        <v>4</v>
      </c>
      <c r="W63" s="174"/>
      <c r="X63" s="5" t="str">
        <f>IF(L63="","",VLOOKUP($L63,classifications!$C:$J,6,FALSE))</f>
        <v xml:space="preserve">Predominantly Rural </v>
      </c>
      <c r="Y63">
        <f t="shared" si="38"/>
        <v>84.05797101449275</v>
      </c>
      <c r="Z63" s="39">
        <f>IF(Y63="","",IF(I$8="A",(RANK(Y63,Y$11:Y$333,1)+COUNTIF(Y$11:Y63,Y63)-1),(RANK(Y63,Y$11:Y$333)+COUNTIF(Y$11:Y63,Y63)-1)))</f>
        <v>20</v>
      </c>
      <c r="AA63" s="177" t="str">
        <f>IF(L63="","",VLOOKUP($L63,classifications!C:I,7,FALSE))</f>
        <v>Predominantly Rural</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94.444444444444443</v>
      </c>
      <c r="AH63" s="46">
        <f t="shared" si="40"/>
        <v>53</v>
      </c>
      <c r="AI63" s="5" t="str">
        <f>IF(L63="","",VLOOKUP($L63,classifications!$C:$J,8,FALSE))</f>
        <v>Unitary</v>
      </c>
      <c r="AJ63" s="42">
        <f t="shared" si="41"/>
        <v>84.05797101449275</v>
      </c>
      <c r="AK63" s="39">
        <f>IF(AJ63="","",IF(I$8="A",(RANK(AJ63,AJ$11:AJ$333,1)+COUNTIF(AJ$11:AJ63,AJ63)-1),(RANK(AJ63,AJ$11:AJ$333)+COUNTIF(AJ$11:AJ63,AJ63)-1)))</f>
        <v>53</v>
      </c>
      <c r="AL63" s="3">
        <f t="shared" si="16"/>
        <v>53</v>
      </c>
      <c r="AM63" t="str">
        <f t="shared" si="6"/>
        <v>Cornwall</v>
      </c>
      <c r="AN63">
        <f t="shared" si="7"/>
        <v>84.05797101449275</v>
      </c>
      <c r="AP63" s="5" t="str">
        <f>IF(L63="","",VLOOKUP($L63,classifications!$C:$E,3,FALSE))</f>
        <v>South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84.375</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94.680851063829792</v>
      </c>
      <c r="G64" s="15"/>
      <c r="H64" s="41">
        <f t="shared" si="1"/>
        <v>94.680851063829792</v>
      </c>
      <c r="I64" s="73">
        <f>IF(H64="","",IF($I$8="A",(RANK(H64,H$11:H$333,1)+COUNTIF(H$11:H64,H64)-1),(RANK(H64,H$11:H$333)+COUNTIF(H$11:H64,H64)-1)))</f>
        <v>15</v>
      </c>
      <c r="J64" s="40"/>
      <c r="K64" s="35">
        <f t="shared" si="10"/>
        <v>54</v>
      </c>
      <c r="L64" t="str">
        <f t="shared" si="2"/>
        <v>North Somerset</v>
      </c>
      <c r="M64" s="109">
        <f t="shared" si="3"/>
        <v>83.870967741935488</v>
      </c>
      <c r="N64" s="104">
        <f t="shared" si="31"/>
        <v>83.870967741935488</v>
      </c>
      <c r="O64" s="89" t="str">
        <f t="shared" si="32"/>
        <v/>
      </c>
      <c r="P64" s="89" t="str">
        <f t="shared" si="33"/>
        <v/>
      </c>
      <c r="Q64" s="89" t="str">
        <f t="shared" si="34"/>
        <v/>
      </c>
      <c r="R64" s="85">
        <f t="shared" si="35"/>
        <v>83.870967741935488</v>
      </c>
      <c r="S64" s="41" t="str">
        <f t="shared" si="36"/>
        <v/>
      </c>
      <c r="T64" s="166" t="str">
        <f>IF(L64="","",VLOOKUP(L64,classifications!C:K,9,FALSE))</f>
        <v>Sparse</v>
      </c>
      <c r="U64" s="167">
        <f t="shared" si="37"/>
        <v>83.870967741935488</v>
      </c>
      <c r="V64" s="173">
        <f>IF(U64="","",IF($I$8="A",(RANK(U64,U$11:U$333)+COUNTIF(U$11:U64,U64)-1),(RANK(U64,U$11:U$333,1)+COUNTIF(U$11:U64,U64)-1)))</f>
        <v>3</v>
      </c>
      <c r="W64" s="174"/>
      <c r="X64" s="5" t="str">
        <f>IF(L64="","",VLOOKUP($L64,classifications!$C:$J,6,FALSE))</f>
        <v>Urban with Significant Rural</v>
      </c>
      <c r="Y64">
        <f t="shared" si="38"/>
        <v>83.870967741935488</v>
      </c>
      <c r="Z64" s="39">
        <f>IF(Y64="","",IF(I$8="A",(RANK(Y64,Y$11:Y$333,1)+COUNTIF(Y$11:Y64,Y64)-1),(RANK(Y64,Y$11:Y$333)+COUNTIF(Y$11:Y64,Y64)-1)))</f>
        <v>21</v>
      </c>
      <c r="AA64" s="177" t="str">
        <f>IF(L64="","",VLOOKUP($L64,classifications!C:I,7,FALSE))</f>
        <v>Urban with Significant Rural</v>
      </c>
      <c r="AB64" s="173">
        <f t="shared" si="39"/>
        <v>83.870967741935488</v>
      </c>
      <c r="AC64" s="173">
        <f>IF(AB64="","",IF($I$8="A",(RANK(AB64,AB$11:AB$333)+COUNTIF(AB$11:AB64,AB64)-1),(RANK(AB64,AB$11:AB$333,1)+COUNTIF(AB$11:AB64,AB64)-1)))</f>
        <v>3</v>
      </c>
      <c r="AD64" s="173"/>
      <c r="AE64" s="45">
        <f>IF(I$8="A",(RANK(AG64,AG$11:AG$333,1)+COUNTIF(AG$11:AG64,AG64)-1),(RANK(AG64,AG$11:AG$333)+COUNTIF(AG$11:AG64,AG64)-1))</f>
        <v>54</v>
      </c>
      <c r="AF64" t="str">
        <f>VLOOKUP(Profile!$J$5,Families!$C:$R,2,FALSE)</f>
        <v>Cheshire West &amp; Chester</v>
      </c>
      <c r="AG64" s="15">
        <f t="shared" si="15"/>
        <v>94.444444444444443</v>
      </c>
      <c r="AH64" s="46">
        <f t="shared" si="40"/>
        <v>54</v>
      </c>
      <c r="AI64" s="5" t="str">
        <f>IF(L64="","",VLOOKUP($L64,classifications!$C:$J,8,FALSE))</f>
        <v>Unitary</v>
      </c>
      <c r="AJ64" s="42">
        <f t="shared" si="41"/>
        <v>83.870967741935488</v>
      </c>
      <c r="AK64" s="39">
        <f>IF(AJ64="","",IF(I$8="A",(RANK(AJ64,AJ$11:AJ$333,1)+COUNTIF(AJ$11:AJ64,AJ64)-1),(RANK(AJ64,AJ$11:AJ$333)+COUNTIF(AJ$11:AJ64,AJ64)-1)))</f>
        <v>54</v>
      </c>
      <c r="AL64" s="3">
        <f t="shared" si="16"/>
        <v>54</v>
      </c>
      <c r="AM64" t="str">
        <f t="shared" si="6"/>
        <v>North Somerset</v>
      </c>
      <c r="AN64">
        <f t="shared" si="7"/>
        <v>83.870967741935488</v>
      </c>
      <c r="AP64" s="5" t="str">
        <f>IF(L64="","",VLOOKUP($L64,classifications!$C:$E,3,FALSE))</f>
        <v>South West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94.680851063829792</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94.444444444444443</v>
      </c>
      <c r="G65" s="15"/>
      <c r="H65" s="41">
        <f t="shared" si="1"/>
        <v>94.444444444444443</v>
      </c>
      <c r="I65" s="73">
        <f>IF(H65="","",IF($I$8="A",(RANK(H65,H$11:H$333,1)+COUNTIF(H$11:H65,H65)-1),(RANK(H65,H$11:H$333)+COUNTIF(H$11:H65,H65)-1)))</f>
        <v>17</v>
      </c>
      <c r="J65" s="40"/>
      <c r="K65" s="35">
        <f t="shared" si="10"/>
        <v>55</v>
      </c>
      <c r="L65" t="str">
        <f t="shared" si="2"/>
        <v>Warrington</v>
      </c>
      <c r="M65" s="109">
        <f t="shared" si="3"/>
        <v>82.758620689655174</v>
      </c>
      <c r="N65" s="104">
        <f t="shared" si="31"/>
        <v>82.758620689655174</v>
      </c>
      <c r="O65" s="89" t="str">
        <f t="shared" si="32"/>
        <v/>
      </c>
      <c r="P65" s="89" t="str">
        <f t="shared" si="33"/>
        <v/>
      </c>
      <c r="Q65" s="89" t="str">
        <f t="shared" si="34"/>
        <v/>
      </c>
      <c r="R65" s="85">
        <f t="shared" si="35"/>
        <v>82.758620689655174</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94.444444444444443</v>
      </c>
      <c r="AH65" s="46">
        <f t="shared" si="40"/>
        <v>55</v>
      </c>
      <c r="AI65" s="5" t="str">
        <f>IF(L65="","",VLOOKUP($L65,classifications!$C:$J,8,FALSE))</f>
        <v>Unitary</v>
      </c>
      <c r="AJ65" s="42">
        <f t="shared" si="41"/>
        <v>82.758620689655174</v>
      </c>
      <c r="AK65" s="39">
        <f>IF(AJ65="","",IF(I$8="A",(RANK(AJ65,AJ$11:AJ$333,1)+COUNTIF(AJ$11:AJ65,AJ65)-1),(RANK(AJ65,AJ$11:AJ$333)+COUNTIF(AJ$11:AJ65,AJ65)-1)))</f>
        <v>55</v>
      </c>
      <c r="AL65" s="3">
        <f t="shared" si="16"/>
        <v>55</v>
      </c>
      <c r="AM65" t="str">
        <f t="shared" si="6"/>
        <v>Warrington</v>
      </c>
      <c r="AN65">
        <f t="shared" si="7"/>
        <v>82.758620689655174</v>
      </c>
      <c r="AP65" s="5" t="str">
        <f>IF(L65="","",VLOOKUP($L65,classifications!$C:$E,3,FALSE))</f>
        <v>North West</v>
      </c>
      <c r="AQ65" s="42">
        <f t="shared" si="42"/>
        <v>82.758620689655174</v>
      </c>
      <c r="AR65" s="39">
        <f>IF(AQ65="","",IF(I$8="A",(RANK(AQ65,AQ$11:AQ$333,1)+COUNTIF(AQ$11:AQ65,AQ65)-1),(RANK(AQ65,AQ$11:AQ$333)+COUNTIF(AQ$11:AQ65,AQ65)-1)))</f>
        <v>8</v>
      </c>
      <c r="AS65" s="3" t="str">
        <f t="shared" si="18"/>
        <v/>
      </c>
      <c r="AT65" s="39" t="str">
        <f t="shared" si="8"/>
        <v/>
      </c>
      <c r="AU65" s="42" t="str">
        <f t="shared" si="9"/>
        <v/>
      </c>
      <c r="AX65">
        <f>HLOOKUP($AX$9&amp;$AX$10,Data!$A$1:$ZT$1975,(MATCH($C65,Data!$A$1:$A$1975,0)),FALSE)</f>
        <v>94.444444444444443</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91.666666666666657</v>
      </c>
      <c r="G66" s="15"/>
      <c r="H66" s="41" t="str">
        <f t="shared" si="1"/>
        <v/>
      </c>
      <c r="I66" s="73" t="str">
        <f>IF(H66="","",IF($I$8="A",(RANK(H66,H$11:H$333,1)+COUNTIF(H$11:H66,H66)-1),(RANK(H66,H$11:H$333)+COUNTIF(H$11:H66,H66)-1)))</f>
        <v/>
      </c>
      <c r="J66" s="40"/>
      <c r="K66" s="35">
        <f t="shared" si="10"/>
        <v>56</v>
      </c>
      <c r="L66" t="str">
        <f t="shared" si="2"/>
        <v>Shropshire</v>
      </c>
      <c r="M66" s="109">
        <f t="shared" si="3"/>
        <v>81.981981981981974</v>
      </c>
      <c r="N66" s="104">
        <f t="shared" si="31"/>
        <v>81.981981981981974</v>
      </c>
      <c r="O66" s="89" t="str">
        <f t="shared" si="32"/>
        <v/>
      </c>
      <c r="P66" s="89" t="str">
        <f t="shared" si="33"/>
        <v/>
      </c>
      <c r="Q66" s="89" t="str">
        <f t="shared" si="34"/>
        <v/>
      </c>
      <c r="R66" s="85">
        <f t="shared" si="35"/>
        <v>81.981981981981974</v>
      </c>
      <c r="S66" s="41" t="str">
        <f t="shared" si="36"/>
        <v/>
      </c>
      <c r="T66" s="166" t="str">
        <f>IF(L66="","",VLOOKUP(L66,classifications!C:K,9,FALSE))</f>
        <v>Sparse</v>
      </c>
      <c r="U66" s="167">
        <f t="shared" si="37"/>
        <v>81.981981981981974</v>
      </c>
      <c r="V66" s="173">
        <f>IF(U66="","",IF($I$8="A",(RANK(U66,U$11:U$333)+COUNTIF(U$11:U66,U66)-1),(RANK(U66,U$11:U$333,1)+COUNTIF(U$11:U66,U66)-1)))</f>
        <v>2</v>
      </c>
      <c r="W66" s="174"/>
      <c r="X66" s="5" t="str">
        <f>IF(L66="","",VLOOKUP($L66,classifications!$C:$J,6,FALSE))</f>
        <v xml:space="preserve">Predominantly Rural </v>
      </c>
      <c r="Y66">
        <f t="shared" si="38"/>
        <v>81.981981981981974</v>
      </c>
      <c r="Z66" s="39">
        <f>IF(Y66="","",IF(I$8="A",(RANK(Y66,Y$11:Y$333,1)+COUNTIF(Y$11:Y66,Y66)-1),(RANK(Y66,Y$11:Y$333)+COUNTIF(Y$11:Y66,Y66)-1)))</f>
        <v>22</v>
      </c>
      <c r="AA66" s="177" t="str">
        <f>IF(L66="","",VLOOKUP($L66,classifications!C:I,7,FALSE))</f>
        <v>Predominantly Rural</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94.444444444444443</v>
      </c>
      <c r="AH66" s="46">
        <f t="shared" si="40"/>
        <v>56</v>
      </c>
      <c r="AI66" s="5" t="str">
        <f>IF(L66="","",VLOOKUP($L66,classifications!$C:$J,8,FALSE))</f>
        <v>Unitary</v>
      </c>
      <c r="AJ66" s="42">
        <f t="shared" si="41"/>
        <v>81.981981981981974</v>
      </c>
      <c r="AK66" s="39">
        <f>IF(AJ66="","",IF(I$8="A",(RANK(AJ66,AJ$11:AJ$333,1)+COUNTIF(AJ$11:AJ66,AJ66)-1),(RANK(AJ66,AJ$11:AJ$333)+COUNTIF(AJ$11:AJ66,AJ66)-1)))</f>
        <v>56</v>
      </c>
      <c r="AL66" s="3">
        <f t="shared" si="16"/>
        <v>56</v>
      </c>
      <c r="AM66" t="str">
        <f t="shared" si="6"/>
        <v>Shropshire</v>
      </c>
      <c r="AN66">
        <f t="shared" si="7"/>
        <v>81.981981981981974</v>
      </c>
      <c r="AP66" s="5" t="str">
        <f>IF(L66="","",VLOOKUP($L66,classifications!$C:$E,3,FALSE))</f>
        <v>West Midlands</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91.666666666666657</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90</v>
      </c>
      <c r="G67" s="15"/>
      <c r="H67" s="41" t="str">
        <f t="shared" si="1"/>
        <v/>
      </c>
      <c r="I67" s="73" t="str">
        <f>IF(H67="","",IF($I$8="A",(RANK(H67,H$11:H$333,1)+COUNTIF(H$11:H67,H67)-1),(RANK(H67,H$11:H$333)+COUNTIF(H$11:H67,H67)-1)))</f>
        <v/>
      </c>
      <c r="J67" s="40"/>
      <c r="K67" s="35">
        <f t="shared" si="10"/>
        <v>57</v>
      </c>
      <c r="L67" t="str">
        <f t="shared" si="2"/>
        <v>Bournemouth, Christchurch &amp; Poole</v>
      </c>
      <c r="M67" s="109">
        <f t="shared" si="3"/>
        <v>81.632653061224488</v>
      </c>
      <c r="N67" s="104">
        <f t="shared" si="31"/>
        <v>81.632653061224488</v>
      </c>
      <c r="O67" s="89" t="str">
        <f t="shared" si="32"/>
        <v/>
      </c>
      <c r="P67" s="89" t="str">
        <f t="shared" si="33"/>
        <v/>
      </c>
      <c r="Q67" s="89" t="str">
        <f t="shared" si="34"/>
        <v/>
      </c>
      <c r="R67" s="85">
        <f t="shared" si="35"/>
        <v>81.632653061224488</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94.444444444444443</v>
      </c>
      <c r="AH67" s="46">
        <f t="shared" si="40"/>
        <v>57</v>
      </c>
      <c r="AI67" s="5" t="str">
        <f>IF(L67="","",VLOOKUP($L67,classifications!$C:$J,8,FALSE))</f>
        <v>Unitary</v>
      </c>
      <c r="AJ67" s="42">
        <f t="shared" si="41"/>
        <v>81.632653061224488</v>
      </c>
      <c r="AK67" s="39">
        <f>IF(AJ67="","",IF(I$8="A",(RANK(AJ67,AJ$11:AJ$333,1)+COUNTIF(AJ$11:AJ67,AJ67)-1),(RANK(AJ67,AJ$11:AJ$333)+COUNTIF(AJ$11:AJ67,AJ67)-1)))</f>
        <v>57</v>
      </c>
      <c r="AL67" s="3">
        <f t="shared" si="16"/>
        <v>57</v>
      </c>
      <c r="AM67" t="str">
        <f t="shared" si="6"/>
        <v>Bournemouth, Christchurch &amp; Poole</v>
      </c>
      <c r="AN67">
        <f t="shared" si="7"/>
        <v>81.632653061224488</v>
      </c>
      <c r="AP67" s="5" t="str">
        <f>IF(L67="","",VLOOKUP($L67,classifications!$C:$E,3,FALSE))</f>
        <v>South West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90</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93.333333333333329</v>
      </c>
      <c r="G68" s="15"/>
      <c r="H68" s="41" t="str">
        <f t="shared" si="1"/>
        <v/>
      </c>
      <c r="I68" s="73" t="str">
        <f>IF(H68="","",IF($I$8="A",(RANK(H68,H$11:H$333,1)+COUNTIF(H$11:H68,H68)-1),(RANK(H68,H$11:H$333)+COUNTIF(H$11:H68,H68)-1)))</f>
        <v/>
      </c>
      <c r="J68" s="40"/>
      <c r="K68" s="35">
        <f t="shared" si="10"/>
        <v>58</v>
      </c>
      <c r="L68" t="str">
        <f t="shared" si="2"/>
        <v>Stockton-on-Tees</v>
      </c>
      <c r="M68" s="109">
        <f t="shared" si="3"/>
        <v>81.081081081081081</v>
      </c>
      <c r="N68" s="104">
        <f t="shared" si="31"/>
        <v>81.081081081081081</v>
      </c>
      <c r="O68" s="89" t="str">
        <f t="shared" si="32"/>
        <v/>
      </c>
      <c r="P68" s="89" t="str">
        <f t="shared" si="33"/>
        <v/>
      </c>
      <c r="Q68" s="89" t="str">
        <f t="shared" si="34"/>
        <v/>
      </c>
      <c r="R68" s="85">
        <f t="shared" si="35"/>
        <v>81.081081081081081</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94.444444444444443</v>
      </c>
      <c r="AH68" s="46">
        <f t="shared" si="40"/>
        <v>58</v>
      </c>
      <c r="AI68" s="5" t="str">
        <f>IF(L68="","",VLOOKUP($L68,classifications!$C:$J,8,FALSE))</f>
        <v>Unitary</v>
      </c>
      <c r="AJ68" s="42">
        <f t="shared" si="41"/>
        <v>81.081081081081081</v>
      </c>
      <c r="AK68" s="39">
        <f>IF(AJ68="","",IF(I$8="A",(RANK(AJ68,AJ$11:AJ$333,1)+COUNTIF(AJ$11:AJ68,AJ68)-1),(RANK(AJ68,AJ$11:AJ$333)+COUNTIF(AJ$11:AJ68,AJ68)-1)))</f>
        <v>58</v>
      </c>
      <c r="AL68" s="3">
        <f t="shared" si="16"/>
        <v>58</v>
      </c>
      <c r="AM68" t="str">
        <f t="shared" si="6"/>
        <v>Stockton-on-Tees</v>
      </c>
      <c r="AN68">
        <f t="shared" si="7"/>
        <v>81.081081081081081</v>
      </c>
      <c r="AP68" s="5" t="str">
        <f>IF(L68="","",VLOOKUP($L68,classifications!$C:$E,3,FALSE))</f>
        <v>NE</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93.333333333333329</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Torbay</v>
      </c>
      <c r="M69" s="109">
        <f t="shared" si="3"/>
        <v>80</v>
      </c>
      <c r="N69" s="104">
        <f t="shared" si="31"/>
        <v>80</v>
      </c>
      <c r="O69" s="89" t="str">
        <f t="shared" si="32"/>
        <v/>
      </c>
      <c r="P69" s="89" t="str">
        <f t="shared" si="33"/>
        <v/>
      </c>
      <c r="Q69" s="89" t="str">
        <f t="shared" si="34"/>
        <v/>
      </c>
      <c r="R69" s="85">
        <f t="shared" si="35"/>
        <v>80</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f>IF(I$8="A",(RANK(AG69,AG$11:AG$333,1)+COUNTIF(AG$11:AG69,AG69)-1),(RANK(AG69,AG$11:AG$333)+COUNTIF(AG$11:AG69,AG69)-1))</f>
        <v>59</v>
      </c>
      <c r="AF69" t="str">
        <f>VLOOKUP(Profile!$J$5,Families!$C:$R,2,FALSE)</f>
        <v>Cheshire West &amp; Chester</v>
      </c>
      <c r="AG69" s="15">
        <f t="shared" si="15"/>
        <v>94.444444444444443</v>
      </c>
      <c r="AH69" s="46">
        <f t="shared" si="40"/>
        <v>59</v>
      </c>
      <c r="AI69" s="5" t="str">
        <f>IF(L69="","",VLOOKUP($L69,classifications!$C:$J,8,FALSE))</f>
        <v>Unitary</v>
      </c>
      <c r="AJ69" s="42">
        <f t="shared" si="41"/>
        <v>80</v>
      </c>
      <c r="AK69" s="39">
        <f>IF(AJ69="","",IF(I$8="A",(RANK(AJ69,AJ$11:AJ$333,1)+COUNTIF(AJ$11:AJ69,AJ69)-1),(RANK(AJ69,AJ$11:AJ$333)+COUNTIF(AJ$11:AJ69,AJ69)-1)))</f>
        <v>59</v>
      </c>
      <c r="AL69" s="3">
        <f t="shared" si="16"/>
        <v>59</v>
      </c>
      <c r="AM69" t="str">
        <f t="shared" si="6"/>
        <v>Torbay</v>
      </c>
      <c r="AN69">
        <f t="shared" si="7"/>
        <v>80</v>
      </c>
      <c r="AP69" s="5" t="str">
        <f>IF(L69="","",VLOOKUP($L69,classifications!$C:$E,3,FALSE))</f>
        <v>South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Somerset</v>
      </c>
      <c r="M70" s="109">
        <f t="shared" si="3"/>
        <v>78.461538461538467</v>
      </c>
      <c r="N70" s="104">
        <f t="shared" si="31"/>
        <v>78.461538461538467</v>
      </c>
      <c r="O70" s="89" t="str">
        <f t="shared" si="32"/>
        <v/>
      </c>
      <c r="P70" s="89" t="str">
        <f t="shared" si="33"/>
        <v/>
      </c>
      <c r="Q70" s="89" t="str">
        <f t="shared" si="34"/>
        <v/>
      </c>
      <c r="R70" s="85">
        <f t="shared" si="35"/>
        <v>78.461538461538467</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Rural</v>
      </c>
      <c r="Y70" t="str">
        <f t="shared" si="38"/>
        <v/>
      </c>
      <c r="Z70" s="39" t="str">
        <f>IF(Y70="","",IF(I$8="A",(RANK(Y70,Y$11:Y$333,1)+COUNTIF(Y$11:Y70,Y70)-1),(RANK(Y70,Y$11:Y$333)+COUNTIF(Y$11:Y70,Y70)-1)))</f>
        <v/>
      </c>
      <c r="AA70" s="177" t="str">
        <f>IF(L70="","",VLOOKUP($L70,classifications!C:I,7,FALSE))</f>
        <v>Predominantly Rural</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94.444444444444443</v>
      </c>
      <c r="AH70" s="46">
        <f t="shared" si="40"/>
        <v>60</v>
      </c>
      <c r="AI70" s="5" t="str">
        <f>IF(L70="","",VLOOKUP($L70,classifications!$C:$J,8,FALSE))</f>
        <v>Unitary</v>
      </c>
      <c r="AJ70" s="42">
        <f t="shared" si="41"/>
        <v>78.461538461538467</v>
      </c>
      <c r="AK70" s="39">
        <f>IF(AJ70="","",IF(I$8="A",(RANK(AJ70,AJ$11:AJ$333,1)+COUNTIF(AJ$11:AJ70,AJ70)-1),(RANK(AJ70,AJ$11:AJ$333)+COUNTIF(AJ$11:AJ70,AJ70)-1)))</f>
        <v>60</v>
      </c>
      <c r="AL70" s="3">
        <f t="shared" si="16"/>
        <v>60</v>
      </c>
      <c r="AM70" t="str">
        <f t="shared" si="6"/>
        <v>Somerset</v>
      </c>
      <c r="AN70">
        <f t="shared" si="7"/>
        <v>78.461538461538467</v>
      </c>
      <c r="AP70" s="5" t="str">
        <f>IF(L70="","",VLOOKUP($L70,classifications!$C:$E,3,FALSE))</f>
        <v>South West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84.05797101449275</v>
      </c>
      <c r="G71" s="15"/>
      <c r="H71" s="41">
        <f t="shared" si="1"/>
        <v>84.05797101449275</v>
      </c>
      <c r="I71" s="73">
        <f>IF(H71="","",IF($I$8="A",(RANK(H71,H$11:H$333,1)+COUNTIF(H$11:H71,H71)-1),(RANK(H71,H$11:H$333)+COUNTIF(H$11:H71,H71)-1)))</f>
        <v>53</v>
      </c>
      <c r="J71" s="40"/>
      <c r="K71" s="35">
        <f t="shared" si="10"/>
        <v>61</v>
      </c>
      <c r="L71" t="str">
        <f t="shared" si="2"/>
        <v>North Lincolnshire</v>
      </c>
      <c r="M71" s="109">
        <f t="shared" si="3"/>
        <v>77.272727272727266</v>
      </c>
      <c r="N71" s="104">
        <f t="shared" si="31"/>
        <v>77.272727272727266</v>
      </c>
      <c r="O71" s="89" t="str">
        <f t="shared" si="32"/>
        <v/>
      </c>
      <c r="P71" s="89" t="str">
        <f t="shared" si="33"/>
        <v/>
      </c>
      <c r="Q71" s="89" t="str">
        <f t="shared" si="34"/>
        <v/>
      </c>
      <c r="R71" s="85">
        <f t="shared" si="35"/>
        <v>77.272727272727266</v>
      </c>
      <c r="S71" s="41" t="str">
        <f t="shared" si="36"/>
        <v/>
      </c>
      <c r="T71" s="166" t="str">
        <f>IF(L71="","",VLOOKUP(L71,classifications!C:K,9,FALSE))</f>
        <v>Sparse</v>
      </c>
      <c r="U71" s="167">
        <f t="shared" si="37"/>
        <v>77.272727272727266</v>
      </c>
      <c r="V71" s="173">
        <f>IF(U71="","",IF($I$8="A",(RANK(U71,U$11:U$333)+COUNTIF(U$11:U71,U71)-1),(RANK(U71,U$11:U$333,1)+COUNTIF(U$11:U71,U71)-1)))</f>
        <v>1</v>
      </c>
      <c r="W71" s="174"/>
      <c r="X71" s="5" t="str">
        <f>IF(L71="","",VLOOKUP($L71,classifications!$C:$J,6,FALSE))</f>
        <v>Urban with Significant Rural</v>
      </c>
      <c r="Y71">
        <f t="shared" si="38"/>
        <v>77.272727272727266</v>
      </c>
      <c r="Z71" s="39">
        <f>IF(Y71="","",IF(I$8="A",(RANK(Y71,Y$11:Y$333,1)+COUNTIF(Y$11:Y71,Y71)-1),(RANK(Y71,Y$11:Y$333)+COUNTIF(Y$11:Y71,Y71)-1)))</f>
        <v>23</v>
      </c>
      <c r="AA71" s="177" t="str">
        <f>IF(L71="","",VLOOKUP($L71,classifications!C:I,7,FALSE))</f>
        <v>Urban with Significant Rural</v>
      </c>
      <c r="AB71" s="173">
        <f t="shared" si="39"/>
        <v>77.272727272727266</v>
      </c>
      <c r="AC71" s="173">
        <f>IF(AB71="","",IF($I$8="A",(RANK(AB71,AB$11:AB$333)+COUNTIF(AB$11:AB71,AB71)-1),(RANK(AB71,AB$11:AB$333,1)+COUNTIF(AB$11:AB71,AB71)-1)))</f>
        <v>2</v>
      </c>
      <c r="AD71" s="173"/>
      <c r="AE71" s="45">
        <f>IF(I$8="A",(RANK(AG71,AG$11:AG$333,1)+COUNTIF(AG$11:AG71,AG71)-1),(RANK(AG71,AG$11:AG$333)+COUNTIF(AG$11:AG71,AG71)-1))</f>
        <v>61</v>
      </c>
      <c r="AF71" t="str">
        <f>VLOOKUP(Profile!$J$5,Families!$C:$R,2,FALSE)</f>
        <v>Cheshire West &amp; Chester</v>
      </c>
      <c r="AG71" s="15">
        <f t="shared" si="15"/>
        <v>94.444444444444443</v>
      </c>
      <c r="AH71" s="46">
        <f t="shared" si="40"/>
        <v>61</v>
      </c>
      <c r="AI71" s="5" t="str">
        <f>IF(L71="","",VLOOKUP($L71,classifications!$C:$J,8,FALSE))</f>
        <v>Unitary</v>
      </c>
      <c r="AJ71" s="42">
        <f t="shared" si="41"/>
        <v>77.272727272727266</v>
      </c>
      <c r="AK71" s="39">
        <f>IF(AJ71="","",IF(I$8="A",(RANK(AJ71,AJ$11:AJ$333,1)+COUNTIF(AJ$11:AJ71,AJ71)-1),(RANK(AJ71,AJ$11:AJ$333)+COUNTIF(AJ$11:AJ71,AJ71)-1)))</f>
        <v>61</v>
      </c>
      <c r="AL71" s="3">
        <f t="shared" si="16"/>
        <v>61</v>
      </c>
      <c r="AM71" t="str">
        <f t="shared" si="6"/>
        <v>North Lincolnshire</v>
      </c>
      <c r="AN71">
        <f t="shared" si="7"/>
        <v>77.272727272727266</v>
      </c>
      <c r="AP71" s="5" t="str">
        <f>IF(L71="","",VLOOKUP($L71,classifications!$C:$E,3,FALSE))</f>
        <v>Yorkshire &amp; Humberside</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84.05797101449275</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92.682926829268297</v>
      </c>
      <c r="G72" s="15"/>
      <c r="H72" s="41" t="str">
        <f t="shared" si="1"/>
        <v/>
      </c>
      <c r="I72" s="73" t="str">
        <f>IF(H72="","",IF($I$8="A",(RANK(H72,H$11:H$333,1)+COUNTIF(H$11:H72,H72)-1),(RANK(H72,H$11:H$333)+COUNTIF(H$11:H72,H72)-1)))</f>
        <v/>
      </c>
      <c r="J72" s="40"/>
      <c r="K72" s="35">
        <f t="shared" si="10"/>
        <v>62</v>
      </c>
      <c r="L72" t="str">
        <f t="shared" si="2"/>
        <v>North Northamptonshire</v>
      </c>
      <c r="M72" s="109">
        <f t="shared" si="3"/>
        <v>75.342465753424662</v>
      </c>
      <c r="N72" s="104">
        <f t="shared" si="31"/>
        <v>75.342465753424662</v>
      </c>
      <c r="O72" s="89" t="str">
        <f t="shared" si="32"/>
        <v/>
      </c>
      <c r="P72" s="89" t="str">
        <f t="shared" si="33"/>
        <v/>
      </c>
      <c r="Q72" s="89" t="str">
        <f t="shared" si="34"/>
        <v/>
      </c>
      <c r="R72" s="85">
        <f t="shared" si="35"/>
        <v>75.342465753424662</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Urban with Significant Rural</v>
      </c>
      <c r="Y72">
        <f t="shared" si="38"/>
        <v>75.342465753424662</v>
      </c>
      <c r="Z72" s="39">
        <f>IF(Y72="","",IF(I$8="A",(RANK(Y72,Y$11:Y$333,1)+COUNTIF(Y$11:Y72,Y72)-1),(RANK(Y72,Y$11:Y$333)+COUNTIF(Y$11:Y72,Y72)-1)))</f>
        <v>24</v>
      </c>
      <c r="AA72" s="177" t="str">
        <f>IF(L72="","",VLOOKUP($L72,classifications!C:I,7,FALSE))</f>
        <v>Urban with Significant Rural</v>
      </c>
      <c r="AB72" s="173">
        <f t="shared" si="39"/>
        <v>75.342465753424662</v>
      </c>
      <c r="AC72" s="173">
        <f>IF(AB72="","",IF($I$8="A",(RANK(AB72,AB$11:AB$333)+COUNTIF(AB$11:AB72,AB72)-1),(RANK(AB72,AB$11:AB$333,1)+COUNTIF(AB$11:AB72,AB72)-1)))</f>
        <v>1</v>
      </c>
      <c r="AD72" s="173"/>
      <c r="AE72" s="45">
        <f>IF(I$8="A",(RANK(AG72,AG$11:AG$333,1)+COUNTIF(AG$11:AG72,AG72)-1),(RANK(AG72,AG$11:AG$333)+COUNTIF(AG$11:AG72,AG72)-1))</f>
        <v>62</v>
      </c>
      <c r="AF72" t="str">
        <f>VLOOKUP(Profile!$J$5,Families!$C:$R,2,FALSE)</f>
        <v>Cheshire West &amp; Chester</v>
      </c>
      <c r="AG72" s="15">
        <f t="shared" si="15"/>
        <v>94.444444444444443</v>
      </c>
      <c r="AH72" s="46">
        <f t="shared" si="40"/>
        <v>62</v>
      </c>
      <c r="AI72" s="5" t="str">
        <f>IF(L72="","",VLOOKUP($L72,classifications!$C:$J,8,FALSE))</f>
        <v>Unitary</v>
      </c>
      <c r="AJ72" s="42">
        <f t="shared" si="41"/>
        <v>75.342465753424662</v>
      </c>
      <c r="AK72" s="39">
        <f>IF(AJ72="","",IF(I$8="A",(RANK(AJ72,AJ$11:AJ$333,1)+COUNTIF(AJ$11:AJ72,AJ72)-1),(RANK(AJ72,AJ$11:AJ$333)+COUNTIF(AJ$11:AJ72,AJ72)-1)))</f>
        <v>62</v>
      </c>
      <c r="AL72" s="3">
        <f t="shared" si="16"/>
        <v>62</v>
      </c>
      <c r="AM72" t="str">
        <f t="shared" si="6"/>
        <v>North Northamptonshire</v>
      </c>
      <c r="AN72">
        <f t="shared" si="7"/>
        <v>75.342465753424662</v>
      </c>
      <c r="AP72" s="5" t="str">
        <f>IF(L72="","",VLOOKUP($L72,classifications!$C:$E,3,FALSE))</f>
        <v>East Midlands</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92.682926829268297</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96.15384615384616</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94.444444444444443</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96.15384615384616</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100</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94.444444444444443</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100</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94.444444444444443</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91.304347826086953</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94.444444444444443</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91.304347826086953</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87.5</v>
      </c>
      <c r="G77" s="15"/>
      <c r="H77" s="41">
        <f t="shared" si="44"/>
        <v>87.5</v>
      </c>
      <c r="I77" s="73">
        <f>IF(H77="","",IF($I$8="A",(RANK(H77,H$11:H$333,1)+COUNTIF(H$11:H77,H77)-1),(RANK(H77,H$11:H$333)+COUNTIF(H$11:H77,H77)-1)))</f>
        <v>42</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94.444444444444443</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87.5</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88</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94.444444444444443</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88</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90</v>
      </c>
      <c r="G79" s="15"/>
      <c r="H79" s="41">
        <f t="shared" si="44"/>
        <v>90</v>
      </c>
      <c r="I79" s="73">
        <f>IF(H79="","",IF($I$8="A",(RANK(H79,H$11:H$333,1)+COUNTIF(H$11:H79,H79)-1),(RANK(H79,H$11:H$333)+COUNTIF(H$11:H79,H79)-1)))</f>
        <v>31</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94.444444444444443</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90</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94.444444444444443</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95.652173913043484</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94.444444444444443</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95.652173913043484</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94.444444444444443</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91.304347826086953</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94.444444444444443</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91.304347826086953</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89.65517241379311</v>
      </c>
      <c r="G84" s="15"/>
      <c r="H84" s="41">
        <f t="shared" si="44"/>
        <v>89.65517241379311</v>
      </c>
      <c r="I84" s="73">
        <f>IF(H84="","",IF($I$8="A",(RANK(H84,H$11:H$333,1)+COUNTIF(H$11:H84,H84)-1),(RANK(H84,H$11:H$333)+COUNTIF(H$11:H84,H84)-1)))</f>
        <v>32</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94.444444444444443</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89.65517241379311</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85.18518518518519</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94.444444444444443</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85.18518518518519</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85.714285714285708</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94.444444444444443</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85.714285714285708</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87.654320987654316</v>
      </c>
      <c r="G87" s="15"/>
      <c r="H87" s="41">
        <f t="shared" si="44"/>
        <v>87.654320987654316</v>
      </c>
      <c r="I87" s="73">
        <f>IF(H87="","",IF($I$8="A",(RANK(H87,H$11:H$333,1)+COUNTIF(H$11:H87,H87)-1),(RANK(H87,H$11:H$333)+COUNTIF(H$11:H87,H87)-1)))</f>
        <v>41</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94.444444444444443</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87.654320987654316</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94.444444444444443</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90.909090909090907</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94.444444444444443</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90.909090909090907</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82.5</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94.444444444444443</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82.5</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83.333333333333343</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94.444444444444443</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83.333333333333343</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73.529411764705884</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94.444444444444443</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73.529411764705884</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70.833333333333343</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94.444444444444443</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70.833333333333343</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94.73684210526315</v>
      </c>
      <c r="G94" s="15"/>
      <c r="H94" s="41">
        <f t="shared" si="44"/>
        <v>94.73684210526315</v>
      </c>
      <c r="I94" s="73">
        <f>IF(H94="","",IF($I$8="A",(RANK(H94,H$11:H$333,1)+COUNTIF(H$11:H94,H94)-1),(RANK(H94,H$11:H$333)+COUNTIF(H$11:H94,H94)-1)))</f>
        <v>14</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94.444444444444443</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94.73684210526315</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90.909090909090907</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94.444444444444443</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90.909090909090907</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89.473684210526315</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94.444444444444443</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89.473684210526315</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94.444444444444443</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75</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94.444444444444443</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75</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90.625</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94.444444444444443</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90.625</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95.555555555555557</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94.444444444444443</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95.555555555555557</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69.230769230769226</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94.444444444444443</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69.230769230769226</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96.428571428571431</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94.444444444444443</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96.428571428571431</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94.444444444444443</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94.444444444444443</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94.444444444444443</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95.454545454545453</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94.444444444444443</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95.454545454545453</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94.444444444444443</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96.969696969696969</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94.444444444444443</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96.969696969696969</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87.5</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94.444444444444443</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87.5</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93.333333333333329</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94.444444444444443</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93.333333333333329</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87.5</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94.444444444444443</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87.5</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94.444444444444443</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94.444444444444443</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87.5</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94.444444444444443</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87.5</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94.444444444444443</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83.333333333333343</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94.444444444444443</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83.333333333333343</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91.666666666666657</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94.444444444444443</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91.666666666666657</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94.444444444444443</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94.444444444444443</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80.434782608695656</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94.444444444444443</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80.434782608695656</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94.444444444444443</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85.18518518518519</v>
      </c>
      <c r="G122" s="15"/>
      <c r="H122" s="41">
        <f t="shared" si="44"/>
        <v>85.18518518518519</v>
      </c>
      <c r="I122" s="73">
        <f>IF(H122="","",IF($I$8="A",(RANK(H122,H$11:H$333,1)+COUNTIF(H$11:H122,H122)-1),(RANK(H122,H$11:H$333)+COUNTIF(H$11:H122,H122)-1)))</f>
        <v>49</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94.444444444444443</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85.18518518518519</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94.444444444444443</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94.444444444444443</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77.777777777777786</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94.444444444444443</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77.777777777777786</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94.444444444444443</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61.111111111111114</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94.444444444444443</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61.111111111111114</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94.444444444444443</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100</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76</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94.444444444444443</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76</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3</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94.444444444444443</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94.73684210526315</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94.444444444444443</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94.73684210526315</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88.888888888888886</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94.444444444444443</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88.888888888888886</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96.15384615384616</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94.444444444444443</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96.15384615384616</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94.642857142857139</v>
      </c>
      <c r="G134" s="15"/>
      <c r="H134" s="41">
        <f t="shared" si="44"/>
        <v>94.642857142857139</v>
      </c>
      <c r="I134" s="73">
        <f>IF(H134="","",IF($I$8="A",(RANK(H134,H$11:H$333,1)+COUNTIF(H$11:H134,H134)-1),(RANK(H134,H$11:H$333)+COUNTIF(H$11:H134,H134)-1)))</f>
        <v>16</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94.444444444444443</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94.642857142857139</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94.444444444444443</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92.857142857142861</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94.444444444444443</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92.857142857142861</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94.444444444444443</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97.058823529411768</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94.444444444444443</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97.058823529411768</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80</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94.444444444444443</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80</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93.023255813953483</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94.444444444444443</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93.023255813953483</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86.206896551724128</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94.444444444444443</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86.206896551724128</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86.666666666666671</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94.444444444444443</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86.666666666666671</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94.117647058823522</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94.444444444444443</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94.117647058823522</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95.454545454545453</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94.444444444444443</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95.454545454545453</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91.17647058823529</v>
      </c>
      <c r="G145" s="15"/>
      <c r="H145" s="41">
        <f t="shared" si="68"/>
        <v>91.17647058823529</v>
      </c>
      <c r="I145" s="73">
        <f>IF(H145="","",IF($I$8="A",(RANK(H145,H$11:H$333,1)+COUNTIF(H$11:H145,H145)-1),(RANK(H145,H$11:H$333)+COUNTIF(H$11:H145,H145)-1)))</f>
        <v>29</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94.444444444444443</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91.17647058823529</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100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94.444444444444443</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100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92.857142857142861</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94.444444444444443</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92.857142857142861</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92.307692307692307</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94.444444444444443</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92.307692307692307</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94.444444444444443</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92.982456140350877</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94.444444444444443</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92.982456140350877</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94.444444444444443</v>
      </c>
      <c r="G151" s="15"/>
      <c r="H151" s="41">
        <f t="shared" si="68"/>
        <v>94.444444444444443</v>
      </c>
      <c r="I151" s="73">
        <f>IF(H151="","",IF($I$8="A",(RANK(H151,H$11:H$333,1)+COUNTIF(H$11:H151,H151)-1),(RANK(H151,H$11:H$333)+COUNTIF(H$11:H151,H151)-1)))</f>
        <v>18</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94.444444444444443</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94.444444444444443</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93.333333333333329</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94.444444444444443</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93.333333333333329</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93.75</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94.444444444444443</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93.75</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94.444444444444443</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97.142857142857139</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94.444444444444443</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97.142857142857139</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94.444444444444443</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93.61702127659575</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94.444444444444443</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93.61702127659575</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89.189189189189193</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94.444444444444443</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89.189189189189193</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89.130434782608688</v>
      </c>
      <c r="G159" s="15"/>
      <c r="H159" s="41">
        <f t="shared" si="68"/>
        <v>89.130434782608688</v>
      </c>
      <c r="I159" s="73">
        <f>IF(H159="","",IF($I$8="A",(RANK(H159,H$11:H$333,1)+COUNTIF(H$11:H159,H159)-1),(RANK(H159,H$11:H$333)+COUNTIF(H$11:H159,H159)-1)))</f>
        <v>36</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94.444444444444443</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89.130434782608688</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94.444444444444443</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81.818181818181827</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94.444444444444443</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81.818181818181827</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94.444444444444443</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72.222222222222214</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94.444444444444443</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72.222222222222214</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100</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94.444444444444443</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100</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94.444444444444443</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83.78378378378379</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94.444444444444443</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83.78378378378379</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92</v>
      </c>
      <c r="G167" s="15"/>
      <c r="H167" s="41">
        <f t="shared" si="68"/>
        <v>92</v>
      </c>
      <c r="I167" s="73">
        <f>IF(H167="","",IF($I$8="A",(RANK(H167,H$11:H$333,1)+COUNTIF(H$11:H167,H167)-1),(RANK(H167,H$11:H$333)+COUNTIF(H$11:H167,H167)-1)))</f>
        <v>26</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94.444444444444443</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92</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92.452830188679243</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94.444444444444443</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92.452830188679243</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88.372093023255815</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94.444444444444443</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88.372093023255815</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88.571428571428569</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94.444444444444443</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88.571428571428569</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89.922480620155042</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94.444444444444443</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89.922480620155042</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94.444444444444443</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97.826086956521735</v>
      </c>
      <c r="G173" s="15"/>
      <c r="H173" s="41">
        <f t="shared" si="68"/>
        <v>97.826086956521735</v>
      </c>
      <c r="I173" s="73">
        <f>IF(H173="","",IF($I$8="A",(RANK(H173,H$11:H$333,1)+COUNTIF(H$11:H173,H173)-1),(RANK(H173,H$11:H$333)+COUNTIF(H$11:H173,H173)-1)))</f>
        <v>10</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94.444444444444443</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97.826086956521735</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85</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94.444444444444443</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85</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94.444444444444443</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93.548387096774192</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94.444444444444443</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93.548387096774192</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79.487179487179489</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94.444444444444443</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79.487179487179489</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94.444444444444443</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91.666666666666657</v>
      </c>
      <c r="G179" s="15"/>
      <c r="H179" s="41">
        <f t="shared" si="68"/>
        <v>91.666666666666657</v>
      </c>
      <c r="I179" s="73">
        <f>IF(H179="","",IF($I$8="A",(RANK(H179,H$11:H$333,1)+COUNTIF(H$11:H179,H179)-1),(RANK(H179,H$11:H$333)+COUNTIF(H$11:H179,H179)-1)))</f>
        <v>28</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94.444444444444443</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91.666666666666657</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98.837209302325576</v>
      </c>
      <c r="G180" s="15"/>
      <c r="H180" s="41">
        <f t="shared" si="68"/>
        <v>98.837209302325576</v>
      </c>
      <c r="I180" s="73">
        <f>IF(H180="","",IF($I$8="A",(RANK(H180,H$11:H$333,1)+COUNTIF(H$11:H180,H180)-1),(RANK(H180,H$11:H$333)+COUNTIF(H$11:H180,H180)-1)))</f>
        <v>9</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94.444444444444443</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98.837209302325576</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92.857142857142861</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94.444444444444443</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92.857142857142861</v>
      </c>
    </row>
    <row r="182" spans="1:50">
      <c r="A182" s="55" t="str">
        <f>$D$1&amp;172</f>
        <v>UA172</v>
      </c>
      <c r="B182" s="56">
        <f>IF(ISERROR(VLOOKUP(A182,classifications!A:C,3,FALSE)),0,VLOOKUP(A182,classifications!A:C,3,FALSE))</f>
        <v>0</v>
      </c>
      <c r="C182" t="s">
        <v>106</v>
      </c>
      <c r="D182" t="str">
        <f>VLOOKUP($C182,classifications!$C:$J,4,FALSE)</f>
        <v>SD</v>
      </c>
      <c r="E182">
        <f>VLOOKUP(C182,classifications!C:K,9,FALSE)</f>
        <v>0</v>
      </c>
      <c r="F182">
        <f t="shared" si="67"/>
        <v>91.666666666666657</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94.444444444444443</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91.666666666666657</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90.909090909090907</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94.444444444444443</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90.909090909090907</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86.111111111111114</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94.444444444444443</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86.111111111111114</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95.238095238095227</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94.444444444444443</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95.238095238095227</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94.444444444444443</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94.444444444444443</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96.296296296296291</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94.444444444444443</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96.296296296296291</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95.652173913043484</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94.444444444444443</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95.652173913043484</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97.5</v>
      </c>
      <c r="G190" s="15"/>
      <c r="H190" s="41">
        <f t="shared" si="68"/>
        <v>97.5</v>
      </c>
      <c r="I190" s="73">
        <f>IF(H190="","",IF($I$8="A",(RANK(H190,H$11:H$333,1)+COUNTIF(H$11:H190,H190)-1),(RANK(H190,H$11:H$333)+COUNTIF(H$11:H190,H190)-1)))</f>
        <v>12</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94.444444444444443</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97.5</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90.476190476190482</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94.444444444444443</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90.476190476190482</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95.652173913043484</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94.444444444444443</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95.652173913043484</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77.272727272727266</v>
      </c>
      <c r="G193" s="15"/>
      <c r="H193" s="41">
        <f t="shared" si="68"/>
        <v>77.272727272727266</v>
      </c>
      <c r="I193" s="73">
        <f>IF(H193="","",IF($I$8="A",(RANK(H193,H$11:H$333,1)+COUNTIF(H$11:H193,H193)-1),(RANK(H193,H$11:H$333)+COUNTIF(H$11:H193,H193)-1)))</f>
        <v>61</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94.444444444444443</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77.272727272727266</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94.444444444444443</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75.342465753424662</v>
      </c>
      <c r="G195" s="15"/>
      <c r="H195" s="41">
        <f t="shared" si="68"/>
        <v>75.342465753424662</v>
      </c>
      <c r="I195" s="73">
        <f>IF(H195="","",IF($I$8="A",(RANK(H195,H$11:H$333,1)+COUNTIF(H$11:H195,H195)-1),(RANK(H195,H$11:H$333)+COUNTIF(H$11:H195,H195)-1)))</f>
        <v>62</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94.444444444444443</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75.342465753424662</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83.870967741935488</v>
      </c>
      <c r="G196" s="15"/>
      <c r="H196" s="41">
        <f t="shared" si="68"/>
        <v>83.870967741935488</v>
      </c>
      <c r="I196" s="73">
        <f>IF(H196="","",IF($I$8="A",(RANK(H196,H$11:H$333,1)+COUNTIF(H$11:H196,H196)-1),(RANK(H196,H$11:H$333)+COUNTIF(H$11:H196,H196)-1)))</f>
        <v>54</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94.444444444444443</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83.870967741935488</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94.444444444444443</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94.444444444444443</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87.931034482758619</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94.444444444444443</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87.931034482758619</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86.666666666666671</v>
      </c>
      <c r="G200" s="15"/>
      <c r="H200" s="41">
        <f t="shared" si="68"/>
        <v>86.666666666666671</v>
      </c>
      <c r="I200" s="73">
        <f>IF(H200="","",IF($I$8="A",(RANK(H200,H$11:H$333,1)+COUNTIF(H$11:H200,H200)-1),(RANK(H200,H$11:H$333)+COUNTIF(H$11:H200,H200)-1)))</f>
        <v>46</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94.444444444444443</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86.666666666666671</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89.247311827956992</v>
      </c>
      <c r="G201" s="15"/>
      <c r="H201" s="41">
        <f t="shared" si="68"/>
        <v>89.247311827956992</v>
      </c>
      <c r="I201" s="73">
        <f>IF(H201="","",IF($I$8="A",(RANK(H201,H$11:H$333,1)+COUNTIF(H$11:H201,H201)-1),(RANK(H201,H$11:H$333)+COUNTIF(H$11:H201,H201)-1)))</f>
        <v>35</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94.444444444444443</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89.247311827956992</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94.73684210526315</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94.444444444444443</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94.73684210526315</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91.891891891891902</v>
      </c>
      <c r="G203" s="15"/>
      <c r="H203" s="41">
        <f t="shared" ref="H203:H266" si="92">IF(D203=$D$1,HLOOKUP($D$6,$AX$10:$ZZ$337,ROW()-9,FALSE),"")</f>
        <v>91.891891891891902</v>
      </c>
      <c r="I203" s="73">
        <f>IF(H203="","",IF($I$8="A",(RANK(H203,H$11:H$333,1)+COUNTIF(H$11:H203,H203)-1),(RANK(H203,H$11:H$333)+COUNTIF(H$11:H203,H203)-1)))</f>
        <v>27</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94.444444444444443</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91.891891891891902</v>
      </c>
    </row>
    <row r="204" spans="1:50">
      <c r="A204" s="55" t="str">
        <f>$D$1&amp;194</f>
        <v>UA194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94.444444444444443</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67.741935483870961</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94.444444444444443</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67.741935483870961</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94.444444444444443</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94.444444444444443</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94.444444444444443</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94.444444444444443</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95.652173913043484</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94.444444444444443</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95.652173913043484</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84.615384615384613</v>
      </c>
      <c r="G211" s="15"/>
      <c r="H211" s="41">
        <f t="shared" si="92"/>
        <v>84.615384615384613</v>
      </c>
      <c r="I211" s="73">
        <f>IF(H211="","",IF($I$8="A",(RANK(H211,H$11:H$333,1)+COUNTIF(H$11:H211,H211)-1),(RANK(H211,H$11:H$333)+COUNTIF(H$11:H211,H211)-1)))</f>
        <v>51</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94.444444444444443</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84.615384615384613</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f t="shared" si="92"/>
        <v>100</v>
      </c>
      <c r="I212" s="73">
        <f>IF(H212="","",IF($I$8="A",(RANK(H212,H$11:H$333,1)+COUNTIF(H$11:H212,H212)-1),(RANK(H212,H$11:H$333)+COUNTIF(H$11:H212,H212)-1)))</f>
        <v>4</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94.444444444444443</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f t="shared" si="92"/>
        <v>100</v>
      </c>
      <c r="I213" s="73">
        <f>IF(H213="","",IF($I$8="A",(RANK(H213,H$11:H$333,1)+COUNTIF(H$11:H213,H213)-1),(RANK(H213,H$11:H$333)+COUNTIF(H$11:H213,H213)-1)))</f>
        <v>5</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94.444444444444443</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94.444444444444443</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94.117647058823522</v>
      </c>
      <c r="G215" s="15"/>
      <c r="H215" s="41">
        <f t="shared" si="92"/>
        <v>94.117647058823522</v>
      </c>
      <c r="I215" s="73">
        <f>IF(H215="","",IF($I$8="A",(RANK(H215,H$11:H$333,1)+COUNTIF(H$11:H215,H215)-1),(RANK(H215,H$11:H$333)+COUNTIF(H$11:H215,H215)-1)))</f>
        <v>20</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94.444444444444443</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94.117647058823522</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86.666666666666671</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94.444444444444443</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86.666666666666671</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93.333333333333329</v>
      </c>
      <c r="G217" s="15"/>
      <c r="H217" s="41">
        <f t="shared" si="92"/>
        <v>93.333333333333329</v>
      </c>
      <c r="I217" s="73">
        <f>IF(H217="","",IF($I$8="A",(RANK(H217,H$11:H$333,1)+COUNTIF(H$11:H217,H217)-1),(RANK(H217,H$11:H$333)+COUNTIF(H$11:H217,H217)-1)))</f>
        <v>22</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94.444444444444443</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93.333333333333329</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93.333333333333329</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94.444444444444443</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93.333333333333329</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94.444444444444443</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94.444444444444443</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94.444444444444443</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94.444444444444443</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94.444444444444443</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84</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94.444444444444443</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84</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80</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94.444444444444443</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80</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94.444444444444443</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93.548387096774192</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94.444444444444443</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93.548387096774192</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94.444444444444443</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80.645161290322577</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94.444444444444443</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80.645161290322577</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94.444444444444443</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93.478260869565219</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94.444444444444443</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93.478260869565219</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84.210526315789465</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94.444444444444443</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84.210526315789465</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92.857142857142861</v>
      </c>
      <c r="G231" s="15"/>
      <c r="H231" s="41">
        <f t="shared" si="92"/>
        <v>92.857142857142861</v>
      </c>
      <c r="I231" s="73">
        <f>IF(H231="","",IF($I$8="A",(RANK(H231,H$11:H$333,1)+COUNTIF(H$11:H231,H231)-1),(RANK(H231,H$11:H$333)+COUNTIF(H$11:H231,H231)-1)))</f>
        <v>24</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94.444444444444443</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92.857142857142861</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93.548387096774192</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94.444444444444443</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93.548387096774192</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94.594594594594597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94.444444444444443</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94.594594594594597</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96</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94.444444444444443</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96</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96.774193548387103</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94.444444444444443</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96.774193548387103</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81.92771084337349</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94.444444444444443</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81.92771084337349</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81.981981981981974</v>
      </c>
      <c r="G237" s="15"/>
      <c r="H237" s="41">
        <f t="shared" si="92"/>
        <v>81.981981981981974</v>
      </c>
      <c r="I237" s="73">
        <f>IF(H237="","",IF($I$8="A",(RANK(H237,H$11:H$333,1)+COUNTIF(H$11:H237,H237)-1),(RANK(H237,H$11:H$333)+COUNTIF(H$11:H237,H237)-1)))</f>
        <v>56</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94.444444444444443</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81.981981981981974</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86.666666666666671</v>
      </c>
      <c r="G238" s="15"/>
      <c r="H238" s="41">
        <f t="shared" si="92"/>
        <v>86.666666666666671</v>
      </c>
      <c r="I238" s="73">
        <f>IF(H238="","",IF($I$8="A",(RANK(H238,H$11:H$333,1)+COUNTIF(H$11:H238,H238)-1),(RANK(H238,H$11:H$333)+COUNTIF(H$11:H238,H238)-1)))</f>
        <v>47</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94.444444444444443</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86.666666666666671</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79.166666666666657</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94.444444444444443</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79.166666666666657</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78.461538461538467</v>
      </c>
      <c r="G240" s="15"/>
      <c r="H240" s="41">
        <f t="shared" si="92"/>
        <v>78.461538461538467</v>
      </c>
      <c r="I240" s="73">
        <f>IF(H240="","",IF($I$8="A",(RANK(H240,H$11:H$333,1)+COUNTIF(H$11:H240,H240)-1),(RANK(H240,H$11:H$333)+COUNTIF(H$11:H240,H240)-1)))</f>
        <v>60</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94.444444444444443</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78.461538461538467</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94.444444444444443</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94.444444444444443</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94.444444444444443</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81.25</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94.444444444444443</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81.25</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88.405797101449281</v>
      </c>
      <c r="G243" s="15"/>
      <c r="H243" s="41">
        <f t="shared" si="92"/>
        <v>88.405797101449281</v>
      </c>
      <c r="I243" s="73">
        <f>IF(H243="","",IF($I$8="A",(RANK(H243,H$11:H$333,1)+COUNTIF(H$11:H243,H243)-1),(RANK(H243,H$11:H$333)+COUNTIF(H$11:H243,H243)-1)))</f>
        <v>40</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94.444444444444443</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88.405797101449281</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95.652173913043484</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94.444444444444443</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95.652173913043484</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94.339622641509436</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94.444444444444443</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94.339622641509436</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89.361702127659569</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94.444444444444443</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89.361702127659569</v>
      </c>
    </row>
    <row r="247" spans="1:50">
      <c r="A247" s="55" t="str">
        <f>$D$1&amp;237</f>
        <v>UA237</v>
      </c>
      <c r="B247" s="56">
        <f>IF(ISERROR(VLOOKUP(A247,classifications!A:C,3,FALSE)),0,VLOOKUP(A247,classifications!A:C,3,FALSE))</f>
        <v>0</v>
      </c>
      <c r="C247" t="s">
        <v>144</v>
      </c>
      <c r="D247" t="str">
        <f>VLOOKUP($C247,classifications!$C:$J,4,FALSE)</f>
        <v>SD</v>
      </c>
      <c r="E247">
        <f>VLOOKUP(C247,classifications!C:K,9,FALSE)</f>
        <v>0</v>
      </c>
      <c r="F247">
        <f t="shared" si="91"/>
        <v>93.548387096774192</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94.444444444444443</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93.548387096774192</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96.078431372549019</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94.444444444444443</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96.078431372549019</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94.117647058823522</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94.444444444444443</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94.117647058823522</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94.444444444444443</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94.444444444444443</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87.5</v>
      </c>
      <c r="G252" s="15"/>
      <c r="H252" s="41">
        <f t="shared" si="92"/>
        <v>87.5</v>
      </c>
      <c r="I252" s="73">
        <f>IF(H252="","",IF($I$8="A",(RANK(H252,H$11:H$333,1)+COUNTIF(H$11:H252,H252)-1),(RANK(H252,H$11:H$333)+COUNTIF(H$11:H252,H252)-1)))</f>
        <v>43</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94.444444444444443</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87.5</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6</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94.444444444444443</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92.682926829268297</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94.444444444444443</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92.682926829268297</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94.444444444444443</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85.294117647058826</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94.444444444444443</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85.294117647058826</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96.296296296296291</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94.444444444444443</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96.296296296296291</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90.322580645161281</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94.444444444444443</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90.322580645161281</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94.444444444444443</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94.444444444444443</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94.444444444444443</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94.444444444444443</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81.081081081081081</v>
      </c>
      <c r="G263" s="15"/>
      <c r="H263" s="41">
        <f t="shared" si="92"/>
        <v>81.081081081081081</v>
      </c>
      <c r="I263" s="73">
        <f>IF(H263="","",IF($I$8="A",(RANK(H263,H$11:H$333,1)+COUNTIF(H$11:H263,H263)-1),(RANK(H263,H$11:H$333)+COUNTIF(H$11:H263,H263)-1)))</f>
        <v>58</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94.444444444444443</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81.081081081081081</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7</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94.444444444444443</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88.888888888888886</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94.444444444444443</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88.888888888888886</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93.103448275862064</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94.444444444444443</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93.103448275862064</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94.444444444444443</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93.61702127659575</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94.444444444444443</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93.61702127659575</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94.444444444444443</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95</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94.444444444444443</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95</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92.307692307692307</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94.444444444444443</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92.307692307692307</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77.777777777777786</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94.444444444444443</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77.777777777777786</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89.473684210526315</v>
      </c>
      <c r="G273" s="15"/>
      <c r="H273" s="41">
        <f t="shared" si="116"/>
        <v>89.473684210526315</v>
      </c>
      <c r="I273" s="73">
        <f>IF(H273="","",IF($I$8="A",(RANK(H273,H$11:H$333,1)+COUNTIF(H$11:H273,H273)-1),(RANK(H273,H$11:H$333)+COUNTIF(H$11:H273,H273)-1)))</f>
        <v>34</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94.444444444444443</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89.473684210526315</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95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94.444444444444443</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95</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94.444444444444443</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84.848484848484844</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94.444444444444443</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84.848484848484844</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74.193548387096769</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94.444444444444443</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74.193548387096769</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8</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94.444444444444443</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85.964912280701753</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94.444444444444443</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85.964912280701753</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85.714285714285708</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94.444444444444443</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85.714285714285708</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90.476190476190482</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94.444444444444443</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90.476190476190482</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78.260869565217391</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94.444444444444443</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78.260869565217391</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94.444444444444443</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86.956521739130437</v>
      </c>
      <c r="G284" s="15"/>
      <c r="H284" s="41">
        <f t="shared" si="116"/>
        <v>86.956521739130437</v>
      </c>
      <c r="I284" s="73">
        <f>IF(H284="","",IF($I$8="A",(RANK(H284,H$11:H$333,1)+COUNTIF(H$11:H284,H284)-1),(RANK(H284,H$11:H$333)+COUNTIF(H$11:H284,H284)-1)))</f>
        <v>44</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94.444444444444443</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86.956521739130437</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88.235294117647058</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94.444444444444443</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88.235294117647058</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80</v>
      </c>
      <c r="G286" s="15"/>
      <c r="H286" s="41">
        <f t="shared" si="116"/>
        <v>80</v>
      </c>
      <c r="I286" s="73">
        <f>IF(H286="","",IF($I$8="A",(RANK(H286,H$11:H$333,1)+COUNTIF(H$11:H286,H286)-1),(RANK(H286,H$11:H$333)+COUNTIF(H$11:H286,H286)-1)))</f>
        <v>59</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94.444444444444443</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80</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87.878787878787875</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94.444444444444443</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87.878787878787875</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88.461538461538453</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94.444444444444443</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88.461538461538453</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94.444444444444443</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98.387096774193552</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94.444444444444443</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98.387096774193552</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90.909090909090907</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94.444444444444443</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90.909090909090907</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95.918367346938766</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94.444444444444443</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95.918367346938766</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92.857142857142861</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94.444444444444443</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92.857142857142861</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79.591836734693871</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94.444444444444443</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79.591836734693871</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88.888888888888886</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94.444444444444443</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88.888888888888886</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90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94.444444444444443</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90</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82.758620689655174</v>
      </c>
      <c r="G297" s="15"/>
      <c r="H297" s="41">
        <f t="shared" si="116"/>
        <v>82.758620689655174</v>
      </c>
      <c r="I297" s="73">
        <f>IF(H297="","",IF($I$8="A",(RANK(H297,H$11:H$333,1)+COUNTIF(H$11:H297,H297)-1),(RANK(H297,H$11:H$333)+COUNTIF(H$11:H297,H297)-1)))</f>
        <v>55</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94.444444444444443</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82.758620689655174</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86.956521739130437</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94.444444444444443</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86.956521739130437</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94.444444444444443</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94.444444444444443</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80.487804878048792</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94.444444444444443</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80.487804878048792</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93.442622950819683</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94.444444444444443</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93.442622950819683</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90</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94.444444444444443</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90</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89.090909090909093</v>
      </c>
      <c r="G304" s="15"/>
      <c r="H304" s="41">
        <f t="shared" si="116"/>
        <v>89.090909090909093</v>
      </c>
      <c r="I304" s="73">
        <f>IF(H304="","",IF($I$8="A",(RANK(H304,H$11:H$333,1)+COUNTIF(H$11:H304,H304)-1),(RANK(H304,H$11:H$333)+COUNTIF(H$11:H304,H304)-1)))</f>
        <v>37</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94.444444444444443</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89.090909090909093</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95</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94.444444444444443</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95</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96</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94.444444444444443</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96</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94.594594594594597</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94.444444444444443</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94.594594594594597</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90.243902439024396</v>
      </c>
      <c r="G308" s="15"/>
      <c r="H308" s="41">
        <f t="shared" si="116"/>
        <v>90.243902439024396</v>
      </c>
      <c r="I308" s="73">
        <f>IF(H308="","",IF($I$8="A",(RANK(H308,H$11:H$333,1)+COUNTIF(H$11:H308,H308)-1),(RANK(H308,H$11:H$333)+COUNTIF(H$11:H308,H308)-1)))</f>
        <v>30</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94.444444444444443</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90.243902439024396</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85</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94.444444444444443</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85</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95.238095238095227</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94.444444444444443</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95.238095238095227</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94.444444444444443</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85.294117647058826</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94.444444444444443</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85.294117647058826</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93.023255813953483</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94.444444444444443</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93.023255813953483</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92.96875</v>
      </c>
      <c r="G314" s="15"/>
      <c r="H314" s="41">
        <f t="shared" si="116"/>
        <v>92.96875</v>
      </c>
      <c r="I314" s="73">
        <f>IF(H314="","",IF($I$8="A",(RANK(H314,H$11:H$333,1)+COUNTIF(H$11:H314,H314)-1),(RANK(H314,H$11:H$333)+COUNTIF(H$11:H314,H314)-1)))</f>
        <v>23</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94.444444444444443</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92.96875</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85.18518518518519</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94.444444444444443</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85.18518518518519</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84.848484848484844</v>
      </c>
      <c r="G316" s="15"/>
      <c r="H316" s="41">
        <f t="shared" si="116"/>
        <v>84.848484848484844</v>
      </c>
      <c r="I316" s="73">
        <f>IF(H316="","",IF($I$8="A",(RANK(H316,H$11:H$333,1)+COUNTIF(H$11:H316,H316)-1),(RANK(H316,H$11:H$333)+COUNTIF(H$11:H316,H316)-1)))</f>
        <v>50</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94.444444444444443</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84.848484848484844</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85.18518518518519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94.444444444444443</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85.18518518518519</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94.444444444444443</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94.444444444444443</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94.444444444444443</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97.674418604651152</v>
      </c>
      <c r="G319" s="15"/>
      <c r="H319" s="41">
        <f t="shared" si="116"/>
        <v>97.674418604651152</v>
      </c>
      <c r="I319" s="73">
        <f>IF(H319="","",IF($I$8="A",(RANK(H319,H$11:H$333,1)+COUNTIF(H$11:H319,H319)-1),(RANK(H319,H$11:H$333)+COUNTIF(H$11:H319,H319)-1)))</f>
        <v>11</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94.444444444444443</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97.674418604651152</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94.444444444444443</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94.444444444444443</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94.444444444444443</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90</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94.444444444444443</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90</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73.214285714285708</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94.444444444444443</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73.214285714285708</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80.769230769230774</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94.444444444444443</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80.769230769230774</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86.666666666666671</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94.444444444444443</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86.666666666666671</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94.871794871794862</v>
      </c>
      <c r="G327" s="15"/>
      <c r="H327" s="41">
        <f t="shared" si="116"/>
        <v>94.871794871794862</v>
      </c>
      <c r="I327" s="73">
        <f>IF(H327="","",IF($I$8="A",(RANK(H327,H$11:H$333,1)+COUNTIF(H$11:H327,H327)-1),(RANK(H327,H$11:H$333)+COUNTIF(H$11:H327,H327)-1)))</f>
        <v>13</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94.444444444444443</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94.871794871794862</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C5" sqref="C5"/>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June 2024</v>
      </c>
      <c r="D1" s="136" t="str">
        <f t="shared" ref="D1:BI1" si="0">D4&amp;D5</f>
        <v>Minor Developments - % decisions in timeYear Ending June 2024</v>
      </c>
      <c r="E1" s="136" t="str">
        <f t="shared" si="0"/>
        <v>Other Developments - % decisions in timeYear Ending June 2024</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90</v>
      </c>
      <c r="D7">
        <v>93.406593406593402</v>
      </c>
      <c r="E7">
        <v>94.699646643109531</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93.333333333333329</v>
      </c>
      <c r="D8">
        <v>93.055555555555557</v>
      </c>
      <c r="E8">
        <v>98.676748582230616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78</v>
      </c>
      <c r="D9">
        <v>91.262135922330103</v>
      </c>
      <c r="E9">
        <v>96.681749622926091</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85.18518518518519</v>
      </c>
      <c r="D10">
        <v>89.552238805970148</v>
      </c>
      <c r="E10">
        <v>89.547038327526124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83.78378378378379</v>
      </c>
      <c r="D11">
        <v>77.747989276139407</v>
      </c>
      <c r="E11">
        <v>92.263610315186256</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90.322580645161281</v>
      </c>
      <c r="D12">
        <v>86.784140969162991</v>
      </c>
      <c r="E12">
        <v>95.32428355957768</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95.121951219512198</v>
      </c>
      <c r="D14">
        <v>84.239733629300773</v>
      </c>
      <c r="E14">
        <v>87.946197620279349</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94.029850746268664</v>
      </c>
      <c r="E15">
        <v>96.741854636591469</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88.235294117647058</v>
      </c>
      <c r="D16">
        <v>68.55345911949685</v>
      </c>
      <c r="E16">
        <v>80.035026269702286</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87.5</v>
      </c>
      <c r="D17">
        <v>76.615384615384613</v>
      </c>
      <c r="E17">
        <v>87.323943661971825</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82.378854625550659</v>
      </c>
      <c r="E18">
        <v>80.975609756097569</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100</v>
      </c>
      <c r="D19">
        <v>85.597826086956516</v>
      </c>
      <c r="E19">
        <v>83.994126284875179</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88.679245283018872</v>
      </c>
      <c r="D20">
        <v>79.710144927536234</v>
      </c>
      <c r="E20">
        <v>88.76543209876543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85.18518518518519</v>
      </c>
      <c r="E21">
        <v>94.611872146118728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90.476190476190482</v>
      </c>
      <c r="D22">
        <v>87.827076222980665</v>
      </c>
      <c r="E22">
        <v>87.873462214411248</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93.75</v>
      </c>
      <c r="D23">
        <v>91.452991452991455</v>
      </c>
      <c r="E23">
        <v>96.305418719211815</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99.393939393939391</v>
      </c>
      <c r="E24">
        <v>99.5</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88.888888888888886</v>
      </c>
      <c r="D25">
        <v>83.453237410071949</v>
      </c>
      <c r="E25">
        <v>86.283185840707972</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93.333333333333329</v>
      </c>
      <c r="D26">
        <v>99.019607843137265</v>
      </c>
      <c r="E26">
        <v>97.68518518518519</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88.888888888888886</v>
      </c>
      <c r="D27">
        <v>91.769547325102891</v>
      </c>
      <c r="E27">
        <v>93.57298474945533</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93.333333333333329</v>
      </c>
      <c r="D28">
        <v>91.428571428571431</v>
      </c>
      <c r="E28">
        <v>92.638036809815944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81.632653061224488</v>
      </c>
      <c r="D29">
        <v>74.749721913236939</v>
      </c>
      <c r="E29">
        <v>87.584097859327215</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92.592592592592595</v>
      </c>
      <c r="D30">
        <v>90.225563909774436</v>
      </c>
      <c r="E30">
        <v>93.216630196936549</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87.931034482758619</v>
      </c>
      <c r="D31">
        <v>87.659574468085111</v>
      </c>
      <c r="E31">
        <v>91.388888888888886</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82.926829268292678</v>
      </c>
      <c r="D32">
        <v>84.256559766763843</v>
      </c>
      <c r="E32">
        <v>91.617647058823522</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91.666666666666657</v>
      </c>
      <c r="D33">
        <v>90.384615384615387</v>
      </c>
      <c r="E33">
        <v>98.262548262548265</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81.037037037037038</v>
      </c>
      <c r="E34">
        <v>85.761865112406326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90.476190476190482</v>
      </c>
      <c r="D35">
        <v>95.433789954337897</v>
      </c>
      <c r="E35">
        <v>96.593186372745492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94.285714285714278</v>
      </c>
      <c r="D36">
        <v>92.16</v>
      </c>
      <c r="E36">
        <v>88.899521531100476</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85.245901639344254</v>
      </c>
      <c r="D37">
        <v>50.195567144719689</v>
      </c>
      <c r="E37">
        <v>62.285012285012286</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94.444444444444443</v>
      </c>
      <c r="D38">
        <v>88.421052631578945</v>
      </c>
      <c r="E38">
        <v>95.371900826446279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83.333333333333343</v>
      </c>
      <c r="D39">
        <v>76.761904761904759</v>
      </c>
      <c r="E39">
        <v>86.979166666666657</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71.428571428571431</v>
      </c>
      <c r="D40">
        <v>84.713375796178354</v>
      </c>
      <c r="E40">
        <v>90.159574468085097</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86.666666666666671</v>
      </c>
      <c r="D41">
        <v>86.614173228346459</v>
      </c>
      <c r="E41">
        <v>90.909090909090907</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83.333333333333343</v>
      </c>
      <c r="D42">
        <v>86.440677966101703</v>
      </c>
      <c r="E42">
        <v>98.209718670076725</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93.41317365269461</v>
      </c>
      <c r="D43">
        <v>88.634192932187204</v>
      </c>
      <c r="E43">
        <v>94.078441425275571</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96.590909090909093</v>
      </c>
      <c r="E44">
        <v>98.620689655172413</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96.875</v>
      </c>
      <c r="D45">
        <v>100</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95.652173913043484</v>
      </c>
      <c r="D46">
        <v>93.460490463215265</v>
      </c>
      <c r="E46">
        <v>96.62618083670715</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88.888888888888886</v>
      </c>
      <c r="D47">
        <v>90.038314176245223</v>
      </c>
      <c r="E47">
        <v>93.776520509193773</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68.181818181818173</v>
      </c>
      <c r="D48">
        <v>80.256136606189969</v>
      </c>
      <c r="E48">
        <v>63.168124392614189</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85.714285714285708</v>
      </c>
      <c r="D49">
        <v>83.75</v>
      </c>
      <c r="E49">
        <v>95</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94.73684210526315</v>
      </c>
      <c r="D50">
        <v>69.73684210526315</v>
      </c>
      <c r="E50">
        <v>74.180327868852459</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75</v>
      </c>
      <c r="D51">
        <v>80.555555555555557</v>
      </c>
      <c r="E51">
        <v>96.416938110749186</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86.868686868686879</v>
      </c>
      <c r="D52">
        <v>86.40776699029125</v>
      </c>
      <c r="E52">
        <v>95.161290322580655</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80</v>
      </c>
      <c r="D53">
        <v>86.904761904761912</v>
      </c>
      <c r="E53">
        <v>94.570707070707073</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80</v>
      </c>
      <c r="D54">
        <v>85.919540229885058</v>
      </c>
      <c r="E54">
        <v>94.162679425837325</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89.473684210526315</v>
      </c>
      <c r="D55">
        <v>87.570621468926561</v>
      </c>
      <c r="E55">
        <v>89.613526570048307</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84.375</v>
      </c>
      <c r="D56">
        <v>81.282051282051285</v>
      </c>
      <c r="E56">
        <v>82.987141444114741</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94.680851063829792</v>
      </c>
      <c r="D57">
        <v>83.638743455497377</v>
      </c>
      <c r="E57">
        <v>88.434579439252332</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94.444444444444443</v>
      </c>
      <c r="D58">
        <v>88.368055555555557</v>
      </c>
      <c r="E58">
        <v>90.028490028490026</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91.666666666666657</v>
      </c>
      <c r="D59">
        <v>89</v>
      </c>
      <c r="E59">
        <v>87.763713080168785</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90</v>
      </c>
      <c r="D60">
        <v>89.130434782608688</v>
      </c>
      <c r="E60">
        <v>91.358024691358025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93.333333333333329</v>
      </c>
      <c r="D61">
        <v>97.175141242937855</v>
      </c>
      <c r="E61">
        <v>99.433427762039656</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82.802547770700642</v>
      </c>
      <c r="E62">
        <v>86.065573770491795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95.68106312292359</v>
      </c>
      <c r="E63">
        <v>97.921478060046184</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84.05797101449275</v>
      </c>
      <c r="D64">
        <v>80.36107441655659</v>
      </c>
      <c r="E64">
        <v>91.060869565217388</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92.682926829268297</v>
      </c>
      <c r="D65">
        <v>86.813186813186817</v>
      </c>
      <c r="E65">
        <v>85.714285714285708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96.15384615384616</v>
      </c>
      <c r="D66">
        <v>87.654320987654316</v>
      </c>
      <c r="E66">
        <v>95.731707317073173</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100</v>
      </c>
      <c r="D67">
        <v>92</v>
      </c>
      <c r="E67">
        <v>90.557939914163086</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77.811094452773617</v>
      </c>
      <c r="E68">
        <v>90.113735783027124</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84.210526315789465</v>
      </c>
      <c r="D69">
        <v>85.923217550274217</v>
      </c>
      <c r="E69">
        <v>85.626535626535627</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91.304347826086953</v>
      </c>
      <c r="D70">
        <v>72.093023255813947</v>
      </c>
      <c r="E70">
        <v>84.573304157549231</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87.5</v>
      </c>
      <c r="D71">
        <v>94.656488549618317</v>
      </c>
      <c r="E71">
        <v>96.677740863787378</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88</v>
      </c>
      <c r="D72">
        <v>83.333333333333343</v>
      </c>
      <c r="E72">
        <v>93.658536585365866</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90</v>
      </c>
      <c r="D73">
        <v>87.553648068669531</v>
      </c>
      <c r="E73">
        <v>91.644562334217511</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95.652173913043484</v>
      </c>
      <c r="D74">
        <v>86.057692307692307</v>
      </c>
      <c r="E74">
        <v>86.885245901639337</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91.304347826086953</v>
      </c>
      <c r="D75">
        <v>89.795918367346943</v>
      </c>
      <c r="E75">
        <v>90.782122905027933</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89.65517241379311</v>
      </c>
      <c r="D76">
        <v>86.472424557752333</v>
      </c>
      <c r="E76">
        <v>90.381960423377819</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85.18518518518519</v>
      </c>
      <c r="D77">
        <v>83.732057416267949</v>
      </c>
      <c r="E77">
        <v>91.607142857142847</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85.714285714285708</v>
      </c>
      <c r="D78">
        <v>86.516853932584269</v>
      </c>
      <c r="E78">
        <v>88.541666666666657</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87.654320987654316</v>
      </c>
      <c r="D79">
        <v>86.8</v>
      </c>
      <c r="E79">
        <v>90.24960998439937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98.358585858585855</v>
      </c>
      <c r="E80">
        <v>98.584905660377359</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89.837398373983731</v>
      </c>
      <c r="E81">
        <v>95.909090909090907</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82.5</v>
      </c>
      <c r="D82">
        <v>84.786641929499069</v>
      </c>
      <c r="E82">
        <v>77.765108323831242</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83.333333333333343</v>
      </c>
      <c r="D83">
        <v>77.435897435897445</v>
      </c>
      <c r="E83">
        <v>91.091314031180403</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73.529411764705884</v>
      </c>
      <c r="D84">
        <v>82.132564841498549</v>
      </c>
      <c r="E84">
        <v>90.544412607449857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70.833333333333343</v>
      </c>
      <c r="D85">
        <v>77.777777777777786</v>
      </c>
      <c r="E85">
        <v>88.166666666666671</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94.73684210526315</v>
      </c>
      <c r="D86">
        <v>90.243902439024396</v>
      </c>
      <c r="E86">
        <v>95.386904761904773</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90.909090909090907</v>
      </c>
      <c r="D87">
        <v>91.747572815533985</v>
      </c>
      <c r="E87">
        <v>91.375770020533892</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89.473684210526315</v>
      </c>
      <c r="D88">
        <v>67.128712871287135</v>
      </c>
      <c r="E88">
        <v>75.294934073560029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75</v>
      </c>
      <c r="D89">
        <v>72.340425531914903</v>
      </c>
      <c r="E89">
        <v>84.472049689440993</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90.625</v>
      </c>
      <c r="D90">
        <v>89.542483660130728</v>
      </c>
      <c r="E90">
        <v>94.418604651162781</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95.555555555555557</v>
      </c>
      <c r="D91">
        <v>88.372093023255815</v>
      </c>
      <c r="E91">
        <v>86.038687973086624</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69.230769230769226</v>
      </c>
      <c r="D92">
        <v>71.657754010695186</v>
      </c>
      <c r="E92">
        <v>87.870370370370367</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96.428571428571431</v>
      </c>
      <c r="D93">
        <v>83.102493074792235</v>
      </c>
      <c r="E93">
        <v>83.883495145631073</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86.206896551724128</v>
      </c>
      <c r="E94">
        <v>94.011976047904184</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87.591240875912419</v>
      </c>
      <c r="E95">
        <v>91.694352159468437</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95.454545454545453</v>
      </c>
      <c r="D96">
        <v>80.952380952380949</v>
      </c>
      <c r="E96">
        <v>90.131578947368425</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97.692307692307693</v>
      </c>
      <c r="E97">
        <v>99.378881987577643</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96.969696969696969</v>
      </c>
      <c r="D98">
        <v>77.272727272727266</v>
      </c>
      <c r="E98">
        <v>86.037735849056602</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87.5</v>
      </c>
      <c r="D99">
        <v>89.68609865470853</v>
      </c>
      <c r="E99">
        <v>96.537678207739305</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93.333333333333329</v>
      </c>
      <c r="D100">
        <v>86.868686868686879</v>
      </c>
      <c r="E100">
        <v>89.572192513368989</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87.5</v>
      </c>
      <c r="D101">
        <v>95.901639344262293</v>
      </c>
      <c r="E101">
        <v>97.39776951672863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96.694214876033058</v>
      </c>
      <c r="E102">
        <v>86.70360110803324</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83.620689655172413</v>
      </c>
      <c r="E103">
        <v>91.280653950953678</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87.5</v>
      </c>
      <c r="D104">
        <v>86.40776699029125</v>
      </c>
      <c r="E104">
        <v>88.563049853372434</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83.333333333333343</v>
      </c>
      <c r="D105">
        <v>94.230769230769226</v>
      </c>
      <c r="E105">
        <v>95.081967213114751</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91.666666666666657</v>
      </c>
      <c r="D106">
        <v>92.800000000000011</v>
      </c>
      <c r="E106">
        <v>95.407098121085596</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92.241379310344826</v>
      </c>
      <c r="E107">
        <v>86.784140969162991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89.182058047493413</v>
      </c>
      <c r="E108">
        <v>89.329805996472672</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80.434782608695656</v>
      </c>
      <c r="D109">
        <v>82.954545454545453</v>
      </c>
      <c r="E109">
        <v>92.477514309076042</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100</v>
      </c>
      <c r="D110">
        <v>78.993055555555557</v>
      </c>
      <c r="E110">
        <v>80.907668231611893</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85.18518518518519</v>
      </c>
      <c r="D111">
        <v>80.281690140845072</v>
      </c>
      <c r="E111">
        <v>82.843137254901961</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92.894280762564989</v>
      </c>
      <c r="E112">
        <v>90.771812080536918</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77.777777777777786</v>
      </c>
      <c r="D113">
        <v>76.033057851239676</v>
      </c>
      <c r="E113">
        <v>80.574324324324323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89.310344827586206</v>
      </c>
      <c r="E114">
        <v>89.935064935064929</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61.111111111111114</v>
      </c>
      <c r="D115">
        <v>79.411764705882348</v>
      </c>
      <c r="E115">
        <v>90.425531914893625</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100</v>
      </c>
      <c r="D116">
        <v>84.768211920529808</v>
      </c>
      <c r="E116">
        <v>88.499025341130604</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76</v>
      </c>
      <c r="D117">
        <v>66.666666666666657</v>
      </c>
      <c r="E117">
        <v>73.289902280130292</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97.727272727272734</v>
      </c>
      <c r="E118">
        <v>99.431818181818173</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94.73684210526315</v>
      </c>
      <c r="D119">
        <v>97.354497354497354</v>
      </c>
      <c r="E119">
        <v>96.370967741935488</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88.888888888888886</v>
      </c>
      <c r="D120">
        <v>90.109890109890117</v>
      </c>
      <c r="E120">
        <v>88.659793814432987</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96.15384615384616</v>
      </c>
      <c r="D121">
        <v>93.297587131367294</v>
      </c>
      <c r="E121">
        <v>96.431342125678825</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94.642857142857139</v>
      </c>
      <c r="D122">
        <v>78.719397363465163</v>
      </c>
      <c r="E122">
        <v>77.824267782426787</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92.857142857142861</v>
      </c>
      <c r="D123">
        <v>94.475138121546962</v>
      </c>
      <c r="E123">
        <v>96.895424836601308</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89.830508474576277</v>
      </c>
      <c r="E124">
        <v>93.375394321766564</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97.058823529411768</v>
      </c>
      <c r="D125">
        <v>84.276729559748432</v>
      </c>
      <c r="E125">
        <v>88.817480719794332</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80</v>
      </c>
      <c r="D126">
        <v>80.508474576271183</v>
      </c>
      <c r="E126">
        <v>94.402035623409674</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93.023255813953483</v>
      </c>
      <c r="D127">
        <v>88.888888888888886</v>
      </c>
      <c r="E127">
        <v>94.431279620853076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86.206896551724128</v>
      </c>
      <c r="D128">
        <v>92.20779220779221</v>
      </c>
      <c r="E128">
        <v>88.900862068965509</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86.666666666666671</v>
      </c>
      <c r="D129">
        <v>73.885350318471339</v>
      </c>
      <c r="E129">
        <v>89.726027397260282</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94.117647058823522</v>
      </c>
      <c r="D130">
        <v>90.990990990990994</v>
      </c>
      <c r="E130">
        <v>96.551724137931032</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95.454545454545453</v>
      </c>
      <c r="D131">
        <v>97.41379310344827</v>
      </c>
      <c r="E131">
        <v>96.829971181556189</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91.17647058823529</v>
      </c>
      <c r="D132">
        <v>91.831683168316829</v>
      </c>
      <c r="E132">
        <v>97.035881435257409</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100</v>
      </c>
      <c r="D133">
        <v>89.285714285714292</v>
      </c>
      <c r="E133">
        <v>75.675675675675677</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92.857142857142861</v>
      </c>
      <c r="D134">
        <v>97.001499250374806</v>
      </c>
      <c r="E134">
        <v>92.692828146143441</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92.307692307692307</v>
      </c>
      <c r="D135">
        <v>97.225433526011557</v>
      </c>
      <c r="E135">
        <v>96.315449256625726</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92.982456140350877</v>
      </c>
      <c r="D136">
        <v>89.545454545454547</v>
      </c>
      <c r="E136">
        <v>91.239048811013774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94.444444444444443</v>
      </c>
      <c r="D137">
        <v>80.891719745222929</v>
      </c>
      <c r="E137">
        <v>84.67966573816156</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93.333333333333329</v>
      </c>
      <c r="D138">
        <v>81.54981549815497</v>
      </c>
      <c r="E138">
        <v>91.649048625792815</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93.75</v>
      </c>
      <c r="D139">
        <v>88.186356073211314</v>
      </c>
      <c r="E139">
        <v>91.753343239227334</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95.180722891566262</v>
      </c>
      <c r="E140">
        <v>88.70292887029288</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97.142857142857139</v>
      </c>
      <c r="D141">
        <v>94.191919191919197</v>
      </c>
      <c r="E141">
        <v>95.135746606334834</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93.61702127659575</v>
      </c>
      <c r="D142">
        <v>89.547038327526124</v>
      </c>
      <c r="E142">
        <v>91.583166332665328</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89.189189189189193</v>
      </c>
      <c r="D143">
        <v>87.924016282225239</v>
      </c>
      <c r="E143">
        <v>93.280632411067202</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89.130434782608688</v>
      </c>
      <c r="D144">
        <v>81.194029850746261</v>
      </c>
      <c r="E144">
        <v>88.374851720047459</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81.818181818181827</v>
      </c>
      <c r="D145">
        <v>69.480519480519476</v>
      </c>
      <c r="E145">
        <v>82.043343653250773</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92.687074829931973</v>
      </c>
      <c r="E146">
        <v>92.676767676767682</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72.222222222222214</v>
      </c>
      <c r="D147">
        <v>85.628742514970057</v>
      </c>
      <c r="E147">
        <v>92.21052631578948</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100</v>
      </c>
      <c r="D148">
        <v>78.048780487804876</v>
      </c>
      <c r="E148">
        <v>84.121621621621628</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83.78378378378379</v>
      </c>
      <c r="D149">
        <v>88.336933045356375</v>
      </c>
      <c r="E149">
        <v>88.909090909090907</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50</v>
      </c>
      <c r="D150">
        <v>75</v>
      </c>
      <c r="E150">
        <v>68</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92</v>
      </c>
      <c r="D151">
        <v>98.6013986013986</v>
      </c>
      <c r="E151">
        <v>99.105545617173533</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92.452830188679243</v>
      </c>
      <c r="D152">
        <v>96.163069544364504</v>
      </c>
      <c r="E152">
        <v>97.706422018348633</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88.372093023255815</v>
      </c>
      <c r="D153">
        <v>78.388278388278394</v>
      </c>
      <c r="E153">
        <v>92.525773195876297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88.571428571428569</v>
      </c>
      <c r="D154">
        <v>81.566820276497694</v>
      </c>
      <c r="E154">
        <v>79.40503432494279</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89.922480620155042</v>
      </c>
      <c r="D155">
        <v>87.017001545595051</v>
      </c>
      <c r="E155">
        <v>88.136942675159233</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93.421052631578945</v>
      </c>
      <c r="E156">
        <v>95.87155963302753</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97.826086956521735</v>
      </c>
      <c r="D157">
        <v>93.7759336099585</v>
      </c>
      <c r="E157">
        <v>95.478723404255319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85</v>
      </c>
      <c r="D158">
        <v>82.644628099173559</v>
      </c>
      <c r="E158">
        <v>88.541666666666657</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100</v>
      </c>
      <c r="D159">
        <v>87.328767123287676</v>
      </c>
      <c r="E159">
        <v>91.666666666666657</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93.548387096774192</v>
      </c>
      <c r="D160">
        <v>95.199999999999989</v>
      </c>
      <c r="E160">
        <v>92.822966507177028</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79.487179487179489</v>
      </c>
      <c r="D161">
        <v>92.810457516339866</v>
      </c>
      <c r="E161">
        <v>96.284829721362229</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97.942386831275712</v>
      </c>
      <c r="E162">
        <v>99.157641395908541</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91.666666666666657</v>
      </c>
      <c r="D163">
        <v>91.891891891891902</v>
      </c>
      <c r="E163">
        <v>92.692307692307693</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98.837209302325576</v>
      </c>
      <c r="D164">
        <v>96.638655462184872</v>
      </c>
      <c r="E164">
        <v>95.092693565976006</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92.857142857142861</v>
      </c>
      <c r="D165">
        <v>87.542087542087543</v>
      </c>
      <c r="E165">
        <v>95.422031473533622</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91.666666666666657</v>
      </c>
      <c r="D166">
        <v>85.116279069767444</v>
      </c>
      <c r="E166">
        <v>93.150684931506845</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90.909090909090907</v>
      </c>
      <c r="D167">
        <v>92.910447761194021</v>
      </c>
      <c r="E167">
        <v>91.201716738197419</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86.111111111111114</v>
      </c>
      <c r="D168">
        <v>84.905660377358487</v>
      </c>
      <c r="E168">
        <v>84.077380952380949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95.238095238095227</v>
      </c>
      <c r="D169">
        <v>92.941176470588232</v>
      </c>
      <c r="E169">
        <v>95.744680851063833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82.150537634408607</v>
      </c>
      <c r="E170">
        <v>90.211132437619952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96.296296296296291</v>
      </c>
      <c r="D171">
        <v>97.463002114164908</v>
      </c>
      <c r="E171">
        <v>97.979797979797979</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95.652173913043484</v>
      </c>
      <c r="D172">
        <v>92.10526315789474</v>
      </c>
      <c r="E172">
        <v>92.054794520547944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97.5</v>
      </c>
      <c r="D173">
        <v>98.630136986301366</v>
      </c>
      <c r="E173">
        <v>100</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90.476190476190482</v>
      </c>
      <c r="D174">
        <v>88.571428571428569</v>
      </c>
      <c r="E174">
        <v>94.292803970223332</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95.652173913043484</v>
      </c>
      <c r="D175">
        <v>88.484848484848484</v>
      </c>
      <c r="E175">
        <v>95.689655172413794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77.272727272727266</v>
      </c>
      <c r="D176">
        <v>76.880222841225631</v>
      </c>
      <c r="E176">
        <v>89.393939393939391</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94.915254237288138</v>
      </c>
      <c r="E177">
        <v>97.625698324022352</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75.342465753424662</v>
      </c>
      <c r="D178">
        <v>74.338624338624342</v>
      </c>
      <c r="E178">
        <v>82.044444444444437</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83.870967741935488</v>
      </c>
      <c r="D179">
        <v>85.567010309278345</v>
      </c>
      <c r="E179">
        <v>91.337579617834393</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99.271402550091068</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100</v>
      </c>
      <c r="D181">
        <v>89.361702127659569</v>
      </c>
      <c r="E181">
        <v>93.191489361702125</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87.931034482758619</v>
      </c>
      <c r="D182">
        <v>83.333333333333343</v>
      </c>
      <c r="E182">
        <v>88.558352402745996</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86.666666666666671</v>
      </c>
      <c r="D183">
        <v>80.586510263929625</v>
      </c>
      <c r="E183">
        <v>86.53667595171774</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89.247311827956992</v>
      </c>
      <c r="D184">
        <v>84.010840108401084</v>
      </c>
      <c r="E184">
        <v>84.462809917355372</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94.73684210526315</v>
      </c>
      <c r="D185">
        <v>85.714285714285708</v>
      </c>
      <c r="E185">
        <v>86.374695863746965</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91.891891891891902</v>
      </c>
      <c r="D186">
        <v>84.810126582278471</v>
      </c>
      <c r="E186">
        <v>91.139240506329116</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67.741935483870961</v>
      </c>
      <c r="D187">
        <v>96.36363636363636</v>
      </c>
      <c r="E187">
        <v>94.20289855072464</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91.111111111111114</v>
      </c>
      <c r="E188">
        <v>96.062992125984252</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94.883720930232556</v>
      </c>
      <c r="E189">
        <v>97.448165869218499</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82.41379310344827</v>
      </c>
      <c r="E190">
        <v>86.397984886649866</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95.652173913043484</v>
      </c>
      <c r="D191">
        <v>95.731707317073173</v>
      </c>
      <c r="E191">
        <v>95.652173913043484</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84.615384615384613</v>
      </c>
      <c r="D192">
        <v>83.482142857142861</v>
      </c>
      <c r="E192">
        <v>82.512733446519519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93.264248704663217</v>
      </c>
      <c r="E193">
        <v>93.548387096774192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100</v>
      </c>
      <c r="D194">
        <v>98.876404494382015</v>
      </c>
      <c r="E194">
        <v>97.781885397412211</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100</v>
      </c>
      <c r="D195">
        <v>96.875</v>
      </c>
      <c r="E195">
        <v>98.882681564245814</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94.117647058823522</v>
      </c>
      <c r="D196">
        <v>91.139240506329116</v>
      </c>
      <c r="E196">
        <v>90.932642487046635</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86.666666666666671</v>
      </c>
      <c r="D197">
        <v>86.829268292682926</v>
      </c>
      <c r="E197">
        <v>95.326349717969379</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93.333333333333329</v>
      </c>
      <c r="D198">
        <v>91.463414634146346</v>
      </c>
      <c r="E198">
        <v>88.955223880597018</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93.333333333333329</v>
      </c>
      <c r="D199">
        <v>82.5</v>
      </c>
      <c r="E199">
        <v>87.804878048780495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100</v>
      </c>
      <c r="D200">
        <v>88.888888888888886</v>
      </c>
      <c r="E200">
        <v>95.464852607709744</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94.444444444444443</v>
      </c>
      <c r="D201">
        <v>86.057692307692307</v>
      </c>
      <c r="E201">
        <v>90.571428571428569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85.254027261462213</v>
      </c>
      <c r="E202">
        <v>90.045543266102797</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84</v>
      </c>
      <c r="D203">
        <v>78.75</v>
      </c>
      <c r="E203">
        <v>90.517241379310349</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80</v>
      </c>
      <c r="D204">
        <v>71.111111111111114</v>
      </c>
      <c r="E204">
        <v>83.636363636363626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100</v>
      </c>
      <c r="D205">
        <v>92.622950819672127</v>
      </c>
      <c r="E205">
        <v>95.979899497487438</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93.548387096774192</v>
      </c>
      <c r="D206">
        <v>90.784982935153579</v>
      </c>
      <c r="E206">
        <v>94.66463414634147</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80.645161290322577</v>
      </c>
      <c r="D208">
        <v>77.083333333333343</v>
      </c>
      <c r="E208">
        <v>87.989556135770229</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75</v>
      </c>
      <c r="E209">
        <v>74.013921113689094</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93.478260869565219</v>
      </c>
      <c r="D210">
        <v>82.304526748971199</v>
      </c>
      <c r="E210">
        <v>90.64039408866995</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84.210526315789465</v>
      </c>
      <c r="D211">
        <v>81.333333333333329</v>
      </c>
      <c r="E211">
        <v>92.468619246861934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92.857142857142861</v>
      </c>
      <c r="D212">
        <v>93.984962406015043</v>
      </c>
      <c r="E212">
        <v>97.647058823529406</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93.548387096774192</v>
      </c>
      <c r="D213">
        <v>95.305164319248831</v>
      </c>
      <c r="E213">
        <v>94.223107569721122</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94.594594594594597</v>
      </c>
      <c r="D214">
        <v>90.825688073394488</v>
      </c>
      <c r="E214">
        <v>93.610223642172514</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96</v>
      </c>
      <c r="D215">
        <v>95.890410958904098</v>
      </c>
      <c r="E215">
        <v>97.828863346104725</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96.774193548387103</v>
      </c>
      <c r="D216">
        <v>95.419847328244273</v>
      </c>
      <c r="E216">
        <v>96.80082559339526</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81.92771084337349</v>
      </c>
      <c r="D217">
        <v>79.12844036697247</v>
      </c>
      <c r="E217">
        <v>82.544970019986678</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81.981981981981974</v>
      </c>
      <c r="D218">
        <v>89.9624765478424</v>
      </c>
      <c r="E218">
        <v>95.462794918330303</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86.666666666666671</v>
      </c>
      <c r="D219">
        <v>74.100719424460422</v>
      </c>
      <c r="E219">
        <v>81.714285714285722</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79.166666666666657</v>
      </c>
      <c r="D220">
        <v>88.47926267281106</v>
      </c>
      <c r="E220">
        <v>88.354186717998076</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78.461538461538467</v>
      </c>
      <c r="D221">
        <v>86.533333333333331</v>
      </c>
      <c r="E221">
        <v>92.828685258964143</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94.444444444444443</v>
      </c>
      <c r="D222">
        <v>89.389920424403186</v>
      </c>
      <c r="E222">
        <v>93.516699410609036</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81.25</v>
      </c>
      <c r="D223">
        <v>76.744186046511629</v>
      </c>
      <c r="E223">
        <v>89.721627408993569</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88.405797101449281</v>
      </c>
      <c r="D224">
        <v>88.163265306122454</v>
      </c>
      <c r="E224">
        <v>90.625</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95.652173913043484</v>
      </c>
      <c r="D225">
        <v>88.082901554404145</v>
      </c>
      <c r="E225">
        <v>93.574297188755011</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94.339622641509436</v>
      </c>
      <c r="D226">
        <v>92.567567567567565</v>
      </c>
      <c r="E226">
        <v>90.816326530612244</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89.361702127659569</v>
      </c>
      <c r="D227">
        <v>77.543859649122808</v>
      </c>
      <c r="E227">
        <v>76.293103448275872</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93.548387096774192</v>
      </c>
      <c r="D228">
        <v>88.509316770186331</v>
      </c>
      <c r="E228">
        <v>93.65517241379311</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96.078431372549019</v>
      </c>
      <c r="D229">
        <v>90.023752969121134</v>
      </c>
      <c r="E229">
        <v>92.973856209150327</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94.117647058823522</v>
      </c>
      <c r="D230">
        <v>96.391752577319593</v>
      </c>
      <c r="E230">
        <v>93.674698795180717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93.513513513513516</v>
      </c>
      <c r="E231">
        <v>95.842956120092381</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77.333333333333329</v>
      </c>
      <c r="E232">
        <v>90.77669902912622</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87.5</v>
      </c>
      <c r="D233">
        <v>92.385786802030452</v>
      </c>
      <c r="E233">
        <v>95.906432748538009</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98.75</v>
      </c>
      <c r="E234">
        <v>99.257057949479943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92.682926829268297</v>
      </c>
      <c r="D235">
        <v>90.359168241965975</v>
      </c>
      <c r="E235">
        <v>92.753623188405797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99.358974358974365</v>
      </c>
      <c r="E236">
        <v>98.701298701298697</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85.294117647058826</v>
      </c>
      <c r="D237">
        <v>68.88111888111888</v>
      </c>
      <c r="E237">
        <v>64.620355411954762</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96.296296296296291</v>
      </c>
      <c r="D238">
        <v>99.099099099099092</v>
      </c>
      <c r="E238">
        <v>99.413489736070375</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90.322580645161281</v>
      </c>
      <c r="D239">
        <v>75.196850393700785</v>
      </c>
      <c r="E239">
        <v>80.530973451327441</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91.707317073170742</v>
      </c>
      <c r="E240">
        <v>92.642140468227424</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100</v>
      </c>
      <c r="D241">
        <v>98.571428571428584</v>
      </c>
      <c r="E241">
        <v>96.296296296296291</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100</v>
      </c>
      <c r="D242">
        <v>97.2027972027972</v>
      </c>
      <c r="E242">
        <v>98.60426929392446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81.081081081081081</v>
      </c>
      <c r="D243">
        <v>74.691358024691354</v>
      </c>
      <c r="E243">
        <v>89.159292035398224</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95.263157894736835</v>
      </c>
      <c r="E244">
        <v>97.694524495677243</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88.888888888888886</v>
      </c>
      <c r="D245">
        <v>75.955056179775283</v>
      </c>
      <c r="E245">
        <v>86.617492096944147</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93.103448275862064</v>
      </c>
      <c r="D246">
        <v>92.01520912547528</v>
      </c>
      <c r="E246">
        <v>93.127962085308056</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93.61702127659575</v>
      </c>
      <c r="D247">
        <v>93.333333333333329</v>
      </c>
      <c r="E247">
        <v>99.061032863849761</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95</v>
      </c>
      <c r="D248">
        <v>89.887640449438194</v>
      </c>
      <c r="E248">
        <v>92.261904761904773</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92.307692307692307</v>
      </c>
      <c r="D249">
        <v>95.934959349593498</v>
      </c>
      <c r="E249">
        <v>98.826291079812208</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77.777777777777786</v>
      </c>
      <c r="D250">
        <v>91.935483870967744</v>
      </c>
      <c r="E250">
        <v>95.990566037735846</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89.473684210526315</v>
      </c>
      <c r="D251">
        <v>89.795918367346943</v>
      </c>
      <c r="E251">
        <v>91.653543307086622</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v>
      </c>
      <c r="D252">
        <v>93.023255813953483</v>
      </c>
      <c r="E252">
        <v>92.38095238095238</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98.71794871794873</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84.848484848484844</v>
      </c>
      <c r="D254">
        <v>85.920577617328519</v>
      </c>
      <c r="E254">
        <v>91.333333333333329</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74.193548387096769</v>
      </c>
      <c r="D255">
        <v>83.478260869565219</v>
      </c>
      <c r="E255">
        <v>86.870503597122308</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97.737556561085967</v>
      </c>
      <c r="E256">
        <v>97.122302158273371</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85.964912280701753</v>
      </c>
      <c r="D257">
        <v>85.40145985401459</v>
      </c>
      <c r="E257">
        <v>86.417657045840414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85.714285714285708</v>
      </c>
      <c r="D258">
        <v>92.5</v>
      </c>
      <c r="E258">
        <v>96.962025316455694</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90.476190476190482</v>
      </c>
      <c r="D259">
        <v>81.339712918660297</v>
      </c>
      <c r="E259">
        <v>88.431372549019599</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78.260869565217391</v>
      </c>
      <c r="D260">
        <v>71.223021582733821</v>
      </c>
      <c r="E260">
        <v>78.597122302158269</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100</v>
      </c>
      <c r="D261">
        <v>97.857142857142847</v>
      </c>
      <c r="E261">
        <v>99.274310595065302</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86.956521739130437</v>
      </c>
      <c r="D262">
        <v>98.882681564245814</v>
      </c>
      <c r="E262">
        <v>99.616858237547888</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88.235294117647058</v>
      </c>
      <c r="D263">
        <v>83.333333333333343</v>
      </c>
      <c r="E263">
        <v>87.383177570093466</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86.263736263736263</v>
      </c>
      <c r="E264">
        <v>85.813953488372093</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87.878787878787875</v>
      </c>
      <c r="D265">
        <v>94.255319148936167</v>
      </c>
      <c r="E265">
        <v>90.365448504983391</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88.461538461538453</v>
      </c>
      <c r="D266">
        <v>87.214611872146122</v>
      </c>
      <c r="E266">
        <v>87.128712871287135</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100</v>
      </c>
      <c r="D267">
        <v>80.398671096345524</v>
      </c>
      <c r="E267">
        <v>84.344262295081961</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98.387096774193552</v>
      </c>
      <c r="D268">
        <v>95.107033639143737</v>
      </c>
      <c r="E268">
        <v>97.640117994100294</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90.909090909090907</v>
      </c>
      <c r="D269">
        <v>71.464646464646464</v>
      </c>
      <c r="E269">
        <v>87.736900780379045</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95.918367346938766</v>
      </c>
      <c r="D270">
        <v>93.723849372384933</v>
      </c>
      <c r="E270">
        <v>97.177914110429455</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92.857142857142861</v>
      </c>
      <c r="D271">
        <v>91.354466858789635</v>
      </c>
      <c r="E271">
        <v>90.373044524669083</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79.591836734693871</v>
      </c>
      <c r="D272">
        <v>78.378378378378372</v>
      </c>
      <c r="E272">
        <v>86.130136986301366</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88.888888888888886</v>
      </c>
      <c r="D273">
        <v>82.102908277404921</v>
      </c>
      <c r="E273">
        <v>90.843373493975903</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90</v>
      </c>
      <c r="D274">
        <v>83.392226148409904</v>
      </c>
      <c r="E274">
        <v>85.296506904955322</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82.758620689655174</v>
      </c>
      <c r="D275">
        <v>75.91836734693878</v>
      </c>
      <c r="E275">
        <v>82.55675029868577</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86.956521739130437</v>
      </c>
      <c r="D276">
        <v>90.789473684210535</v>
      </c>
      <c r="E276">
        <v>94.444444444444443</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97.183098591549296</v>
      </c>
      <c r="E277">
        <v>94.818652849740943</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80.487804878048792</v>
      </c>
      <c r="D278">
        <v>91.731266149870805</v>
      </c>
      <c r="E278">
        <v>93.15525876460768</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93.442622950819683</v>
      </c>
      <c r="D279">
        <v>91.116173120728931</v>
      </c>
      <c r="E279">
        <v>94.488188976377955</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90</v>
      </c>
      <c r="D280">
        <v>92.307692307692307</v>
      </c>
      <c r="E280">
        <v>94.927536231884062</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89.090909090909093</v>
      </c>
      <c r="D281">
        <v>86.231884057971016</v>
      </c>
      <c r="E281">
        <v>85.62176165803109</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95</v>
      </c>
      <c r="D282">
        <v>81.621621621621614</v>
      </c>
      <c r="E282">
        <v>92.694063926940643</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96</v>
      </c>
      <c r="D283">
        <v>73.636363636363626</v>
      </c>
      <c r="E283">
        <v>86.915887850467286</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94.594594594594597</v>
      </c>
      <c r="D284">
        <v>96.698113207547166</v>
      </c>
      <c r="E284">
        <v>92.682926829268297</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90.243902439024396</v>
      </c>
      <c r="D285">
        <v>87.523629489603024</v>
      </c>
      <c r="E285">
        <v>87.369882026370576</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85</v>
      </c>
      <c r="D286">
        <v>90.753424657534239</v>
      </c>
      <c r="E286">
        <v>96.602491506228759</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95.238095238095227</v>
      </c>
      <c r="D287">
        <v>88.549618320610691</v>
      </c>
      <c r="E287">
        <v>90.782122905027933</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85.294117647058826</v>
      </c>
      <c r="D288">
        <v>78.650442477876098</v>
      </c>
      <c r="E288">
        <v>74.536376604850219</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89.473684210526315</v>
      </c>
      <c r="D289">
        <v>85.748792270531411</v>
      </c>
      <c r="E289">
        <v>86.040609137055839</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93.023255813953483</v>
      </c>
      <c r="D290">
        <v>88.317757009345797</v>
      </c>
      <c r="E290">
        <v>89.103690685413</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92.96875</v>
      </c>
      <c r="D291">
        <v>91.11570247933885</v>
      </c>
      <c r="E291">
        <v>93.797059878092497</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85.18518518518519</v>
      </c>
      <c r="D292">
        <v>95.6</v>
      </c>
      <c r="E292">
        <v>96.354799513973262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84.848484848484844</v>
      </c>
      <c r="D293">
        <v>78.797468354430379</v>
      </c>
      <c r="E293">
        <v>84.110535405872184</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85.18518518518519</v>
      </c>
      <c r="D294">
        <v>87.242798353909464</v>
      </c>
      <c r="E294">
        <v>90.687679083094551</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94.444444444444443</v>
      </c>
      <c r="D295">
        <v>76.724137931034491</v>
      </c>
      <c r="E295">
        <v>75.653594771241828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97.674418604651152</v>
      </c>
      <c r="D296">
        <v>100</v>
      </c>
      <c r="E296">
        <v>99.196787148594382</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90.476190476190482</v>
      </c>
      <c r="E297">
        <v>93.915756630265207</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100</v>
      </c>
      <c r="D298">
        <v>92.5</v>
      </c>
      <c r="E298">
        <v>95.37366548042705</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90</v>
      </c>
      <c r="D299">
        <v>93.867924528301884</v>
      </c>
      <c r="E299">
        <v>94.198895027624303</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73.214285714285708</v>
      </c>
      <c r="D300">
        <v>77.342047930283215</v>
      </c>
      <c r="E300">
        <v>85.519125683060111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80.769230769230774</v>
      </c>
      <c r="D301">
        <v>82.320441988950279</v>
      </c>
      <c r="E301">
        <v>89.947089947089935</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86.666666666666671</v>
      </c>
      <c r="D302">
        <v>80.851063829787222</v>
      </c>
      <c r="E302">
        <v>89.761092150170654</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94.871794871794862</v>
      </c>
      <c r="D303">
        <v>69.473684210526315</v>
      </c>
      <c r="E303">
        <v>84.346035015447995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SD19</v>
      </c>
      <c r="B172" s="22" t="str">
        <f>J172&amp;(COUNTIF(J$2:J172,J172))</f>
        <v>Hampshire9</v>
      </c>
      <c r="C172" t="s">
        <v>106</v>
      </c>
      <c r="D172" t="s">
        <v>106</v>
      </c>
      <c r="E172" s="25" t="s">
        <v>0</v>
      </c>
      <c r="F172" s="25" t="s">
        <v>379</v>
      </c>
      <c r="G172" s="25" t="s">
        <v>5</v>
      </c>
      <c r="H172" s="26" t="s">
        <v>892</v>
      </c>
      <c r="I172" s="27" t="s">
        <v>892</v>
      </c>
      <c r="J172" s="3" t="s">
        <v>313</v>
      </c>
    </row>
    <row r="173" spans="1:11" ht="14.4">
      <c r="A173" s="22" t="str">
        <f>F173&amp;(COUNTIFS(F$2:F173,F173,K$2:K173,"Sparse"))</f>
        <v>SD19</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SD19</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SD20</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SD20</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SD20</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SD21</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SD22</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SD22</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SD22</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891</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SD22</v>
      </c>
      <c r="B192" s="22" t="str">
        <f>J192&amp;(COUNTIF(J$2:J192,J192))</f>
        <v>Norfolk7</v>
      </c>
      <c r="C192" s="27" t="s">
        <v>117</v>
      </c>
      <c r="D192" s="27" t="s">
        <v>117</v>
      </c>
      <c r="E192" s="25" t="s">
        <v>368</v>
      </c>
      <c r="F192" s="25" t="s">
        <v>379</v>
      </c>
      <c r="G192" s="25" t="s">
        <v>5</v>
      </c>
      <c r="H192" s="27" t="s">
        <v>382</v>
      </c>
      <c r="I192" s="27" t="s">
        <v>382</v>
      </c>
      <c r="J192" t="s">
        <v>319</v>
      </c>
    </row>
    <row r="193" spans="1:10"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0" ht="14.4">
      <c r="A194" s="22" t="str">
        <f>F194&amp;(COUNTIFS(F$2:F194,F194,K$2:K194,"Sparse"))</f>
        <v>SC5</v>
      </c>
      <c r="B194" s="22" t="str">
        <f>J194&amp;(COUNTIF(J$2:J194,J194))</f>
        <v>Nottinghamshire7</v>
      </c>
      <c r="C194" s="27" t="s">
        <v>323</v>
      </c>
      <c r="D194" s="27" t="s">
        <v>323</v>
      </c>
      <c r="E194" s="25" t="s">
        <v>366</v>
      </c>
      <c r="F194" s="25" t="s">
        <v>387</v>
      </c>
      <c r="G194" s="25" t="s">
        <v>301</v>
      </c>
      <c r="H194" s="27" t="s">
        <v>892</v>
      </c>
      <c r="I194" s="27" t="s">
        <v>892</v>
      </c>
      <c r="J194" t="s">
        <v>323</v>
      </c>
    </row>
    <row r="195" spans="1:10" ht="14.4">
      <c r="A195" s="22" t="str">
        <f>F195&amp;(COUNTIFS(F$2:F195,F195,K$2:K195,"Sparse"))</f>
        <v>SD22</v>
      </c>
      <c r="B195" s="22" t="str">
        <f>J195&amp;(COUNTIF(J$2:J195,J195))</f>
        <v>Warwickshire2</v>
      </c>
      <c r="C195" t="s">
        <v>346</v>
      </c>
      <c r="D195" t="s">
        <v>346</v>
      </c>
      <c r="E195" s="25" t="s">
        <v>367</v>
      </c>
      <c r="F195" s="25" t="s">
        <v>379</v>
      </c>
      <c r="G195" s="25" t="s">
        <v>5</v>
      </c>
      <c r="H195" s="26" t="s">
        <v>382</v>
      </c>
      <c r="I195" s="27" t="s">
        <v>382</v>
      </c>
      <c r="J195" s="3" t="s">
        <v>330</v>
      </c>
    </row>
    <row r="196" spans="1:10" ht="14.4">
      <c r="A196" s="22" t="str">
        <f>F196&amp;(COUNTIFS(F$2:F196,F196,K$2:K196,"Sparse"))</f>
        <v>SD22</v>
      </c>
      <c r="B196" s="22" t="str">
        <f>J196&amp;(COUNTIF(J$2:J196,J196))</f>
        <v>Leicestershire8</v>
      </c>
      <c r="C196" t="s">
        <v>347</v>
      </c>
      <c r="D196" t="s">
        <v>347</v>
      </c>
      <c r="E196" s="25" t="s">
        <v>366</v>
      </c>
      <c r="F196" s="25" t="s">
        <v>379</v>
      </c>
      <c r="G196" s="25" t="s">
        <v>5</v>
      </c>
      <c r="H196" s="26" t="s">
        <v>382</v>
      </c>
      <c r="I196" s="27" t="s">
        <v>382</v>
      </c>
      <c r="J196" t="s">
        <v>317</v>
      </c>
    </row>
    <row r="197" spans="1:10"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0" ht="14.4">
      <c r="A198" s="22" t="str">
        <f>F198&amp;(COUNTIFS(F$2:F198,F198,K$2:K198,"Sparse"))</f>
        <v>SD22</v>
      </c>
      <c r="B198" s="22" t="str">
        <f>J198&amp;(COUNTIF(J$2:J198,J198))</f>
        <v>Oxfordshire2</v>
      </c>
      <c r="C198" s="27" t="s">
        <v>118</v>
      </c>
      <c r="D198" s="27" t="s">
        <v>118</v>
      </c>
      <c r="E198" s="25" t="s">
        <v>0</v>
      </c>
      <c r="F198" s="25" t="s">
        <v>379</v>
      </c>
      <c r="G198" s="25" t="s">
        <v>5</v>
      </c>
      <c r="H198" s="27" t="s">
        <v>382</v>
      </c>
      <c r="I198" s="27" t="s">
        <v>382</v>
      </c>
      <c r="J198" t="s">
        <v>324</v>
      </c>
    </row>
    <row r="199" spans="1:10" ht="14.4">
      <c r="A199" s="22" t="str">
        <f>F199&amp;(COUNTIFS(F$2:F199,F199,K$2:K199,"Sparse"))</f>
        <v>SC5</v>
      </c>
      <c r="B199" s="22" t="str">
        <f>J199&amp;(COUNTIF(J$2:J199,J199))</f>
        <v>Oxfordshire3</v>
      </c>
      <c r="C199" t="s">
        <v>324</v>
      </c>
      <c r="D199" t="s">
        <v>324</v>
      </c>
      <c r="E199" s="25" t="s">
        <v>0</v>
      </c>
      <c r="F199" s="25" t="s">
        <v>387</v>
      </c>
      <c r="G199" s="25" t="s">
        <v>301</v>
      </c>
      <c r="H199" s="26" t="s">
        <v>380</v>
      </c>
      <c r="I199" s="27" t="s">
        <v>380</v>
      </c>
      <c r="J199" t="s">
        <v>324</v>
      </c>
    </row>
    <row r="200" spans="1:10" ht="14.4">
      <c r="A200" s="22" t="str">
        <f>F200&amp;(COUNTIFS(F$2:F200,F200,K$2:K200,"Sparse"))</f>
        <v>SD22</v>
      </c>
      <c r="B200" s="22" t="str">
        <f>J200&amp;(COUNTIF(J$2:J200,J200))</f>
        <v>Lancashire7</v>
      </c>
      <c r="C200" t="s">
        <v>119</v>
      </c>
      <c r="D200" t="s">
        <v>119</v>
      </c>
      <c r="E200" s="25" t="s">
        <v>374</v>
      </c>
      <c r="F200" s="25" t="s">
        <v>379</v>
      </c>
      <c r="G200" s="25" t="s">
        <v>5</v>
      </c>
      <c r="H200" s="26" t="s">
        <v>382</v>
      </c>
      <c r="I200" s="27" t="s">
        <v>382</v>
      </c>
      <c r="J200" t="s">
        <v>316</v>
      </c>
    </row>
    <row r="201" spans="1:10"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0"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0"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0" ht="14.4">
      <c r="A204" s="22" t="str">
        <f>F204&amp;(COUNTIFS(F$2:F204,F204,K$2:K204,"Sparse"))</f>
        <v>SD22</v>
      </c>
      <c r="B204" s="22" t="str">
        <f>J204&amp;(COUNTIF(J$2:J204,J204))</f>
        <v>Lancashire8</v>
      </c>
      <c r="C204" t="s">
        <v>120</v>
      </c>
      <c r="D204" t="s">
        <v>120</v>
      </c>
      <c r="E204" s="25" t="s">
        <v>374</v>
      </c>
      <c r="F204" s="25" t="s">
        <v>379</v>
      </c>
      <c r="G204" s="25" t="s">
        <v>5</v>
      </c>
      <c r="H204" s="26" t="s">
        <v>382</v>
      </c>
      <c r="I204" s="27" t="s">
        <v>382</v>
      </c>
      <c r="J204" t="s">
        <v>316</v>
      </c>
    </row>
    <row r="205" spans="1:10"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0"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0"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0" ht="14.4">
      <c r="A208" s="22" t="str">
        <f>F208&amp;(COUNTIFS(F$2:F208,F208,K$2:K208,"Sparse"))</f>
        <v>SD22</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SD22</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SD23</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SD23</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SD23</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SD24</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SD25</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SD25</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SD25</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SD25</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SD25</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SD26</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SD26</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SD27</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SD28</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SD29</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SD29</v>
      </c>
      <c r="B237" s="22" t="str">
        <f>J237&amp;(COUNTIF(J$2:J237,J237))</f>
        <v>Norfolk8</v>
      </c>
      <c r="C237" t="s">
        <v>144</v>
      </c>
      <c r="D237" t="s">
        <v>144</v>
      </c>
      <c r="E237" s="25" t="s">
        <v>368</v>
      </c>
      <c r="F237" s="25" t="s">
        <v>379</v>
      </c>
      <c r="G237" s="25" t="s">
        <v>5</v>
      </c>
      <c r="H237" s="26" t="s">
        <v>891</v>
      </c>
      <c r="I237" s="27" t="s">
        <v>380</v>
      </c>
      <c r="J237" s="3" t="s">
        <v>319</v>
      </c>
    </row>
    <row r="238" spans="1:11" ht="14.4">
      <c r="A238" s="22" t="str">
        <f>F238&amp;(COUNTIFS(F$2:F238,F238,K$2:K238,"Sparse"))</f>
        <v>SD30</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SD30</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SD30</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SD30</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SD30</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SD31</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SC6</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SD31</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SD31</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SD32</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SD33</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SC7</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SC7</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SD33</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SD33</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SD33</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SD33</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SD34</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SD34</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SD34</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SD35</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SD35</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SD35</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SD35</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SD36</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SD36</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SD37</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SD38</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SD38</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SC7</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SD38</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SD38</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SD39</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SD39</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SD40</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SD40</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SD41</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SD42</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SD43</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SC7</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AE645D45-77F2-4FC3-A188-D3A568CB8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2024-09-27T09:15:36Z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