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E215" i="16"/>
  <c r="D215" i="16"/>
  <c r="H215" i="16" s="1"/>
  <c r="I215" i="16" s="1"/>
  <c r="A215" i="16"/>
  <c r="B215" i="16" s="1"/>
  <c r="E214" i="16"/>
  <c r="D214" i="16"/>
  <c r="A214" i="16"/>
  <c r="E213" i="16"/>
  <c r="D213" i="16"/>
  <c r="A213" i="16"/>
  <c r="E212" i="16"/>
  <c r="D212" i="16"/>
  <c r="H212" i="16" s="1"/>
  <c r="A212" i="16"/>
  <c r="E211" i="16"/>
  <c r="D211" i="16"/>
  <c r="A211" i="16"/>
  <c r="B211" i="16" s="1"/>
  <c r="E210" i="16"/>
  <c r="D210" i="16"/>
  <c r="A210" i="16"/>
  <c r="E209" i="16"/>
  <c r="D209" i="16"/>
  <c r="A209" i="16"/>
  <c r="E208" i="16"/>
  <c r="D208" i="16"/>
  <c r="A208" i="16"/>
  <c r="E207" i="16"/>
  <c r="D207" i="16"/>
  <c r="A207" i="16"/>
  <c r="B207" i="16" s="1"/>
  <c r="E206" i="16"/>
  <c r="D206" i="16"/>
  <c r="A206" i="16"/>
  <c r="E205" i="16"/>
  <c r="D205" i="16"/>
  <c r="A205" i="16"/>
  <c r="E204" i="16"/>
  <c r="D204" i="16"/>
  <c r="A204" i="16"/>
  <c r="E203" i="16"/>
  <c r="D203" i="16"/>
  <c r="A203" i="16"/>
  <c r="B203" i="16" s="1"/>
  <c r="E202" i="16"/>
  <c r="D202" i="16"/>
  <c r="H202" i="16" s="1"/>
  <c r="I202" i="16" s="1"/>
  <c r="A202" i="16"/>
  <c r="E201" i="16"/>
  <c r="D201" i="16"/>
  <c r="H201" i="16" s="1"/>
  <c r="A201" i="16"/>
  <c r="E200" i="16"/>
  <c r="D200" i="16"/>
  <c r="A200" i="16"/>
  <c r="E199" i="16"/>
  <c r="D199" i="16"/>
  <c r="H199" i="16" s="1"/>
  <c r="A199" i="16"/>
  <c r="B199" i="16" s="1"/>
  <c r="E198" i="16"/>
  <c r="D198" i="16"/>
  <c r="A198" i="16"/>
  <c r="E197" i="16"/>
  <c r="D197" i="16"/>
  <c r="A197" i="16"/>
  <c r="E196" i="16"/>
  <c r="D196" i="16"/>
  <c r="A196" i="16"/>
  <c r="E195" i="16"/>
  <c r="D195" i="16"/>
  <c r="A195" i="16"/>
  <c r="B195" i="16" s="1"/>
  <c r="E194" i="16"/>
  <c r="D194" i="16"/>
  <c r="A194" i="16"/>
  <c r="E193" i="16"/>
  <c r="D193" i="16"/>
  <c r="A193" i="16"/>
  <c r="E192" i="16"/>
  <c r="D192" i="16"/>
  <c r="A192" i="16"/>
  <c r="E191" i="16"/>
  <c r="D191" i="16"/>
  <c r="A191" i="16"/>
  <c r="B191" i="16" s="1"/>
  <c r="E190" i="16"/>
  <c r="D190" i="16"/>
  <c r="H190" i="16" s="1"/>
  <c r="A190" i="16"/>
  <c r="E189" i="16"/>
  <c r="D189" i="16"/>
  <c r="A189" i="16"/>
  <c r="E188" i="16"/>
  <c r="D188" i="16"/>
  <c r="A188" i="16"/>
  <c r="E187" i="16"/>
  <c r="D187" i="16"/>
  <c r="A187" i="16"/>
  <c r="B187" i="16" s="1"/>
  <c r="E186" i="16"/>
  <c r="D186" i="16"/>
  <c r="H186" i="16" s="1"/>
  <c r="A186" i="16"/>
  <c r="E185" i="16"/>
  <c r="D185" i="16"/>
  <c r="A185" i="16"/>
  <c r="E184" i="16"/>
  <c r="D184" i="16"/>
  <c r="A184" i="16"/>
  <c r="E183" i="16"/>
  <c r="D183" i="16"/>
  <c r="A183" i="16"/>
  <c r="B183" i="16" s="1"/>
  <c r="E182" i="16"/>
  <c r="D182" i="16"/>
  <c r="A182" i="16"/>
  <c r="E181" i="16"/>
  <c r="D181" i="16"/>
  <c r="H181" i="16" s="1"/>
  <c r="A181" i="16"/>
  <c r="E180" i="16"/>
  <c r="D180" i="16"/>
  <c r="H180" i="16" s="1"/>
  <c r="I180" i="16" s="1"/>
  <c r="A180" i="16"/>
  <c r="E179" i="16"/>
  <c r="D179" i="16"/>
  <c r="A179" i="16"/>
  <c r="B179" i="16" s="1"/>
  <c r="E178" i="16"/>
  <c r="D178" i="16"/>
  <c r="A178" i="16"/>
  <c r="E177" i="16"/>
  <c r="D177" i="16"/>
  <c r="H177" i="16" s="1"/>
  <c r="A177" i="16"/>
  <c r="E176" i="16"/>
  <c r="D176" i="16"/>
  <c r="A176" i="16"/>
  <c r="E175" i="16"/>
  <c r="D175" i="16"/>
  <c r="H175" i="16" s="1"/>
  <c r="I175" i="16" s="1"/>
  <c r="A175" i="16"/>
  <c r="B175" i="16" s="1"/>
  <c r="E174" i="16"/>
  <c r="D174" i="16"/>
  <c r="A174" i="16"/>
  <c r="E173" i="16"/>
  <c r="D173" i="16"/>
  <c r="H173" i="16" s="1"/>
  <c r="A173" i="16"/>
  <c r="E172" i="16"/>
  <c r="D172" i="16"/>
  <c r="A172" i="16"/>
  <c r="E171" i="16"/>
  <c r="D171" i="16"/>
  <c r="H171" i="16" s="1"/>
  <c r="I171" i="16" s="1"/>
  <c r="A171" i="16"/>
  <c r="B171" i="16" s="1"/>
  <c r="E170" i="16"/>
  <c r="D170" i="16"/>
  <c r="H170" i="16" s="1"/>
  <c r="A170" i="16"/>
  <c r="E169" i="16"/>
  <c r="D169" i="16"/>
  <c r="H169" i="16" s="1"/>
  <c r="A169" i="16"/>
  <c r="E168" i="16"/>
  <c r="D168" i="16"/>
  <c r="H168" i="16" s="1"/>
  <c r="A168" i="16"/>
  <c r="E167" i="16"/>
  <c r="D167" i="16"/>
  <c r="H167" i="16" s="1"/>
  <c r="A167" i="16"/>
  <c r="B167" i="16" s="1"/>
  <c r="E166" i="16"/>
  <c r="D166" i="16"/>
  <c r="A166" i="16"/>
  <c r="E165" i="16"/>
  <c r="D165" i="16"/>
  <c r="A165" i="16"/>
  <c r="E164" i="16"/>
  <c r="D164" i="16"/>
  <c r="A164" i="16"/>
  <c r="E163" i="16"/>
  <c r="D163" i="16"/>
  <c r="H163" i="16" s="1"/>
  <c r="I163" i="16" s="1"/>
  <c r="A163" i="16"/>
  <c r="B163" i="16" s="1"/>
  <c r="E162" i="16"/>
  <c r="D162" i="16"/>
  <c r="H162" i="16" s="1"/>
  <c r="A162" i="16"/>
  <c r="E161" i="16"/>
  <c r="D161" i="16"/>
  <c r="H161" i="16" s="1"/>
  <c r="A161" i="16"/>
  <c r="E160" i="16"/>
  <c r="D160" i="16"/>
  <c r="H160" i="16" s="1"/>
  <c r="I160" i="16" s="1"/>
  <c r="A160" i="16"/>
  <c r="E159" i="16"/>
  <c r="D159" i="16"/>
  <c r="A159" i="16"/>
  <c r="B159" i="16" s="1"/>
  <c r="E158" i="16"/>
  <c r="D158" i="16"/>
  <c r="A158" i="16"/>
  <c r="E157" i="16"/>
  <c r="D157" i="16"/>
  <c r="A157" i="16"/>
  <c r="E156" i="16"/>
  <c r="D156" i="16"/>
  <c r="A156" i="16"/>
  <c r="E155" i="16"/>
  <c r="D155" i="16"/>
  <c r="H155" i="16" s="1"/>
  <c r="A155" i="16"/>
  <c r="B155" i="16" s="1"/>
  <c r="E154" i="16"/>
  <c r="D154" i="16"/>
  <c r="A154" i="16"/>
  <c r="E153" i="16"/>
  <c r="D153" i="16"/>
  <c r="A153" i="16"/>
  <c r="E152" i="16"/>
  <c r="D152" i="16"/>
  <c r="H152" i="16" s="1"/>
  <c r="A152" i="16"/>
  <c r="E151" i="16"/>
  <c r="D151" i="16"/>
  <c r="A151" i="16"/>
  <c r="B151" i="16" s="1"/>
  <c r="E150" i="16"/>
  <c r="D150" i="16"/>
  <c r="A150" i="16"/>
  <c r="E149" i="16"/>
  <c r="D149" i="16"/>
  <c r="H149" i="16" s="1"/>
  <c r="I149" i="16" s="1"/>
  <c r="A149" i="16"/>
  <c r="E148" i="16"/>
  <c r="D148" i="16"/>
  <c r="A148" i="16"/>
  <c r="E147" i="16"/>
  <c r="D147" i="16"/>
  <c r="H147" i="16" s="1"/>
  <c r="A147" i="16"/>
  <c r="B147" i="16" s="1"/>
  <c r="E146" i="16"/>
  <c r="D146" i="16"/>
  <c r="A146" i="16"/>
  <c r="E145" i="16"/>
  <c r="D145" i="16"/>
  <c r="A145" i="16"/>
  <c r="E144" i="16"/>
  <c r="D144" i="16"/>
  <c r="A144" i="16"/>
  <c r="E143" i="16"/>
  <c r="D143" i="16"/>
  <c r="A143" i="16"/>
  <c r="B143" i="16" s="1"/>
  <c r="E142" i="16"/>
  <c r="D142" i="16"/>
  <c r="H142" i="16" s="1"/>
  <c r="A142" i="16"/>
  <c r="E141" i="16"/>
  <c r="D141" i="16"/>
  <c r="A141" i="16"/>
  <c r="E140" i="16"/>
  <c r="D140" i="16"/>
  <c r="A140" i="16"/>
  <c r="E139" i="16"/>
  <c r="D139" i="16"/>
  <c r="H139" i="16" s="1"/>
  <c r="A139" i="16"/>
  <c r="B139" i="16" s="1"/>
  <c r="E138" i="16"/>
  <c r="D138" i="16"/>
  <c r="A138" i="16"/>
  <c r="E137" i="16"/>
  <c r="D137" i="16"/>
  <c r="H137" i="16" s="1"/>
  <c r="I137" i="16" s="1"/>
  <c r="A137" i="16"/>
  <c r="E136" i="16"/>
  <c r="D136" i="16"/>
  <c r="H136" i="16" s="1"/>
  <c r="A136" i="16"/>
  <c r="E135" i="16"/>
  <c r="D135" i="16"/>
  <c r="A135" i="16"/>
  <c r="B135" i="16" s="1"/>
  <c r="E134" i="16"/>
  <c r="D134" i="16"/>
  <c r="A134" i="16"/>
  <c r="E133" i="16"/>
  <c r="D133" i="16"/>
  <c r="H133" i="16" s="1"/>
  <c r="A133" i="16"/>
  <c r="E132" i="16"/>
  <c r="D132" i="16"/>
  <c r="A132" i="16"/>
  <c r="E131" i="16"/>
  <c r="D131" i="16"/>
  <c r="H131" i="16" s="1"/>
  <c r="A131" i="16"/>
  <c r="B131" i="16" s="1"/>
  <c r="E130" i="16"/>
  <c r="D130" i="16"/>
  <c r="A130" i="16"/>
  <c r="E129" i="16"/>
  <c r="D129" i="16"/>
  <c r="A129" i="16"/>
  <c r="E128" i="16"/>
  <c r="D128" i="16"/>
  <c r="A128" i="16"/>
  <c r="E127" i="16"/>
  <c r="D127" i="16"/>
  <c r="A127" i="16"/>
  <c r="B127" i="16" s="1"/>
  <c r="E126" i="16"/>
  <c r="D126" i="16"/>
  <c r="A126" i="16"/>
  <c r="E125" i="16"/>
  <c r="D125" i="16"/>
  <c r="A125" i="16"/>
  <c r="E124" i="16"/>
  <c r="D124" i="16"/>
  <c r="A124" i="16"/>
  <c r="E123" i="16"/>
  <c r="D123" i="16"/>
  <c r="A123" i="16"/>
  <c r="B123" i="16" s="1"/>
  <c r="E122" i="16"/>
  <c r="D122" i="16"/>
  <c r="A122" i="16"/>
  <c r="E121" i="16"/>
  <c r="D121" i="16"/>
  <c r="A121" i="16"/>
  <c r="E120" i="16"/>
  <c r="D120" i="16"/>
  <c r="A120" i="16"/>
  <c r="E119" i="16"/>
  <c r="D119" i="16"/>
  <c r="A119" i="16"/>
  <c r="B119" i="16" s="1"/>
  <c r="E118" i="16"/>
  <c r="D118" i="16"/>
  <c r="A118" i="16"/>
  <c r="E117" i="16"/>
  <c r="D117" i="16"/>
  <c r="A117" i="16"/>
  <c r="E116" i="16"/>
  <c r="D116" i="16"/>
  <c r="A116" i="16"/>
  <c r="E115" i="16"/>
  <c r="D115" i="16"/>
  <c r="A115" i="16"/>
  <c r="B115" i="16" s="1"/>
  <c r="E114" i="16"/>
  <c r="D114" i="16"/>
  <c r="A114" i="16"/>
  <c r="E113" i="16"/>
  <c r="D113" i="16"/>
  <c r="A113" i="16"/>
  <c r="E112" i="16"/>
  <c r="D112" i="16"/>
  <c r="A112" i="16"/>
  <c r="E111" i="16"/>
  <c r="D111" i="16"/>
  <c r="A111" i="16"/>
  <c r="B111" i="16" s="1"/>
  <c r="E110" i="16"/>
  <c r="D110" i="16"/>
  <c r="A110" i="16"/>
  <c r="E109" i="16"/>
  <c r="D109" i="16"/>
  <c r="A109" i="16"/>
  <c r="E108" i="16"/>
  <c r="D108" i="16"/>
  <c r="A108" i="16"/>
  <c r="E107" i="16"/>
  <c r="D107" i="16"/>
  <c r="A107" i="16"/>
  <c r="B107" i="16" s="1"/>
  <c r="E106" i="16"/>
  <c r="D106" i="16"/>
  <c r="A106" i="16"/>
  <c r="E105" i="16"/>
  <c r="D105" i="16"/>
  <c r="A105" i="16"/>
  <c r="E104" i="16"/>
  <c r="D104" i="16"/>
  <c r="A104" i="16"/>
  <c r="E103" i="16"/>
  <c r="D103" i="16"/>
  <c r="A103" i="16"/>
  <c r="B103" i="16" s="1"/>
  <c r="E102" i="16"/>
  <c r="D102" i="16"/>
  <c r="A102" i="16"/>
  <c r="E101" i="16"/>
  <c r="D101" i="16"/>
  <c r="A101" i="16"/>
  <c r="E100" i="16"/>
  <c r="D100" i="16"/>
  <c r="A100" i="16"/>
  <c r="E99" i="16"/>
  <c r="D99" i="16"/>
  <c r="A99" i="16"/>
  <c r="B99" i="16" s="1"/>
  <c r="E98" i="16"/>
  <c r="D98" i="16"/>
  <c r="A98" i="16"/>
  <c r="E97" i="16"/>
  <c r="D97" i="16"/>
  <c r="A97" i="16"/>
  <c r="E96" i="16"/>
  <c r="D96" i="16"/>
  <c r="A96" i="16"/>
  <c r="E95" i="16"/>
  <c r="D95" i="16"/>
  <c r="A95" i="16"/>
  <c r="B95" i="16" s="1"/>
  <c r="E94" i="16"/>
  <c r="D94" i="16"/>
  <c r="A94" i="16"/>
  <c r="E93" i="16"/>
  <c r="D93" i="16"/>
  <c r="A93" i="16"/>
  <c r="E92" i="16"/>
  <c r="D92" i="16"/>
  <c r="A92" i="16"/>
  <c r="E91" i="16"/>
  <c r="D91" i="16"/>
  <c r="A91" i="16"/>
  <c r="B91" i="16" s="1"/>
  <c r="E90" i="16"/>
  <c r="D90" i="16"/>
  <c r="A90" i="16"/>
  <c r="E89" i="16"/>
  <c r="D89" i="16"/>
  <c r="A89" i="16"/>
  <c r="E88" i="16"/>
  <c r="D88" i="16"/>
  <c r="A88" i="16"/>
  <c r="E87" i="16"/>
  <c r="D87" i="16"/>
  <c r="A87" i="16"/>
  <c r="B87" i="16" s="1"/>
  <c r="E86" i="16"/>
  <c r="D86" i="16"/>
  <c r="A86" i="16"/>
  <c r="E85" i="16"/>
  <c r="D85" i="16"/>
  <c r="A85" i="16"/>
  <c r="E84" i="16"/>
  <c r="D84" i="16"/>
  <c r="A84" i="16"/>
  <c r="E83" i="16"/>
  <c r="D83" i="16"/>
  <c r="A83" i="16"/>
  <c r="B83" i="16" s="1"/>
  <c r="E82" i="16"/>
  <c r="D82" i="16"/>
  <c r="A82" i="16"/>
  <c r="E81" i="16"/>
  <c r="D81" i="16"/>
  <c r="A81" i="16"/>
  <c r="E80" i="16"/>
  <c r="D80" i="16"/>
  <c r="A80" i="16"/>
  <c r="E79" i="16"/>
  <c r="D79" i="16"/>
  <c r="A79" i="16"/>
  <c r="B79" i="16" s="1"/>
  <c r="E78" i="16"/>
  <c r="D78" i="16"/>
  <c r="A78" i="16"/>
  <c r="E77" i="16"/>
  <c r="D77" i="16"/>
  <c r="A77" i="16"/>
  <c r="E76" i="16"/>
  <c r="D76" i="16"/>
  <c r="A76" i="16"/>
  <c r="E75" i="16"/>
  <c r="D75" i="16"/>
  <c r="A75" i="16"/>
  <c r="B75" i="16" s="1"/>
  <c r="E74" i="16"/>
  <c r="D74" i="16"/>
  <c r="A74" i="16"/>
  <c r="E73" i="16"/>
  <c r="D73" i="16"/>
  <c r="A73" i="16"/>
  <c r="E72" i="16"/>
  <c r="D72" i="16"/>
  <c r="A72" i="16"/>
  <c r="E71" i="16"/>
  <c r="D71" i="16"/>
  <c r="A71" i="16"/>
  <c r="B71" i="16" s="1"/>
  <c r="E70" i="16"/>
  <c r="D70" i="16"/>
  <c r="A70" i="16"/>
  <c r="E69" i="16"/>
  <c r="D69" i="16"/>
  <c r="A69" i="16"/>
  <c r="E68" i="16"/>
  <c r="D68" i="16"/>
  <c r="A68" i="16"/>
  <c r="E67" i="16"/>
  <c r="D67" i="16"/>
  <c r="A67" i="16"/>
  <c r="B67" i="16" s="1"/>
  <c r="E66" i="16"/>
  <c r="D66" i="16"/>
  <c r="A66" i="16"/>
  <c r="E65" i="16"/>
  <c r="D65" i="16"/>
  <c r="A65" i="16"/>
  <c r="E64" i="16"/>
  <c r="D64" i="16"/>
  <c r="A64" i="16"/>
  <c r="E63" i="16"/>
  <c r="D63" i="16"/>
  <c r="A63" i="16"/>
  <c r="B63" i="16" s="1"/>
  <c r="E62" i="16"/>
  <c r="D62" i="16"/>
  <c r="A62" i="16"/>
  <c r="E61" i="16"/>
  <c r="D61" i="16"/>
  <c r="A61" i="16"/>
  <c r="E60" i="16"/>
  <c r="D60" i="16"/>
  <c r="A60" i="16"/>
  <c r="E59" i="16"/>
  <c r="D59" i="16"/>
  <c r="A59" i="16"/>
  <c r="B59" i="16" s="1"/>
  <c r="E58" i="16"/>
  <c r="D58" i="16"/>
  <c r="A58" i="16"/>
  <c r="E57" i="16"/>
  <c r="D57" i="16"/>
  <c r="A57" i="16"/>
  <c r="E56" i="16"/>
  <c r="D56" i="16"/>
  <c r="A56" i="16"/>
  <c r="E55" i="16"/>
  <c r="D55" i="16"/>
  <c r="A55" i="16"/>
  <c r="B55" i="16" s="1"/>
  <c r="E54" i="16"/>
  <c r="D54" i="16"/>
  <c r="A54" i="16"/>
  <c r="E53" i="16"/>
  <c r="D53" i="16"/>
  <c r="A53" i="16"/>
  <c r="E52" i="16"/>
  <c r="D52" i="16"/>
  <c r="A52" i="16"/>
  <c r="E51" i="16"/>
  <c r="D51" i="16"/>
  <c r="A51" i="16"/>
  <c r="B51" i="16" s="1"/>
  <c r="E50" i="16"/>
  <c r="D50" i="16"/>
  <c r="A50" i="16"/>
  <c r="E49" i="16"/>
  <c r="D49" i="16"/>
  <c r="A49" i="16"/>
  <c r="E48" i="16"/>
  <c r="D48" i="16"/>
  <c r="A48" i="16"/>
  <c r="E47" i="16"/>
  <c r="D47" i="16"/>
  <c r="A47" i="16"/>
  <c r="B47" i="16" s="1"/>
  <c r="E46" i="16"/>
  <c r="D46" i="16"/>
  <c r="A46" i="16"/>
  <c r="E45" i="16"/>
  <c r="D45" i="16"/>
  <c r="A45" i="16"/>
  <c r="E44" i="16"/>
  <c r="D44" i="16"/>
  <c r="A44" i="16"/>
  <c r="E43" i="16"/>
  <c r="D43" i="16"/>
  <c r="A43" i="16"/>
  <c r="B43" i="16" s="1"/>
  <c r="E42" i="16"/>
  <c r="D42" i="16"/>
  <c r="A42" i="16"/>
  <c r="E41" i="16"/>
  <c r="D41" i="16"/>
  <c r="A41" i="16"/>
  <c r="E40" i="16"/>
  <c r="D40" i="16"/>
  <c r="A40" i="16"/>
  <c r="E39" i="16"/>
  <c r="D39" i="16"/>
  <c r="A39" i="16"/>
  <c r="B39" i="16" s="1"/>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E31" i="16"/>
  <c r="D31" i="16"/>
  <c r="A31" i="16"/>
  <c r="E30" i="16"/>
  <c r="D30" i="16"/>
  <c r="A30" i="16"/>
  <c r="B30" i="16" s="1"/>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B12" i="16" s="1"/>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74" i="16" l="1"/>
  <c r="B11" i="16"/>
  <c r="B29" i="16"/>
  <c r="B33" i="16"/>
  <c r="B38" i="16"/>
  <c r="B42" i="16"/>
  <c r="B46" i="16"/>
  <c r="B50" i="16"/>
  <c r="B54" i="16"/>
  <c r="B58" i="16"/>
  <c r="B62" i="16"/>
  <c r="B66" i="16"/>
  <c r="B70" i="16"/>
  <c r="B82" i="16"/>
  <c r="B90" i="16"/>
  <c r="B98" i="16"/>
  <c r="B102" i="16"/>
  <c r="B114" i="16"/>
  <c r="B126" i="16"/>
  <c r="B138" i="16"/>
  <c r="B166" i="16"/>
  <c r="B174" i="16"/>
  <c r="B178" i="16"/>
  <c r="B194" i="16"/>
  <c r="B20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78" i="16"/>
  <c r="B86" i="16"/>
  <c r="B94" i="16"/>
  <c r="B106" i="16"/>
  <c r="B110" i="16"/>
  <c r="B118" i="16"/>
  <c r="B122" i="16"/>
  <c r="B130" i="16"/>
  <c r="B134" i="16"/>
  <c r="B142" i="16"/>
  <c r="B146" i="16"/>
  <c r="B150" i="16"/>
  <c r="B154" i="16"/>
  <c r="B158" i="16"/>
  <c r="B162" i="16"/>
  <c r="B170" i="16"/>
  <c r="B182" i="16"/>
  <c r="B186" i="16"/>
  <c r="B190" i="16"/>
  <c r="B198" i="16"/>
  <c r="B202" i="16"/>
  <c r="B210" i="16"/>
  <c r="B214"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AX20" i="16"/>
  <c r="H20" i="16" s="1"/>
  <c r="AX22" i="16"/>
  <c r="H22" i="16" s="1"/>
  <c r="AX24" i="16"/>
  <c r="F24" i="16" s="1"/>
  <c r="AX26" i="16"/>
  <c r="AX28" i="16"/>
  <c r="H28" i="16" s="1"/>
  <c r="AX30" i="16"/>
  <c r="F30" i="16" s="1"/>
  <c r="AX32" i="16"/>
  <c r="AX34" i="16"/>
  <c r="H34" i="16" s="1"/>
  <c r="AX36" i="16"/>
  <c r="AX38" i="16"/>
  <c r="H38" i="16" s="1"/>
  <c r="AX40" i="16"/>
  <c r="AX42" i="16"/>
  <c r="F42" i="16" s="1"/>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F72" i="16" s="1"/>
  <c r="AX74" i="16"/>
  <c r="AX76" i="16"/>
  <c r="F76" i="16" s="1"/>
  <c r="AX78" i="16"/>
  <c r="AX80" i="16"/>
  <c r="AX82" i="16"/>
  <c r="H82" i="16" s="1"/>
  <c r="AX84" i="16"/>
  <c r="H84" i="16" s="1"/>
  <c r="AX86" i="16"/>
  <c r="F86" i="16" s="1"/>
  <c r="AX88" i="16"/>
  <c r="F88" i="16" s="1"/>
  <c r="AX90" i="16"/>
  <c r="AX92" i="16"/>
  <c r="F92" i="16" s="1"/>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F120" i="16" s="1"/>
  <c r="AX122" i="16"/>
  <c r="H122" i="16" s="1"/>
  <c r="AX124" i="16"/>
  <c r="H124" i="16" s="1"/>
  <c r="AX126" i="16"/>
  <c r="F126" i="16" s="1"/>
  <c r="AX128" i="16"/>
  <c r="F128" i="16" s="1"/>
  <c r="AX130" i="16"/>
  <c r="AX132" i="16"/>
  <c r="F132" i="16" s="1"/>
  <c r="AX134" i="16"/>
  <c r="AX136" i="16"/>
  <c r="F136" i="16" s="1"/>
  <c r="AX138" i="16"/>
  <c r="AX140" i="16"/>
  <c r="F140" i="16" s="1"/>
  <c r="AX142" i="16"/>
  <c r="F142" i="16" s="1"/>
  <c r="AX144" i="16"/>
  <c r="AX146" i="16"/>
  <c r="F146" i="16" s="1"/>
  <c r="AX148" i="16"/>
  <c r="AX150" i="16"/>
  <c r="F150" i="16" s="1"/>
  <c r="AX152" i="16"/>
  <c r="AX154" i="16"/>
  <c r="F154" i="16" s="1"/>
  <c r="AX156" i="16"/>
  <c r="F156" i="16" s="1"/>
  <c r="AX158" i="16"/>
  <c r="F158" i="16" s="1"/>
  <c r="AX160" i="16"/>
  <c r="F160" i="16" s="1"/>
  <c r="AX162" i="16"/>
  <c r="F162" i="16" s="1"/>
  <c r="AX164" i="16"/>
  <c r="F164" i="16" s="1"/>
  <c r="AX166" i="16"/>
  <c r="AX168" i="16"/>
  <c r="F168" i="16" s="1"/>
  <c r="AX170" i="16"/>
  <c r="AX172" i="16"/>
  <c r="F172" i="16" s="1"/>
  <c r="AX174" i="16"/>
  <c r="AX176" i="16"/>
  <c r="F176" i="16" s="1"/>
  <c r="AX178" i="16"/>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F35" i="16" s="1"/>
  <c r="AX37" i="16"/>
  <c r="AX39" i="16"/>
  <c r="F39" i="16" s="1"/>
  <c r="AX41" i="16"/>
  <c r="H41" i="16" s="1"/>
  <c r="AX43" i="16"/>
  <c r="AX45" i="16"/>
  <c r="F45" i="16" s="1"/>
  <c r="AX47" i="16"/>
  <c r="AX49" i="16"/>
  <c r="F49" i="16" s="1"/>
  <c r="AX51" i="16"/>
  <c r="F51" i="16" s="1"/>
  <c r="AX53" i="16"/>
  <c r="H53" i="16" s="1"/>
  <c r="AX55" i="16"/>
  <c r="H55" i="16" s="1"/>
  <c r="AX57" i="16"/>
  <c r="AX59" i="16"/>
  <c r="F59" i="16" s="1"/>
  <c r="AX61" i="16"/>
  <c r="AX63" i="16"/>
  <c r="F63" i="16" s="1"/>
  <c r="AX65" i="16"/>
  <c r="H65" i="16" s="1"/>
  <c r="AX67" i="16"/>
  <c r="AX69" i="16"/>
  <c r="F69" i="16" s="1"/>
  <c r="AX71" i="16"/>
  <c r="F71" i="16" s="1"/>
  <c r="AX73" i="16"/>
  <c r="H73" i="16" s="1"/>
  <c r="AX75" i="16"/>
  <c r="F75" i="16" s="1"/>
  <c r="AX77" i="16"/>
  <c r="H77" i="16" s="1"/>
  <c r="AX79" i="16"/>
  <c r="AX81" i="16"/>
  <c r="H81" i="16" s="1"/>
  <c r="AX83" i="16"/>
  <c r="F83" i="16" s="1"/>
  <c r="AX85" i="16"/>
  <c r="H85" i="16" s="1"/>
  <c r="AX87" i="16"/>
  <c r="AX89" i="16"/>
  <c r="F89" i="16" s="1"/>
  <c r="AX91" i="16"/>
  <c r="H91" i="16" s="1"/>
  <c r="AX93" i="16"/>
  <c r="H93" i="16" s="1"/>
  <c r="AX95" i="16"/>
  <c r="H95" i="16" s="1"/>
  <c r="AX97" i="16"/>
  <c r="H97" i="16" s="1"/>
  <c r="AX99" i="16"/>
  <c r="F99" i="16" s="1"/>
  <c r="AX101" i="16"/>
  <c r="F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F135" i="16" s="1"/>
  <c r="AX137" i="16"/>
  <c r="F137" i="16" s="1"/>
  <c r="AX139" i="16"/>
  <c r="F139" i="16" s="1"/>
  <c r="AX141" i="16"/>
  <c r="F141" i="16" s="1"/>
  <c r="AX143" i="16"/>
  <c r="F143" i="16" s="1"/>
  <c r="AX145" i="16"/>
  <c r="F145" i="16" s="1"/>
  <c r="AX147" i="16"/>
  <c r="F147" i="16" s="1"/>
  <c r="AX149" i="16"/>
  <c r="F149" i="16" s="1"/>
  <c r="AX151" i="16"/>
  <c r="F151" i="16" s="1"/>
  <c r="AX153" i="16"/>
  <c r="F153" i="16" s="1"/>
  <c r="AX155" i="16"/>
  <c r="F155" i="16" s="1"/>
  <c r="AX157" i="16"/>
  <c r="F157" i="16" s="1"/>
  <c r="AX159" i="16"/>
  <c r="AX161" i="16"/>
  <c r="AX163" i="16"/>
  <c r="F163" i="16" s="1"/>
  <c r="AX165" i="16"/>
  <c r="F165" i="16" s="1"/>
  <c r="AX167" i="16"/>
  <c r="F167" i="16" s="1"/>
  <c r="AX169" i="16"/>
  <c r="AX171" i="16"/>
  <c r="F171" i="16" s="1"/>
  <c r="AX173" i="16"/>
  <c r="F173" i="16" s="1"/>
  <c r="AX175" i="16"/>
  <c r="F175" i="16" s="1"/>
  <c r="AX177" i="16"/>
  <c r="F177" i="16" s="1"/>
  <c r="AX179" i="16"/>
  <c r="F179" i="16" s="1"/>
  <c r="AX181" i="16"/>
  <c r="F181" i="16" s="1"/>
  <c r="AX182" i="16"/>
  <c r="AX184" i="16"/>
  <c r="F184" i="16" s="1"/>
  <c r="AX186" i="16"/>
  <c r="F186" i="16" s="1"/>
  <c r="AX188" i="16"/>
  <c r="F188" i="16" s="1"/>
  <c r="AX190" i="16"/>
  <c r="AX192" i="16"/>
  <c r="AX194" i="16"/>
  <c r="AX196" i="16"/>
  <c r="F196" i="16" s="1"/>
  <c r="AX198" i="16"/>
  <c r="F198" i="16" s="1"/>
  <c r="AX200" i="16"/>
  <c r="F200" i="16" s="1"/>
  <c r="AX202" i="16"/>
  <c r="F202" i="16" s="1"/>
  <c r="AX204" i="16"/>
  <c r="F204" i="16" s="1"/>
  <c r="AX206" i="16"/>
  <c r="AX208" i="16"/>
  <c r="F208" i="16" s="1"/>
  <c r="AX210" i="16"/>
  <c r="F210" i="16" s="1"/>
  <c r="AX212" i="16"/>
  <c r="F212" i="16" s="1"/>
  <c r="AX214" i="16"/>
  <c r="F214" i="16" s="1"/>
  <c r="AX216" i="16"/>
  <c r="F216" i="16" s="1"/>
  <c r="AX218" i="16"/>
  <c r="AX220" i="16"/>
  <c r="F220" i="16" s="1"/>
  <c r="AX222" i="16"/>
  <c r="F222" i="16" s="1"/>
  <c r="AX224" i="16"/>
  <c r="AX226" i="16"/>
  <c r="F226" i="16" s="1"/>
  <c r="AX228" i="16"/>
  <c r="AX230" i="16"/>
  <c r="AX232" i="16"/>
  <c r="F232" i="16" s="1"/>
  <c r="AX234" i="16"/>
  <c r="F234" i="16" s="1"/>
  <c r="AX236" i="16"/>
  <c r="F236" i="16" s="1"/>
  <c r="AX238" i="16"/>
  <c r="F238" i="16" s="1"/>
  <c r="AX240" i="16"/>
  <c r="F240" i="16" s="1"/>
  <c r="AX242" i="16"/>
  <c r="F242" i="16" s="1"/>
  <c r="AX244" i="16"/>
  <c r="F244" i="16" s="1"/>
  <c r="AX246" i="16"/>
  <c r="F246" i="16" s="1"/>
  <c r="AX248" i="16"/>
  <c r="AX250" i="16"/>
  <c r="AX252" i="16"/>
  <c r="F252" i="16" s="1"/>
  <c r="AX254" i="16"/>
  <c r="F254" i="16" s="1"/>
  <c r="AX256" i="16"/>
  <c r="F256" i="16" s="1"/>
  <c r="AX258" i="16"/>
  <c r="F258" i="16" s="1"/>
  <c r="AX260" i="16"/>
  <c r="F260" i="16" s="1"/>
  <c r="AX262" i="16"/>
  <c r="AX264" i="16"/>
  <c r="F264" i="16" s="1"/>
  <c r="AX266" i="16"/>
  <c r="F266" i="16" s="1"/>
  <c r="AX268" i="16"/>
  <c r="AX270" i="16"/>
  <c r="F270" i="16" s="1"/>
  <c r="AX272" i="16"/>
  <c r="F272" i="16" s="1"/>
  <c r="AX274" i="16"/>
  <c r="F274" i="16" s="1"/>
  <c r="AX276" i="16"/>
  <c r="F276" i="16" s="1"/>
  <c r="AX278" i="16"/>
  <c r="F278" i="16" s="1"/>
  <c r="AX280" i="16"/>
  <c r="AX282" i="16"/>
  <c r="F282" i="16" s="1"/>
  <c r="AX284" i="16"/>
  <c r="F284" i="16" s="1"/>
  <c r="AX286" i="16"/>
  <c r="F286" i="16" s="1"/>
  <c r="AX288" i="16"/>
  <c r="AX290" i="16"/>
  <c r="F290" i="16" s="1"/>
  <c r="AX292" i="16"/>
  <c r="AX294" i="16"/>
  <c r="F294" i="16" s="1"/>
  <c r="AX296" i="16"/>
  <c r="F296" i="16" s="1"/>
  <c r="AX298" i="16"/>
  <c r="F298" i="16" s="1"/>
  <c r="AX300" i="16"/>
  <c r="F300" i="16" s="1"/>
  <c r="AX302" i="16"/>
  <c r="H302" i="16" s="1"/>
  <c r="AX304" i="16"/>
  <c r="F304" i="16" s="1"/>
  <c r="AX306" i="16"/>
  <c r="F306" i="16" s="1"/>
  <c r="AX308" i="16"/>
  <c r="F308" i="16" s="1"/>
  <c r="AX310" i="16"/>
  <c r="F310" i="16" s="1"/>
  <c r="AX312" i="16"/>
  <c r="AX314" i="16"/>
  <c r="AX316" i="16"/>
  <c r="AX318" i="16"/>
  <c r="AX320" i="16"/>
  <c r="F320" i="16" s="1"/>
  <c r="AX322" i="16"/>
  <c r="F322" i="16" s="1"/>
  <c r="AX324" i="16"/>
  <c r="F324" i="16" s="1"/>
  <c r="AX326" i="16"/>
  <c r="F326" i="16" s="1"/>
  <c r="AX328" i="16"/>
  <c r="F328" i="16" s="1"/>
  <c r="AX330" i="16"/>
  <c r="F330" i="16" s="1"/>
  <c r="AX332" i="16"/>
  <c r="F332" i="16" s="1"/>
  <c r="AX334" i="16"/>
  <c r="F334" i="16" s="1"/>
  <c r="AX336" i="16"/>
  <c r="F336" i="16" s="1"/>
  <c r="AX338" i="16"/>
  <c r="AX340" i="16"/>
  <c r="F340" i="16" s="1"/>
  <c r="AX342" i="16"/>
  <c r="H342" i="16" s="1"/>
  <c r="AX344" i="16"/>
  <c r="AX346" i="16"/>
  <c r="F346" i="16" s="1"/>
  <c r="AX348" i="16"/>
  <c r="F348" i="16" s="1"/>
  <c r="AX350" i="16"/>
  <c r="H350" i="16" s="1"/>
  <c r="AX352" i="16"/>
  <c r="F352" i="16" s="1"/>
  <c r="AX183" i="16"/>
  <c r="F183" i="16" s="1"/>
  <c r="AX185" i="16"/>
  <c r="F185" i="16" s="1"/>
  <c r="AX187" i="16"/>
  <c r="H187" i="16" s="1"/>
  <c r="AX189" i="16"/>
  <c r="AX191" i="16"/>
  <c r="H191" i="16" s="1"/>
  <c r="AX193" i="16"/>
  <c r="F193" i="16" s="1"/>
  <c r="AX195" i="16"/>
  <c r="AX197" i="16"/>
  <c r="F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F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192" i="16"/>
  <c r="F224" i="16"/>
  <c r="F47" i="16"/>
  <c r="F65" i="16"/>
  <c r="F125" i="16"/>
  <c r="F189" i="16"/>
  <c r="F269" i="16"/>
  <c r="F138" i="16"/>
  <c r="F178" i="16"/>
  <c r="F17" i="16"/>
  <c r="F57" i="16"/>
  <c r="F79" i="16"/>
  <c r="F312" i="16"/>
  <c r="D50" i="8"/>
  <c r="G3" i="16"/>
  <c r="J9" i="8" s="1"/>
  <c r="I3" i="16"/>
  <c r="P8" i="16"/>
  <c r="AF11" i="16"/>
  <c r="F3" i="16"/>
  <c r="H3" i="16"/>
  <c r="J11" i="8" s="1"/>
  <c r="F344" i="16"/>
  <c r="F288" i="16"/>
  <c r="F248" i="16"/>
  <c r="F190" i="16"/>
  <c r="F170" i="16"/>
  <c r="F152" i="16"/>
  <c r="F130" i="16"/>
  <c r="F169" i="16"/>
  <c r="F161" i="16"/>
  <c r="F18" i="16"/>
  <c r="F40" i="16"/>
  <c r="F50" i="16"/>
  <c r="F56" i="16"/>
  <c r="F93" i="16" l="1"/>
  <c r="F46" i="16"/>
  <c r="F187" i="16"/>
  <c r="F98" i="16"/>
  <c r="F73" i="16"/>
  <c r="F41" i="16"/>
  <c r="F113" i="16"/>
  <c r="F81" i="16"/>
  <c r="F34" i="16"/>
  <c r="F341" i="16"/>
  <c r="F85" i="16"/>
  <c r="F52" i="16"/>
  <c r="F22" i="16"/>
  <c r="F102" i="16"/>
  <c r="F38" i="16"/>
  <c r="F207" i="16"/>
  <c r="F55" i="16"/>
  <c r="F350" i="16"/>
  <c r="F203" i="16"/>
  <c r="F302" i="16"/>
  <c r="F127" i="16"/>
  <c r="F95" i="16"/>
  <c r="F84" i="16"/>
  <c r="F124" i="16"/>
  <c r="F283" i="16"/>
  <c r="F117" i="16"/>
  <c r="F29" i="16"/>
  <c r="F91" i="16"/>
  <c r="F21" i="16"/>
  <c r="F108" i="16"/>
  <c r="F28" i="16"/>
  <c r="F20" i="16"/>
  <c r="F271" i="16"/>
  <c r="F53" i="16"/>
  <c r="F19" i="16"/>
  <c r="F109" i="16"/>
  <c r="F62"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H281" i="16"/>
  <c r="F281" i="16"/>
  <c r="F293" i="16"/>
  <c r="H293" i="16"/>
  <c r="F309" i="16"/>
  <c r="H309" i="16"/>
  <c r="H292" i="16"/>
  <c r="F292" i="16"/>
  <c r="H316" i="16"/>
  <c r="F316" i="16"/>
  <c r="H351" i="16"/>
  <c r="F351" i="16"/>
  <c r="H363" i="16"/>
  <c r="F363" i="16"/>
  <c r="AG19" i="16" l="1"/>
  <c r="AG23" i="16"/>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AR62" i="16" l="1"/>
  <c r="Y63" i="16"/>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R79" i="16" s="1"/>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AC80" i="16" l="1"/>
  <c r="Y81" i="16"/>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C94" i="16" s="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AC108" i="16" s="1"/>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V117" i="16" l="1"/>
  <c r="Y118" i="16"/>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Y146" i="16" s="1"/>
  <c r="Z146" i="16" s="1"/>
  <c r="M146" i="16"/>
  <c r="N146" i="16" s="1"/>
  <c r="L147" i="16"/>
  <c r="AJ146" i="16" l="1"/>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Y149" i="16" s="1"/>
  <c r="Z149" i="16" s="1"/>
  <c r="M149" i="16"/>
  <c r="N149" i="16" s="1"/>
  <c r="AI149" i="16"/>
  <c r="T149" i="16"/>
  <c r="U149" i="16" s="1"/>
  <c r="S149" i="16"/>
  <c r="AP149" i="16"/>
  <c r="AA149" i="16"/>
  <c r="L150" i="16"/>
  <c r="AJ149" i="16" l="1"/>
  <c r="AQ149" i="16"/>
  <c r="AB149" i="16"/>
  <c r="AP150" i="16"/>
  <c r="AA150" i="16"/>
  <c r="S150" i="16"/>
  <c r="AI150" i="16"/>
  <c r="T150" i="16"/>
  <c r="X150" i="16"/>
  <c r="Y150" i="16" s="1"/>
  <c r="M150" i="16"/>
  <c r="N150" i="16" s="1"/>
  <c r="L151" i="16"/>
  <c r="Z150" i="16" l="1"/>
  <c r="AJ150" i="16"/>
  <c r="AQ150" i="16"/>
  <c r="AB150" i="16"/>
  <c r="U150" i="16"/>
  <c r="X151" i="16"/>
  <c r="M151" i="16"/>
  <c r="N151" i="16" s="1"/>
  <c r="AI151" i="16"/>
  <c r="T151" i="16"/>
  <c r="S151" i="16"/>
  <c r="AP151" i="16"/>
  <c r="AA151" i="16"/>
  <c r="L152" i="16"/>
  <c r="AR150" i="16" l="1"/>
  <c r="Y151" i="16"/>
  <c r="V150" i="16"/>
  <c r="AJ151" i="16"/>
  <c r="AQ151" i="16"/>
  <c r="U151" i="16"/>
  <c r="AB151" i="16"/>
  <c r="AP152" i="16"/>
  <c r="AA152" i="16"/>
  <c r="S152" i="16"/>
  <c r="AI152" i="16"/>
  <c r="AJ152" i="16" s="1"/>
  <c r="AK152" i="16" s="1"/>
  <c r="T152" i="16"/>
  <c r="X152" i="16"/>
  <c r="Y152" i="16" s="1"/>
  <c r="Z152" i="16" s="1"/>
  <c r="M152" i="16"/>
  <c r="N152" i="16" s="1"/>
  <c r="L153" i="16"/>
  <c r="U152" i="16" l="1"/>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C155"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AR166" i="16" s="1"/>
  <c r="L168" i="16"/>
  <c r="X167" i="16"/>
  <c r="Y167" i="16" s="1"/>
  <c r="Z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Y182" i="16" s="1"/>
  <c r="Z182" i="16" s="1"/>
  <c r="M182" i="16"/>
  <c r="N182" i="16" s="1"/>
  <c r="L183" i="16"/>
  <c r="AJ182" i="16" l="1"/>
  <c r="U182" i="16"/>
  <c r="AQ182" i="16"/>
  <c r="AB182" i="16"/>
  <c r="X183" i="16"/>
  <c r="M183" i="16"/>
  <c r="N183" i="16" s="1"/>
  <c r="AI183" i="16"/>
  <c r="AJ183" i="16" s="1"/>
  <c r="T183" i="16"/>
  <c r="S183" i="16"/>
  <c r="AP183" i="16"/>
  <c r="AA183" i="16"/>
  <c r="L184" i="16"/>
  <c r="Y183" i="16" l="1"/>
  <c r="V182" i="16"/>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Z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AR196" i="16" l="1"/>
  <c r="Y197" i="16"/>
  <c r="AC196" i="16"/>
  <c r="V196" i="16"/>
  <c r="AQ197" i="16"/>
  <c r="U197" i="16"/>
  <c r="AB197" i="16"/>
  <c r="AP198" i="16"/>
  <c r="AA198" i="16"/>
  <c r="S198" i="16"/>
  <c r="AI198" i="16"/>
  <c r="T198" i="16"/>
  <c r="X198" i="16"/>
  <c r="Y198" i="16" s="1"/>
  <c r="Z198" i="16" s="1"/>
  <c r="M198" i="16"/>
  <c r="N198" i="16" s="1"/>
  <c r="L199" i="16"/>
  <c r="AC197" i="16" l="1"/>
  <c r="AJ198" i="16"/>
  <c r="U198" i="16"/>
  <c r="V198" i="16" s="1"/>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Z202" i="16" s="1"/>
  <c r="M202" i="16"/>
  <c r="N202" i="16" s="1"/>
  <c r="L203" i="16"/>
  <c r="AK202" i="16" l="1"/>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AR204" i="16" l="1"/>
  <c r="AC204" i="16"/>
  <c r="V205" i="16"/>
  <c r="AP206" i="16"/>
  <c r="AQ206" i="16" s="1"/>
  <c r="AR206" i="16" s="1"/>
  <c r="AA206" i="16"/>
  <c r="S206" i="16"/>
  <c r="AI206" i="16"/>
  <c r="AJ206" i="16" s="1"/>
  <c r="AK206" i="16" s="1"/>
  <c r="T206" i="16"/>
  <c r="U206" i="16" s="1"/>
  <c r="V206" i="16" s="1"/>
  <c r="X206" i="16"/>
  <c r="Y206" i="16" s="1"/>
  <c r="Z206" i="16" s="1"/>
  <c r="M206" i="16"/>
  <c r="N206" i="16" s="1"/>
  <c r="L207" i="16"/>
  <c r="AB206" i="16" l="1"/>
  <c r="X207" i="16"/>
  <c r="Y207" i="16" s="1"/>
  <c r="Z207" i="16" s="1"/>
  <c r="M207" i="16"/>
  <c r="AI207" i="16"/>
  <c r="AJ207" i="16" s="1"/>
  <c r="AK207" i="16" s="1"/>
  <c r="T207" i="16"/>
  <c r="U207" i="16" s="1"/>
  <c r="V207" i="16" s="1"/>
  <c r="S207" i="16"/>
  <c r="AP207" i="16"/>
  <c r="AQ207" i="16" s="1"/>
  <c r="AR207" i="16" s="1"/>
  <c r="AA207" i="16"/>
  <c r="AB207" i="16" s="1"/>
  <c r="AC207" i="16" s="1"/>
  <c r="N207" i="16"/>
  <c r="L208" i="16"/>
  <c r="AC206" i="16" l="1"/>
  <c r="AP208" i="16"/>
  <c r="AQ208" i="16" s="1"/>
  <c r="AR208" i="16" s="1"/>
  <c r="AA208" i="16"/>
  <c r="S208" i="16"/>
  <c r="AI208" i="16"/>
  <c r="AJ208" i="16" s="1"/>
  <c r="T208" i="16"/>
  <c r="U208" i="16" s="1"/>
  <c r="X208" i="16"/>
  <c r="Y208" i="16" s="1"/>
  <c r="Z208" i="16" s="1"/>
  <c r="M208" i="16"/>
  <c r="N208" i="16" s="1"/>
  <c r="L209" i="16"/>
  <c r="V208" i="16" l="1"/>
  <c r="AK208" i="16"/>
  <c r="AB208" i="16"/>
  <c r="X209" i="16"/>
  <c r="Y209" i="16" s="1"/>
  <c r="Z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Z211" i="16" s="1"/>
  <c r="M211" i="16"/>
  <c r="N211" i="16" s="1"/>
  <c r="AI211" i="16"/>
  <c r="AJ211" i="16" s="1"/>
  <c r="AK211" i="16" s="1"/>
  <c r="T211" i="16"/>
  <c r="U211" i="16" s="1"/>
  <c r="V211" i="16" s="1"/>
  <c r="S211" i="16"/>
  <c r="AP211" i="16"/>
  <c r="AQ211" i="16" s="1"/>
  <c r="AR211" i="16" s="1"/>
  <c r="AA211" i="16"/>
  <c r="AB211" i="16" s="1"/>
  <c r="AC211" i="16" s="1"/>
  <c r="L212" i="16"/>
  <c r="AC210" i="16" l="1"/>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Z214" i="16" s="1"/>
  <c r="M214" i="16"/>
  <c r="N214" i="16" s="1"/>
  <c r="L215" i="16"/>
  <c r="AJ214" i="16" l="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L216" i="16"/>
  <c r="AP216" i="16" l="1"/>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V25" i="16" s="1"/>
  <c r="AA363" i="16"/>
  <c r="S363" i="16"/>
  <c r="M363" i="16"/>
  <c r="M9" i="16" s="1"/>
  <c r="L37" i="8" s="1"/>
  <c r="K37" i="8" s="1"/>
  <c r="AI363" i="16"/>
  <c r="AJ363" i="16" s="1"/>
  <c r="AK132" i="16" s="1"/>
  <c r="Y9" i="16"/>
  <c r="L38" i="8" s="1"/>
  <c r="U69" i="8"/>
  <c r="U67" i="8"/>
  <c r="U70" i="8"/>
  <c r="U68" i="8"/>
  <c r="U71" i="8"/>
  <c r="U73" i="8"/>
  <c r="U72" i="8"/>
  <c r="G119" i="8"/>
  <c r="AR59" i="16" l="1"/>
  <c r="AR63"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50"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63"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21" i="16"/>
  <c r="AC27" i="16"/>
  <c r="AC34" i="16"/>
  <c r="AC42" i="16"/>
  <c r="AC49" i="16"/>
  <c r="AC53" i="16"/>
  <c r="AC55" i="16"/>
  <c r="AC58"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32" i="16"/>
  <c r="AC44" i="16"/>
  <c r="AC45" i="16"/>
  <c r="AC47" i="16"/>
  <c r="AC48" i="16"/>
  <c r="AC15" i="16"/>
  <c r="AC28" i="16"/>
  <c r="AC33" i="16"/>
  <c r="AC38" i="16"/>
  <c r="AC39" i="16"/>
  <c r="AC51" i="16"/>
  <c r="AC54" i="16"/>
  <c r="AC57" i="16"/>
  <c r="AC59"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223"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4" i="16"/>
  <c r="P334" i="16"/>
  <c r="P290" i="16"/>
  <c r="P224" i="16"/>
  <c r="P249" i="16"/>
  <c r="P281" i="16"/>
  <c r="K32" i="8"/>
  <c r="K50" i="8" s="1"/>
  <c r="P360" i="16"/>
  <c r="P348" i="16"/>
  <c r="P316" i="16"/>
  <c r="P278" i="16"/>
  <c r="P254" i="16"/>
  <c r="P319" i="16"/>
  <c r="P110" i="16"/>
  <c r="P308" i="16"/>
  <c r="P276" i="16"/>
  <c r="P256" i="16"/>
  <c r="P244" i="16"/>
  <c r="P176" i="16"/>
  <c r="P323" i="16"/>
  <c r="P289" i="16"/>
  <c r="P78" i="16"/>
  <c r="P234" i="16"/>
  <c r="P222" i="16"/>
  <c r="P190" i="16"/>
  <c r="P353" i="16"/>
  <c r="P341" i="16"/>
  <c r="P309" i="16"/>
  <c r="P269" i="16"/>
  <c r="P245" i="16"/>
  <c r="P134" i="16"/>
  <c r="P22" i="16"/>
  <c r="P163" i="16"/>
  <c r="P291" i="16"/>
  <c r="P287" i="16"/>
  <c r="P259" i="16"/>
  <c r="P227" i="16"/>
  <c r="P223" i="16"/>
  <c r="P162" i="16"/>
  <c r="P86" i="16"/>
  <c r="P70" i="16"/>
  <c r="P14" i="16"/>
  <c r="P91" i="16"/>
  <c r="P17" i="16"/>
  <c r="P217" i="16"/>
  <c r="P185" i="16"/>
  <c r="P178" i="16"/>
  <c r="P148" i="16"/>
  <c r="P116" i="16"/>
  <c r="P112" i="16"/>
  <c r="P18" i="16"/>
  <c r="P127" i="16"/>
  <c r="P119" i="16"/>
  <c r="P21" i="16"/>
  <c r="P13" i="16"/>
  <c r="P84" i="16"/>
  <c r="P80" i="16"/>
  <c r="P24" i="16"/>
  <c r="P20" i="16"/>
  <c r="P16" i="16"/>
  <c r="P12" i="16"/>
  <c r="P169" i="16"/>
  <c r="P137" i="16"/>
  <c r="P133" i="16"/>
  <c r="P105" i="16"/>
  <c r="P73" i="16"/>
  <c r="P69" i="16"/>
  <c r="P23" i="16"/>
  <c r="P19" i="16"/>
  <c r="P15" i="16"/>
  <c r="P48" i="16"/>
  <c r="P44" i="16"/>
  <c r="P55" i="16"/>
  <c r="Q12" i="16"/>
  <c r="Q14" i="16"/>
  <c r="Q28" i="16"/>
  <c r="Q44" i="16"/>
  <c r="Q92" i="16"/>
  <c r="Q122" i="16"/>
  <c r="Q25" i="16"/>
  <c r="Q27" i="16"/>
  <c r="Q41" i="16"/>
  <c r="Q91" i="16"/>
  <c r="Q239" i="16"/>
  <c r="Q212" i="16"/>
  <c r="Q324" i="16"/>
  <c r="P58" i="16"/>
  <c r="P38" i="16"/>
  <c r="P30" i="16"/>
  <c r="P57" i="16"/>
  <c r="P37" i="16"/>
  <c r="P33" i="16"/>
  <c r="P25" i="16"/>
  <c r="AC13" i="16" l="1"/>
  <c r="AC61" i="16"/>
  <c r="AC56" i="16"/>
  <c r="AC31" i="16"/>
  <c r="AC52" i="16"/>
  <c r="AC40" i="16"/>
  <c r="Q308" i="16"/>
  <c r="AC22" i="16"/>
  <c r="Q206" i="16"/>
  <c r="Q46" i="16"/>
  <c r="R322" i="16"/>
  <c r="Q240" i="16"/>
  <c r="Q99" i="16"/>
  <c r="R250" i="16"/>
  <c r="AC23" i="16"/>
  <c r="AC37" i="16"/>
  <c r="Q319" i="16"/>
  <c r="AC16" i="16"/>
  <c r="AC60" i="16"/>
  <c r="Q284" i="16"/>
  <c r="Q163" i="16"/>
  <c r="Q73" i="16"/>
  <c r="Q78" i="16"/>
  <c r="R197" i="16"/>
  <c r="Q352" i="16"/>
  <c r="Q268" i="16"/>
  <c r="Q287" i="16"/>
  <c r="Q131" i="16"/>
  <c r="Q59" i="16"/>
  <c r="Q178" i="16"/>
  <c r="Q60" i="16"/>
  <c r="R78" i="16"/>
  <c r="AC43" i="16"/>
  <c r="AC36" i="16"/>
  <c r="AC20" i="16"/>
  <c r="AC35" i="16"/>
  <c r="AC11" i="16"/>
  <c r="Q348" i="16"/>
  <c r="Q304" i="16"/>
  <c r="Q260" i="16"/>
  <c r="Q200" i="16"/>
  <c r="Q279" i="16"/>
  <c r="Q203" i="16"/>
  <c r="Q123" i="16"/>
  <c r="Q89" i="16"/>
  <c r="Q57" i="16"/>
  <c r="Q114" i="16"/>
  <c r="Q76" i="16"/>
  <c r="R242" i="16"/>
  <c r="AC50" i="16"/>
  <c r="AC29" i="16"/>
  <c r="AC62" i="16"/>
  <c r="P53" i="16"/>
  <c r="P54" i="16"/>
  <c r="Q332" i="16"/>
  <c r="Q288" i="16"/>
  <c r="Q244" i="16"/>
  <c r="Q335" i="16"/>
  <c r="Q247" i="16"/>
  <c r="Q171" i="16"/>
  <c r="Q103" i="16"/>
  <c r="Q75" i="16"/>
  <c r="Q43" i="16"/>
  <c r="Q11" i="16"/>
  <c r="Q94" i="16"/>
  <c r="Q62" i="16"/>
  <c r="Q30" i="16"/>
  <c r="P51" i="16"/>
  <c r="R338" i="16"/>
  <c r="P101" i="16"/>
  <c r="P165" i="16"/>
  <c r="P183" i="16"/>
  <c r="P144" i="16"/>
  <c r="P213" i="16"/>
  <c r="P139" i="16"/>
  <c r="P154" i="16"/>
  <c r="P255" i="16"/>
  <c r="P131" i="16"/>
  <c r="P187" i="16"/>
  <c r="P321" i="16"/>
  <c r="P202" i="16"/>
  <c r="P195" i="16"/>
  <c r="P204" i="16"/>
  <c r="P288" i="16"/>
  <c r="P184" i="16"/>
  <c r="P328" i="16"/>
  <c r="P179" i="16"/>
  <c r="P192" i="16"/>
  <c r="AB9" i="16"/>
  <c r="AC14" i="16"/>
  <c r="AC30" i="16"/>
  <c r="AC17" i="16"/>
  <c r="AC19" i="16"/>
  <c r="AC26" i="16"/>
  <c r="AC24" i="16"/>
  <c r="AC18" i="16"/>
  <c r="R166" i="16"/>
  <c r="R55" i="16"/>
  <c r="R65" i="16"/>
  <c r="R261" i="16"/>
  <c r="R341" i="16"/>
  <c r="R258" i="16"/>
  <c r="R306" i="16"/>
  <c r="R346" i="16"/>
  <c r="R119" i="16"/>
  <c r="R171" i="16"/>
  <c r="R277" i="16"/>
  <c r="R357" i="16"/>
  <c r="R274" i="16"/>
  <c r="R314" i="16"/>
  <c r="R354" i="16"/>
  <c r="P338" i="16"/>
  <c r="P346" i="16"/>
  <c r="P282" i="16"/>
  <c r="P314" i="16"/>
  <c r="P343" i="16"/>
  <c r="P311" i="16"/>
  <c r="P359" i="16"/>
  <c r="P327" i="16"/>
  <c r="P356" i="16"/>
  <c r="P340" i="16"/>
  <c r="P324" i="16"/>
  <c r="P302" i="16"/>
  <c r="P270" i="16"/>
  <c r="P232" i="16"/>
  <c r="P351" i="16"/>
  <c r="P265" i="16"/>
  <c r="P115" i="16"/>
  <c r="P300" i="16"/>
  <c r="P284" i="16"/>
  <c r="P268" i="16"/>
  <c r="P252" i="16"/>
  <c r="P228" i="16"/>
  <c r="P196" i="16"/>
  <c r="P347" i="16"/>
  <c r="P315" i="16"/>
  <c r="P257" i="16"/>
  <c r="P158" i="16"/>
  <c r="P83" i="16"/>
  <c r="P230" i="16"/>
  <c r="P214" i="16"/>
  <c r="P198" i="16"/>
  <c r="P180" i="16"/>
  <c r="P349" i="16"/>
  <c r="P333" i="16"/>
  <c r="P317" i="16"/>
  <c r="P293" i="16"/>
  <c r="P261" i="16"/>
  <c r="P229" i="16"/>
  <c r="P166" i="16"/>
  <c r="P94" i="16"/>
  <c r="P99" i="16"/>
  <c r="P299" i="16"/>
  <c r="P283" i="16"/>
  <c r="P267" i="16"/>
  <c r="P251" i="16"/>
  <c r="P235" i="16"/>
  <c r="P215" i="16"/>
  <c r="P182" i="16"/>
  <c r="P146" i="16"/>
  <c r="P114" i="16"/>
  <c r="P123" i="16"/>
  <c r="P209" i="16"/>
  <c r="P193" i="16"/>
  <c r="P172" i="16"/>
  <c r="P156" i="16"/>
  <c r="P140" i="16"/>
  <c r="P124" i="16"/>
  <c r="P106" i="16"/>
  <c r="P74" i="16"/>
  <c r="P175" i="16"/>
  <c r="P143" i="16"/>
  <c r="P111" i="16"/>
  <c r="P79" i="16"/>
  <c r="P108" i="16"/>
  <c r="P92" i="16"/>
  <c r="P76" i="16"/>
  <c r="P177" i="16"/>
  <c r="P161" i="16"/>
  <c r="P145" i="16"/>
  <c r="P129" i="16"/>
  <c r="P113" i="16"/>
  <c r="P97" i="16"/>
  <c r="P81" i="16"/>
  <c r="P56" i="16"/>
  <c r="P40" i="16"/>
  <c r="P63" i="16"/>
  <c r="P47" i="16"/>
  <c r="P31" i="16"/>
  <c r="Q16" i="16"/>
  <c r="Q24" i="16"/>
  <c r="Q32" i="16"/>
  <c r="Q40" i="16"/>
  <c r="Q48" i="16"/>
  <c r="Q56" i="16"/>
  <c r="Q64" i="16"/>
  <c r="Q72" i="16"/>
  <c r="Q80" i="16"/>
  <c r="Q88" i="16"/>
  <c r="Q96" i="16"/>
  <c r="Q104" i="16"/>
  <c r="Q130" i="16"/>
  <c r="Q162" i="16"/>
  <c r="Q13" i="16"/>
  <c r="Q21" i="16"/>
  <c r="Q29" i="16"/>
  <c r="Q37" i="16"/>
  <c r="Q45" i="16"/>
  <c r="Q53" i="16"/>
  <c r="Q61" i="16"/>
  <c r="Q69" i="16"/>
  <c r="Q77" i="16"/>
  <c r="Q85" i="16"/>
  <c r="Q93" i="16"/>
  <c r="Q101" i="16"/>
  <c r="Q115" i="16"/>
  <c r="Q147" i="16"/>
  <c r="Q179" i="16"/>
  <c r="Q190" i="16"/>
  <c r="Q231" i="16"/>
  <c r="Q263" i="16"/>
  <c r="Q295" i="16"/>
  <c r="Q327" i="16"/>
  <c r="Q359" i="16"/>
  <c r="Q228" i="16"/>
  <c r="Q248" i="16"/>
  <c r="Q264" i="16"/>
  <c r="Q280" i="16"/>
  <c r="Q296" i="16"/>
  <c r="Q312" i="16"/>
  <c r="Q328" i="16"/>
  <c r="Q344" i="16"/>
  <c r="Q360" i="16"/>
  <c r="P50" i="16"/>
  <c r="P34" i="16"/>
  <c r="P61" i="16"/>
  <c r="P45" i="16"/>
  <c r="P29" i="16"/>
  <c r="P52" i="16"/>
  <c r="P36" i="16"/>
  <c r="P59" i="16"/>
  <c r="P43" i="16"/>
  <c r="T32" i="8"/>
  <c r="M52" i="8" s="1"/>
  <c r="Q19" i="16"/>
  <c r="Q26" i="16"/>
  <c r="Q34" i="16"/>
  <c r="Q42" i="16"/>
  <c r="Q50" i="16"/>
  <c r="Q58" i="16"/>
  <c r="Q66" i="16"/>
  <c r="Q74" i="16"/>
  <c r="Q82" i="16"/>
  <c r="Q90" i="16"/>
  <c r="Q98" i="16"/>
  <c r="Q106" i="16"/>
  <c r="Q138" i="16"/>
  <c r="Q170" i="16"/>
  <c r="Q15" i="16"/>
  <c r="Q23" i="16"/>
  <c r="Q31" i="16"/>
  <c r="Q39" i="16"/>
  <c r="Q47" i="16"/>
  <c r="Q55" i="16"/>
  <c r="Q63" i="16"/>
  <c r="Q71" i="16"/>
  <c r="Q79" i="16"/>
  <c r="Q87" i="16"/>
  <c r="P330" i="16"/>
  <c r="P306" i="16"/>
  <c r="P342" i="16"/>
  <c r="P240" i="16"/>
  <c r="P322" i="16"/>
  <c r="P274" i="16"/>
  <c r="P211" i="16"/>
  <c r="P142" i="16"/>
  <c r="P362" i="16"/>
  <c r="P352" i="16"/>
  <c r="P336" i="16"/>
  <c r="P320" i="16"/>
  <c r="P294" i="16"/>
  <c r="P262" i="16"/>
  <c r="P216" i="16"/>
  <c r="P335" i="16"/>
  <c r="P233" i="16"/>
  <c r="P312" i="16"/>
  <c r="P296" i="16"/>
  <c r="P280" i="16"/>
  <c r="P264" i="16"/>
  <c r="P248" i="16"/>
  <c r="P220" i="16"/>
  <c r="P188" i="16"/>
  <c r="P339" i="16"/>
  <c r="P305" i="16"/>
  <c r="P241" i="16"/>
  <c r="P126" i="16"/>
  <c r="P242" i="16"/>
  <c r="P226" i="16"/>
  <c r="P210" i="16"/>
  <c r="P194" i="16"/>
  <c r="P361" i="16"/>
  <c r="P345" i="16"/>
  <c r="P329" i="16"/>
  <c r="P313" i="16"/>
  <c r="P285" i="16"/>
  <c r="P253" i="16"/>
  <c r="P219" i="16"/>
  <c r="P150" i="16"/>
  <c r="P67" i="16"/>
  <c r="P295" i="16"/>
  <c r="P279" i="16"/>
  <c r="P263" i="16"/>
  <c r="P247" i="16"/>
  <c r="P231" i="16"/>
  <c r="P207" i="16"/>
  <c r="P170" i="16"/>
  <c r="P138" i="16"/>
  <c r="P102" i="16"/>
  <c r="P171" i="16"/>
  <c r="P107" i="16"/>
  <c r="P221" i="16"/>
  <c r="P205" i="16"/>
  <c r="P189" i="16"/>
  <c r="P168" i="16"/>
  <c r="P152" i="16"/>
  <c r="P136" i="16"/>
  <c r="P120" i="16"/>
  <c r="P98" i="16"/>
  <c r="P66" i="16"/>
  <c r="P167" i="16"/>
  <c r="P135" i="16"/>
  <c r="P103" i="16"/>
  <c r="P71" i="16"/>
  <c r="P104" i="16"/>
  <c r="P88" i="16"/>
  <c r="P72" i="16"/>
  <c r="P173" i="16"/>
  <c r="P157" i="16"/>
  <c r="P141" i="16"/>
  <c r="P125" i="16"/>
  <c r="P109" i="16"/>
  <c r="P93" i="16"/>
  <c r="P77" i="16"/>
  <c r="P41" i="16"/>
  <c r="P65" i="16"/>
  <c r="P42" i="16"/>
  <c r="P62" i="16"/>
  <c r="Q340" i="16"/>
  <c r="Q320" i="16"/>
  <c r="Q300" i="16"/>
  <c r="Q276" i="16"/>
  <c r="Q256" i="16"/>
  <c r="Q236" i="16"/>
  <c r="Q351" i="16"/>
  <c r="Q311" i="16"/>
  <c r="Q271" i="16"/>
  <c r="Q223" i="16"/>
  <c r="Q195" i="16"/>
  <c r="Q155" i="16"/>
  <c r="Q107" i="16"/>
  <c r="Q97" i="16"/>
  <c r="Q83" i="16"/>
  <c r="Q67" i="16"/>
  <c r="Q51" i="16"/>
  <c r="Q35" i="16"/>
  <c r="Q18" i="16"/>
  <c r="Q154" i="16"/>
  <c r="Q102" i="16"/>
  <c r="Q86" i="16"/>
  <c r="Q70" i="16"/>
  <c r="Q54" i="16"/>
  <c r="Q38" i="16"/>
  <c r="Q22" i="16"/>
  <c r="P35" i="16"/>
  <c r="P28" i="16"/>
  <c r="P60" i="16"/>
  <c r="R290" i="16"/>
  <c r="R325" i="16"/>
  <c r="R230" i="16"/>
  <c r="P85" i="16"/>
  <c r="P117" i="16"/>
  <c r="P149" i="16"/>
  <c r="P181" i="16"/>
  <c r="P96" i="16"/>
  <c r="P87" i="16"/>
  <c r="P151" i="16"/>
  <c r="P82" i="16"/>
  <c r="P128" i="16"/>
  <c r="P160" i="16"/>
  <c r="P197" i="16"/>
  <c r="P155" i="16"/>
  <c r="P122" i="16"/>
  <c r="P191" i="16"/>
  <c r="P239" i="16"/>
  <c r="P271" i="16"/>
  <c r="P303" i="16"/>
  <c r="P203" i="16"/>
  <c r="P277" i="16"/>
  <c r="P325" i="16"/>
  <c r="P357" i="16"/>
  <c r="P206" i="16"/>
  <c r="P238" i="16"/>
  <c r="P225" i="16"/>
  <c r="P331" i="16"/>
  <c r="P212" i="16"/>
  <c r="P260" i="16"/>
  <c r="P292" i="16"/>
  <c r="P174" i="16"/>
  <c r="P200" i="16"/>
  <c r="P286" i="16"/>
  <c r="P332" i="16"/>
  <c r="P27" i="16"/>
  <c r="P208" i="16"/>
  <c r="P250" i="16"/>
  <c r="P266" i="16"/>
  <c r="P318" i="16"/>
  <c r="P49" i="16"/>
  <c r="P26" i="16"/>
  <c r="P46" i="16"/>
  <c r="Q356" i="16"/>
  <c r="Q336" i="16"/>
  <c r="Q316" i="16"/>
  <c r="Q292" i="16"/>
  <c r="Q272" i="16"/>
  <c r="Q252" i="16"/>
  <c r="Q220" i="16"/>
  <c r="Q343" i="16"/>
  <c r="Q303" i="16"/>
  <c r="Q255" i="16"/>
  <c r="Q215" i="16"/>
  <c r="Q187" i="16"/>
  <c r="Q139" i="16"/>
  <c r="Q105" i="16"/>
  <c r="Q95" i="16"/>
  <c r="Q81" i="16"/>
  <c r="Q65" i="16"/>
  <c r="Q49" i="16"/>
  <c r="Q33" i="16"/>
  <c r="Q17" i="16"/>
  <c r="Q146" i="16"/>
  <c r="Q100" i="16"/>
  <c r="Q84" i="16"/>
  <c r="Q68" i="16"/>
  <c r="Q52" i="16"/>
  <c r="Q36" i="16"/>
  <c r="Q20" i="16"/>
  <c r="P39" i="16"/>
  <c r="P32" i="16"/>
  <c r="P64" i="16"/>
  <c r="R282" i="16"/>
  <c r="R293" i="16"/>
  <c r="R198" i="16"/>
  <c r="P89" i="16"/>
  <c r="P121" i="16"/>
  <c r="P153" i="16"/>
  <c r="P68" i="16"/>
  <c r="P100" i="16"/>
  <c r="P95" i="16"/>
  <c r="P159" i="16"/>
  <c r="P90" i="16"/>
  <c r="P132" i="16"/>
  <c r="P164" i="16"/>
  <c r="P201" i="16"/>
  <c r="P75" i="16"/>
  <c r="P130" i="16"/>
  <c r="P199" i="16"/>
  <c r="P243" i="16"/>
  <c r="P275" i="16"/>
  <c r="P307" i="16"/>
  <c r="P118" i="16"/>
  <c r="P237" i="16"/>
  <c r="P301" i="16"/>
  <c r="P337" i="16"/>
  <c r="P186" i="16"/>
  <c r="P218" i="16"/>
  <c r="P147" i="16"/>
  <c r="P273" i="16"/>
  <c r="P355" i="16"/>
  <c r="P236" i="16"/>
  <c r="P272" i="16"/>
  <c r="P304" i="16"/>
  <c r="P297" i="16"/>
  <c r="P246" i="16"/>
  <c r="P310" i="16"/>
  <c r="P344" i="16"/>
  <c r="P258" i="16"/>
  <c r="P298" i="16"/>
  <c r="P326" i="16"/>
  <c r="P35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AT13" i="16"/>
  <c r="AU13" i="16" s="1"/>
  <c r="U94" i="8"/>
  <c r="AS14" i="16"/>
  <c r="AM13" i="16"/>
  <c r="AN13" i="16" s="1"/>
  <c r="M49" i="8" l="1"/>
  <c r="M48" i="8"/>
  <c r="O120" i="8" s="1"/>
  <c r="M51" i="8"/>
  <c r="M50" i="8"/>
  <c r="O50" i="8"/>
  <c r="O51" i="8"/>
  <c r="E51" i="8"/>
  <c r="AH93" i="8"/>
  <c r="K40" i="8"/>
  <c r="O49" i="8"/>
  <c r="O48" i="8"/>
  <c r="Q121" i="8" s="1"/>
  <c r="X92" i="8"/>
  <c r="AL92" i="8" s="1"/>
  <c r="AU11" i="16"/>
  <c r="AH92" i="8" s="1"/>
  <c r="AH94" i="8"/>
  <c r="E52" i="8"/>
  <c r="K38" i="8"/>
  <c r="M121" i="8"/>
  <c r="X93" i="8"/>
  <c r="AL93" i="8" s="1"/>
  <c r="M118" i="8"/>
  <c r="M119" i="8"/>
  <c r="O119" i="8"/>
  <c r="AM14" i="16"/>
  <c r="AN14" i="16" s="1"/>
  <c r="X94" i="8"/>
  <c r="AL94" i="8" s="1"/>
  <c r="AT14" i="16"/>
  <c r="AU14" i="16" s="1"/>
  <c r="U95" i="8"/>
  <c r="AS15" i="16"/>
  <c r="Q118" i="8" l="1"/>
  <c r="Q120" i="8"/>
  <c r="O121" i="8"/>
  <c r="O118" i="8"/>
  <c r="Q119"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<sst xmlns="http://schemas.openxmlformats.org/spreadsheetml/2006/main" count="9855" uniqueCount="905">
  <si>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</si>
  <si>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</si>
  <si>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</si>
  <si>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</si>
  <si>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</si>
  <si>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</si>
  <si>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</si>
  <si>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</si>
  <si>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</si>
  <si>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</si>
  <si>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</si>
  <si>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</si>
  <si>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</si>
  <si>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</si>
  <si>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</si>
  <si>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</si>
  <si>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</si>
  <si>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</si>
  <si>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</si>
  <si>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</si>
  <si>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</si>
  <si>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</si>
  <si>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</si>
  <si>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</si>
  <si>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</si>
  <si>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</si>
  <si>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</si>
  <si>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</si>
  <si>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</si>
  <si>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</si>
  <si>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</si>
  <si>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</si>
  <si>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</si>
  <si>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</si>
  <si>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</si>
  <si>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</si>
  <si>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</si>
  <si>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</si>
  <si>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</si>
  <si>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</si>
  <si>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</si>
  <si>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</si>
  <si>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</si>
  <si>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</si>
  <si>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</si>
  <si>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</si>
  <si>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</si>
  <si>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</si>
  <si>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</si>
  <si>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</si>
  <si>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</si>
  <si>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</si>
  <si>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</si>
  <si>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</si>
  <si>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</si>
  <si>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</si>
  <si>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</si>
  <si>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</si>
  <si>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</si>
  <si>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</si>
  <si>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</si>
  <si>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</si>
  <si>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</si>
  <si>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</si>
  <si>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</si>
  <si>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</si>
  <si>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</si>
  <si>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</si>
  <si>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</si>
  <si>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</si>
  <si>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</si>
  <si>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</si>
  <si>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</si>
  <si>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</si>
  <si>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</si>
  <si>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</si>
  <si>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</si>
  <si>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</si>
  <si>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</si>
  <si>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</si>
  <si>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</si>
  <si>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</si>
  <si>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</si>
  <si>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</si>
  <si>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</si>
  <si>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</si>
  <si>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</si>
  <si>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</si>
  <si>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</si>
  <si>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</si>
  <si>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</si>
  <si>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</si>
  <si>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</si>
  <si>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</si>
  <si>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</si>
  <si>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</si>
  <si>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</si>
  <si>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</si>
  <si>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</si>
  <si>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</si>
  <si>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</si>
  <si>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</si>
  <si>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</si>
  <si>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</si>
  <si>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</si>
  <si>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</si>
  <si>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</si>
  <si>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</si>
  <si>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</si>
  <si>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</si>
  <si>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</si>
  <si>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</si>
  <si>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</si>
  <si>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</si>
  <si>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</si>
  <si>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</si>
  <si>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</si>
  <si>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</si>
  <si>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</si>
  <si>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</si>
  <si>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</si>
  <si>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</si>
  <si>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</si>
  <si>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</si>
  <si>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</si>
  <si>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</si>
  <si>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</si>
  <si>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</si>
  <si>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</si>
  <si>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</si>
  <si>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</si>
  <si>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</si>
  <si>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</si>
  <si>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</si>
  <si>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</si>
  <si>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</si>
  <si>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</si>
  <si>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</si>
  <si>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</si>
  <si>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</si>
  <si>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</si>
  <si>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</si>
  <si>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</si>
  <si>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</si>
  <si>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</si>
  <si>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</si>
  <si>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</si>
  <si>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</si>
  <si>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</si>
  <si>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</si>
  <si>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</si>
  <si>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</si>
  <si>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</si>
  <si>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</si>
  <si>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</si>
  <si>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</si>
  <si>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</si>
  <si>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</si>
  <si>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</si>
  <si>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</si>
  <si>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</si>
  <si>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</si>
  <si>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</si>
  <si>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</si>
  <si>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</si>
  <si>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</si>
  <si>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</si>
  <si>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</si>
  <si>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</si>
  <si>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</si>
  <si>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</si>
  <si>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</si>
  <si>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</si>
  <si>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</si>
  <si>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</si>
  <si>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</si>
  <si>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</si>
  <si>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</si>
  <si>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</si>
  <si>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</si>
  <si>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</si>
  <si>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</si>
  <si>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</si>
  <si>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</si>
  <si>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</si>
  <si>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</si>
  <si>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</si>
  <si>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</si>
  <si>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</si>
  <si>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</si>
  <si>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</si>
  <si>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</si>
  <si>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</si>
  <si>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</si>
  <si>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</si>
  <si>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</si>
  <si>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</si>
  <si>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</si>
  <si>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</si>
  <si>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</si>
  <si>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</si>
  <si>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</si>
  <si>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</si>
  <si>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</si>
  <si>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</si>
  <si>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</si>
  <si>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</si>
  <si>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</si>
  <si>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</si>
  <si>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</si>
  <si>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</si>
  <si>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</si>
  <si>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</si>
  <si>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</si>
  <si>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</si>
  <si>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</si>
  <si>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</si>
  <si>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</si>
  <si>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</si>
  <si>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</si>
  <si>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</si>
  <si>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</si>
  <si>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</si>
  <si>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</si>
  <si>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</si>
  <si>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</si>
  <si>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</si>
  <si>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</si>
  <si>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</si>
  <si>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</si>
  <si>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</si>
  <si>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</si>
  <si>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</si>
  <si>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</si>
  <si>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</si>
  <si>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</si>
  <si>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</si>
  <si>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</si>
  <si>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</si>
  <si>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</si>
  <si>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</si>
  <si>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</si>
  <si>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</si>
  <si>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</si>
  <si>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</si>
  <si>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</si>
  <si>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</si>
  <si>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</si>
  <si>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</si>
  <si>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</si>
  <si>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</si>
  <si>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</si>
  <si>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</si>
  <si>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</si>
  <si>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</si>
  <si>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</si>
  <si>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</si>
  <si>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</si>
  <si>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</si>
  <si>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</si>
  <si>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</si>
  <si>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</si>
  <si>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</si>
  <si>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</si>
  <si>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</si>
  <si>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</si>
  <si>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</si>
  <si>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</si>
  <si>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</si>
  <si>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</si>
  <si>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</si>
  <si>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</si>
  <si>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</si>
  <si>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</si>
  <si>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</si>
  <si>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</si>
  <si>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</si>
  <si>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</si>
  <si>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</si>
  <si>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</si>
  <si>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</si>
  <si>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</si>
  <si>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</si>
  <si>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</si>
  <si>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</si>
  <si>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</si>
  <si>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</si>
  <si>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</si>
  <si>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</si>
  <si>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</si>
  <si>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</si>
  <si>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</si>
  <si>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</si>
  <si>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</si>
  <si>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</si>
  <si>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</si>
  <si>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</si>
  <si>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</si>
  <si>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</si>
  <si>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</si>
  <si>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</si>
  <si>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</si>
  <si>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</si>
  <si>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</si>
  <si>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</si>
  <si>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</si>
  <si>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</si>
  <si>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</si>
  <si>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</si>
  <si>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</si>
  <si>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</si>
  <si>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</si>
  <si>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</si>
  <si>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</si>
  <si>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</si>
  <si>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</si>
  <si>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</si>
  <si>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</si>
  <si>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</si>
  <si>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</si>
  <si>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</si>
  <si>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</si>
  <si>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</si>
  <si>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</si>
  <si>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</si>
  <si>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</si>
  <si>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</si>
  <si>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</si>
  <si>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</si>
  <si>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</si>
  <si>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</si>
  <si>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</si>
  <si>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</si>
  <si>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</si>
  <si>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</si>
  <si>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</si>
  <si>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</si>
  <si>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</si>
  <si>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</si>
  <si>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</si>
  <si>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</si>
  <si>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</si>
  <si>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</si>
  <si>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</si>
  <si>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</si>
  <si>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</si>
  <si>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</si>
  <si>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</si>
  <si>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</si>
  <si>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</si>
  <si>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</si>
  <si>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</si>
  <si>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</si>
  <si>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</si>
  <si>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</si>
  <si>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</si>
  <si>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</si>
  <si>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</si>
  <si>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</si>
  <si>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</si>
  <si>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</si>
  <si>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</si>
  <si>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</si>
  <si>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</si>
  <si>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</si>
  <si>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</si>
  <si>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</si>
  <si>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</si>
  <si>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</si>
  <si>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</si>
  <si>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</si>
  <si>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</si>
  <si>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</si>
  <si>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</si>
  <si>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</si>
  <si>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</si>
  <si>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</si>
  <si>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</si>
  <si>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</si>
  <si>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</si>
  <si>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</si>
  <si>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</si>
  <si>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</si>
  <si>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</si>
  <si>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</si>
  <si>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</si>
  <si>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</si>
  <si>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</si>
  <si>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</si>
  <si>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</si>
  <si>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</si>
  <si>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</si>
  <si>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</si>
  <si>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</si>
  <si>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</si>
  <si>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</si>
  <si>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</si>
  <si>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</si>
  <si>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</si>
  <si>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</si>
  <si>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</si>
  <si>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</si>
  <si>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</si>
  <si>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</si>
  <si>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</si>
  <si>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</si>
  <si>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</si>
  <si>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</si>
  <si>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</si>
  <si>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</si>
  <si>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</si>
  <si>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</si>
  <si>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</si>
  <si>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</si>
  <si>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</si>
  <si>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</si>
  <si>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</si>
  <si>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</si>
  <si>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</si>
  <si>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</si>
  <si>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</si>
  <si>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</si>
  <si>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</si>
  <si>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</si>
  <si>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</si>
  <si>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</si>
  <si>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</si>
  <si>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</si>
  <si>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</si>
  <si>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</si>
  <si>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</si>
  <si>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</si>
  <si>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</si>
  <si>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</si>
  <si>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</si>
  <si>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</si>
  <si>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</si>
  <si>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</si>
  <si>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</si>
  <si>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</si>
  <si>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</si>
  <si>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</si>
  <si>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</si>
  <si>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</si>
  <si>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</si>
  <si>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</si>
  <si>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</si>
  <si>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</si>
  <si>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</si>
  <si>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</si>
  <si>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</si>
  <si>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</si>
  <si>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</si>
  <si>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</si>
  <si>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</si>
  <si>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</si>
  <si>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</si>
  <si>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</si>
  <si>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</si>
  <si>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</si>
  <si>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</si>
  <si>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</si>
  <si>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</si>
  <si>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</si>
  <si>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</si>
  <si>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</si>
  <si>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</si>
  <si>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</si>
  <si>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</si>
  <si>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</si>
  <si>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</si>
  <si>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</si>
  <si>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</si>
  <si>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</si>
  <si>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</si>
  <si>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</si>
  <si>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</si>
  <si>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</si>
  <si>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</si>
  <si>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</si>
  <si>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</si>
  <si>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</si>
  <si>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</si>
  <si>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</si>
  <si>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</si>
  <si>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</si>
  <si>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</si>
  <si>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</si>
  <si>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</si>
  <si>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</si>
  <si>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</si>
  <si>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</si>
  <si>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</si>
  <si>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</si>
  <si>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</si>
  <si>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</si>
  <si>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</si>
  <si>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</si>
  <si>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</si>
  <si>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</si>
  <si>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</si>
  <si>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</si>
  <si>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</si>
  <si>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</si>
  <si>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</si>
  <si>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</si>
  <si>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</si>
  <si>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</si>
  <si>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</si>
  <si>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</si>
  <si>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</si>
  <si>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</si>
  <si>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</si>
  <si>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</si>
  <si>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</si>
  <si>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</si>
  <si>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</si>
  <si>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</si>
  <si>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</si>
  <si>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</si>
  <si>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</si>
  <si>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</si>
  <si>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</si>
  <si>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</si>
  <si>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</si>
  <si>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</si>
  <si>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</si>
  <si>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</si>
  <si>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</si>
  <si>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</si>
  <si>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</si>
  <si>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</si>
  <si>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</si>
  <si>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</si>
  <si>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</si>
  <si>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</si>
  <si>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</si>
  <si>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</si>
  <si>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</si>
  <si>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</si>
  <si>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</si>
  <si>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</si>
  <si>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</si>
  <si>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</si>
  <si>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</si>
  <si>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</si>
  <si>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</si>
  <si>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</si>
  <si>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</si>
  <si>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</si>
  <si>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</si>
  <si>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</si>
  <si>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</si>
  <si>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</si>
  <si>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</si>
  <si>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</si>
  <si>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</si>
  <si>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</si>
  <si>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</si>
  <si>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</si>
  <si>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</si>
  <si>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</si>
  <si>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</si>
  <si>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</si>
  <si>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</si>
  <si>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</si>
  <si>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</si>
  <si>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</si>
  <si>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</si>
  <si>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</si>
  <si>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</si>
  <si>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</si>
  <si>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</si>
  <si>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</si>
  <si>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</si>
  <si>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</si>
  <si>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</si>
  <si>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</si>
  <si>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</si>
  <si>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</si>
  <si>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</si>
  <si>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</si>
  <si>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</si>
  <si>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</si>
  <si>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</si>
  <si>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</si>
  <si>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</si>
  <si>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</si>
  <si>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</si>
  <si>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</si>
  <si>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</si>
  <si>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</si>
  <si>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</si>
  <si>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</si>
  <si>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</si>
  <si>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</si>
  <si>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</si>
  <si>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</si>
  <si>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</si>
  <si>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</si>
  <si>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</si>
  <si>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</si>
  <si>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</si>
  <si>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</si>
  <si>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</si>
  <si>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</si>
  <si>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</si>
  <si>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</si>
  <si>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</si>
  <si>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</si>
  <si>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</si>
  <si>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</si>
  <si>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</si>
  <si>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</si>
  <si>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</si>
  <si>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</si>
  <si>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</si>
  <si>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</si>
  <si>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</si>
  <si>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</si>
  <si>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</si>
  <si>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</si>
  <si>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</si>
  <si>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</si>
  <si>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</si>
  <si>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</si>
  <si>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</si>
  <si>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</si>
  <si>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</si>
  <si>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</si>
  <si>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</si>
  <si>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</si>
  <si>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</si>
  <si>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</si>
  <si>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</si>
  <si>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</si>
  <si>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</si>
  <si>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</si>
  <si>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</si>
  <si>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</si>
  <si>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</si>
  <si>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</si>
  <si>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</si>
  <si>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</si>
  <si>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</si>
  <si>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</si>
  <si>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</si>
  <si>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</si>
  <si>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</si>
  <si>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</si>
  <si>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</si>
  <si>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</si>
  <si>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</si>
  <si>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</si>
  <si>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</si>
  <si>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</si>
  <si>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</si>
  <si>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</si>
  <si>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</si>
  <si>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</si>
  <si>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</si>
  <si>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</si>
  <si>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</si>
  <si>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</si>
  <si>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</si>
  <si>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</si>
  <si>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</si>
  <si>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</si>
  <si>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</si>
  <si>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</si>
  <si>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</si>
  <si>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</si>
  <si>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</si>
  <si>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</si>
  <si>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</si>
  <si>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</si>
  <si>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</si>
  <si>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</si>
  <si>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</si>
  <si>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</si>
  <si>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</si>
  <si>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</si>
  <si>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</si>
  <si>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</si>
  <si>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</si>
  <si>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</si>
  <si>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</si>
  <si>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</si>
  <si>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</si>
  <si>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</si>
  <si>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</si>
  <si>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</si>
  <si>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</si>
  <si>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</si>
  <si>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</si>
  <si>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</si>
  <si>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</si>
  <si>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</si>
  <si>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</si>
  <si>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</si>
  <si>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</si>
  <si>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</si>
  <si>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</si>
  <si>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</si>
  <si>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</si>
  <si>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</si>
  <si>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</si>
  <si>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</si>
  <si>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</si>
  <si>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</si>
  <si>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</si>
  <si>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</si>
  <si>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</si>
  <si>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</si>
  <si>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</si>
  <si>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</si>
  <si>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</si>
  <si>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</si>
  <si>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</si>
  <si>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</si>
  <si>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</si>
  <si>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</si>
  <si>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</si>
  <si>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</si>
  <si>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</si>
  <si>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</si>
  <si>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</si>
  <si>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</si>
  <si>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</si>
  <si>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</si>
  <si>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</si>
  <si>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</si>
  <si>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</si>
  <si>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</si>
  <si>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</si>
  <si>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</si>
  <si>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</si>
  <si>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</si>
  <si>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</si>
  <si>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</si>
  <si>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</si>
  <si>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</si>
  <si>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</si>
  <si>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</si>
  <si>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</si>
  <si>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</si>
  <si>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</si>
  <si>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</si>
  <si>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</si>
  <si>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</si>
  <si>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</si>
  <si>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</si>
  <si>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</si>
  <si>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</si>
  <si>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</si>
  <si>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</si>
  <si>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</si>
  <si>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</si>
  <si>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</si>
  <si>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</si>
  <si>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</si>
  <si>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</si>
  <si>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</si>
  <si>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</si>
  <si>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</si>
  <si>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</si>
  <si>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</si>
  <si>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</si>
  <si>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</si>
  <si>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</si>
  <si>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</si>
  <si>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</si>
  <si>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</si>
  <si>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</si>
  <si>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</si>
  <si>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</si>
  <si>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</si>
  <si>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</si>
  <si>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</si>
  <si>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</si>
  <si>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</si>
  <si>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</si>
  <si>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</si>
  <si>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</si>
  <si>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</si>
  <si>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</si>
  <si>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</si>
  <si>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</si>
  <si>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</si>
  <si>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</si>
  <si>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</si>
  <si>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</si>
  <si>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</si>
  <si>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</si>
  <si>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</si>
  <si>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</si>
  <si>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</si>
  <si>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</si>
  <si>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</si>
  <si>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</si>
  <si>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</si>
  <si>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</si>
  <si>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</si>
  <si>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</si>
  <si>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</si>
  <si>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</si>
  <si>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</si>
  <si>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</si>
  <si>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</si>
  <si>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</si>
  <si>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</si>
  <si>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</si>
  <si>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</si>
  <si>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</si>
  <si>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</si>
  <si>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</si>
  <si>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</si>
  <si>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</si>
  <si>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</si>
  <si>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</si>
  <si>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</si>
  <si>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</si>
  <si>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</si>
  <si>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</si>
  <si>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</si>
  <si>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</si>
  <si>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</si>
  <si>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</si>
  <si>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</si>
  <si>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</si>
  <si>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</si>
  <si>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</si>
  <si>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</si>
  <si>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</si>
  <si>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</si>
  <si>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</si>
  <si>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</si>
  <si>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</si>
  <si>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</si>
  <si>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</si>
  <si>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</si>
  <si>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</si>
  <si>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</si>
  <si>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</si>
  <si>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</si>
  <si>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</si>
  <si>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</si>
  <si>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</si>
  <si>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</si>
  <si>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</si>
  <si>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</si>
  <si>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</si>
  <si>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</si>
  <si>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</si>
  <si>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</si>
  <si>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</si>
  <si>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</si>
  <si>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</si>
  <si>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</si>
  <si>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</si>
  <si>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</si>
  <si>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</si>
  <si>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</si>
  <si>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</si>
  <si>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</si>
  <si>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</si>
  <si>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</si>
  <si>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</si>
  <si>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</si>
  <si>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</si>
  <si>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</si>
  <si>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</si>
  <si>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</si>
  <si>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</si>
  <si>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</si>
  <si>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</si>
  <si>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</si>
  <si>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</si>
  <si>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</si>
  <si>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</si>
  <si>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</si>
  <si>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</si>
  <si>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</si>
  <si>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</si>
  <si>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</si>
  <si>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</si>
  <si>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</si>
  <si>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</si>
  <si>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</si>
  <si>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</si>
  <si>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</si>
  <si>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</si>
  <si>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</si>
  <si>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</si>
  <si>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</si>
  <si>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</si>
  <si>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</si>
  <si>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</si>
  <si>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Q1 2013/14</t>
  </si>
  <si>
    <t>Q2 2013/14</t>
  </si>
  <si>
    <t>Q3 2013/14</t>
  </si>
  <si>
    <t>Q4 2013/14</t>
  </si>
  <si>
    <t>Year 2013/14</t>
  </si>
  <si>
    <t>www.gov.uk</t>
  </si>
  <si>
    <t>Speed of Processing</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</si>
</sst>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7"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19" fillId="0" borderId="0" xfId="0" applyFont="1" applyAlignment="1">
      <alignment horizontal="center"/>
    </xf>
    <xf numFmtId="0" fontId="7" fillId="21" borderId="0" xfId="0" applyFont="1" applyFill="1" applyAlignment="1">
      <alignment horizontal="center"/>
    </xf>
    <xf numFmtId="2" fontId="0" fillId="0" borderId="0" xfId="52" applyNumberFormat="1" applyFont="1" applyAlignment="1">
      <alignment horizontal="center"/>
    </xf>
    <xf numFmtId="0" fontId="7" fillId="0" borderId="0" xfId="0" applyFont="1" applyAlignment="1">
      <alignment horizontal="center"/>
    </xf>
    <xf numFmtId="2" fontId="7" fillId="21" borderId="0" xfId="4" applyNumberFormat="1" applyFont="1" applyFill="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7"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1" fontId="8" fillId="0" borderId="4" xfId="4" applyNumberFormat="1" applyFont="1" applyBorder="1" applyAlignment="1">
      <alignment horizontal="center"/>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2" fontId="0" fillId="0" borderId="0" xfId="0" applyNumberFormat="1" applyBorder="1" applyAlignment="1">
      <alignment horizontal="center"/>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7" fillId="23" borderId="0" xfId="0" applyFont="1" applyFill="1" applyAlignment="1">
      <alignment horizontal="center" vertical="center"/>
    </xf>
    <xf numFmtId="43" fontId="0" fillId="0" borderId="6" xfId="54" applyNumberFormat="1" applyFont="1" applyBorder="1" applyAlignment="1">
      <alignment horizontal="center"/>
    </xf>
    <xf numFmtId="43" fontId="6" fillId="0" borderId="6" xfId="54" applyNumberFormat="1" applyFont="1" applyBorder="1" applyAlignment="1">
      <alignment horizontal="center"/>
    </xf>
    <xf numFmtId="164" fontId="0" fillId="0" borderId="6" xfId="54" applyNumberFormat="1" applyFont="1" applyBorder="1" applyAlignment="1">
      <alignment horizontal="center"/>
    </xf>
    <xf numFmtId="0" fontId="9" fillId="2" borderId="4" xfId="0" applyFont="1" applyFill="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43" fontId="0" fillId="0" borderId="15" xfId="54" applyNumberFormat="1" applyFont="1" applyBorder="1" applyAlignment="1">
      <alignment horizontal="center"/>
    </xf>
    <xf numFmtId="0" fontId="22" fillId="23"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2" fontId="7" fillId="0" borderId="0" xfId="4" applyNumberFormat="1" applyFont="1" applyAlignment="1">
      <alignment horizontal="right"/>
    </xf>
    <xf numFmtId="166" fontId="0" fillId="0" borderId="0" xfId="54" applyNumberFormat="1" applyFont="1" applyAlignment="1">
      <alignment horizontal="center"/>
    </xf>
    <xf numFmtId="0" fontId="24" fillId="23" borderId="0" xfId="0" quotePrefix="1" applyNumberFormat="1"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2"/>
                <c:pt idx="41">
                  <c:v>u</c:v>
                </c:pt>
              </c:strCache>
            </c:strRef>
          </c:cat>
          <c:val>
            <c:numRef>
              <c:f>[0]!TopQuart</c:f>
              <c:numCache>
                <c:formatCode>General</c:formatCode>
                <c:ptCount val="54"/>
                <c:pt idx="0">
                  <c:v>10.189274447949527</c:v>
                </c:pt>
                <c:pt idx="1">
                  <c:v>12.149090233939845</c:v>
                </c:pt>
                <c:pt idx="2">
                  <c:v>12.187860291624279</c:v>
                </c:pt>
                <c:pt idx="3">
                  <c:v>13.210231067183118</c:v>
                </c:pt>
                <c:pt idx="4">
                  <c:v>14.731398908558498</c:v>
                </c:pt>
                <c:pt idx="5">
                  <c:v>14.778051029818629</c:v>
                </c:pt>
                <c:pt idx="6">
                  <c:v>14.998013902681231</c:v>
                </c:pt>
                <c:pt idx="7">
                  <c:v>16.08532240826505</c:v>
                </c:pt>
                <c:pt idx="8">
                  <c:v>16.990231500066908</c:v>
                </c:pt>
                <c:pt idx="9">
                  <c:v>17.339617834394904</c:v>
                </c:pt>
                <c:pt idx="10">
                  <c:v>17.523809523809526</c:v>
                </c:pt>
                <c:pt idx="11">
                  <c:v>17.588345323741006</c:v>
                </c:pt>
                <c:pt idx="12">
                  <c:v>18.041772554002542</c:v>
                </c:pt>
                <c:pt idx="13">
                  <c:v>18.901736309864528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2"/>
                <c:pt idx="41">
                  <c:v>u</c:v>
                </c:pt>
              </c:strCache>
            </c:strRef>
          </c:cat>
          <c:val>
            <c:numRef>
              <c:f>[0]!SecQuart</c:f>
              <c:numCache>
                <c:formatCode>General</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19.002378121284185</c:v>
                </c:pt>
                <c:pt idx="15">
                  <c:v>19.134564643799472</c:v>
                </c:pt>
                <c:pt idx="16">
                  <c:v>19.242205151378219</c:v>
                </c:pt>
                <c:pt idx="17">
                  <c:v>19.920873929731325</c:v>
                </c:pt>
                <c:pt idx="18">
                  <c:v>20.160720353380903</c:v>
                </c:pt>
                <c:pt idx="19">
                  <c:v>20.42526864213611</c:v>
                </c:pt>
                <c:pt idx="20">
                  <c:v>20.484228684080829</c:v>
                </c:pt>
                <c:pt idx="21">
                  <c:v>20.732318104906938</c:v>
                </c:pt>
                <c:pt idx="22">
                  <c:v>21.061842808768489</c:v>
                </c:pt>
                <c:pt idx="23">
                  <c:v>21.089064914992271</c:v>
                </c:pt>
                <c:pt idx="24">
                  <c:v>21.172611464968153</c:v>
                </c:pt>
                <c:pt idx="25">
                  <c:v>21.178634846224874</c:v>
                </c:pt>
                <c:pt idx="26">
                  <c:v>21.550568521843207</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2"/>
                <c:pt idx="41">
                  <c:v>u</c:v>
                </c:pt>
              </c:strCache>
            </c:strRef>
          </c:cat>
          <c:val>
            <c:numRef>
              <c:f>[0]!ThirdQuart</c:f>
              <c:numCache>
                <c:formatCode>General</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21.738749570594297</c:v>
                </c:pt>
                <c:pt idx="28">
                  <c:v>21.880040020010004</c:v>
                </c:pt>
                <c:pt idx="29">
                  <c:v>22.247213375796179</c:v>
                </c:pt>
                <c:pt idx="30">
                  <c:v>22.261488250652743</c:v>
                </c:pt>
                <c:pt idx="31">
                  <c:v>22.586440677966102</c:v>
                </c:pt>
                <c:pt idx="32">
                  <c:v>22.925659472422062</c:v>
                </c:pt>
                <c:pt idx="33">
                  <c:v>24.365638766519822</c:v>
                </c:pt>
                <c:pt idx="34">
                  <c:v>25.673504128010894</c:v>
                </c:pt>
                <c:pt idx="35">
                  <c:v>26.247660187185026</c:v>
                </c:pt>
                <c:pt idx="36">
                  <c:v>27.488506547784898</c:v>
                </c:pt>
                <c:pt idx="37">
                  <c:v>27.571598414795243</c:v>
                </c:pt>
                <c:pt idx="38">
                  <c:v>29.29084745762712</c:v>
                </c:pt>
                <c:pt idx="39">
                  <c:v>29.316905444126075</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2"/>
                <c:pt idx="41">
                  <c:v>u</c:v>
                </c:pt>
              </c:strCache>
            </c:strRef>
          </c:cat>
          <c:val>
            <c:numRef>
              <c:f>[0]!BotQuart</c:f>
              <c:numCache>
                <c:formatCode>General</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30.048022598870055</c:v>
                </c:pt>
                <c:pt idx="41">
                  <c:v>30.986323555875472</c:v>
                </c:pt>
                <c:pt idx="42">
                  <c:v>31.146839546191249</c:v>
                </c:pt>
                <c:pt idx="43">
                  <c:v>31.157499083241657</c:v>
                </c:pt>
                <c:pt idx="44">
                  <c:v>31.252307692307692</c:v>
                </c:pt>
                <c:pt idx="45">
                  <c:v>32.726662299377658</c:v>
                </c:pt>
                <c:pt idx="46">
                  <c:v>32.959018603397141</c:v>
                </c:pt>
                <c:pt idx="47">
                  <c:v>33.101427371956341</c:v>
                </c:pt>
                <c:pt idx="48">
                  <c:v>33.983560090702944</c:v>
                </c:pt>
                <c:pt idx="49">
                  <c:v>36.476190476190474</c:v>
                </c:pt>
                <c:pt idx="50">
                  <c:v>37.026943984873554</c:v>
                </c:pt>
                <c:pt idx="51">
                  <c:v>39.024232295801127</c:v>
                </c:pt>
                <c:pt idx="52">
                  <c:v>40.589195435504841</c:v>
                </c:pt>
                <c:pt idx="53">
                  <c:v>40.626253710984514</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42"/>
                <c:pt idx="41">
                  <c:v>u</c:v>
                </c:pt>
              </c:strCache>
            </c:strRef>
          </c:cat>
          <c:val>
            <c:numRef>
              <c:f>[0]!MarkData</c:f>
              <c:numCache>
                <c:formatCode>0.00</c:formatCode>
                <c:ptCount val="54"/>
                <c:pt idx="0">
                  <c:v>10.189274447949527</c:v>
                </c:pt>
                <c:pt idx="1">
                  <c:v>12.149090233939845</c:v>
                </c:pt>
                <c:pt idx="2">
                  <c:v>12.187860291624279</c:v>
                </c:pt>
                <c:pt idx="3">
                  <c:v>13.210231067183118</c:v>
                </c:pt>
                <c:pt idx="4">
                  <c:v>14.731398908558498</c:v>
                </c:pt>
                <c:pt idx="5">
                  <c:v>14.778051029818629</c:v>
                </c:pt>
                <c:pt idx="6">
                  <c:v>14.998013902681231</c:v>
                </c:pt>
                <c:pt idx="7">
                  <c:v>16.08532240826505</c:v>
                </c:pt>
                <c:pt idx="8">
                  <c:v>16.990231500066908</c:v>
                </c:pt>
                <c:pt idx="9">
                  <c:v>17.339617834394904</c:v>
                </c:pt>
                <c:pt idx="10">
                  <c:v>17.523809523809526</c:v>
                </c:pt>
                <c:pt idx="11">
                  <c:v>17.588345323741006</c:v>
                </c:pt>
                <c:pt idx="12">
                  <c:v>18.041772554002542</c:v>
                </c:pt>
                <c:pt idx="13">
                  <c:v>18.901736309864528</c:v>
                </c:pt>
                <c:pt idx="14">
                  <c:v>19.002378121284185</c:v>
                </c:pt>
                <c:pt idx="15">
                  <c:v>19.134564643799472</c:v>
                </c:pt>
                <c:pt idx="16">
                  <c:v>19.242205151378219</c:v>
                </c:pt>
                <c:pt idx="17">
                  <c:v>19.920873929731325</c:v>
                </c:pt>
                <c:pt idx="18">
                  <c:v>20.160720353380903</c:v>
                </c:pt>
                <c:pt idx="19">
                  <c:v>20.42526864213611</c:v>
                </c:pt>
                <c:pt idx="20">
                  <c:v>20.484228684080829</c:v>
                </c:pt>
                <c:pt idx="21">
                  <c:v>20.732318104906938</c:v>
                </c:pt>
                <c:pt idx="22">
                  <c:v>21.061842808768489</c:v>
                </c:pt>
                <c:pt idx="23">
                  <c:v>21.089064914992271</c:v>
                </c:pt>
                <c:pt idx="24">
                  <c:v>21.172611464968153</c:v>
                </c:pt>
                <c:pt idx="25">
                  <c:v>21.178634846224874</c:v>
                </c:pt>
                <c:pt idx="26">
                  <c:v>21.550568521843207</c:v>
                </c:pt>
                <c:pt idx="27">
                  <c:v>21.738749570594297</c:v>
                </c:pt>
                <c:pt idx="28">
                  <c:v>21.880040020010004</c:v>
                </c:pt>
                <c:pt idx="29">
                  <c:v>22.247213375796179</c:v>
                </c:pt>
                <c:pt idx="30">
                  <c:v>22.261488250652743</c:v>
                </c:pt>
                <c:pt idx="31">
                  <c:v>22.586440677966102</c:v>
                </c:pt>
                <c:pt idx="32">
                  <c:v>22.925659472422062</c:v>
                </c:pt>
                <c:pt idx="33">
                  <c:v>24.365638766519822</c:v>
                </c:pt>
                <c:pt idx="34">
                  <c:v>25.673504128010894</c:v>
                </c:pt>
                <c:pt idx="35">
                  <c:v>26.247660187185026</c:v>
                </c:pt>
                <c:pt idx="36">
                  <c:v>27.488506547784898</c:v>
                </c:pt>
                <c:pt idx="37">
                  <c:v>27.571598414795243</c:v>
                </c:pt>
                <c:pt idx="38">
                  <c:v>29.29084745762712</c:v>
                </c:pt>
                <c:pt idx="39">
                  <c:v>29.316905444126075</c:v>
                </c:pt>
                <c:pt idx="40">
                  <c:v>30.048022598870055</c:v>
                </c:pt>
                <c:pt idx="41">
                  <c:v>30.986323555875472</c:v>
                </c:pt>
                <c:pt idx="42">
                  <c:v>31.146839546191249</c:v>
                </c:pt>
                <c:pt idx="43">
                  <c:v>31.157499083241657</c:v>
                </c:pt>
                <c:pt idx="44">
                  <c:v>31.252307692307692</c:v>
                </c:pt>
                <c:pt idx="45">
                  <c:v>32.726662299377658</c:v>
                </c:pt>
                <c:pt idx="46">
                  <c:v>32.959018603397141</c:v>
                </c:pt>
                <c:pt idx="47">
                  <c:v>33.101427371956341</c:v>
                </c:pt>
                <c:pt idx="48">
                  <c:v>33.983560090702944</c:v>
                </c:pt>
                <c:pt idx="49">
                  <c:v>36.476190476190474</c:v>
                </c:pt>
                <c:pt idx="50">
                  <c:v>37.026943984873554</c:v>
                </c:pt>
                <c:pt idx="51">
                  <c:v>39.024232295801127</c:v>
                </c:pt>
                <c:pt idx="52">
                  <c:v>40.589195435504841</c:v>
                </c:pt>
                <c:pt idx="53">
                  <c:v>40.626253710984514</c:v>
                </c:pt>
              </c:numCache>
            </c:numRef>
          </c:val>
        </c:ser>
        <c:dLbls>
          <c:showLegendKey val="0"/>
          <c:showVal val="0"/>
          <c:showCatName val="0"/>
          <c:showSerName val="0"/>
          <c:showPercent val="0"/>
          <c:showBubbleSize val="0"/>
        </c:dLbls>
        <c:gapWidth val="0"/>
        <c:overlap val="100"/>
        <c:axId val="554457656"/>
        <c:axId val="554458048"/>
      </c:barChart>
      <c:catAx>
        <c:axId val="554457656"/>
        <c:scaling>
          <c:orientation val="minMax"/>
        </c:scaling>
        <c:delete val="0"/>
        <c:axPos val="b"/>
        <c:numFmt formatCode="General" sourceLinked="1"/>
        <c:majorTickMark val="none"/>
        <c:minorTickMark val="none"/>
        <c:tickLblPos val="none"/>
        <c:crossAx val="554458048"/>
        <c:crosses val="autoZero"/>
        <c:auto val="1"/>
        <c:lblAlgn val="ctr"/>
        <c:lblOffset val="100"/>
        <c:noMultiLvlLbl val="0"/>
      </c:catAx>
      <c:valAx>
        <c:axId val="554458048"/>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54457656"/>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Cheshire East</c:v>
                </c:pt>
                <c:pt idx="1">
                  <c:v>Unitaries</c:v>
                </c:pt>
                <c:pt idx="2">
                  <c:v>Family</c:v>
                </c:pt>
                <c:pt idx="3">
                  <c:v>Regional</c:v>
                </c:pt>
                <c:pt idx="4">
                  <c:v>Rural</c:v>
                </c:pt>
              </c:strCache>
            </c:strRef>
          </c:cat>
          <c:val>
            <c:numRef>
              <c:f>Profile!$E$48:$E$52</c:f>
              <c:numCache>
                <c:formatCode>0.00</c:formatCode>
                <c:ptCount val="5"/>
                <c:pt idx="0">
                  <c:v>30.986323555875472</c:v>
                </c:pt>
                <c:pt idx="1">
                  <c:v>23.788310455225176</c:v>
                </c:pt>
                <c:pt idx="2">
                  <c:v>26.088040770752627</c:v>
                </c:pt>
                <c:pt idx="3">
                  <c:v>24.744002551746746</c:v>
                </c:pt>
                <c:pt idx="4">
                  <c:v>24.659419198810987</c:v>
                </c:pt>
              </c:numCache>
            </c:numRef>
          </c:val>
        </c:ser>
        <c:dLbls>
          <c:showLegendKey val="0"/>
          <c:showVal val="0"/>
          <c:showCatName val="0"/>
          <c:showSerName val="0"/>
          <c:showPercent val="0"/>
          <c:showBubbleSize val="0"/>
        </c:dLbls>
        <c:gapWidth val="39"/>
        <c:overlap val="100"/>
        <c:axId val="554458832"/>
        <c:axId val="55445922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18.926896762719444</c:v>
                </c:pt>
                <c:pt idx="1">
                  <c:v>18.926896762719444</c:v>
                </c:pt>
                <c:pt idx="2">
                  <c:v>18.926896762719444</c:v>
                </c:pt>
                <c:pt idx="3">
                  <c:v>18.926896762719444</c:v>
                </c:pt>
                <c:pt idx="4">
                  <c:v>18.926896762719444</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21.644659046218752</c:v>
                </c:pt>
                <c:pt idx="1">
                  <c:v>21.644659046218752</c:v>
                </c:pt>
                <c:pt idx="2">
                  <c:v>21.644659046218752</c:v>
                </c:pt>
                <c:pt idx="3">
                  <c:v>21.644659046218752</c:v>
                </c:pt>
                <c:pt idx="4">
                  <c:v>21.644659046218752</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29.865243310184059</c:v>
                </c:pt>
                <c:pt idx="1">
                  <c:v>29.865243310184059</c:v>
                </c:pt>
                <c:pt idx="2">
                  <c:v>29.865243310184059</c:v>
                </c:pt>
                <c:pt idx="3">
                  <c:v>29.865243310184059</c:v>
                </c:pt>
                <c:pt idx="4">
                  <c:v>29.865243310184059</c:v>
                </c:pt>
              </c:numCache>
            </c:numRef>
          </c:val>
          <c:smooth val="0"/>
        </c:ser>
        <c:dLbls>
          <c:showLegendKey val="0"/>
          <c:showVal val="0"/>
          <c:showCatName val="0"/>
          <c:showSerName val="0"/>
          <c:showPercent val="0"/>
          <c:showBubbleSize val="0"/>
        </c:dLbls>
        <c:marker val="1"/>
        <c:smooth val="0"/>
        <c:axId val="554458832"/>
        <c:axId val="554459224"/>
      </c:lineChart>
      <c:catAx>
        <c:axId val="5544588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4459224"/>
        <c:crosses val="autoZero"/>
        <c:auto val="1"/>
        <c:lblAlgn val="ctr"/>
        <c:lblOffset val="100"/>
        <c:noMultiLvlLbl val="0"/>
      </c:catAx>
      <c:valAx>
        <c:axId val="55445922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4458832"/>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30.986323555875472</c:v>
                </c:pt>
                <c:pt idx="1">
                  <c:v>24.177480147381974</c:v>
                </c:pt>
                <c:pt idx="2">
                  <c:v>23.588748023909105</c:v>
                </c:pt>
                <c:pt idx="3">
                  <c:v>23.927912352784642</c:v>
                </c:pt>
              </c:numCache>
            </c:numRef>
          </c:val>
        </c:ser>
        <c:dLbls>
          <c:showLegendKey val="0"/>
          <c:showVal val="0"/>
          <c:showCatName val="0"/>
          <c:showSerName val="0"/>
          <c:showPercent val="0"/>
          <c:showBubbleSize val="0"/>
        </c:dLbls>
        <c:gapWidth val="39"/>
        <c:overlap val="100"/>
        <c:axId val="554460008"/>
        <c:axId val="55446040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18.926896762719444</c:v>
                </c:pt>
                <c:pt idx="1">
                  <c:v>18.926896762719444</c:v>
                </c:pt>
                <c:pt idx="2">
                  <c:v>18.926896762719444</c:v>
                </c:pt>
                <c:pt idx="3">
                  <c:v>18.926896762719444</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21.644659046218752</c:v>
                </c:pt>
                <c:pt idx="1">
                  <c:v>21.644659046218752</c:v>
                </c:pt>
                <c:pt idx="2">
                  <c:v>21.644659046218752</c:v>
                </c:pt>
                <c:pt idx="3">
                  <c:v>21.644659046218752</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29.865243310184059</c:v>
                </c:pt>
                <c:pt idx="1">
                  <c:v>29.865243310184059</c:v>
                </c:pt>
                <c:pt idx="2">
                  <c:v>29.865243310184059</c:v>
                </c:pt>
                <c:pt idx="3">
                  <c:v>29.865243310184059</c:v>
                </c:pt>
              </c:numCache>
            </c:numRef>
          </c:val>
          <c:smooth val="0"/>
        </c:ser>
        <c:dLbls>
          <c:showLegendKey val="0"/>
          <c:showVal val="0"/>
          <c:showCatName val="0"/>
          <c:showSerName val="0"/>
          <c:showPercent val="0"/>
          <c:showBubbleSize val="0"/>
        </c:dLbls>
        <c:marker val="1"/>
        <c:smooth val="0"/>
        <c:axId val="554460008"/>
        <c:axId val="554460400"/>
      </c:lineChart>
      <c:catAx>
        <c:axId val="5544600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4460400"/>
        <c:crosses val="autoZero"/>
        <c:auto val="1"/>
        <c:lblAlgn val="ctr"/>
        <c:lblOffset val="100"/>
        <c:noMultiLvlLbl val="0"/>
      </c:catAx>
      <c:valAx>
        <c:axId val="55446040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44600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topLeftCell="A13"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6" t="str">
        <f>VLOOKUP('Filtered Data'!D1,'Filtered Data'!L1:O6,3,FALSE)</f>
        <v>Unitary</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row r="3" spans="2:40" ht="19.5" customHeight="1">
      <c r="B3" s="324" t="str">
        <f>Data!B3</f>
        <v>Speed of Processing</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c r="D4" s="3"/>
      <c r="E4" s="3"/>
    </row>
    <row r="5" spans="2:40" ht="15.75" customHeight="1">
      <c r="B5" s="312" t="s">
        <v>335</v>
      </c>
      <c r="C5" s="312"/>
      <c r="D5" s="312"/>
      <c r="E5" s="312"/>
      <c r="J5" s="316" t="s">
        <v>305</v>
      </c>
      <c r="K5" s="316"/>
      <c r="L5" s="316"/>
      <c r="M5" s="316"/>
      <c r="N5" s="316"/>
      <c r="O5" s="316"/>
      <c r="P5" s="316"/>
      <c r="Q5" s="316"/>
      <c r="R5" s="316"/>
      <c r="S5" s="316"/>
      <c r="W5" s="291" t="s">
        <v>365</v>
      </c>
      <c r="X5" s="292"/>
      <c r="Y5" s="292"/>
      <c r="Z5" s="292"/>
      <c r="AA5" s="292"/>
      <c r="AB5" s="292"/>
      <c r="AC5" s="292"/>
      <c r="AD5" s="292"/>
      <c r="AE5" s="292"/>
      <c r="AF5" s="292"/>
      <c r="AG5" s="292"/>
      <c r="AH5" s="292"/>
      <c r="AI5" s="292"/>
      <c r="AJ5" s="292"/>
      <c r="AK5" s="292"/>
      <c r="AL5" s="292"/>
      <c r="AM5" s="293"/>
    </row>
    <row r="6" spans="2:40" ht="17.25" customHeight="1">
      <c r="J6" s="316"/>
      <c r="K6" s="316"/>
      <c r="L6" s="316"/>
      <c r="M6" s="316"/>
      <c r="N6" s="316"/>
      <c r="O6" s="316"/>
      <c r="P6" s="316"/>
      <c r="Q6" s="316"/>
      <c r="R6" s="316"/>
      <c r="S6" s="316"/>
      <c r="W6" s="294" t="s">
        <v>896</v>
      </c>
      <c r="X6" s="295"/>
      <c r="Y6" s="295"/>
      <c r="Z6" s="295"/>
      <c r="AA6" s="295"/>
      <c r="AB6" s="295"/>
      <c r="AC6" s="295"/>
      <c r="AD6" s="295"/>
      <c r="AE6" s="295"/>
      <c r="AF6" s="295"/>
      <c r="AG6" s="295"/>
      <c r="AH6" s="295"/>
      <c r="AI6" s="295"/>
      <c r="AJ6" s="295"/>
      <c r="AK6" s="295"/>
      <c r="AL6" s="295"/>
      <c r="AM6" s="296"/>
    </row>
    <row r="7" spans="2:40" ht="12.75" customHeight="1">
      <c r="W7" s="294"/>
      <c r="X7" s="295"/>
      <c r="Y7" s="295"/>
      <c r="Z7" s="295"/>
      <c r="AA7" s="295"/>
      <c r="AB7" s="295"/>
      <c r="AC7" s="295"/>
      <c r="AD7" s="295"/>
      <c r="AE7" s="295"/>
      <c r="AF7" s="295"/>
      <c r="AG7" s="295"/>
      <c r="AH7" s="295"/>
      <c r="AI7" s="295"/>
      <c r="AJ7" s="295"/>
      <c r="AK7" s="295"/>
      <c r="AL7" s="295"/>
      <c r="AM7" s="296"/>
    </row>
    <row r="8" spans="2:40" ht="12.75" customHeight="1">
      <c r="B8" s="317" t="str">
        <f>IF('Filtered Data'!D1="L","County:","Type of Authority:")</f>
        <v>Type of Authority:</v>
      </c>
      <c r="C8" s="318"/>
      <c r="D8" s="318"/>
      <c r="E8" s="318"/>
      <c r="F8" s="318"/>
      <c r="G8" s="318"/>
      <c r="H8" s="318"/>
      <c r="I8" s="318"/>
      <c r="J8" s="79" t="str">
        <f>IF('Filtered Data'!D1="L",'Filtered Data'!I3,VLOOKUP('Filtered Data'!D1,'Filtered Data'!L1:O5,3,FALSE))</f>
        <v>Unitary</v>
      </c>
      <c r="K8" s="79"/>
      <c r="L8" s="79"/>
      <c r="M8" s="79"/>
      <c r="N8" s="79"/>
      <c r="O8" s="79"/>
      <c r="P8" s="79"/>
      <c r="Q8" s="79"/>
      <c r="R8" s="79"/>
      <c r="W8" s="294"/>
      <c r="X8" s="295"/>
      <c r="Y8" s="295"/>
      <c r="Z8" s="295"/>
      <c r="AA8" s="295"/>
      <c r="AB8" s="295"/>
      <c r="AC8" s="295"/>
      <c r="AD8" s="295"/>
      <c r="AE8" s="295"/>
      <c r="AF8" s="295"/>
      <c r="AG8" s="295"/>
      <c r="AH8" s="295"/>
      <c r="AI8" s="295"/>
      <c r="AJ8" s="295"/>
      <c r="AK8" s="295"/>
      <c r="AL8" s="295"/>
      <c r="AM8" s="296"/>
    </row>
    <row r="9" spans="2:40" ht="12.75" customHeight="1">
      <c r="B9" s="317" t="str">
        <f>IF('Filtered Data'!D1="L","Rural Classification:","Region:")</f>
        <v>Region:</v>
      </c>
      <c r="C9" s="318"/>
      <c r="D9" s="318"/>
      <c r="E9" s="318"/>
      <c r="F9" s="318"/>
      <c r="G9" s="318"/>
      <c r="H9" s="318"/>
      <c r="I9" s="318"/>
      <c r="J9" s="79" t="str">
        <f>IF('Filtered Data'!D1="L",'Filtered Data'!H3,'Filtered Data'!G3)</f>
        <v>North West</v>
      </c>
      <c r="K9" s="79"/>
      <c r="L9" s="79"/>
      <c r="M9" s="79"/>
      <c r="N9" s="79"/>
      <c r="O9" s="79"/>
      <c r="P9" s="79"/>
      <c r="Q9" s="79"/>
      <c r="R9" s="79"/>
      <c r="W9" s="294"/>
      <c r="X9" s="295"/>
      <c r="Y9" s="295"/>
      <c r="Z9" s="295"/>
      <c r="AA9" s="295"/>
      <c r="AB9" s="295"/>
      <c r="AC9" s="295"/>
      <c r="AD9" s="295"/>
      <c r="AE9" s="295"/>
      <c r="AF9" s="295"/>
      <c r="AG9" s="295"/>
      <c r="AH9" s="295"/>
      <c r="AI9" s="295"/>
      <c r="AJ9" s="295"/>
      <c r="AK9" s="295"/>
      <c r="AL9" s="295"/>
      <c r="AM9" s="296"/>
    </row>
    <row r="10" spans="2:40" ht="12.75" customHeight="1">
      <c r="B10" s="318" t="str">
        <f>IF('Filtered Data'!D1="L","",IF('Filtered Data'!D1="SC","Rural Classification:",IF('Filtered Data'!D1="UA","Rural Classification:","County:")))</f>
        <v>Rural Classification:</v>
      </c>
      <c r="C10" s="318"/>
      <c r="D10" s="318"/>
      <c r="E10" s="318"/>
      <c r="F10" s="318"/>
      <c r="G10" s="318"/>
      <c r="H10" s="318"/>
      <c r="I10" s="318"/>
      <c r="J10" s="281" t="str">
        <f>IF('Filtered Data'!D1="L","",IF('Filtered Data'!D1="MD",'Filtered Data'!I3,IF('Filtered Data'!D1="SD",'Filtered Data'!I3,'Filtered Data'!H3)))</f>
        <v>Rural-50</v>
      </c>
      <c r="K10" s="281"/>
      <c r="L10" s="281"/>
      <c r="M10" s="281"/>
      <c r="N10" s="281"/>
      <c r="O10" s="281"/>
      <c r="P10" s="281"/>
      <c r="Q10" s="281"/>
      <c r="R10" s="281"/>
      <c r="W10" s="294"/>
      <c r="X10" s="295"/>
      <c r="Y10" s="295"/>
      <c r="Z10" s="295"/>
      <c r="AA10" s="295"/>
      <c r="AB10" s="295"/>
      <c r="AC10" s="295"/>
      <c r="AD10" s="295"/>
      <c r="AE10" s="295"/>
      <c r="AF10" s="295"/>
      <c r="AG10" s="295"/>
      <c r="AH10" s="295"/>
      <c r="AI10" s="295"/>
      <c r="AJ10" s="295"/>
      <c r="AK10" s="295"/>
      <c r="AL10" s="295"/>
      <c r="AM10" s="296"/>
    </row>
    <row r="11" spans="2:40" ht="12.75" customHeight="1">
      <c r="B11" s="318" t="str">
        <f>IF('Filtered Data'!D1="L","",IF('Filtered Data'!D1="SC","",IF('Filtered Data'!D1="UA","","Rural Classification:")))</f>
        <v/>
      </c>
      <c r="C11" s="318"/>
      <c r="D11" s="318"/>
      <c r="E11" s="318"/>
      <c r="F11" s="318"/>
      <c r="G11" s="318"/>
      <c r="H11" s="318"/>
      <c r="I11" s="318"/>
      <c r="J11" s="79" t="str">
        <f>IF('Filtered Data'!D1="MD",'Filtered Data'!H3,IF('Filtered Data'!D1="SD",'Filtered Data'!H3,""))</f>
        <v/>
      </c>
      <c r="K11" s="79"/>
      <c r="W11" s="300" t="s">
        <v>369</v>
      </c>
      <c r="X11" s="301"/>
      <c r="Y11" s="301"/>
      <c r="Z11" s="301"/>
      <c r="AA11" s="301"/>
      <c r="AB11" s="301"/>
      <c r="AC11" s="301"/>
      <c r="AD11" s="301"/>
      <c r="AE11" s="301"/>
      <c r="AF11" s="301"/>
      <c r="AG11" s="301"/>
      <c r="AH11" s="301"/>
      <c r="AI11" s="301"/>
      <c r="AJ11" s="301"/>
      <c r="AK11" s="301"/>
      <c r="AL11" s="301"/>
      <c r="AM11" s="302"/>
    </row>
    <row r="12" spans="2:40" ht="12.75" customHeight="1">
      <c r="W12" s="347" t="s">
        <v>902</v>
      </c>
      <c r="X12" s="348"/>
      <c r="Y12" s="348"/>
      <c r="Z12" s="348"/>
      <c r="AA12" s="348"/>
      <c r="AB12" s="348"/>
      <c r="AC12" s="348"/>
      <c r="AD12" s="348"/>
      <c r="AE12" s="348"/>
      <c r="AF12" s="348"/>
      <c r="AG12" s="348"/>
      <c r="AH12" s="348"/>
      <c r="AI12" s="348"/>
      <c r="AJ12" s="348"/>
      <c r="AK12" s="348"/>
      <c r="AL12" s="348"/>
      <c r="AM12" s="349"/>
    </row>
    <row r="13" spans="2:40" ht="12.75" customHeight="1">
      <c r="B13" s="25"/>
      <c r="C13" s="25"/>
      <c r="D13" s="25"/>
      <c r="E13" s="25"/>
      <c r="F13" s="25"/>
      <c r="G13" s="25"/>
      <c r="H13" s="25"/>
      <c r="I13" s="25"/>
      <c r="J13" s="3"/>
      <c r="K13" s="3"/>
      <c r="L13" s="3"/>
      <c r="M13" s="3"/>
      <c r="N13" s="3"/>
      <c r="O13" s="3"/>
      <c r="P13" s="3"/>
      <c r="Q13" s="3"/>
      <c r="R13" s="3"/>
      <c r="W13" s="320" t="s">
        <v>370</v>
      </c>
      <c r="X13" s="321"/>
      <c r="Y13" s="321"/>
      <c r="Z13" s="321"/>
      <c r="AA13" s="321"/>
      <c r="AB13" s="321"/>
      <c r="AC13" s="321"/>
      <c r="AD13" s="321"/>
      <c r="AE13" s="321"/>
      <c r="AF13" s="321"/>
      <c r="AG13" s="321"/>
      <c r="AH13" s="321"/>
      <c r="AI13" s="321"/>
      <c r="AJ13" s="321"/>
      <c r="AK13" s="321"/>
      <c r="AL13" s="321"/>
      <c r="AM13" s="322"/>
    </row>
    <row r="14" spans="2:40" ht="25.5" customHeight="1">
      <c r="B14" s="25"/>
      <c r="C14" s="25"/>
      <c r="D14" s="25"/>
      <c r="E14" s="25"/>
      <c r="F14" s="25"/>
      <c r="G14" s="25"/>
      <c r="H14" s="25"/>
      <c r="I14" s="25"/>
      <c r="J14" s="3"/>
      <c r="K14" s="3"/>
      <c r="L14" s="3"/>
      <c r="M14" s="3"/>
      <c r="N14" s="3"/>
      <c r="O14" s="3"/>
      <c r="P14" s="3"/>
      <c r="Q14" s="3"/>
      <c r="R14" s="3"/>
      <c r="W14" s="297" t="str">
        <f>HLOOKUP(W6,Data!4:6,3,FALSE)</f>
        <v>www.gov.uk</v>
      </c>
      <c r="X14" s="298"/>
      <c r="Y14" s="298"/>
      <c r="Z14" s="298"/>
      <c r="AA14" s="298"/>
      <c r="AB14" s="298"/>
      <c r="AC14" s="298"/>
      <c r="AD14" s="298"/>
      <c r="AE14" s="298"/>
      <c r="AF14" s="298"/>
      <c r="AG14" s="298"/>
      <c r="AH14" s="298"/>
      <c r="AI14" s="298"/>
      <c r="AJ14" s="298"/>
      <c r="AK14" s="298"/>
      <c r="AL14" s="298"/>
      <c r="AM14" s="299"/>
    </row>
    <row r="15" spans="2:40"/>
    <row r="16" spans="2:40">
      <c r="B16" s="305" t="str">
        <f>W6&amp;" - "&amp;W12</f>
        <v>Housing Benefit - New Claims - Year 2013/14</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7"/>
    </row>
    <row r="17" spans="2:42">
      <c r="B17" s="308"/>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1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4" t="s">
        <v>344</v>
      </c>
      <c r="F32" s="315"/>
      <c r="G32" s="315"/>
      <c r="H32" s="315"/>
      <c r="I32" s="315"/>
      <c r="J32" s="315"/>
      <c r="K32" s="313">
        <f>IF('Filtered Data'!$H$8="..",'Filtered Data'!O10,'Filtered Data'!O10/100)</f>
        <v>18.926896762719444</v>
      </c>
      <c r="L32" s="313"/>
      <c r="M32" s="313"/>
      <c r="N32" s="328" t="s">
        <v>355</v>
      </c>
      <c r="O32" s="328"/>
      <c r="P32" s="328"/>
      <c r="Q32" s="328"/>
      <c r="R32" s="328"/>
      <c r="S32" s="328"/>
      <c r="T32" s="313">
        <f>IF('Filtered Data'!$H$8="..",'Filtered Data'!P10,'Filtered Data'!P10/100)</f>
        <v>21.644659046218752</v>
      </c>
      <c r="U32" s="313"/>
      <c r="V32" s="313"/>
      <c r="W32" s="313"/>
      <c r="X32" s="311" t="s">
        <v>356</v>
      </c>
      <c r="Y32" s="311"/>
      <c r="Z32" s="311"/>
      <c r="AA32" s="311"/>
      <c r="AB32" s="311"/>
      <c r="AC32" s="313">
        <f>IF('Filtered Data'!$H$8="..",'Filtered Data'!Q10,'Filtered Data'!Q10/100)</f>
        <v>29.865243310184059</v>
      </c>
      <c r="AD32" s="313"/>
      <c r="AE32" s="313"/>
      <c r="AF32" s="334" t="s">
        <v>345</v>
      </c>
      <c r="AG32" s="334"/>
      <c r="AH32" s="334"/>
      <c r="AI32" s="334"/>
      <c r="AJ32" s="334"/>
      <c r="AK32" s="334"/>
      <c r="AL32" s="334"/>
      <c r="AM32" s="10"/>
      <c r="AP32" s="85"/>
    </row>
    <row r="33" spans="2:16384">
      <c r="B33" s="4" t="str">
        <f>"The graph &amp; quartile information show data for all "&amp;V37&amp;" "&amp;VLOOKUP('Filtered Data'!D1,'Filtered Data'!L1:O6,3,FALSE)&amp;" councils in England."</f>
        <v>The graph &amp; quartile information show data for all 54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359</v>
      </c>
      <c r="L35" s="304">
        <f>IF(ISERROR(IF('Filtered Data'!$H$8="%.",(VLOOKUP(J5,'Filtered Data'!C:H,4,FALSE))/100,(VLOOKUP(J5,'Filtered Data'!C:H,4,FALSE)))),"",(IF('Filtered Data'!$H$8="%.",(VLOOKUP(J5,'Filtered Data'!C:H,4,FALSE))/100,(VLOOKUP(J5,'Filtered Data'!C:H,4,FALSE)))))</f>
        <v>30.986323555875472</v>
      </c>
      <c r="M35" s="304"/>
      <c r="N35" s="304"/>
      <c r="O35" s="304"/>
      <c r="P35" s="135"/>
      <c r="Q35" s="304" t="s">
        <v>357</v>
      </c>
      <c r="R35" s="304"/>
      <c r="S35" s="304"/>
      <c r="T35" s="304"/>
      <c r="U35" s="304"/>
      <c r="V35" s="304"/>
      <c r="W35" s="304"/>
      <c r="AP35" s="85"/>
    </row>
    <row r="36" spans="2:16384" ht="12.75" customHeight="1">
      <c r="B36" s="303" t="str">
        <f>'Filtered Data'!R8&amp;" Quartile"</f>
        <v>Bottom Quartile</v>
      </c>
      <c r="C36" s="303"/>
      <c r="D36" s="303"/>
      <c r="E36" s="303"/>
      <c r="F36" s="303"/>
      <c r="G36" s="303"/>
      <c r="H36" s="303"/>
      <c r="I36" s="303"/>
      <c r="J36" s="303"/>
      <c r="K36" s="303"/>
      <c r="L36" s="303"/>
      <c r="M36" s="303"/>
      <c r="N36" s="303"/>
      <c r="O36" s="303"/>
      <c r="P36" s="303"/>
      <c r="Q36" s="303"/>
      <c r="R36" s="303"/>
      <c r="S36" s="303"/>
      <c r="T36" s="303"/>
      <c r="U36" s="303"/>
      <c r="V36" s="303"/>
      <c r="W36" s="303"/>
      <c r="Z36" s="21" t="s">
        <v>361</v>
      </c>
      <c r="AB36" s="333" t="s">
        <v>363</v>
      </c>
      <c r="AC36" s="333"/>
      <c r="AD36" s="333"/>
      <c r="AE36" s="333"/>
      <c r="AF36" s="333"/>
      <c r="AG36" s="333"/>
      <c r="AH36" s="333"/>
      <c r="AI36" s="333"/>
      <c r="AJ36" s="333"/>
      <c r="AK36" s="333"/>
      <c r="AL36" s="333"/>
      <c r="AM36" s="154"/>
      <c r="AP36" s="85"/>
    </row>
    <row r="37" spans="2:16384" ht="12.75" customHeight="1">
      <c r="B37" s="136" t="str">
        <f>VLOOKUP('Filtered Data'!D1,'Filtered Data'!L1:O6,2,FALSE)</f>
        <v>Unitaries</v>
      </c>
      <c r="C37" s="136"/>
      <c r="D37" s="136"/>
      <c r="E37" s="136"/>
      <c r="F37" s="136"/>
      <c r="G37" s="136"/>
      <c r="H37" s="136"/>
      <c r="I37" s="136"/>
      <c r="J37" s="331" t="s">
        <v>807</v>
      </c>
      <c r="K37" s="137" t="str">
        <f>IF(Q37="","",IF('Filtered Data'!I8="D",IF($L$35&gt;=L37,"J","L"),IF('Filtered Data'!I8="A",IF($L$35&lt;=L37,"J","L"))))</f>
        <v>L</v>
      </c>
      <c r="L37" s="325">
        <f>'Filtered Data'!M9</f>
        <v>23.788310455225176</v>
      </c>
      <c r="M37" s="325"/>
      <c r="N37" s="325"/>
      <c r="O37" s="325"/>
      <c r="P37" s="138"/>
      <c r="Q37" s="327">
        <f>VLOOKUP(J5,'Filtered Data'!C:I,7,FALSE)</f>
        <v>42</v>
      </c>
      <c r="R37" s="327"/>
      <c r="S37" s="139"/>
      <c r="T37" s="140" t="s">
        <v>358</v>
      </c>
      <c r="U37" s="141"/>
      <c r="V37" s="327">
        <f>COUNT('Filtered Data'!I11:I363)</f>
        <v>54</v>
      </c>
      <c r="W37" s="327"/>
      <c r="AB37" s="333"/>
      <c r="AC37" s="333"/>
      <c r="AD37" s="333"/>
      <c r="AE37" s="333"/>
      <c r="AF37" s="333"/>
      <c r="AG37" s="333"/>
      <c r="AH37" s="333"/>
      <c r="AI37" s="333"/>
      <c r="AJ37" s="333"/>
      <c r="AK37" s="333"/>
      <c r="AL37" s="333"/>
      <c r="AM37" s="154"/>
      <c r="AP37" s="85"/>
    </row>
    <row r="38" spans="2:16384">
      <c r="B38" s="136" t="str">
        <f>IF('Filtered Data'!D1="L","Family",IF('Filtered Data'!D1="SD",VLOOKUP(J5,classifications!C:J,6,FALSE),"Rural"))</f>
        <v>Rural</v>
      </c>
      <c r="C38" s="136"/>
      <c r="D38" s="136"/>
      <c r="E38" s="136"/>
      <c r="F38" s="136"/>
      <c r="G38" s="136"/>
      <c r="H38" s="136"/>
      <c r="I38" s="136"/>
      <c r="J38" s="332"/>
      <c r="K38" s="137" t="str">
        <f>IF(Q38="","",IF('Filtered Data'!I8="D",IF($L$35&gt;=L38,"J","L"),IF('Filtered Data'!I8="A",IF($L$35&lt;=L38,"J","L"))))</f>
        <v>L</v>
      </c>
      <c r="L38" s="325">
        <f>IF('Filtered Data'!D1="L",'Filtered Data'!AG9,'Filtered Data'!Y9)</f>
        <v>24.659419198810987</v>
      </c>
      <c r="M38" s="325"/>
      <c r="N38" s="325"/>
      <c r="O38" s="325"/>
      <c r="P38" s="138"/>
      <c r="Q38" s="330">
        <f>IF(ISERROR(IF('Filtered Data'!D1="L",VLOOKUP(J5,'Filtered Data'!AF11:AH26,3,FALSE),VLOOKUP(J5,'Filtered Data'!$L$11:$Z$363,15,FALSE))),"",(IF('Filtered Data'!D1="L",VLOOKUP(J5,'Filtered Data'!AF11:AH26,3,FALSE),VLOOKUP(J5,'Filtered Data'!$L$11:$Z$363,15,FALSE))))</f>
        <v>13</v>
      </c>
      <c r="R38" s="330"/>
      <c r="S38" s="326" t="s">
        <v>358</v>
      </c>
      <c r="T38" s="325"/>
      <c r="U38" s="325"/>
      <c r="V38" s="327">
        <f>IF('Filtered Data'!D1="L",16,COUNT('Filtered Data'!Z:Z))</f>
        <v>17</v>
      </c>
      <c r="W38" s="327"/>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2"/>
      <c r="K39" s="137" t="str">
        <f>IF(Q39="","",IF('Filtered Data'!I8="D",IF($L$35&gt;=L39,"J","L"),IF('Filtered Data'!I8="A",IF($L$35&lt;=L39,"J","L"))))</f>
        <v>L</v>
      </c>
      <c r="L39" s="325">
        <f>IF('Filtered Data'!D1="L","",'Filtered Data'!AG9)</f>
        <v>26.088040770752627</v>
      </c>
      <c r="M39" s="325"/>
      <c r="N39" s="325"/>
      <c r="O39" s="325"/>
      <c r="P39" s="138"/>
      <c r="Q39" s="327">
        <f>IF(ISERROR(IF('Filtered Data'!D1="L","",'Filtered Data'!AH11)),"",(IF('Filtered Data'!D1="L","",'Filtered Data'!AH11)))</f>
        <v>10</v>
      </c>
      <c r="R39" s="327"/>
      <c r="S39" s="139"/>
      <c r="T39" s="141" t="str">
        <f>IF(B39="","","out of")</f>
        <v>out of</v>
      </c>
      <c r="U39" s="141"/>
      <c r="V39" s="327">
        <f>IF('Filtered Data'!D1="L","",16)</f>
        <v>16</v>
      </c>
      <c r="W39" s="327"/>
      <c r="Z39" s="13" t="s">
        <v>362</v>
      </c>
      <c r="AB39" s="333" t="s">
        <v>364</v>
      </c>
      <c r="AC39" s="333"/>
      <c r="AD39" s="333"/>
      <c r="AE39" s="333"/>
      <c r="AF39" s="333"/>
      <c r="AG39" s="333"/>
      <c r="AH39" s="333"/>
      <c r="AI39" s="333"/>
      <c r="AJ39" s="333"/>
      <c r="AK39" s="333"/>
      <c r="AL39" s="333"/>
      <c r="AM39" s="333"/>
      <c r="AP39" s="85"/>
    </row>
    <row r="40" spans="2:16384" ht="12.75" customHeight="1">
      <c r="B40" s="136" t="str">
        <f>IF('Filtered Data'!D1="L","",IF('Filtered Data'!D1="SD",J10,"Regional"))</f>
        <v>Regional</v>
      </c>
      <c r="C40" s="136"/>
      <c r="D40" s="136"/>
      <c r="E40" s="136"/>
      <c r="F40" s="136"/>
      <c r="G40" s="136"/>
      <c r="H40" s="136"/>
      <c r="I40" s="136"/>
      <c r="J40" s="332"/>
      <c r="K40" s="137" t="str">
        <f>IF(Q40="","",IF('Filtered Data'!I8="D",IF($L$35&gt;=L40,"J","L"),IF('Filtered Data'!I8="A",IF($L$35&lt;=L40,"J","L"))))</f>
        <v>L</v>
      </c>
      <c r="L40" s="325">
        <f>IF('Filtered Data'!D1="L","",IF('Filtered Data'!D1="SD",'Filtered Data'!AJ9,'Filtered Data'!AQ9))</f>
        <v>24.744002551746746</v>
      </c>
      <c r="M40" s="325"/>
      <c r="N40" s="325"/>
      <c r="O40" s="325"/>
      <c r="P40" s="138"/>
      <c r="Q40" s="327">
        <f>IF(ISERROR(IF('Filtered Data'!D1="L","",IF('Filtered Data'!D1="SD",VLOOKUP(J5,'Filtered Data'!L:AK,26,FALSE),(VLOOKUP(J5,'Filtered Data'!L:AR,33,FALSE))))),"",(IF('Filtered Data'!D1="L","",IF('Filtered Data'!D1="SD",VLOOKUP(J5,'Filtered Data'!L:AK,26,FALSE),(VLOOKUP(J5,'Filtered Data'!L:AR,33,FALSE))))))</f>
        <v>5</v>
      </c>
      <c r="R40" s="327"/>
      <c r="S40" s="325" t="str">
        <f>IF(B40="","","out of")</f>
        <v>out of</v>
      </c>
      <c r="T40" s="326"/>
      <c r="U40" s="326"/>
      <c r="V40" s="327">
        <f>IF('Filtered Data'!D1="L","",IF('Filtered Data'!D1="SD",COUNT('Filtered Data'!AK11:AK363),(COUNT('Filtered Data'!AQ11:AQ363))))</f>
        <v>6</v>
      </c>
      <c r="W40" s="327"/>
      <c r="AB40" s="333"/>
      <c r="AC40" s="333"/>
      <c r="AD40" s="333"/>
      <c r="AE40" s="333"/>
      <c r="AF40" s="333"/>
      <c r="AG40" s="333"/>
      <c r="AH40" s="333"/>
      <c r="AI40" s="333"/>
      <c r="AJ40" s="333"/>
      <c r="AK40" s="333"/>
      <c r="AL40" s="333"/>
      <c r="AM40" s="333"/>
      <c r="AP40" s="85"/>
    </row>
    <row r="41" spans="2:16384">
      <c r="B41" s="150"/>
      <c r="C41" s="150"/>
      <c r="D41" s="150"/>
      <c r="E41" s="150"/>
      <c r="F41" s="150"/>
      <c r="G41" s="150"/>
      <c r="H41" s="150"/>
      <c r="I41" s="150"/>
      <c r="J41" s="149"/>
      <c r="K41" s="151" t="str">
        <f>IF(B41="","",IF('Filtered Data'!D1="UA","",(IF($L$35&gt;=L41,"J","L"))))</f>
        <v/>
      </c>
      <c r="L41" s="345"/>
      <c r="M41" s="345"/>
      <c r="N41" s="345"/>
      <c r="O41" s="345"/>
      <c r="P41" s="152"/>
      <c r="Q41" s="335"/>
      <c r="R41" s="335"/>
      <c r="S41" s="329"/>
      <c r="T41" s="329"/>
      <c r="U41" s="329"/>
      <c r="V41" s="335"/>
      <c r="W41" s="33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1" t="s">
        <v>360</v>
      </c>
      <c r="C43" s="342"/>
      <c r="D43" s="342"/>
      <c r="E43" s="342"/>
      <c r="F43" s="342"/>
      <c r="G43" s="342"/>
      <c r="H43" s="342"/>
      <c r="I43" s="342"/>
      <c r="J43" s="342"/>
      <c r="K43" s="342"/>
      <c r="L43" s="342"/>
      <c r="M43" s="342"/>
      <c r="N43" s="342"/>
      <c r="O43" s="337" t="str">
        <f>W6&amp;" - "&amp;W12</f>
        <v>Housing Benefit - New Claims - Year 2013/14</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85"/>
    </row>
    <row r="44" spans="2:16384">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19">
        <f>IF('Filtered Data'!$H$8="..",L35,L35*100)</f>
        <v>30.986323555875472</v>
      </c>
      <c r="F48" s="319"/>
      <c r="G48" s="319"/>
      <c r="H48" s="319"/>
      <c r="I48" s="6"/>
      <c r="J48" s="6"/>
      <c r="K48" s="277">
        <f>IF('Filtered Data'!$H$8="..",K$32,K$32*100)</f>
        <v>18.926896762719444</v>
      </c>
      <c r="L48" s="277"/>
      <c r="M48" s="277">
        <f>IF('Filtered Data'!$H$8="..",T$32,T$32*100)</f>
        <v>21.644659046218752</v>
      </c>
      <c r="N48" s="277"/>
      <c r="O48" s="277">
        <f>IF('Filtered Data'!$H$8="..",AC$32,AC$32*100)</f>
        <v>29.865243310184059</v>
      </c>
      <c r="P48" s="27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19">
        <f>IF('Filtered Data'!$H$8="..",L37,L37*100)</f>
        <v>23.788310455225176</v>
      </c>
      <c r="F49" s="319"/>
      <c r="G49" s="319"/>
      <c r="H49" s="319"/>
      <c r="I49" s="6"/>
      <c r="J49" s="6"/>
      <c r="K49" s="277">
        <f>IF('Filtered Data'!$H$8="..",K$32,K$32*100)</f>
        <v>18.926896762719444</v>
      </c>
      <c r="L49" s="277"/>
      <c r="M49" s="277">
        <f>IF('Filtered Data'!$H$8="..",T$32,T$32*100)</f>
        <v>21.644659046218752</v>
      </c>
      <c r="N49" s="277"/>
      <c r="O49" s="277">
        <f>IF('Filtered Data'!$H$8="..",AC$32,AC$32*100)</f>
        <v>29.865243310184059</v>
      </c>
      <c r="P49" s="27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19">
        <f>IF('Filtered Data'!$H$8="..",L39,L39*100)</f>
        <v>26.088040770752627</v>
      </c>
      <c r="F50" s="319"/>
      <c r="G50" s="319"/>
      <c r="H50" s="319"/>
      <c r="I50" s="6"/>
      <c r="J50" s="6"/>
      <c r="K50" s="277">
        <f>IF('Filtered Data'!$H$8="..",K$32,K$32*100)</f>
        <v>18.926896762719444</v>
      </c>
      <c r="L50" s="277"/>
      <c r="M50" s="277">
        <f>IF('Filtered Data'!$H$8="..",T$32,T$32*100)</f>
        <v>21.644659046218752</v>
      </c>
      <c r="N50" s="277"/>
      <c r="O50" s="277">
        <f>IF('Filtered Data'!$H$8="..",AC$32,AC$32*100)</f>
        <v>29.865243310184059</v>
      </c>
      <c r="P50" s="27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19">
        <f>IF('Filtered Data'!$H$8="..",L40,L40*100)</f>
        <v>24.744002551746746</v>
      </c>
      <c r="F51" s="319"/>
      <c r="G51" s="319"/>
      <c r="H51" s="319"/>
      <c r="I51" s="6"/>
      <c r="J51" s="6"/>
      <c r="K51" s="277">
        <f>IF('Filtered Data'!$H$8="..",K$32,K$32*100)</f>
        <v>18.926896762719444</v>
      </c>
      <c r="L51" s="277"/>
      <c r="M51" s="277">
        <f>IF('Filtered Data'!$H$8="..",T$32,T$32*100)</f>
        <v>21.644659046218752</v>
      </c>
      <c r="N51" s="277"/>
      <c r="O51" s="277">
        <f>IF('Filtered Data'!$H$8="..",AC$32,AC$32*100)</f>
        <v>29.865243310184059</v>
      </c>
      <c r="P51" s="27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19">
        <f>IF('Filtered Data'!$H$8="..",L38,L38*100)</f>
        <v>24.659419198810987</v>
      </c>
      <c r="F52" s="319"/>
      <c r="G52" s="319"/>
      <c r="H52" s="319"/>
      <c r="I52" s="6"/>
      <c r="J52" s="6"/>
      <c r="K52" s="277">
        <f>IF('Filtered Data'!$H$8="..",K$32,K$32*100)</f>
        <v>18.926896762719444</v>
      </c>
      <c r="L52" s="277"/>
      <c r="M52" s="277">
        <f>IF('Filtered Data'!$H$8="..",T$32,T$32*100)</f>
        <v>21.644659046218752</v>
      </c>
      <c r="N52" s="277"/>
      <c r="O52" s="277">
        <f>IF('Filtered Data'!$H$8="..",AC$32,AC$32*100)</f>
        <v>29.865243310184059</v>
      </c>
      <c r="P52" s="27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1"/>
      <c r="F53" s="351"/>
      <c r="G53" s="351"/>
      <c r="H53" s="351"/>
      <c r="I53" s="6"/>
      <c r="J53" s="6"/>
      <c r="K53" s="277"/>
      <c r="L53" s="277"/>
      <c r="M53" s="277"/>
      <c r="N53" s="277"/>
      <c r="O53" s="277"/>
      <c r="P53" s="27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6" t="str">
        <f>B3</f>
        <v>Speed of Processing</v>
      </c>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P59" s="85"/>
    </row>
    <row r="60" spans="2:42">
      <c r="AP60" s="85"/>
    </row>
    <row r="61" spans="2:42" ht="12" customHeight="1">
      <c r="B61" s="1" t="str">
        <f>W6&amp;" - "&amp;W12</f>
        <v>Housing Benefit - New Claims - Year 2013/14</v>
      </c>
      <c r="AP61" s="85"/>
    </row>
    <row r="62" spans="2:42" ht="12" customHeight="1">
      <c r="AP62" s="85"/>
    </row>
    <row r="63" spans="2:42" ht="12" customHeight="1">
      <c r="B63" s="1" t="s">
        <v>366</v>
      </c>
      <c r="AP63" s="85"/>
    </row>
    <row r="64" spans="2:42" ht="12" customHeight="1">
      <c r="AP64" s="85"/>
    </row>
    <row r="65" spans="2:42" ht="12" customHeight="1">
      <c r="B65" s="289" t="s">
        <v>357</v>
      </c>
      <c r="C65" s="289"/>
      <c r="D65" s="289"/>
      <c r="E65" s="283" t="s">
        <v>334</v>
      </c>
      <c r="F65" s="283"/>
      <c r="G65" s="283"/>
      <c r="H65" s="283"/>
      <c r="I65" s="283"/>
      <c r="J65" s="283"/>
      <c r="K65" s="283"/>
      <c r="L65" s="283"/>
      <c r="M65" s="283"/>
      <c r="N65" s="283"/>
      <c r="O65" s="283"/>
      <c r="P65" s="283"/>
      <c r="Q65" s="283"/>
      <c r="R65" s="283"/>
      <c r="S65" s="283"/>
      <c r="T65" s="283"/>
      <c r="U65" s="289" t="s">
        <v>368</v>
      </c>
      <c r="V65" s="289"/>
      <c r="W65" s="289"/>
      <c r="X65" s="289"/>
      <c r="Y65" s="24"/>
      <c r="Z65" s="24"/>
      <c r="AA65" s="24"/>
      <c r="AB65" s="24"/>
      <c r="AC65" s="23"/>
      <c r="AD65" s="24"/>
      <c r="AE65" s="24"/>
      <c r="AF65" s="24"/>
      <c r="AG65" s="24"/>
      <c r="AH65" s="11"/>
      <c r="AI65" s="24"/>
      <c r="AJ65" s="24"/>
      <c r="AK65" s="24"/>
      <c r="AL65" s="24"/>
      <c r="AP65" s="85"/>
    </row>
    <row r="66" spans="2:42" ht="12" customHeight="1">
      <c r="B66" s="323">
        <v>1</v>
      </c>
      <c r="C66" s="280"/>
      <c r="D66" s="280"/>
      <c r="E66" s="281" t="str">
        <f>VLOOKUP(B66,'Filtered Data'!K:L,2,FALSE)</f>
        <v>Darlington</v>
      </c>
      <c r="F66" s="281"/>
      <c r="G66" s="281"/>
      <c r="H66" s="281"/>
      <c r="I66" s="281"/>
      <c r="J66" s="281"/>
      <c r="K66" s="281"/>
      <c r="L66" s="281"/>
      <c r="M66" s="281"/>
      <c r="N66" s="281"/>
      <c r="O66" s="281"/>
      <c r="P66" s="281"/>
      <c r="Q66" s="281"/>
      <c r="R66" s="281"/>
      <c r="S66" s="281"/>
      <c r="T66" s="281"/>
      <c r="U66" s="288">
        <f>IF('Filtered Data'!$H$8="%.",(VLOOKUP(B66,'Filtered Data'!K:M,3,FALSE))/100,VLOOKUP(B66,'Filtered Data'!K:M,3,FALSE))</f>
        <v>10.189274447949527</v>
      </c>
      <c r="V66" s="288"/>
      <c r="W66" s="288"/>
      <c r="X66" s="288"/>
      <c r="Y66" s="184" t="str">
        <f>IF((VLOOKUP(E66,classifications!C:K,9,FALSE))="Sparse","S","")</f>
        <v/>
      </c>
      <c r="Z66" s="184"/>
      <c r="AA66" s="184"/>
      <c r="AB66" s="184"/>
      <c r="AC66" s="184"/>
      <c r="AD66" s="286"/>
      <c r="AE66" s="286"/>
      <c r="AF66" s="286"/>
      <c r="AG66" s="286"/>
      <c r="AH66" s="286"/>
      <c r="AI66" s="286"/>
      <c r="AJ66" s="286"/>
      <c r="AK66" s="286"/>
      <c r="AL66" s="286"/>
      <c r="AP66" s="85"/>
    </row>
    <row r="67" spans="2:42" ht="12" customHeight="1">
      <c r="B67" s="323">
        <v>2</v>
      </c>
      <c r="C67" s="280"/>
      <c r="D67" s="280"/>
      <c r="E67" s="281" t="str">
        <f>VLOOKUP(B67,'Filtered Data'!K:L,2,FALSE)</f>
        <v>Telford &amp; Wrekin</v>
      </c>
      <c r="F67" s="281"/>
      <c r="G67" s="281"/>
      <c r="H67" s="281"/>
      <c r="I67" s="281"/>
      <c r="J67" s="281"/>
      <c r="K67" s="281"/>
      <c r="L67" s="281"/>
      <c r="M67" s="281"/>
      <c r="N67" s="281"/>
      <c r="O67" s="281"/>
      <c r="P67" s="281"/>
      <c r="Q67" s="281"/>
      <c r="R67" s="281"/>
      <c r="S67" s="281"/>
      <c r="T67" s="281"/>
      <c r="U67" s="288">
        <f>IF('Filtered Data'!$H$8="%.",(VLOOKUP(B67,'Filtered Data'!K:M,3,FALSE))/100,VLOOKUP(B67,'Filtered Data'!K:M,3,FALSE))</f>
        <v>12.149090233939845</v>
      </c>
      <c r="V67" s="288"/>
      <c r="W67" s="288"/>
      <c r="X67" s="288"/>
      <c r="Y67" s="184" t="str">
        <f>IF((VLOOKUP(E67,classifications!C:K,9,FALSE))="Sparse","S","")</f>
        <v/>
      </c>
      <c r="Z67" s="184"/>
      <c r="AA67" s="184"/>
      <c r="AB67" s="184"/>
      <c r="AC67" s="184"/>
      <c r="AD67" s="286"/>
      <c r="AE67" s="286"/>
      <c r="AF67" s="286"/>
      <c r="AG67" s="286"/>
      <c r="AH67" s="286"/>
      <c r="AI67" s="286"/>
      <c r="AJ67" s="286"/>
      <c r="AK67" s="286"/>
      <c r="AL67" s="286"/>
      <c r="AP67" s="85"/>
    </row>
    <row r="68" spans="2:42" ht="12" customHeight="1">
      <c r="B68" s="323">
        <v>3</v>
      </c>
      <c r="C68" s="280"/>
      <c r="D68" s="280"/>
      <c r="E68" s="281" t="str">
        <f>VLOOKUP(B68,'Filtered Data'!K:L,2,FALSE)</f>
        <v>Herefordshire</v>
      </c>
      <c r="F68" s="281"/>
      <c r="G68" s="281"/>
      <c r="H68" s="281"/>
      <c r="I68" s="281"/>
      <c r="J68" s="281"/>
      <c r="K68" s="281"/>
      <c r="L68" s="281"/>
      <c r="M68" s="281"/>
      <c r="N68" s="281"/>
      <c r="O68" s="281"/>
      <c r="P68" s="281"/>
      <c r="Q68" s="281"/>
      <c r="R68" s="281"/>
      <c r="S68" s="281"/>
      <c r="T68" s="281"/>
      <c r="U68" s="288">
        <f>IF('Filtered Data'!$H$8="%.",(VLOOKUP(B68,'Filtered Data'!K:M,3,FALSE))/100,VLOOKUP(B68,'Filtered Data'!K:M,3,FALSE))</f>
        <v>12.187860291624279</v>
      </c>
      <c r="V68" s="288"/>
      <c r="W68" s="288"/>
      <c r="X68" s="288"/>
      <c r="Y68" s="184" t="str">
        <f>IF((VLOOKUP(E68,classifications!C:K,9,FALSE))="Sparse","S","")</f>
        <v>S</v>
      </c>
      <c r="Z68" s="184"/>
      <c r="AA68" s="184"/>
      <c r="AB68" s="184"/>
      <c r="AC68" s="184"/>
      <c r="AD68" s="286"/>
      <c r="AE68" s="286"/>
      <c r="AF68" s="286"/>
      <c r="AG68" s="286"/>
      <c r="AH68" s="286"/>
      <c r="AI68" s="286"/>
      <c r="AJ68" s="286"/>
      <c r="AK68" s="286"/>
      <c r="AL68" s="286"/>
      <c r="AP68" s="85"/>
    </row>
    <row r="69" spans="2:42" ht="12" customHeight="1">
      <c r="B69" s="323">
        <v>4</v>
      </c>
      <c r="C69" s="280"/>
      <c r="D69" s="280"/>
      <c r="E69" s="281" t="str">
        <f>VLOOKUP(B69,'Filtered Data'!K:L,2,FALSE)</f>
        <v>Plymouth</v>
      </c>
      <c r="F69" s="281"/>
      <c r="G69" s="281"/>
      <c r="H69" s="281"/>
      <c r="I69" s="281"/>
      <c r="J69" s="281"/>
      <c r="K69" s="281"/>
      <c r="L69" s="281"/>
      <c r="M69" s="281"/>
      <c r="N69" s="281"/>
      <c r="O69" s="281"/>
      <c r="P69" s="281"/>
      <c r="Q69" s="281"/>
      <c r="R69" s="281"/>
      <c r="S69" s="281"/>
      <c r="T69" s="281"/>
      <c r="U69" s="288">
        <f>IF('Filtered Data'!$H$8="%.",(VLOOKUP(B69,'Filtered Data'!K:M,3,FALSE))/100,VLOOKUP(B69,'Filtered Data'!K:M,3,FALSE))</f>
        <v>13.210231067183118</v>
      </c>
      <c r="V69" s="288"/>
      <c r="W69" s="288"/>
      <c r="X69" s="288"/>
      <c r="Y69" s="184" t="str">
        <f>IF((VLOOKUP(E69,classifications!C:K,9,FALSE))="Sparse","S","")</f>
        <v/>
      </c>
      <c r="Z69" s="184"/>
      <c r="AA69" s="184"/>
      <c r="AB69" s="184"/>
      <c r="AC69" s="184"/>
      <c r="AD69" s="286"/>
      <c r="AE69" s="286"/>
      <c r="AF69" s="286"/>
      <c r="AG69" s="286"/>
      <c r="AH69" s="286"/>
      <c r="AI69" s="286"/>
      <c r="AJ69" s="286"/>
      <c r="AK69" s="286"/>
      <c r="AL69" s="286"/>
      <c r="AP69" s="85"/>
    </row>
    <row r="70" spans="2:42" ht="12" customHeight="1">
      <c r="B70" s="323">
        <v>5</v>
      </c>
      <c r="C70" s="280"/>
      <c r="D70" s="280"/>
      <c r="E70" s="281" t="str">
        <f>VLOOKUP(B70,'Filtered Data'!K:L,2,FALSE)</f>
        <v>Southampton</v>
      </c>
      <c r="F70" s="281"/>
      <c r="G70" s="281"/>
      <c r="H70" s="281"/>
      <c r="I70" s="281"/>
      <c r="J70" s="281"/>
      <c r="K70" s="281"/>
      <c r="L70" s="281"/>
      <c r="M70" s="281"/>
      <c r="N70" s="281"/>
      <c r="O70" s="281"/>
      <c r="P70" s="281"/>
      <c r="Q70" s="281"/>
      <c r="R70" s="281"/>
      <c r="S70" s="281"/>
      <c r="T70" s="281"/>
      <c r="U70" s="288">
        <f>IF('Filtered Data'!$H$8="%.",(VLOOKUP(B70,'Filtered Data'!K:M,3,FALSE))/100,VLOOKUP(B70,'Filtered Data'!K:M,3,FALSE))</f>
        <v>14.731398908558498</v>
      </c>
      <c r="V70" s="288"/>
      <c r="W70" s="288"/>
      <c r="X70" s="288"/>
      <c r="Y70" s="184" t="str">
        <f>IF((VLOOKUP(E70,classifications!C:K,9,FALSE))="Sparse","S","")</f>
        <v/>
      </c>
      <c r="Z70" s="184"/>
      <c r="AA70" s="184"/>
      <c r="AB70" s="184"/>
      <c r="AC70" s="184"/>
      <c r="AD70" s="286"/>
      <c r="AE70" s="286"/>
      <c r="AF70" s="286"/>
      <c r="AG70" s="286"/>
      <c r="AH70" s="286"/>
      <c r="AI70" s="286"/>
      <c r="AJ70" s="286"/>
      <c r="AK70" s="286"/>
      <c r="AL70" s="286"/>
      <c r="AP70" s="85"/>
    </row>
    <row r="71" spans="2:42" ht="12" customHeight="1">
      <c r="B71" s="323">
        <v>6</v>
      </c>
      <c r="C71" s="280"/>
      <c r="D71" s="280"/>
      <c r="E71" s="281" t="str">
        <f>VLOOKUP(B71,'Filtered Data'!K:L,2,FALSE)</f>
        <v>Halton</v>
      </c>
      <c r="F71" s="281"/>
      <c r="G71" s="281"/>
      <c r="H71" s="281"/>
      <c r="I71" s="281"/>
      <c r="J71" s="281"/>
      <c r="K71" s="281"/>
      <c r="L71" s="281"/>
      <c r="M71" s="281"/>
      <c r="N71" s="281"/>
      <c r="O71" s="281"/>
      <c r="P71" s="281"/>
      <c r="Q71" s="281"/>
      <c r="R71" s="281"/>
      <c r="S71" s="281"/>
      <c r="T71" s="281"/>
      <c r="U71" s="288">
        <f>IF('Filtered Data'!$H$8="%.",(VLOOKUP(B71,'Filtered Data'!K:M,3,FALSE))/100,VLOOKUP(B71,'Filtered Data'!K:M,3,FALSE))</f>
        <v>14.778051029818629</v>
      </c>
      <c r="V71" s="288"/>
      <c r="W71" s="288"/>
      <c r="X71" s="288"/>
      <c r="Y71" s="184" t="str">
        <f>IF((VLOOKUP(E71,classifications!C:K,9,FALSE))="Sparse","S","")</f>
        <v/>
      </c>
      <c r="Z71" s="184"/>
      <c r="AA71" s="184"/>
      <c r="AB71" s="184"/>
      <c r="AC71" s="184"/>
      <c r="AD71" s="286"/>
      <c r="AE71" s="286"/>
      <c r="AF71" s="286"/>
      <c r="AG71" s="286"/>
      <c r="AH71" s="286"/>
      <c r="AI71" s="286"/>
      <c r="AJ71" s="286"/>
      <c r="AK71" s="286"/>
      <c r="AL71" s="286"/>
      <c r="AP71" s="85"/>
    </row>
    <row r="72" spans="2:42" ht="12" customHeight="1">
      <c r="B72" s="323">
        <v>7</v>
      </c>
      <c r="C72" s="280"/>
      <c r="D72" s="280"/>
      <c r="E72" s="281" t="str">
        <f>VLOOKUP(B72,'Filtered Data'!K:L,2,FALSE)</f>
        <v>Stoke-on-Trent</v>
      </c>
      <c r="F72" s="281"/>
      <c r="G72" s="281"/>
      <c r="H72" s="281"/>
      <c r="I72" s="281"/>
      <c r="J72" s="281"/>
      <c r="K72" s="281"/>
      <c r="L72" s="281"/>
      <c r="M72" s="281"/>
      <c r="N72" s="281"/>
      <c r="O72" s="281"/>
      <c r="P72" s="281"/>
      <c r="Q72" s="281"/>
      <c r="R72" s="281"/>
      <c r="S72" s="281"/>
      <c r="T72" s="281"/>
      <c r="U72" s="288">
        <f>IF('Filtered Data'!$H$8="%.",(VLOOKUP(B72,'Filtered Data'!K:M,3,FALSE))/100,VLOOKUP(B72,'Filtered Data'!K:M,3,FALSE))</f>
        <v>14.998013902681231</v>
      </c>
      <c r="V72" s="288"/>
      <c r="W72" s="288"/>
      <c r="X72" s="288"/>
      <c r="Y72" s="184" t="str">
        <f>IF((VLOOKUP(E72,classifications!C:K,9,FALSE))="Sparse","S","")</f>
        <v/>
      </c>
      <c r="Z72" s="184"/>
      <c r="AA72" s="184"/>
      <c r="AB72" s="184"/>
      <c r="AC72" s="184"/>
      <c r="AD72" s="286"/>
      <c r="AE72" s="286"/>
      <c r="AF72" s="286"/>
      <c r="AG72" s="286"/>
      <c r="AH72" s="286"/>
      <c r="AI72" s="286"/>
      <c r="AJ72" s="286"/>
      <c r="AK72" s="286"/>
      <c r="AL72" s="286"/>
      <c r="AP72" s="85"/>
    </row>
    <row r="73" spans="2:42" ht="12" customHeight="1">
      <c r="B73" s="323">
        <v>8</v>
      </c>
      <c r="C73" s="280"/>
      <c r="D73" s="280"/>
      <c r="E73" s="281" t="str">
        <f>VLOOKUP(B73,'Filtered Data'!K:L,2,FALSE)</f>
        <v>Swindon</v>
      </c>
      <c r="F73" s="281"/>
      <c r="G73" s="281"/>
      <c r="H73" s="281"/>
      <c r="I73" s="281"/>
      <c r="J73" s="281"/>
      <c r="K73" s="281"/>
      <c r="L73" s="281"/>
      <c r="M73" s="281"/>
      <c r="N73" s="281"/>
      <c r="O73" s="281"/>
      <c r="P73" s="281"/>
      <c r="Q73" s="281"/>
      <c r="R73" s="281"/>
      <c r="S73" s="281"/>
      <c r="T73" s="281"/>
      <c r="U73" s="288">
        <f>IF('Filtered Data'!$H$8="%.",(VLOOKUP(B73,'Filtered Data'!K:M,3,FALSE))/100,VLOOKUP(B73,'Filtered Data'!K:M,3,FALSE))</f>
        <v>16.08532240826505</v>
      </c>
      <c r="V73" s="288"/>
      <c r="W73" s="288"/>
      <c r="X73" s="288"/>
      <c r="Y73" s="184" t="str">
        <f>IF((VLOOKUP(E73,classifications!C:K,9,FALSE))="Sparse","S","")</f>
        <v/>
      </c>
      <c r="Z73" s="184"/>
      <c r="AA73" s="184"/>
      <c r="AB73" s="184"/>
      <c r="AC73" s="184"/>
      <c r="AD73" s="286"/>
      <c r="AE73" s="286"/>
      <c r="AF73" s="286"/>
      <c r="AG73" s="286"/>
      <c r="AH73" s="286"/>
      <c r="AI73" s="286"/>
      <c r="AJ73" s="286"/>
      <c r="AK73" s="286"/>
      <c r="AL73" s="286"/>
      <c r="AP73" s="85"/>
    </row>
    <row r="74" spans="2:42" ht="12" customHeight="1">
      <c r="B74" s="323">
        <v>9</v>
      </c>
      <c r="C74" s="280"/>
      <c r="D74" s="280"/>
      <c r="E74" s="281" t="str">
        <f>VLOOKUP(B74,'Filtered Data'!K:L,2,FALSE)</f>
        <v>Bournemouth</v>
      </c>
      <c r="F74" s="281"/>
      <c r="G74" s="281"/>
      <c r="H74" s="281"/>
      <c r="I74" s="281"/>
      <c r="J74" s="281"/>
      <c r="K74" s="281"/>
      <c r="L74" s="281"/>
      <c r="M74" s="281"/>
      <c r="N74" s="281"/>
      <c r="O74" s="281"/>
      <c r="P74" s="281"/>
      <c r="Q74" s="281"/>
      <c r="R74" s="281"/>
      <c r="S74" s="281"/>
      <c r="T74" s="281"/>
      <c r="U74" s="288">
        <f>IF('Filtered Data'!$H$8="%.",(VLOOKUP(B74,'Filtered Data'!K:M,3,FALSE))/100,VLOOKUP(B74,'Filtered Data'!K:M,3,FALSE))</f>
        <v>16.990231500066908</v>
      </c>
      <c r="V74" s="288"/>
      <c r="W74" s="288"/>
      <c r="X74" s="288"/>
      <c r="Y74" s="184" t="str">
        <f>IF((VLOOKUP(E74,classifications!C:K,9,FALSE))="Sparse","S","")</f>
        <v/>
      </c>
      <c r="Z74" s="184"/>
      <c r="AA74" s="184"/>
      <c r="AB74" s="184"/>
      <c r="AC74" s="184"/>
      <c r="AD74" s="286"/>
      <c r="AE74" s="286"/>
      <c r="AF74" s="286"/>
      <c r="AG74" s="286"/>
      <c r="AH74" s="286"/>
      <c r="AI74" s="286"/>
      <c r="AJ74" s="286"/>
      <c r="AK74" s="286"/>
      <c r="AL74" s="286"/>
      <c r="AP74" s="85"/>
    </row>
    <row r="75" spans="2:42" ht="12" customHeight="1">
      <c r="B75" s="323">
        <v>10</v>
      </c>
      <c r="C75" s="280"/>
      <c r="D75" s="280"/>
      <c r="E75" s="281" t="str">
        <f>VLOOKUP(B75,'Filtered Data'!K:L,2,FALSE)</f>
        <v>Reading</v>
      </c>
      <c r="F75" s="281"/>
      <c r="G75" s="281"/>
      <c r="H75" s="281"/>
      <c r="I75" s="281"/>
      <c r="J75" s="281"/>
      <c r="K75" s="281"/>
      <c r="L75" s="281"/>
      <c r="M75" s="281"/>
      <c r="N75" s="281"/>
      <c r="O75" s="281"/>
      <c r="P75" s="281"/>
      <c r="Q75" s="281"/>
      <c r="R75" s="281"/>
      <c r="S75" s="281"/>
      <c r="T75" s="281"/>
      <c r="U75" s="288">
        <f>IF('Filtered Data'!$H$8="%.",(VLOOKUP(B75,'Filtered Data'!K:M,3,FALSE))/100,VLOOKUP(B75,'Filtered Data'!K:M,3,FALSE))</f>
        <v>17.339617834394904</v>
      </c>
      <c r="V75" s="288"/>
      <c r="W75" s="288"/>
      <c r="X75" s="288"/>
      <c r="Y75" s="184" t="str">
        <f>IF((VLOOKUP(E75,classifications!C:K,9,FALSE))="Sparse","S","")</f>
        <v/>
      </c>
      <c r="Z75" s="184"/>
      <c r="AA75" s="184"/>
      <c r="AB75" s="184"/>
      <c r="AC75" s="184"/>
      <c r="AD75" s="286"/>
      <c r="AE75" s="286"/>
      <c r="AF75" s="286"/>
      <c r="AG75" s="286"/>
      <c r="AH75" s="286"/>
      <c r="AI75" s="286"/>
      <c r="AJ75" s="286"/>
      <c r="AK75" s="286"/>
      <c r="AL75" s="286"/>
      <c r="AP75" s="85"/>
    </row>
    <row r="76" spans="2:42" ht="12" customHeight="1">
      <c r="B76" s="323">
        <v>11</v>
      </c>
      <c r="C76" s="280"/>
      <c r="D76" s="280"/>
      <c r="E76" s="281" t="str">
        <f>VLOOKUP(B76,'Filtered Data'!K:L,2,FALSE)</f>
        <v>Bracknell Forest</v>
      </c>
      <c r="F76" s="281"/>
      <c r="G76" s="281"/>
      <c r="H76" s="281"/>
      <c r="I76" s="281"/>
      <c r="J76" s="281"/>
      <c r="K76" s="281"/>
      <c r="L76" s="281"/>
      <c r="M76" s="281"/>
      <c r="N76" s="281"/>
      <c r="O76" s="281"/>
      <c r="P76" s="281"/>
      <c r="Q76" s="281"/>
      <c r="R76" s="281"/>
      <c r="S76" s="281"/>
      <c r="T76" s="281"/>
      <c r="U76" s="288">
        <f>IF('Filtered Data'!$H$8="%.",(VLOOKUP(B76,'Filtered Data'!K:M,3,FALSE))/100,VLOOKUP(B76,'Filtered Data'!K:M,3,FALSE))</f>
        <v>17.523809523809526</v>
      </c>
      <c r="V76" s="288"/>
      <c r="W76" s="288"/>
      <c r="X76" s="288"/>
      <c r="Y76" s="184" t="str">
        <f>IF((VLOOKUP(E76,classifications!C:K,9,FALSE))="Sparse","S","")</f>
        <v/>
      </c>
      <c r="Z76" s="184"/>
      <c r="AA76" s="184"/>
      <c r="AB76" s="184"/>
      <c r="AC76" s="184"/>
      <c r="AD76" s="286"/>
      <c r="AE76" s="286"/>
      <c r="AF76" s="286"/>
      <c r="AG76" s="286"/>
      <c r="AH76" s="286"/>
      <c r="AI76" s="286"/>
      <c r="AJ76" s="286"/>
      <c r="AK76" s="286"/>
      <c r="AL76" s="286"/>
      <c r="AP76" s="85"/>
    </row>
    <row r="77" spans="2:42" ht="12" customHeight="1">
      <c r="B77" s="323">
        <v>12</v>
      </c>
      <c r="C77" s="280"/>
      <c r="D77" s="280"/>
      <c r="E77" s="281" t="str">
        <f>VLOOKUP(B77,'Filtered Data'!K:L,2,FALSE)</f>
        <v>Northumberland</v>
      </c>
      <c r="F77" s="281"/>
      <c r="G77" s="281"/>
      <c r="H77" s="281"/>
      <c r="I77" s="281"/>
      <c r="J77" s="281"/>
      <c r="K77" s="281"/>
      <c r="L77" s="281"/>
      <c r="M77" s="281"/>
      <c r="N77" s="281"/>
      <c r="O77" s="281"/>
      <c r="P77" s="281"/>
      <c r="Q77" s="281"/>
      <c r="R77" s="281"/>
      <c r="S77" s="281"/>
      <c r="T77" s="281"/>
      <c r="U77" s="288">
        <f>IF('Filtered Data'!$H$8="%.",(VLOOKUP(B77,'Filtered Data'!K:M,3,FALSE))/100,VLOOKUP(B77,'Filtered Data'!K:M,3,FALSE))</f>
        <v>17.588345323741006</v>
      </c>
      <c r="V77" s="288"/>
      <c r="W77" s="288"/>
      <c r="X77" s="288"/>
      <c r="Y77" s="184" t="str">
        <f>IF((VLOOKUP(E77,classifications!C:K,9,FALSE))="Sparse","S","")</f>
        <v>S</v>
      </c>
      <c r="Z77" s="184"/>
      <c r="AA77" s="184"/>
      <c r="AB77" s="184"/>
      <c r="AC77" s="184"/>
      <c r="AD77" s="286"/>
      <c r="AE77" s="286"/>
      <c r="AF77" s="286"/>
      <c r="AG77" s="286"/>
      <c r="AH77" s="286"/>
      <c r="AI77" s="286"/>
      <c r="AJ77" s="286"/>
      <c r="AK77" s="286"/>
      <c r="AL77" s="286"/>
      <c r="AP77" s="85"/>
    </row>
    <row r="78" spans="2:42" ht="12" customHeight="1">
      <c r="B78" s="323">
        <v>13</v>
      </c>
      <c r="C78" s="280"/>
      <c r="D78" s="280"/>
      <c r="E78" s="281" t="str">
        <f>VLOOKUP(B78,'Filtered Data'!K:L,2,FALSE)</f>
        <v>East Riding of Yorkshire</v>
      </c>
      <c r="F78" s="281"/>
      <c r="G78" s="281"/>
      <c r="H78" s="281"/>
      <c r="I78" s="281"/>
      <c r="J78" s="281"/>
      <c r="K78" s="281"/>
      <c r="L78" s="281"/>
      <c r="M78" s="281"/>
      <c r="N78" s="281"/>
      <c r="O78" s="281"/>
      <c r="P78" s="281"/>
      <c r="Q78" s="281"/>
      <c r="R78" s="281"/>
      <c r="S78" s="281"/>
      <c r="T78" s="281"/>
      <c r="U78" s="288">
        <f>IF('Filtered Data'!$H$8="%.",(VLOOKUP(B78,'Filtered Data'!K:M,3,FALSE))/100,VLOOKUP(B78,'Filtered Data'!K:M,3,FALSE))</f>
        <v>18.041772554002542</v>
      </c>
      <c r="V78" s="288"/>
      <c r="W78" s="288"/>
      <c r="X78" s="288"/>
      <c r="Y78" s="184" t="str">
        <f>IF((VLOOKUP(E78,classifications!C:K,9,FALSE))="Sparse","S","")</f>
        <v>S</v>
      </c>
      <c r="Z78" s="184"/>
      <c r="AA78" s="184"/>
      <c r="AB78" s="184"/>
      <c r="AC78" s="184"/>
      <c r="AD78" s="286"/>
      <c r="AE78" s="286"/>
      <c r="AF78" s="286"/>
      <c r="AG78" s="286"/>
      <c r="AH78" s="286"/>
      <c r="AI78" s="286"/>
      <c r="AJ78" s="286"/>
      <c r="AK78" s="286"/>
      <c r="AL78" s="286"/>
      <c r="AP78" s="85"/>
    </row>
    <row r="79" spans="2:42" ht="12" customHeight="1">
      <c r="B79" s="323">
        <v>14</v>
      </c>
      <c r="C79" s="280"/>
      <c r="D79" s="280"/>
      <c r="E79" s="281" t="str">
        <f>VLOOKUP(B79,'Filtered Data'!K:L,2,FALSE)</f>
        <v>Stockton-on-Tees</v>
      </c>
      <c r="F79" s="281"/>
      <c r="G79" s="281"/>
      <c r="H79" s="281"/>
      <c r="I79" s="281"/>
      <c r="J79" s="281"/>
      <c r="K79" s="281"/>
      <c r="L79" s="281"/>
      <c r="M79" s="281"/>
      <c r="N79" s="281"/>
      <c r="O79" s="281"/>
      <c r="P79" s="281"/>
      <c r="Q79" s="281"/>
      <c r="R79" s="281"/>
      <c r="S79" s="281"/>
      <c r="T79" s="281"/>
      <c r="U79" s="288">
        <f>IF('Filtered Data'!$H$8="%.",(VLOOKUP(B79,'Filtered Data'!K:M,3,FALSE))/100,VLOOKUP(B79,'Filtered Data'!K:M,3,FALSE))</f>
        <v>18.901736309864528</v>
      </c>
      <c r="V79" s="288"/>
      <c r="W79" s="288"/>
      <c r="X79" s="288"/>
      <c r="Y79" s="184" t="str">
        <f>IF((VLOOKUP(E79,classifications!C:K,9,FALSE))="Sparse","S","")</f>
        <v/>
      </c>
      <c r="Z79" s="184"/>
      <c r="AA79" s="184"/>
      <c r="AB79" s="184"/>
      <c r="AC79" s="184"/>
      <c r="AD79" s="286"/>
      <c r="AE79" s="286"/>
      <c r="AF79" s="286"/>
      <c r="AG79" s="286"/>
      <c r="AH79" s="286"/>
      <c r="AI79" s="286"/>
      <c r="AJ79" s="286"/>
      <c r="AK79" s="286"/>
      <c r="AL79" s="286"/>
      <c r="AP79" s="85"/>
    </row>
    <row r="80" spans="2:42" ht="12" customHeight="1">
      <c r="B80" s="323">
        <v>15</v>
      </c>
      <c r="C80" s="280"/>
      <c r="D80" s="280"/>
      <c r="E80" s="281" t="str">
        <f>VLOOKUP(B80,'Filtered Data'!K:L,2,FALSE)</f>
        <v>Bedford</v>
      </c>
      <c r="F80" s="281"/>
      <c r="G80" s="281"/>
      <c r="H80" s="281"/>
      <c r="I80" s="281"/>
      <c r="J80" s="281"/>
      <c r="K80" s="281"/>
      <c r="L80" s="281"/>
      <c r="M80" s="281"/>
      <c r="N80" s="281"/>
      <c r="O80" s="281"/>
      <c r="P80" s="281"/>
      <c r="Q80" s="281"/>
      <c r="R80" s="281"/>
      <c r="S80" s="281"/>
      <c r="T80" s="281"/>
      <c r="U80" s="288">
        <f>IF('Filtered Data'!$H$8="%.",(VLOOKUP(B80,'Filtered Data'!K:M,3,FALSE))/100,VLOOKUP(B80,'Filtered Data'!K:M,3,FALSE))</f>
        <v>19.002378121284185</v>
      </c>
      <c r="V80" s="288"/>
      <c r="W80" s="288"/>
      <c r="X80" s="288"/>
      <c r="Y80" s="184" t="str">
        <f>IF((VLOOKUP(E80,classifications!C:K,9,FALSE))="Sparse","S","")</f>
        <v/>
      </c>
      <c r="Z80" s="184"/>
      <c r="AA80" s="184"/>
      <c r="AB80" s="184"/>
      <c r="AC80" s="184"/>
      <c r="AD80" s="286"/>
      <c r="AE80" s="286"/>
      <c r="AF80" s="286"/>
      <c r="AG80" s="286"/>
      <c r="AH80" s="286"/>
      <c r="AI80" s="286"/>
      <c r="AJ80" s="286"/>
      <c r="AK80" s="286"/>
      <c r="AL80" s="286"/>
      <c r="AP80" s="85"/>
    </row>
    <row r="81" spans="1:42" ht="12" customHeight="1">
      <c r="B81" s="323">
        <v>16</v>
      </c>
      <c r="C81" s="280"/>
      <c r="D81" s="280"/>
      <c r="E81" s="281" t="str">
        <f>VLOOKUP(B81,'Filtered Data'!K:L,2,FALSE)</f>
        <v>Rutland</v>
      </c>
      <c r="F81" s="281"/>
      <c r="G81" s="281"/>
      <c r="H81" s="281"/>
      <c r="I81" s="281"/>
      <c r="J81" s="281"/>
      <c r="K81" s="281"/>
      <c r="L81" s="281"/>
      <c r="M81" s="281"/>
      <c r="N81" s="281"/>
      <c r="O81" s="281"/>
      <c r="P81" s="281"/>
      <c r="Q81" s="281"/>
      <c r="R81" s="281"/>
      <c r="S81" s="281"/>
      <c r="T81" s="281"/>
      <c r="U81" s="288">
        <f>IF('Filtered Data'!$H$8="%.",(VLOOKUP(B81,'Filtered Data'!K:M,3,FALSE))/100,VLOOKUP(B81,'Filtered Data'!K:M,3,FALSE))</f>
        <v>19.134564643799472</v>
      </c>
      <c r="V81" s="288"/>
      <c r="W81" s="288"/>
      <c r="X81" s="288"/>
      <c r="Y81" s="184" t="str">
        <f>IF((VLOOKUP(E81,classifications!C:K,9,FALSE))="Sparse","S","")</f>
        <v>S</v>
      </c>
      <c r="Z81" s="184"/>
      <c r="AA81" s="184"/>
      <c r="AB81" s="184"/>
      <c r="AC81" s="184"/>
      <c r="AD81" s="286"/>
      <c r="AE81" s="286"/>
      <c r="AF81" s="286"/>
      <c r="AG81" s="286"/>
      <c r="AH81" s="286"/>
      <c r="AI81" s="286"/>
      <c r="AJ81" s="286"/>
      <c r="AK81" s="286"/>
      <c r="AL81" s="286"/>
      <c r="AP81" s="85"/>
    </row>
    <row r="82" spans="1:42" ht="12" customHeight="1">
      <c r="B82" s="323">
        <v>17</v>
      </c>
      <c r="C82" s="280"/>
      <c r="D82" s="280"/>
      <c r="E82" s="281" t="str">
        <f>VLOOKUP(B82,'Filtered Data'!K:L,2,FALSE)</f>
        <v>West Berkshire</v>
      </c>
      <c r="F82" s="281"/>
      <c r="G82" s="281"/>
      <c r="H82" s="281"/>
      <c r="I82" s="281"/>
      <c r="J82" s="281"/>
      <c r="K82" s="281"/>
      <c r="L82" s="281"/>
      <c r="M82" s="281"/>
      <c r="N82" s="281"/>
      <c r="O82" s="281"/>
      <c r="P82" s="281"/>
      <c r="Q82" s="281"/>
      <c r="R82" s="281"/>
      <c r="S82" s="281"/>
      <c r="T82" s="281"/>
      <c r="U82" s="288">
        <f>IF('Filtered Data'!$H$8="%.",(VLOOKUP(B82,'Filtered Data'!K:M,3,FALSE))/100,VLOOKUP(B82,'Filtered Data'!K:M,3,FALSE))</f>
        <v>19.242205151378219</v>
      </c>
      <c r="V82" s="288"/>
      <c r="W82" s="288"/>
      <c r="X82" s="288"/>
      <c r="Y82" s="184" t="str">
        <f>IF((VLOOKUP(E82,classifications!C:K,9,FALSE))="Sparse","S","")</f>
        <v/>
      </c>
      <c r="Z82" s="184"/>
      <c r="AA82" s="184"/>
      <c r="AB82" s="184"/>
      <c r="AC82" s="184"/>
      <c r="AD82" s="286"/>
      <c r="AE82" s="286"/>
      <c r="AF82" s="286"/>
      <c r="AG82" s="286"/>
      <c r="AH82" s="286"/>
      <c r="AI82" s="286"/>
      <c r="AJ82" s="286"/>
      <c r="AK82" s="286"/>
      <c r="AL82" s="286"/>
      <c r="AP82" s="85"/>
    </row>
    <row r="83" spans="1:42" ht="12" customHeight="1">
      <c r="B83" s="323">
        <v>18</v>
      </c>
      <c r="C83" s="280"/>
      <c r="D83" s="280"/>
      <c r="E83" s="281" t="str">
        <f>VLOOKUP(B83,'Filtered Data'!K:L,2,FALSE)</f>
        <v>Milton Keynes</v>
      </c>
      <c r="F83" s="281"/>
      <c r="G83" s="281"/>
      <c r="H83" s="281"/>
      <c r="I83" s="281"/>
      <c r="J83" s="281"/>
      <c r="K83" s="281"/>
      <c r="L83" s="281"/>
      <c r="M83" s="281"/>
      <c r="N83" s="281"/>
      <c r="O83" s="281"/>
      <c r="P83" s="281"/>
      <c r="Q83" s="281"/>
      <c r="R83" s="281"/>
      <c r="S83" s="281"/>
      <c r="T83" s="281"/>
      <c r="U83" s="288">
        <f>IF('Filtered Data'!$H$8="%.",(VLOOKUP(B83,'Filtered Data'!K:M,3,FALSE))/100,VLOOKUP(B83,'Filtered Data'!K:M,3,FALSE))</f>
        <v>19.920873929731325</v>
      </c>
      <c r="V83" s="288"/>
      <c r="W83" s="288"/>
      <c r="X83" s="288"/>
      <c r="Y83" s="184" t="str">
        <f>IF((VLOOKUP(E83,classifications!C:K,9,FALSE))="Sparse","S","")</f>
        <v/>
      </c>
      <c r="Z83" s="184"/>
      <c r="AA83" s="184"/>
      <c r="AB83" s="184"/>
      <c r="AC83" s="184"/>
      <c r="AD83" s="286"/>
      <c r="AE83" s="286"/>
      <c r="AF83" s="286"/>
      <c r="AG83" s="286"/>
      <c r="AH83" s="286"/>
      <c r="AI83" s="286"/>
      <c r="AJ83" s="286"/>
      <c r="AK83" s="286"/>
      <c r="AL83" s="286"/>
      <c r="AP83" s="85"/>
    </row>
    <row r="84" spans="1:42" ht="12" customHeight="1">
      <c r="B84" s="323">
        <v>19</v>
      </c>
      <c r="C84" s="280"/>
      <c r="D84" s="280"/>
      <c r="E84" s="281" t="str">
        <f>VLOOKUP(B84,'Filtered Data'!K:L,2,FALSE)</f>
        <v>Hartlepool</v>
      </c>
      <c r="F84" s="281"/>
      <c r="G84" s="281"/>
      <c r="H84" s="281"/>
      <c r="I84" s="281"/>
      <c r="J84" s="281"/>
      <c r="K84" s="281"/>
      <c r="L84" s="281"/>
      <c r="M84" s="281"/>
      <c r="N84" s="281"/>
      <c r="O84" s="281"/>
      <c r="P84" s="281"/>
      <c r="Q84" s="281"/>
      <c r="R84" s="281"/>
      <c r="S84" s="281"/>
      <c r="T84" s="281"/>
      <c r="U84" s="288">
        <f>IF('Filtered Data'!$H$8="%.",(VLOOKUP(B84,'Filtered Data'!K:M,3,FALSE))/100,VLOOKUP(B84,'Filtered Data'!K:M,3,FALSE))</f>
        <v>20.160720353380903</v>
      </c>
      <c r="V84" s="288"/>
      <c r="W84" s="288"/>
      <c r="X84" s="288"/>
      <c r="Y84" s="184" t="str">
        <f>IF((VLOOKUP(E84,classifications!C:K,9,FALSE))="Sparse","S","")</f>
        <v/>
      </c>
      <c r="Z84" s="184"/>
      <c r="AA84" s="184"/>
      <c r="AB84" s="184"/>
      <c r="AC84" s="184"/>
      <c r="AD84" s="286"/>
      <c r="AE84" s="286"/>
      <c r="AF84" s="286"/>
      <c r="AG84" s="286"/>
      <c r="AH84" s="286"/>
      <c r="AI84" s="286"/>
      <c r="AJ84" s="286"/>
      <c r="AK84" s="286"/>
      <c r="AL84" s="286"/>
      <c r="AP84" s="85"/>
    </row>
    <row r="85" spans="1:42" ht="12" customHeight="1">
      <c r="B85" s="323">
        <v>20</v>
      </c>
      <c r="C85" s="323"/>
      <c r="D85" s="323"/>
      <c r="E85" s="281" t="str">
        <f>VLOOKUP(B85,'Filtered Data'!K:L,2,FALSE)</f>
        <v>Slough</v>
      </c>
      <c r="F85" s="281"/>
      <c r="G85" s="281"/>
      <c r="H85" s="281"/>
      <c r="I85" s="281"/>
      <c r="J85" s="281"/>
      <c r="K85" s="281"/>
      <c r="L85" s="281"/>
      <c r="M85" s="281"/>
      <c r="N85" s="281"/>
      <c r="O85" s="281"/>
      <c r="P85" s="281"/>
      <c r="Q85" s="281"/>
      <c r="R85" s="281"/>
      <c r="S85" s="281"/>
      <c r="T85" s="281"/>
      <c r="U85" s="288">
        <f>IF('Filtered Data'!$H$8="%.",(VLOOKUP(B85,'Filtered Data'!K:M,3,FALSE))/100,VLOOKUP(B85,'Filtered Data'!K:M,3,FALSE))</f>
        <v>20.42526864213611</v>
      </c>
      <c r="V85" s="288"/>
      <c r="W85" s="288"/>
      <c r="X85" s="288"/>
      <c r="Y85" s="184" t="str">
        <f>IF((VLOOKUP(E85,classifications!C:K,9,FALSE))="Sparse","S","")</f>
        <v/>
      </c>
      <c r="Z85" s="184"/>
      <c r="AA85" s="184"/>
      <c r="AB85" s="184"/>
      <c r="AC85" s="184"/>
      <c r="AD85" s="286"/>
      <c r="AE85" s="286"/>
      <c r="AF85" s="286"/>
      <c r="AG85" s="286"/>
      <c r="AH85" s="286"/>
      <c r="AI85" s="286"/>
      <c r="AJ85" s="286"/>
      <c r="AK85" s="286"/>
      <c r="AL85" s="286"/>
      <c r="AP85" s="85"/>
    </row>
    <row r="86" spans="1:42" ht="12" customHeight="1">
      <c r="A86" s="80"/>
      <c r="B86" s="352">
        <f>IF(Q37&lt;=MAX(B66:D85),"",Q37)</f>
        <v>42</v>
      </c>
      <c r="C86" s="352"/>
      <c r="D86" s="352"/>
      <c r="E86" s="282" t="str">
        <f>IF(B86="","",VLOOKUP(B86,'Filtered Data'!K:L,2,FALSE))</f>
        <v>Cheshire East</v>
      </c>
      <c r="F86" s="282"/>
      <c r="G86" s="282"/>
      <c r="H86" s="282"/>
      <c r="I86" s="282"/>
      <c r="J86" s="282"/>
      <c r="K86" s="282"/>
      <c r="L86" s="282"/>
      <c r="M86" s="282"/>
      <c r="N86" s="282"/>
      <c r="O86" s="282"/>
      <c r="P86" s="282"/>
      <c r="Q86" s="282"/>
      <c r="R86" s="282"/>
      <c r="S86" s="282"/>
      <c r="T86" s="282"/>
      <c r="U86" s="290">
        <f>IF(B86="","",L35)</f>
        <v>30.986323555875472</v>
      </c>
      <c r="V86" s="290"/>
      <c r="W86" s="290"/>
      <c r="X86" s="290"/>
      <c r="Y86" s="184" t="str">
        <f>IF(B86="","",IF((VLOOKUP(E86,classifications!C:K,9,FALSE))="Sparse","S",""))</f>
        <v>S</v>
      </c>
      <c r="Z86" s="184"/>
      <c r="AA86" s="184"/>
      <c r="AB86" s="184"/>
      <c r="AC86" s="184"/>
      <c r="AD86" s="287"/>
      <c r="AE86" s="287"/>
      <c r="AF86" s="287"/>
      <c r="AG86" s="287"/>
      <c r="AH86" s="287"/>
      <c r="AI86" s="287"/>
      <c r="AJ86" s="287"/>
      <c r="AK86" s="287"/>
      <c r="AL86" s="287"/>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North West</v>
      </c>
      <c r="AP89" s="85"/>
    </row>
    <row r="90" spans="1:42" ht="12" customHeight="1">
      <c r="B90" s="1"/>
      <c r="AP90" s="85"/>
    </row>
    <row r="91" spans="1:42" ht="12" customHeight="1">
      <c r="B91" s="289" t="s">
        <v>357</v>
      </c>
      <c r="C91" s="289"/>
      <c r="D91" s="289"/>
      <c r="E91" s="283" t="s">
        <v>334</v>
      </c>
      <c r="F91" s="283"/>
      <c r="G91" s="283"/>
      <c r="H91" s="283"/>
      <c r="I91" s="283"/>
      <c r="J91" s="283"/>
      <c r="K91" s="283"/>
      <c r="L91" s="283"/>
      <c r="M91" s="283"/>
      <c r="N91" s="283"/>
      <c r="O91" s="289" t="s">
        <v>368</v>
      </c>
      <c r="P91" s="289"/>
      <c r="Q91" s="289"/>
      <c r="U91" s="289" t="str">
        <f>IF('Filtered Data'!D1="MD","",IF('Filtered Data'!D1="SC","","Rank"))</f>
        <v>Rank</v>
      </c>
      <c r="V91" s="289"/>
      <c r="W91" s="289"/>
      <c r="X91" s="283" t="str">
        <f>IF('Filtered Data'!D1="MD","",IF('Filtered Data'!D1="SC","","Authority"))</f>
        <v>Authority</v>
      </c>
      <c r="Y91" s="283"/>
      <c r="Z91" s="283"/>
      <c r="AA91" s="283"/>
      <c r="AB91" s="283"/>
      <c r="AC91" s="283"/>
      <c r="AD91" s="283"/>
      <c r="AE91" s="283"/>
      <c r="AF91" s="283"/>
      <c r="AG91" s="283"/>
      <c r="AH91" s="289" t="str">
        <f>IF('Filtered Data'!D1="MD","",IF('Filtered Data'!D1="SC","","Value"))</f>
        <v>Value</v>
      </c>
      <c r="AI91" s="289"/>
      <c r="AJ91" s="289"/>
      <c r="AP91" s="85"/>
    </row>
    <row r="92" spans="1:42" ht="12" customHeight="1">
      <c r="B92" s="284">
        <v>1</v>
      </c>
      <c r="C92" s="285"/>
      <c r="D92" s="285"/>
      <c r="E92" s="282" t="str">
        <f>IF(ISNA(VLOOKUP(B92,'Filtered Data'!AE:AF,2,FALSE)),"",(VLOOKUP(B92,'Filtered Data'!AE:AF,2,FALSE)))</f>
        <v>Herefordshire</v>
      </c>
      <c r="F92" s="282"/>
      <c r="G92" s="282"/>
      <c r="H92" s="282"/>
      <c r="I92" s="282"/>
      <c r="J92" s="282"/>
      <c r="K92" s="282"/>
      <c r="L92" s="282"/>
      <c r="M92" s="282"/>
      <c r="N92" s="282"/>
      <c r="O92" s="278">
        <f>IF(E92="","",IF('Filtered Data'!$H$8="%.",(VLOOKUP(B92,'Filtered Data'!AE:AG,3,FALSE))/100,VLOOKUP(B92,'Filtered Data'!AE:AG,3,FALSE)))</f>
        <v>12.187860291624279</v>
      </c>
      <c r="P92" s="278"/>
      <c r="Q92" s="278"/>
      <c r="R92" s="278"/>
      <c r="S92" s="185" t="str">
        <f>IF(E92="","",IF((VLOOKUP(E92,classifications!C:K,9,FALSE))="Sparse","S",""))</f>
        <v>S</v>
      </c>
      <c r="U92" s="279">
        <f>IF('Filtered Data'!$D$1="MD","",IF('Filtered Data'!$D$1="SC","",IF('Filtered Data'!$D$1="UA",'Filtered Data'!AS11,'Filtered Data'!AL11)))</f>
        <v>1</v>
      </c>
      <c r="V92" s="280"/>
      <c r="W92" s="280"/>
      <c r="X92" s="281" t="str">
        <f>IF(U92="","",IF('Filtered Data'!$D$1="UA",VLOOKUP(U92,'Filtered Data'!AS:AU,2,FALSE),VLOOKUP(U92,'Filtered Data'!AL:AN,2,FALSE)))</f>
        <v>Halton</v>
      </c>
      <c r="Y92" s="281"/>
      <c r="Z92" s="281"/>
      <c r="AA92" s="281"/>
      <c r="AB92" s="281"/>
      <c r="AC92" s="281"/>
      <c r="AD92" s="281"/>
      <c r="AE92" s="281"/>
      <c r="AF92" s="281"/>
      <c r="AG92" s="281"/>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14.778051029818629</v>
      </c>
      <c r="AI92" s="278"/>
      <c r="AJ92" s="278"/>
      <c r="AK92" s="278"/>
      <c r="AL92" s="185" t="str">
        <f>IF(X92="","",IF((VLOOKUP(X92,classifications!C:K,9,FALSE))="Sparse","S",""))</f>
        <v/>
      </c>
      <c r="AP92" s="85"/>
    </row>
    <row r="93" spans="1:42" ht="12" customHeight="1">
      <c r="B93" s="284">
        <v>2</v>
      </c>
      <c r="C93" s="285"/>
      <c r="D93" s="285"/>
      <c r="E93" s="282" t="str">
        <f>IF(ISNA(VLOOKUP(B93,'Filtered Data'!AE:AF,2,FALSE)),"",(VLOOKUP(B93,'Filtered Data'!AE:AF,2,FALSE)))</f>
        <v>Trafford</v>
      </c>
      <c r="F93" s="282"/>
      <c r="G93" s="282"/>
      <c r="H93" s="282"/>
      <c r="I93" s="282"/>
      <c r="J93" s="282"/>
      <c r="K93" s="282"/>
      <c r="L93" s="282"/>
      <c r="M93" s="282"/>
      <c r="N93" s="282"/>
      <c r="O93" s="278">
        <f>IF(E93="","",IF('Filtered Data'!$H$8="%.",(VLOOKUP(B93,'Filtered Data'!AE:AG,3,FALSE))/100,VLOOKUP(B93,'Filtered Data'!AE:AG,3,FALSE)))</f>
        <v>16.119587109768378</v>
      </c>
      <c r="P93" s="278"/>
      <c r="Q93" s="278"/>
      <c r="R93" s="278"/>
      <c r="S93" s="185" t="str">
        <f>IF(E93="","",IF((VLOOKUP(E93,classifications!C:K,9,FALSE))="Sparse","S",""))</f>
        <v/>
      </c>
      <c r="U93" s="279">
        <f>IF('Filtered Data'!$D$1="MD","",IF('Filtered Data'!$D$1="SC","",IF('Filtered Data'!$D$1="UA",'Filtered Data'!AS12,'Filtered Data'!AL12)))</f>
        <v>2</v>
      </c>
      <c r="V93" s="280"/>
      <c r="W93" s="280"/>
      <c r="X93" s="281" t="str">
        <f>IF(U93="","",IF('Filtered Data'!$D$1="UA",VLOOKUP(U93,'Filtered Data'!AS:AU,2,FALSE),VLOOKUP(U93,'Filtered Data'!AL:AN,2,FALSE)))</f>
        <v>Blackburn with Darwen</v>
      </c>
      <c r="Y93" s="281"/>
      <c r="Z93" s="281"/>
      <c r="AA93" s="281"/>
      <c r="AB93" s="281"/>
      <c r="AC93" s="281"/>
      <c r="AD93" s="281"/>
      <c r="AE93" s="281"/>
      <c r="AF93" s="281"/>
      <c r="AG93" s="281"/>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21.089064914992271</v>
      </c>
      <c r="AI93" s="278"/>
      <c r="AJ93" s="278"/>
      <c r="AK93" s="278"/>
      <c r="AL93" s="185" t="str">
        <f>IF(X93="","",IF((VLOOKUP(X93,classifications!C:K,9,FALSE))="Sparse","S",""))</f>
        <v/>
      </c>
      <c r="AP93" s="85"/>
    </row>
    <row r="94" spans="1:42" ht="12" customHeight="1">
      <c r="B94" s="284">
        <v>3</v>
      </c>
      <c r="C94" s="285"/>
      <c r="D94" s="285"/>
      <c r="E94" s="282" t="str">
        <f>IF(ISNA(VLOOKUP(B94,'Filtered Data'!AE:AF,2,FALSE)),"",(VLOOKUP(B94,'Filtered Data'!AE:AF,2,FALSE)))</f>
        <v>East Riding of Yorkshire</v>
      </c>
      <c r="F94" s="282"/>
      <c r="G94" s="282"/>
      <c r="H94" s="282"/>
      <c r="I94" s="282"/>
      <c r="J94" s="282"/>
      <c r="K94" s="282"/>
      <c r="L94" s="282"/>
      <c r="M94" s="282"/>
      <c r="N94" s="282"/>
      <c r="O94" s="278">
        <f>IF(E94="","",IF('Filtered Data'!$H$8="%.",(VLOOKUP(B94,'Filtered Data'!AE:AG,3,FALSE))/100,VLOOKUP(B94,'Filtered Data'!AE:AG,3,FALSE)))</f>
        <v>18.041772554002542</v>
      </c>
      <c r="P94" s="278"/>
      <c r="Q94" s="278"/>
      <c r="R94" s="278"/>
      <c r="S94" s="185" t="str">
        <f>IF(E94="","",IF((VLOOKUP(E94,classifications!C:K,9,FALSE))="Sparse","S",""))</f>
        <v>S</v>
      </c>
      <c r="U94" s="279">
        <f>IF('Filtered Data'!$D$1="MD","",IF('Filtered Data'!$D$1="SC","",IF('Filtered Data'!$D$1="UA",'Filtered Data'!AS13,'Filtered Data'!AL13)))</f>
        <v>3</v>
      </c>
      <c r="V94" s="280"/>
      <c r="W94" s="280"/>
      <c r="X94" s="281" t="str">
        <f>IF(U94="","",IF('Filtered Data'!$D$1="UA",VLOOKUP(U94,'Filtered Data'!AS:AU,2,FALSE),VLOOKUP(U94,'Filtered Data'!AL:AN,2,FALSE)))</f>
        <v>Blackpool</v>
      </c>
      <c r="Y94" s="281"/>
      <c r="Z94" s="281"/>
      <c r="AA94" s="281"/>
      <c r="AB94" s="281"/>
      <c r="AC94" s="281"/>
      <c r="AD94" s="281"/>
      <c r="AE94" s="281"/>
      <c r="AF94" s="281"/>
      <c r="AG94" s="281"/>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22.261488250652743</v>
      </c>
      <c r="AI94" s="278"/>
      <c r="AJ94" s="278"/>
      <c r="AK94" s="278"/>
      <c r="AL94" s="185" t="str">
        <f>IF(X94="","",IF((VLOOKUP(X94,classifications!C:K,9,FALSE))="Sparse","S",""))</f>
        <v/>
      </c>
      <c r="AP94" s="85"/>
    </row>
    <row r="95" spans="1:42" ht="12" customHeight="1">
      <c r="B95" s="284">
        <v>4</v>
      </c>
      <c r="C95" s="285"/>
      <c r="D95" s="285"/>
      <c r="E95" s="282" t="str">
        <f>IF(ISNA(VLOOKUP(B95,'Filtered Data'!AE:AF,2,FALSE)),"",(VLOOKUP(B95,'Filtered Data'!AE:AF,2,FALSE)))</f>
        <v>Stockport</v>
      </c>
      <c r="F95" s="282"/>
      <c r="G95" s="282"/>
      <c r="H95" s="282"/>
      <c r="I95" s="282"/>
      <c r="J95" s="282"/>
      <c r="K95" s="282"/>
      <c r="L95" s="282"/>
      <c r="M95" s="282"/>
      <c r="N95" s="282"/>
      <c r="O95" s="278">
        <f>IF(E95="","",IF('Filtered Data'!$H$8="%.",(VLOOKUP(B95,'Filtered Data'!AE:AG,3,FALSE))/100,VLOOKUP(B95,'Filtered Data'!AE:AG,3,FALSE)))</f>
        <v>18.143794423182065</v>
      </c>
      <c r="P95" s="278"/>
      <c r="Q95" s="278"/>
      <c r="R95" s="278"/>
      <c r="S95" s="185" t="str">
        <f>IF(E95="","",IF((VLOOKUP(E95,classifications!C:K,9,FALSE))="Sparse","S",""))</f>
        <v/>
      </c>
      <c r="U95" s="279">
        <f>IF('Filtered Data'!$D$1="MD","",IF('Filtered Data'!$D$1="SC","",IF('Filtered Data'!$D$1="UA",'Filtered Data'!AS14,'Filtered Data'!AL14)))</f>
        <v>4</v>
      </c>
      <c r="V95" s="280"/>
      <c r="W95" s="280"/>
      <c r="X95" s="281" t="str">
        <f>IF(U95="","",IF('Filtered Data'!$D$1="UA",VLOOKUP(U95,'Filtered Data'!AS:AU,2,FALSE),VLOOKUP(U95,'Filtered Data'!AL:AN,2,FALSE)))</f>
        <v>Warrington</v>
      </c>
      <c r="Y95" s="281"/>
      <c r="Z95" s="281"/>
      <c r="AA95" s="281"/>
      <c r="AB95" s="281"/>
      <c r="AC95" s="281"/>
      <c r="AD95" s="281"/>
      <c r="AE95" s="281"/>
      <c r="AF95" s="281"/>
      <c r="AG95" s="281"/>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26.247660187185026</v>
      </c>
      <c r="AI95" s="278"/>
      <c r="AJ95" s="278"/>
      <c r="AK95" s="278"/>
      <c r="AL95" s="185" t="str">
        <f>IF(X95="","",IF((VLOOKUP(X95,classifications!C:K,9,FALSE))="Sparse","S",""))</f>
        <v/>
      </c>
      <c r="AP95" s="85"/>
    </row>
    <row r="96" spans="1:42" ht="12" customHeight="1">
      <c r="B96" s="284">
        <v>5</v>
      </c>
      <c r="C96" s="285"/>
      <c r="D96" s="285"/>
      <c r="E96" s="282" t="str">
        <f>IF(ISNA(VLOOKUP(B96,'Filtered Data'!AE:AF,2,FALSE)),"",(VLOOKUP(B96,'Filtered Data'!AE:AF,2,FALSE)))</f>
        <v>Bedford</v>
      </c>
      <c r="F96" s="282"/>
      <c r="G96" s="282"/>
      <c r="H96" s="282"/>
      <c r="I96" s="282"/>
      <c r="J96" s="282"/>
      <c r="K96" s="282"/>
      <c r="L96" s="282"/>
      <c r="M96" s="282"/>
      <c r="N96" s="282"/>
      <c r="O96" s="278">
        <f>IF(E96="","",IF('Filtered Data'!$H$8="%.",(VLOOKUP(B96,'Filtered Data'!AE:AG,3,FALSE))/100,VLOOKUP(B96,'Filtered Data'!AE:AG,3,FALSE)))</f>
        <v>19.002378121284185</v>
      </c>
      <c r="P96" s="278"/>
      <c r="Q96" s="278"/>
      <c r="R96" s="278"/>
      <c r="S96" s="185" t="str">
        <f>IF(E96="","",IF((VLOOKUP(E96,classifications!C:K,9,FALSE))="Sparse","S",""))</f>
        <v/>
      </c>
      <c r="U96" s="279">
        <f>IF('Filtered Data'!$D$1="MD","",IF('Filtered Data'!$D$1="SC","",IF('Filtered Data'!$D$1="UA",'Filtered Data'!AS15,'Filtered Data'!AL15)))</f>
        <v>5</v>
      </c>
      <c r="V96" s="280"/>
      <c r="W96" s="280"/>
      <c r="X96" s="281" t="str">
        <f>IF(U96="","",IF('Filtered Data'!$D$1="UA",VLOOKUP(U96,'Filtered Data'!AS:AU,2,FALSE),VLOOKUP(U96,'Filtered Data'!AL:AN,2,FALSE)))</f>
        <v>Cheshire East</v>
      </c>
      <c r="Y96" s="281"/>
      <c r="Z96" s="281"/>
      <c r="AA96" s="281"/>
      <c r="AB96" s="281"/>
      <c r="AC96" s="281"/>
      <c r="AD96" s="281"/>
      <c r="AE96" s="281"/>
      <c r="AF96" s="281"/>
      <c r="AG96" s="281"/>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30.986323555875472</v>
      </c>
      <c r="AI96" s="278"/>
      <c r="AJ96" s="278"/>
      <c r="AK96" s="278"/>
      <c r="AL96" s="185" t="str">
        <f>IF(X96="","",IF((VLOOKUP(X96,classifications!C:K,9,FALSE))="Sparse","S",""))</f>
        <v>S</v>
      </c>
      <c r="AP96" s="85"/>
    </row>
    <row r="97" spans="2:42" ht="12" customHeight="1">
      <c r="B97" s="284">
        <v>6</v>
      </c>
      <c r="C97" s="285"/>
      <c r="D97" s="285"/>
      <c r="E97" s="282" t="str">
        <f>IF(ISNA(VLOOKUP(B97,'Filtered Data'!AE:AF,2,FALSE)),"",(VLOOKUP(B97,'Filtered Data'!AE:AF,2,FALSE)))</f>
        <v>North Somerset</v>
      </c>
      <c r="F97" s="282"/>
      <c r="G97" s="282"/>
      <c r="H97" s="282"/>
      <c r="I97" s="282"/>
      <c r="J97" s="282"/>
      <c r="K97" s="282"/>
      <c r="L97" s="282"/>
      <c r="M97" s="282"/>
      <c r="N97" s="282"/>
      <c r="O97" s="278">
        <f>IF(E97="","",IF('Filtered Data'!$H$8="%.",(VLOOKUP(B97,'Filtered Data'!AE:AG,3,FALSE))/100,VLOOKUP(B97,'Filtered Data'!AE:AG,3,FALSE)))</f>
        <v>20.484228684080829</v>
      </c>
      <c r="P97" s="278"/>
      <c r="Q97" s="278"/>
      <c r="R97" s="278"/>
      <c r="S97" s="185" t="str">
        <f>IF(E97="","",IF((VLOOKUP(E97,classifications!C:K,9,FALSE))="Sparse","S",""))</f>
        <v>S</v>
      </c>
      <c r="U97" s="279">
        <f>IF('Filtered Data'!$D$1="MD","",IF('Filtered Data'!$D$1="SC","",IF('Filtered Data'!$D$1="UA",'Filtered Data'!AS16,'Filtered Data'!AL16)))</f>
        <v>6</v>
      </c>
      <c r="V97" s="280"/>
      <c r="W97" s="280"/>
      <c r="X97" s="281" t="str">
        <f>IF(U97="","",IF('Filtered Data'!$D$1="UA",VLOOKUP(U97,'Filtered Data'!AS:AU,2,FALSE),VLOOKUP(U97,'Filtered Data'!AL:AN,2,FALSE)))</f>
        <v>Cheshire West &amp; Chester</v>
      </c>
      <c r="Y97" s="281"/>
      <c r="Z97" s="281"/>
      <c r="AA97" s="281"/>
      <c r="AB97" s="281"/>
      <c r="AC97" s="281"/>
      <c r="AD97" s="281"/>
      <c r="AE97" s="281"/>
      <c r="AF97" s="281"/>
      <c r="AG97" s="281"/>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33.101427371956341</v>
      </c>
      <c r="AI97" s="278"/>
      <c r="AJ97" s="278"/>
      <c r="AK97" s="278"/>
      <c r="AL97" s="185" t="str">
        <f>IF(X97="","",IF((VLOOKUP(X97,classifications!C:K,9,FALSE))="Sparse","S",""))</f>
        <v>S</v>
      </c>
      <c r="AP97" s="85"/>
    </row>
    <row r="98" spans="2:42" ht="12" customHeight="1">
      <c r="B98" s="284">
        <v>7</v>
      </c>
      <c r="C98" s="285"/>
      <c r="D98" s="285"/>
      <c r="E98" s="282" t="str">
        <f>IF(ISNA(VLOOKUP(B98,'Filtered Data'!AE:AF,2,FALSE)),"",(VLOOKUP(B98,'Filtered Data'!AE:AF,2,FALSE)))</f>
        <v>Warrington</v>
      </c>
      <c r="F98" s="282"/>
      <c r="G98" s="282"/>
      <c r="H98" s="282"/>
      <c r="I98" s="282"/>
      <c r="J98" s="282"/>
      <c r="K98" s="282"/>
      <c r="L98" s="282"/>
      <c r="M98" s="282"/>
      <c r="N98" s="282"/>
      <c r="O98" s="278">
        <f>IF(E98="","",IF('Filtered Data'!$H$8="%.",(VLOOKUP(B98,'Filtered Data'!AE:AG,3,FALSE))/100,VLOOKUP(B98,'Filtered Data'!AE:AG,3,FALSE)))</f>
        <v>26.247660187185026</v>
      </c>
      <c r="P98" s="278"/>
      <c r="Q98" s="278"/>
      <c r="R98" s="278"/>
      <c r="S98" s="185" t="str">
        <f>IF(E98="","",IF((VLOOKUP(E98,classifications!C:K,9,FALSE))="Sparse","S",""))</f>
        <v/>
      </c>
      <c r="U98" s="279" t="str">
        <f>IF('Filtered Data'!$D$1="MD","",IF('Filtered Data'!$D$1="SC","",IF('Filtered Data'!$D$1="UA",'Filtered Data'!AS17,'Filtered Data'!AL17)))</f>
        <v/>
      </c>
      <c r="V98" s="280"/>
      <c r="W98" s="280"/>
      <c r="X98" s="281" t="str">
        <f>IF(U98="","",IF('Filtered Data'!$D$1="UA",VLOOKUP(U98,'Filtered Data'!AS:AU,2,FALSE),VLOOKUP(U98,'Filtered Data'!AL:AN,2,FALSE)))</f>
        <v/>
      </c>
      <c r="Y98" s="281"/>
      <c r="Z98" s="281"/>
      <c r="AA98" s="281"/>
      <c r="AB98" s="281"/>
      <c r="AC98" s="281"/>
      <c r="AD98" s="281"/>
      <c r="AE98" s="281"/>
      <c r="AF98" s="281"/>
      <c r="AG98" s="281"/>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84">
        <v>8</v>
      </c>
      <c r="C99" s="285"/>
      <c r="D99" s="285"/>
      <c r="E99" s="282" t="str">
        <f>IF(ISNA(VLOOKUP(B99,'Filtered Data'!AE:AF,2,FALSE)),"",(VLOOKUP(B99,'Filtered Data'!AE:AF,2,FALSE)))</f>
        <v>Solihull</v>
      </c>
      <c r="F99" s="282"/>
      <c r="G99" s="282"/>
      <c r="H99" s="282"/>
      <c r="I99" s="282"/>
      <c r="J99" s="282"/>
      <c r="K99" s="282"/>
      <c r="L99" s="282"/>
      <c r="M99" s="282"/>
      <c r="N99" s="282"/>
      <c r="O99" s="278">
        <f>IF(E99="","",IF('Filtered Data'!$H$8="%.",(VLOOKUP(B99,'Filtered Data'!AE:AG,3,FALSE))/100,VLOOKUP(B99,'Filtered Data'!AE:AG,3,FALSE)))</f>
        <v>26.990979381443299</v>
      </c>
      <c r="P99" s="278"/>
      <c r="Q99" s="278"/>
      <c r="R99" s="278"/>
      <c r="S99" s="185" t="str">
        <f>IF(E99="","",IF((VLOOKUP(E99,classifications!C:K,9,FALSE))="Sparse","S",""))</f>
        <v/>
      </c>
      <c r="U99" s="279" t="str">
        <f>IF('Filtered Data'!$D$1="MD","",IF('Filtered Data'!$D$1="SC","",IF('Filtered Data'!$D$1="UA",'Filtered Data'!AS18,'Filtered Data'!AL18)))</f>
        <v/>
      </c>
      <c r="V99" s="280"/>
      <c r="W99" s="280"/>
      <c r="X99" s="281" t="str">
        <f>IF(U99="","",IF('Filtered Data'!$D$1="UA",VLOOKUP(U99,'Filtered Data'!AS:AU,2,FALSE),VLOOKUP(U99,'Filtered Data'!AL:AN,2,FALSE)))</f>
        <v/>
      </c>
      <c r="Y99" s="281"/>
      <c r="Z99" s="281"/>
      <c r="AA99" s="281"/>
      <c r="AB99" s="281"/>
      <c r="AC99" s="281"/>
      <c r="AD99" s="281"/>
      <c r="AE99" s="281"/>
      <c r="AF99" s="281"/>
      <c r="AG99" s="281"/>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84">
        <v>9</v>
      </c>
      <c r="C100" s="285"/>
      <c r="D100" s="285"/>
      <c r="E100" s="282" t="str">
        <f>IF(ISNA(VLOOKUP(B100,'Filtered Data'!AE:AF,2,FALSE)),"",(VLOOKUP(B100,'Filtered Data'!AE:AF,2,FALSE)))</f>
        <v>Wiltshire</v>
      </c>
      <c r="F100" s="282"/>
      <c r="G100" s="282"/>
      <c r="H100" s="282"/>
      <c r="I100" s="282"/>
      <c r="J100" s="282"/>
      <c r="K100" s="282"/>
      <c r="L100" s="282"/>
      <c r="M100" s="282"/>
      <c r="N100" s="282"/>
      <c r="O100" s="278">
        <f>IF(E100="","",IF('Filtered Data'!$H$8="%.",(VLOOKUP(B100,'Filtered Data'!AE:AG,3,FALSE))/100,VLOOKUP(B100,'Filtered Data'!AE:AG,3,FALSE)))</f>
        <v>27.571598414795243</v>
      </c>
      <c r="P100" s="278"/>
      <c r="Q100" s="278"/>
      <c r="R100" s="278"/>
      <c r="S100" s="185" t="str">
        <f>IF(E100="","",IF((VLOOKUP(E100,classifications!C:K,9,FALSE))="Sparse","S",""))</f>
        <v/>
      </c>
      <c r="U100" s="279" t="str">
        <f>IF('Filtered Data'!$D$1="MD","",IF('Filtered Data'!$D$1="SC","",IF('Filtered Data'!$D$1="UA",'Filtered Data'!AS19,'Filtered Data'!AL19)))</f>
        <v/>
      </c>
      <c r="V100" s="280"/>
      <c r="W100" s="280"/>
      <c r="X100" s="281" t="str">
        <f>IF(U100="","",IF('Filtered Data'!$D$1="UA",VLOOKUP(U100,'Filtered Data'!AS:AU,2,FALSE),VLOOKUP(U100,'Filtered Data'!AL:AN,2,FALSE)))</f>
        <v/>
      </c>
      <c r="Y100" s="281"/>
      <c r="Z100" s="281"/>
      <c r="AA100" s="281"/>
      <c r="AB100" s="281"/>
      <c r="AC100" s="281"/>
      <c r="AD100" s="281"/>
      <c r="AE100" s="281"/>
      <c r="AF100" s="281"/>
      <c r="AG100" s="281"/>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84">
        <v>10</v>
      </c>
      <c r="C101" s="285"/>
      <c r="D101" s="285"/>
      <c r="E101" s="282" t="str">
        <f>IF(ISNA(VLOOKUP(B101,'Filtered Data'!AE:AF,2,FALSE)),"",(VLOOKUP(B101,'Filtered Data'!AE:AF,2,FALSE)))</f>
        <v>Cheshire East</v>
      </c>
      <c r="F101" s="282"/>
      <c r="G101" s="282"/>
      <c r="H101" s="282"/>
      <c r="I101" s="282"/>
      <c r="J101" s="282"/>
      <c r="K101" s="282"/>
      <c r="L101" s="282"/>
      <c r="M101" s="282"/>
      <c r="N101" s="282"/>
      <c r="O101" s="278">
        <f>IF(E101="","",IF('Filtered Data'!$H$8="%.",(VLOOKUP(B101,'Filtered Data'!AE:AG,3,FALSE))/100,VLOOKUP(B101,'Filtered Data'!AE:AG,3,FALSE)))</f>
        <v>30.986323555875472</v>
      </c>
      <c r="P101" s="278"/>
      <c r="Q101" s="278"/>
      <c r="R101" s="278"/>
      <c r="S101" s="185" t="str">
        <f>IF(E101="","",IF((VLOOKUP(E101,classifications!C:K,9,FALSE))="Sparse","S",""))</f>
        <v>S</v>
      </c>
      <c r="U101" s="279" t="str">
        <f>IF('Filtered Data'!$D$1="MD","",IF('Filtered Data'!$D$1="SC","",IF('Filtered Data'!$D$1="UA",'Filtered Data'!AS20,'Filtered Data'!AL20)))</f>
        <v/>
      </c>
      <c r="V101" s="280"/>
      <c r="W101" s="280"/>
      <c r="X101" s="281" t="str">
        <f>IF(U101="","",IF('Filtered Data'!$D$1="UA",VLOOKUP(U101,'Filtered Data'!AS:AU,2,FALSE),VLOOKUP(U101,'Filtered Data'!AL:AN,2,FALSE)))</f>
        <v/>
      </c>
      <c r="Y101" s="281"/>
      <c r="Z101" s="281"/>
      <c r="AA101" s="281"/>
      <c r="AB101" s="281"/>
      <c r="AC101" s="281"/>
      <c r="AD101" s="281"/>
      <c r="AE101" s="281"/>
      <c r="AF101" s="281"/>
      <c r="AG101" s="281"/>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84">
        <v>11</v>
      </c>
      <c r="C102" s="285"/>
      <c r="D102" s="285"/>
      <c r="E102" s="282" t="str">
        <f>IF(ISNA(VLOOKUP(B102,'Filtered Data'!AE:AF,2,FALSE)),"",(VLOOKUP(B102,'Filtered Data'!AE:AF,2,FALSE)))</f>
        <v>South Gloucestershire</v>
      </c>
      <c r="F102" s="282"/>
      <c r="G102" s="282"/>
      <c r="H102" s="282"/>
      <c r="I102" s="282"/>
      <c r="J102" s="282"/>
      <c r="K102" s="282"/>
      <c r="L102" s="282"/>
      <c r="M102" s="282"/>
      <c r="N102" s="282"/>
      <c r="O102" s="278">
        <f>IF(E102="","",IF('Filtered Data'!$H$8="%.",(VLOOKUP(B102,'Filtered Data'!AE:AG,3,FALSE))/100,VLOOKUP(B102,'Filtered Data'!AE:AG,3,FALSE)))</f>
        <v>32.959018603397141</v>
      </c>
      <c r="P102" s="278"/>
      <c r="Q102" s="278"/>
      <c r="R102" s="278"/>
      <c r="S102" s="185" t="str">
        <f>IF(E102="","",IF((VLOOKUP(E102,classifications!C:K,9,FALSE))="Sparse","S",""))</f>
        <v/>
      </c>
      <c r="U102" s="279" t="str">
        <f>IF('Filtered Data'!$D$1="MD","",IF('Filtered Data'!$D$1="SC","",IF('Filtered Data'!$D$1="UA",'Filtered Data'!AS21,'Filtered Data'!AL21)))</f>
        <v/>
      </c>
      <c r="V102" s="280"/>
      <c r="W102" s="280"/>
      <c r="X102" s="281" t="str">
        <f>IF(U102="","",IF('Filtered Data'!$D$1="UA",VLOOKUP(U102,'Filtered Data'!AS:AU,2,FALSE),VLOOKUP(U102,'Filtered Data'!AL:AN,2,FALSE)))</f>
        <v/>
      </c>
      <c r="Y102" s="281"/>
      <c r="Z102" s="281"/>
      <c r="AA102" s="281"/>
      <c r="AB102" s="281"/>
      <c r="AC102" s="281"/>
      <c r="AD102" s="281"/>
      <c r="AE102" s="281"/>
      <c r="AF102" s="281"/>
      <c r="AG102" s="281"/>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84">
        <v>12</v>
      </c>
      <c r="C103" s="284"/>
      <c r="D103" s="284"/>
      <c r="E103" s="282" t="str">
        <f>IF(ISNA(VLOOKUP(B103,'Filtered Data'!AE:AF,2,FALSE)),"",(VLOOKUP(B103,'Filtered Data'!AE:AF,2,FALSE)))</f>
        <v>Cheshire West &amp; Chester</v>
      </c>
      <c r="F103" s="282"/>
      <c r="G103" s="282"/>
      <c r="H103" s="282"/>
      <c r="I103" s="282"/>
      <c r="J103" s="282"/>
      <c r="K103" s="282"/>
      <c r="L103" s="282"/>
      <c r="M103" s="282"/>
      <c r="N103" s="282"/>
      <c r="O103" s="278">
        <f>IF(E103="","",IF('Filtered Data'!$H$8="%.",(VLOOKUP(B103,'Filtered Data'!AE:AG,3,FALSE))/100,VLOOKUP(B103,'Filtered Data'!AE:AG,3,FALSE)))</f>
        <v>33.101427371956341</v>
      </c>
      <c r="P103" s="278"/>
      <c r="Q103" s="278"/>
      <c r="R103" s="278"/>
      <c r="S103" s="185" t="str">
        <f>IF(E103="","",IF((VLOOKUP(E103,classifications!C:K,9,FALSE))="Sparse","S",""))</f>
        <v>S</v>
      </c>
      <c r="U103" s="279" t="str">
        <f>IF('Filtered Data'!$D$1="MD","",IF('Filtered Data'!$D$1="SC","",IF('Filtered Data'!$D$1="UA",'Filtered Data'!AS22,'Filtered Data'!AL22)))</f>
        <v/>
      </c>
      <c r="V103" s="280"/>
      <c r="W103" s="280"/>
      <c r="X103" s="281" t="str">
        <f>IF(U103="","",IF('Filtered Data'!$D$1="UA",VLOOKUP(U103,'Filtered Data'!AS:AU,2,FALSE),VLOOKUP(U103,'Filtered Data'!AL:AN,2,FALSE)))</f>
        <v/>
      </c>
      <c r="Y103" s="281"/>
      <c r="Z103" s="281"/>
      <c r="AA103" s="281"/>
      <c r="AB103" s="281"/>
      <c r="AC103" s="281"/>
      <c r="AD103" s="281"/>
      <c r="AE103" s="281"/>
      <c r="AF103" s="281"/>
      <c r="AG103" s="281"/>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84">
        <v>13</v>
      </c>
      <c r="C104" s="285"/>
      <c r="D104" s="285"/>
      <c r="E104" s="282" t="str">
        <f>IF(ISNA(VLOOKUP(B104,'Filtered Data'!AE:AF,2,FALSE)),"",(VLOOKUP(B104,'Filtered Data'!AE:AF,2,FALSE)))</f>
        <v>York</v>
      </c>
      <c r="F104" s="282"/>
      <c r="G104" s="282"/>
      <c r="H104" s="282"/>
      <c r="I104" s="282"/>
      <c r="J104" s="282"/>
      <c r="K104" s="282"/>
      <c r="L104" s="282"/>
      <c r="M104" s="282"/>
      <c r="N104" s="282"/>
      <c r="O104" s="278">
        <f>IF(E104="","",IF('Filtered Data'!$H$8="%.",(VLOOKUP(B104,'Filtered Data'!AE:AG,3,FALSE))/100,VLOOKUP(B104,'Filtered Data'!AE:AG,3,FALSE)))</f>
        <v>33.983560090702944</v>
      </c>
      <c r="P104" s="278"/>
      <c r="Q104" s="278"/>
      <c r="R104" s="278"/>
      <c r="S104" s="185" t="str">
        <f>IF(E104="","",IF((VLOOKUP(E104,classifications!C:K,9,FALSE))="Sparse","S",""))</f>
        <v/>
      </c>
      <c r="U104" s="279" t="str">
        <f>IF('Filtered Data'!$D$1="MD","",IF('Filtered Data'!$D$1="SC","",IF('Filtered Data'!$D$1="UA",'Filtered Data'!AS23,'Filtered Data'!AL23)))</f>
        <v/>
      </c>
      <c r="V104" s="280"/>
      <c r="W104" s="280"/>
      <c r="X104" s="281" t="str">
        <f>IF(U104="","",IF('Filtered Data'!$D$1="UA",VLOOKUP(U104,'Filtered Data'!AS:AU,2,FALSE),VLOOKUP(U104,'Filtered Data'!AL:AN,2,FALSE)))</f>
        <v/>
      </c>
      <c r="Y104" s="281"/>
      <c r="Z104" s="281"/>
      <c r="AA104" s="281"/>
      <c r="AB104" s="281"/>
      <c r="AC104" s="281"/>
      <c r="AD104" s="281"/>
      <c r="AE104" s="281"/>
      <c r="AF104" s="281"/>
      <c r="AG104" s="281"/>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84">
        <v>14</v>
      </c>
      <c r="C105" s="285"/>
      <c r="D105" s="285"/>
      <c r="E105" s="282" t="str">
        <f>IF(ISNA(VLOOKUP(B105,'Filtered Data'!AE:AF,2,FALSE)),"",(VLOOKUP(B105,'Filtered Data'!AE:AF,2,FALSE)))</f>
        <v>Central Bedfordshire</v>
      </c>
      <c r="F105" s="282"/>
      <c r="G105" s="282"/>
      <c r="H105" s="282"/>
      <c r="I105" s="282"/>
      <c r="J105" s="282"/>
      <c r="K105" s="282"/>
      <c r="L105" s="282"/>
      <c r="M105" s="282"/>
      <c r="N105" s="282"/>
      <c r="O105" s="278">
        <f>IF(E105="","",IF('Filtered Data'!$H$8="%.",(VLOOKUP(B105,'Filtered Data'!AE:AG,3,FALSE))/100,VLOOKUP(B105,'Filtered Data'!AE:AG,3,FALSE)))</f>
        <v>36.476190476190474</v>
      </c>
      <c r="P105" s="278"/>
      <c r="Q105" s="278"/>
      <c r="R105" s="278"/>
      <c r="S105" s="185" t="str">
        <f>IF(E105="","",IF((VLOOKUP(E105,classifications!C:K,9,FALSE))="Sparse","S",""))</f>
        <v/>
      </c>
      <c r="U105" s="279" t="str">
        <f>IF('Filtered Data'!$D$1="MD","",IF('Filtered Data'!$D$1="SC","",IF('Filtered Data'!$D$1="UA",'Filtered Data'!AS24,'Filtered Data'!AL24)))</f>
        <v/>
      </c>
      <c r="V105" s="280"/>
      <c r="W105" s="280"/>
      <c r="X105" s="281" t="str">
        <f>IF(U105="","",IF('Filtered Data'!$D$1="UA",VLOOKUP(U105,'Filtered Data'!AS:AU,2,FALSE),VLOOKUP(U105,'Filtered Data'!AL:AN,2,FALSE)))</f>
        <v/>
      </c>
      <c r="Y105" s="281"/>
      <c r="Z105" s="281"/>
      <c r="AA105" s="281"/>
      <c r="AB105" s="281"/>
      <c r="AC105" s="281"/>
      <c r="AD105" s="281"/>
      <c r="AE105" s="281"/>
      <c r="AF105" s="281"/>
      <c r="AG105" s="281"/>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84">
        <v>15</v>
      </c>
      <c r="C106" s="285"/>
      <c r="D106" s="285"/>
      <c r="E106" s="282" t="str">
        <f>IF(ISNA(VLOOKUP(B106,'Filtered Data'!AE:AF,2,FALSE)),"",(VLOOKUP(B106,'Filtered Data'!AE:AF,2,FALSE)))</f>
        <v>Shropshire</v>
      </c>
      <c r="F106" s="282"/>
      <c r="G106" s="282"/>
      <c r="H106" s="282"/>
      <c r="I106" s="282"/>
      <c r="J106" s="282"/>
      <c r="K106" s="282"/>
      <c r="L106" s="282"/>
      <c r="M106" s="282"/>
      <c r="N106" s="282"/>
      <c r="O106" s="278">
        <f>IF(E106="","",IF('Filtered Data'!$H$8="%.",(VLOOKUP(B106,'Filtered Data'!AE:AG,3,FALSE))/100,VLOOKUP(B106,'Filtered Data'!AE:AG,3,FALSE)))</f>
        <v>39.024232295801127</v>
      </c>
      <c r="P106" s="278"/>
      <c r="Q106" s="278"/>
      <c r="R106" s="278"/>
      <c r="S106" s="185" t="str">
        <f>IF(E106="","",IF((VLOOKUP(E106,classifications!C:K,9,FALSE))="Sparse","S",""))</f>
        <v>S</v>
      </c>
      <c r="U106" s="279" t="str">
        <f>IF('Filtered Data'!$D$1="MD","",IF('Filtered Data'!$D$1="SC","",IF('Filtered Data'!$D$1="UA",'Filtered Data'!AS25,'Filtered Data'!AL25)))</f>
        <v/>
      </c>
      <c r="V106" s="280"/>
      <c r="W106" s="280"/>
      <c r="X106" s="281" t="str">
        <f>IF(U106="","",IF('Filtered Data'!$D$1="UA",VLOOKUP(U106,'Filtered Data'!AS:AU,2,FALSE),VLOOKUP(U106,'Filtered Data'!AL:AN,2,FALSE)))</f>
        <v/>
      </c>
      <c r="Y106" s="281"/>
      <c r="Z106" s="281"/>
      <c r="AA106" s="281"/>
      <c r="AB106" s="281"/>
      <c r="AC106" s="281"/>
      <c r="AD106" s="281"/>
      <c r="AE106" s="281"/>
      <c r="AF106" s="281"/>
      <c r="AG106" s="281"/>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84">
        <v>16</v>
      </c>
      <c r="C107" s="285"/>
      <c r="D107" s="285"/>
      <c r="E107" s="282" t="str">
        <f>IF(ISNA(VLOOKUP(B107,'Filtered Data'!AE:AF,2,FALSE)),"",(VLOOKUP(B107,'Filtered Data'!AE:AF,2,FALSE)))</f>
        <v/>
      </c>
      <c r="F107" s="282"/>
      <c r="G107" s="282"/>
      <c r="H107" s="282"/>
      <c r="I107" s="282"/>
      <c r="J107" s="282"/>
      <c r="K107" s="282"/>
      <c r="L107" s="282"/>
      <c r="M107" s="282"/>
      <c r="N107" s="282"/>
      <c r="O107" s="278" t="str">
        <f>IF(E107="","",IF('Filtered Data'!$H$8="%.",(VLOOKUP(B107,'Filtered Data'!AE:AG,3,FALSE))/100,VLOOKUP(B107,'Filtered Data'!AE:AG,3,FALSE)))</f>
        <v/>
      </c>
      <c r="P107" s="278"/>
      <c r="Q107" s="278"/>
      <c r="R107" s="278"/>
      <c r="S107" s="185" t="str">
        <f>IF(E107="","",IF((VLOOKUP(E107,classifications!C:K,9,FALSE))="Sparse","S",""))</f>
        <v/>
      </c>
      <c r="U107" s="279" t="str">
        <f>IF('Filtered Data'!$D$1="MD","",IF('Filtered Data'!$D$1="SC","",IF('Filtered Data'!$D$1="UA",'Filtered Data'!AS26,'Filtered Data'!AL26)))</f>
        <v/>
      </c>
      <c r="V107" s="280"/>
      <c r="W107" s="280"/>
      <c r="X107" s="281" t="str">
        <f>IF(U107="","",IF('Filtered Data'!$D$1="UA",VLOOKUP(U107,'Filtered Data'!AS:AU,2,FALSE),VLOOKUP(U107,'Filtered Data'!AL:AN,2,FALSE)))</f>
        <v/>
      </c>
      <c r="Y107" s="281"/>
      <c r="Z107" s="281"/>
      <c r="AA107" s="281"/>
      <c r="AB107" s="281"/>
      <c r="AC107" s="281"/>
      <c r="AD107" s="281"/>
      <c r="AE107" s="281"/>
      <c r="AF107" s="281"/>
      <c r="AG107" s="281"/>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0"/>
      <c r="C108" s="280"/>
      <c r="D108" s="280"/>
      <c r="E108" s="283" t="s">
        <v>343</v>
      </c>
      <c r="F108" s="283"/>
      <c r="G108" s="283"/>
      <c r="H108" s="283"/>
      <c r="I108" s="283"/>
      <c r="J108" s="283"/>
      <c r="K108" s="283"/>
      <c r="L108" s="283"/>
      <c r="M108" s="283"/>
      <c r="N108" s="283"/>
      <c r="O108" s="350">
        <f>IF(ISERROR(AVERAGE(O92:O107)),"",AVERAGE(O92:O107))</f>
        <v>26.088040770752627</v>
      </c>
      <c r="P108" s="350"/>
      <c r="Q108" s="350"/>
      <c r="R108" s="350"/>
      <c r="S108" s="185"/>
      <c r="U108" s="280"/>
      <c r="V108" s="280"/>
      <c r="W108" s="280"/>
      <c r="X108" s="24" t="str">
        <f>IF('Filtered Data'!D1="MD","",IF('Filtered Data'!D1="SC","","Average"))</f>
        <v>Average</v>
      </c>
      <c r="Y108" s="24"/>
      <c r="Z108" s="24"/>
      <c r="AA108" s="24"/>
      <c r="AB108" s="24"/>
      <c r="AC108" s="24"/>
      <c r="AD108" s="24"/>
      <c r="AE108" s="24"/>
      <c r="AF108" s="24"/>
      <c r="AG108" s="27"/>
      <c r="AH108" s="350">
        <f>L40</f>
        <v>24.744002551746746</v>
      </c>
      <c r="AI108" s="350"/>
      <c r="AJ108" s="350"/>
      <c r="AK108" s="350"/>
      <c r="AP108" s="85"/>
    </row>
    <row r="109" spans="2:42" ht="12" customHeight="1">
      <c r="W109" s="22">
        <f>COUNT(U92:V107)</f>
        <v>6</v>
      </c>
    </row>
    <row r="110" spans="2:42" ht="19.5" customHeight="1">
      <c r="B110" s="346" t="str">
        <f>B3</f>
        <v>Speed of Processing</v>
      </c>
      <c r="C110" s="346"/>
      <c r="D110" s="346"/>
      <c r="E110" s="346"/>
      <c r="F110" s="346"/>
      <c r="G110" s="346"/>
      <c r="H110" s="346"/>
      <c r="I110" s="346"/>
      <c r="J110" s="346"/>
      <c r="K110" s="346"/>
      <c r="L110" s="346"/>
      <c r="M110" s="346"/>
      <c r="N110" s="346"/>
      <c r="O110" s="346"/>
      <c r="P110" s="346"/>
      <c r="Q110" s="346"/>
      <c r="R110" s="346"/>
      <c r="S110" s="346"/>
      <c r="T110" s="346"/>
      <c r="U110" s="346"/>
      <c r="V110" s="346"/>
      <c r="W110" s="346"/>
      <c r="X110" s="346"/>
      <c r="Y110" s="346"/>
      <c r="Z110" s="346"/>
      <c r="AA110" s="346"/>
      <c r="AB110" s="346"/>
      <c r="AC110" s="346"/>
      <c r="AD110" s="346"/>
      <c r="AE110" s="346"/>
      <c r="AF110" s="346"/>
      <c r="AG110" s="346"/>
      <c r="AH110" s="346"/>
      <c r="AI110" s="346"/>
      <c r="AJ110" s="346"/>
      <c r="AK110" s="346"/>
      <c r="AL110" s="346"/>
      <c r="AM110" s="346"/>
      <c r="AN110" s="346"/>
    </row>
    <row r="111" spans="2:42" ht="12" customHeight="1"/>
    <row r="112" spans="2:42" ht="12" customHeight="1">
      <c r="B112" s="283" t="s">
        <v>376</v>
      </c>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row>
    <row r="113" spans="2:40" ht="12" customHeight="1"/>
    <row r="114" spans="2:40" ht="12" customHeight="1">
      <c r="B114" s="305" t="str">
        <f>W6&amp;" - "&amp;W12</f>
        <v>Housing Benefit - New Claims - Year 2013/14</v>
      </c>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c r="AG114" s="306"/>
      <c r="AH114" s="306"/>
      <c r="AI114" s="306"/>
      <c r="AJ114" s="306"/>
      <c r="AK114" s="306"/>
      <c r="AL114" s="306"/>
      <c r="AM114" s="306"/>
      <c r="AN114" s="26"/>
    </row>
    <row r="115" spans="2:40" ht="12" customHeight="1">
      <c r="B115" s="308"/>
      <c r="C115" s="309"/>
      <c r="D115" s="309"/>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76">
        <f>IF('Filtered Data'!H8="..",L35,L35*100)</f>
        <v>30.986323555875472</v>
      </c>
      <c r="H118" s="276"/>
      <c r="I118" s="276"/>
      <c r="J118" s="276"/>
      <c r="K118" s="276"/>
      <c r="L118" s="6"/>
      <c r="M118" s="277">
        <f>K$48</f>
        <v>18.926896762719444</v>
      </c>
      <c r="N118" s="277"/>
      <c r="O118" s="277">
        <f>M$48</f>
        <v>21.644659046218752</v>
      </c>
      <c r="P118" s="277"/>
      <c r="Q118" s="277">
        <f>O$48</f>
        <v>29.865243310184059</v>
      </c>
      <c r="R118" s="27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6">
        <f>IF('Filtered Data'!H8="%%",(AVERAGEIF('Filtered Data'!AA$10:AA$500,$F119,'Filtered Data'!M$10:M$500))*100,(AVERAGEIF('Filtered Data'!AA$10:AA$500,$F119,'Filtered Data'!M$10:M$500)))</f>
        <v>24.177480147381974</v>
      </c>
      <c r="H119" s="276"/>
      <c r="I119" s="276"/>
      <c r="J119" s="276"/>
      <c r="K119" s="276"/>
      <c r="L119" s="6"/>
      <c r="M119" s="277">
        <f>K$48</f>
        <v>18.926896762719444</v>
      </c>
      <c r="N119" s="277"/>
      <c r="O119" s="277">
        <f>M$48</f>
        <v>21.644659046218752</v>
      </c>
      <c r="P119" s="277"/>
      <c r="Q119" s="277">
        <f>O$48</f>
        <v>29.865243310184059</v>
      </c>
      <c r="R119" s="27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6">
        <f>IF('Filtered Data'!H8="%%",(AVERAGEIF('Filtered Data'!AA$10:AA$500,$F120,'Filtered Data'!M$10:M$500))*100,(AVERAGEIF('Filtered Data'!AA$10:AA$500,$F120,'Filtered Data'!M$10:M$500)))</f>
        <v>23.588748023909105</v>
      </c>
      <c r="H120" s="276"/>
      <c r="I120" s="276"/>
      <c r="J120" s="276"/>
      <c r="K120" s="276"/>
      <c r="L120" s="6"/>
      <c r="M120" s="277">
        <f>K$48</f>
        <v>18.926896762719444</v>
      </c>
      <c r="N120" s="277"/>
      <c r="O120" s="277">
        <f>M$48</f>
        <v>21.644659046218752</v>
      </c>
      <c r="P120" s="277"/>
      <c r="Q120" s="277">
        <f>O$48</f>
        <v>29.865243310184059</v>
      </c>
      <c r="R120" s="27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6">
        <f>IF('Filtered Data'!H8="%%",(AVERAGEIF('Filtered Data'!AA$10:AA$500,$F121,'Filtered Data'!M$10:M$500))*100,(AVERAGEIF('Filtered Data'!AA$10:AA$500,$F121,'Filtered Data'!M$10:M$500)))</f>
        <v>23.927912352784642</v>
      </c>
      <c r="H121" s="276"/>
      <c r="I121" s="276"/>
      <c r="J121" s="276"/>
      <c r="K121" s="276"/>
      <c r="L121" s="6"/>
      <c r="M121" s="277">
        <f>K$48</f>
        <v>18.926896762719444</v>
      </c>
      <c r="N121" s="277"/>
      <c r="O121" s="277">
        <f>M$48</f>
        <v>21.644659046218752</v>
      </c>
      <c r="P121" s="277"/>
      <c r="Q121" s="277">
        <f>O$48</f>
        <v>29.865243310184059</v>
      </c>
      <c r="R121" s="27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6"/>
      <c r="H122" s="276"/>
      <c r="I122" s="276"/>
      <c r="J122" s="276"/>
      <c r="K122" s="276"/>
      <c r="L122" s="6"/>
      <c r="M122" s="277"/>
      <c r="N122" s="277"/>
      <c r="O122" s="277"/>
      <c r="P122" s="277"/>
      <c r="Q122" s="277"/>
      <c r="R122" s="27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6"/>
      <c r="H123" s="276"/>
      <c r="I123" s="276"/>
      <c r="J123" s="276"/>
      <c r="K123" s="276"/>
      <c r="L123" s="6"/>
      <c r="M123" s="277"/>
      <c r="N123" s="277"/>
      <c r="O123" s="277"/>
      <c r="P123" s="277"/>
      <c r="Q123" s="277"/>
      <c r="R123" s="27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6"/>
      <c r="H124" s="276"/>
      <c r="I124" s="276"/>
      <c r="J124" s="276"/>
      <c r="K124" s="276"/>
      <c r="L124" s="6"/>
      <c r="M124" s="277"/>
      <c r="N124" s="277"/>
      <c r="O124" s="277"/>
      <c r="P124" s="277"/>
      <c r="Q124" s="277"/>
      <c r="R124" s="27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Cheshire East</v>
      </c>
      <c r="F3" s="108" t="str">
        <f>VLOOKUP(D3,classifications!C:G,4,FALSE)</f>
        <v>UA</v>
      </c>
      <c r="G3" s="48" t="str">
        <f>VLOOKUP(D3,classifications!C:E,3,FALSE)</f>
        <v>North West</v>
      </c>
      <c r="H3" s="118" t="str">
        <f>VLOOKUP(D3,classifications!C:H,6,FALSE)</f>
        <v>Rural-50</v>
      </c>
      <c r="I3" s="48" t="str">
        <f>VLOOKUP(D3,classifications!C:J,8,FALSE)</f>
        <v>Unitary</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Year 2013/14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10.189274447949527</v>
      </c>
      <c r="Q7" s="145">
        <f>IF(I8="A",MAX(N11:N363),MIN(N11:N363))</f>
        <v>40.626253710984514</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Cheshire East</v>
      </c>
      <c r="Q8" s="146">
        <f>VLOOKUP(D3,L11:N363,3,FALSE)</f>
        <v>30.986323555875472</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23.788310455225176</v>
      </c>
      <c r="N9" s="123"/>
      <c r="O9" s="126" t="s">
        <v>344</v>
      </c>
      <c r="P9" s="126" t="s">
        <v>355</v>
      </c>
      <c r="Q9" s="126" t="s">
        <v>356</v>
      </c>
      <c r="R9" s="128" t="s">
        <v>408</v>
      </c>
      <c r="S9" s="53"/>
      <c r="T9" s="233" t="s">
        <v>828</v>
      </c>
      <c r="U9" s="234">
        <f>IF($H$8="%.",(AVERAGE(U11:U363))/100,(AVERAGE(U11:U363)))</f>
        <v>24.379342954134909</v>
      </c>
      <c r="V9" s="235"/>
      <c r="W9" s="235"/>
      <c r="X9" s="121" t="str">
        <f>"Lower Level Ranking for Authorites in "&amp;H3&amp;" &amp; are a "&amp;F3</f>
        <v>Lower Level Ranking for Authorites in Rural-50 &amp; are a UA</v>
      </c>
      <c r="Y9" s="123">
        <f>IF($H$8="%.",(AVERAGE(Y11:Y363))/100,(AVERAGE(Y11:Y363)))</f>
        <v>24.659419198810987</v>
      </c>
      <c r="Z9" s="122"/>
      <c r="AA9" s="243" t="s">
        <v>384</v>
      </c>
      <c r="AB9" s="234">
        <f>IF($H$8="%.",(AVERAGE(AB11:AB363))/100,(AVERAGE(AB11:AB363)))</f>
        <v>24.177480147381974</v>
      </c>
      <c r="AC9" s="244"/>
      <c r="AD9" s="244"/>
      <c r="AE9" s="54" t="s">
        <v>417</v>
      </c>
      <c r="AG9" s="123">
        <f>IF($H$8="%.",(AVERAGE(AG11:AG363))/100,(AVERAGE(AG11:AG363)))</f>
        <v>26.088040770752627</v>
      </c>
      <c r="AI9" s="121" t="str">
        <f>"County Ranking &amp; Top Authorites in "&amp;I3&amp;" &amp; are a "&amp;F3</f>
        <v>County Ranking &amp; Top Authorites in Unitary &amp; are a UA</v>
      </c>
      <c r="AJ9" s="123">
        <f>IF($H$8="%.",(AVERAGE(AJ11:AJ363))/100,(AVERAGE(AJ11:AJ363)))</f>
        <v>23.788310455225176</v>
      </c>
      <c r="AK9" s="122"/>
      <c r="AL9" s="70"/>
      <c r="AM9" s="31"/>
      <c r="AN9" s="31"/>
      <c r="AP9" s="121" t="str">
        <f>"Regional Ranking in for "&amp;F3</f>
        <v>Regional Ranking in for UA</v>
      </c>
      <c r="AQ9" s="123">
        <f>IF($H$8="%.",(AVERAGE(AQ11:AQ363))/100,(AVERAGE(AQ11:AQ363)))</f>
        <v>24.744002551746746</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18.926896762719444</v>
      </c>
      <c r="P10" s="130">
        <f>QUARTILE(N:N,2)</f>
        <v>21.644659046218752</v>
      </c>
      <c r="Q10" s="130">
        <f>IF(I8="A",QUARTILE(N:N,3),QUARTILE(N:N,1))</f>
        <v>29.865243310184059</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Year 2013/14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HLOOKUP($D$6,AX$10:ZX$363,ROW()-9,FALSE)</f>
        <v>15.647505422993492</v>
      </c>
      <c r="G11" s="105"/>
      <c r="H11" s="60" t="str">
        <f>IF(D11=$D$1,HLOOKUP($D$6,$AX$10:$ZZ$363,ROW()-9,FALSE),"")</f>
        <v/>
      </c>
      <c r="I11" s="112" t="str">
        <f>IF(H11="","",IF($I$8="A",(RANK(H11,H$11:H$363,1)+COUNTIF(H$11:H11,H11)-1),(RANK(H11,H$11:H$363)+COUNTIF(H$11:H11,H11)-1)))</f>
        <v/>
      </c>
      <c r="J11" s="58"/>
      <c r="K11" s="51">
        <v>1</v>
      </c>
      <c r="L11" s="59" t="str">
        <f>IF(K11="","",INDEX(C$11:C$363,MATCH(K11,I$11:I$363,0)))</f>
        <v>Darlington</v>
      </c>
      <c r="M11" s="153">
        <f>IF(L11="","",IF(VLOOKUP(L11,C:D,2,FALSE)=$F$3,VLOOKUP(L11,C:H,6,FALSE),""))</f>
        <v>10.189274447949527</v>
      </c>
      <c r="N11" s="148">
        <f>IF(L11="","",IF($H$8="%%",M11*100,M11))</f>
        <v>10.189274447949527</v>
      </c>
      <c r="O11" s="131">
        <f>IF(I$8="A",IF(N11&gt;=$P$7,IF(N11&lt;=$O$10,N11,""),""),IF(N11&lt;=$P$7,IF(N11&gt;=$O$10,N11,""),""))</f>
        <v>10.189274447949527</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Rural</v>
      </c>
      <c r="AB11" s="239">
        <f>IF(AA11=$J$3,M11,"")</f>
        <v>10.189274447949527</v>
      </c>
      <c r="AC11" s="239">
        <f>IF(AB11="","",IF($I$8="A",(RANK(AB11,AB$11:AB$363)+COUNTIF(AB$11:AB11,AB11)-1),(RANK(AB11,AB$11:AB$363,1)+COUNTIF(AB$11:AB11,AB11)-1)))</f>
        <v>16</v>
      </c>
      <c r="AD11" s="239"/>
      <c r="AE11" s="71">
        <f>IF(I$8="A",(RANK(AG11,AG$11:AG$363,1)+COUNTIF(AG$11:AG11,AG11)-1),(RANK(AG11,AG$11:AG$363)+COUNTIF(AG$11:AG11,AG11)-1))</f>
        <v>10</v>
      </c>
      <c r="AF11" s="69" t="str">
        <f>'Filtered Data'!D3</f>
        <v>Cheshire East</v>
      </c>
      <c r="AG11" s="142">
        <f>VLOOKUP(Profile!$J$5,$C$11:$H$363,4,FALSE)</f>
        <v>30.986323555875472</v>
      </c>
      <c r="AH11" s="72">
        <f>AE11</f>
        <v>10</v>
      </c>
      <c r="AI11" s="61" t="str">
        <f>IF(L11="","",VLOOKUP($L11,classifications!$C:$J,8,FALSE))</f>
        <v>Unitary</v>
      </c>
      <c r="AJ11" s="62">
        <f t="shared" ref="AJ11:AJ74" si="0">IF(AI11=$I$3,M11,"")</f>
        <v>10.189274447949527</v>
      </c>
      <c r="AK11" s="57">
        <f>IF(AJ11="","",IF(I$8="A",(RANK(AJ11,AJ$11:AJ$363,1)+COUNTIF(AJ$11:AJ11,AJ11)-1),(RANK(AJ11,AJ$11:AJ$363)+COUNTIF(AJ$11:AJ11,AJ11)-1)))</f>
        <v>1</v>
      </c>
      <c r="AL11" s="57">
        <v>1</v>
      </c>
      <c r="AM11" s="31" t="str">
        <f>IF(ISNA(IF(AL11="","",INDEX(L$11:L$363,MATCH(AL11,AK$11:AK$363,0)))),"",(IF(AL11="","",INDEX(L$11:L$363,MATCH(AL11,AK$11:AK$363,0)))))</f>
        <v>Darlington</v>
      </c>
      <c r="AN11" s="31">
        <f>(VLOOKUP(AM11,L:M,2,FALSE))</f>
        <v>10.189274447949527</v>
      </c>
      <c r="AP11" s="61" t="str">
        <f>IF(L11="","",VLOOKUP($L11,classifications!$C:$E,3,FALSE))</f>
        <v>NE</v>
      </c>
      <c r="AQ11" s="62" t="str">
        <f>IF(AP11=$G$3,$M11,"")</f>
        <v/>
      </c>
      <c r="AR11" s="57" t="str">
        <f>IF(AQ11="","",IF(I$8="A",(RANK(AQ11,AQ$11:AQ$363,1)+COUNTIF(AQ$11:AQ11,AQ11)-1),(RANK(AQ11,AQ$11:AQ$363)+COUNTIF(AQ$11:AQ11,AQ11)-1)))</f>
        <v/>
      </c>
      <c r="AS11" s="57">
        <v>1</v>
      </c>
      <c r="AT11" s="57" t="str">
        <f>IF(AS11="","",INDEX(L$11:L$363,MATCH(AS11,AR$11:AR$363,0)))</f>
        <v>Halton</v>
      </c>
      <c r="AU11" s="62">
        <f>IF(AT11="","",VLOOKUP(AT11,L:M,2,FALSE))</f>
        <v>14.778051029818629</v>
      </c>
      <c r="AX11" s="44">
        <f>HLOOKUP($AX$9&amp;$AX$10,Data!$A$1:$ZZ$2000,(MATCH($C11,Data!$A$1:$A$2000,0)),FALSE)</f>
        <v>15.647505422993492</v>
      </c>
      <c r="AY11" s="156"/>
      <c r="AZ11" s="44"/>
    </row>
    <row r="12" spans="1:735">
      <c r="A12" s="84" t="str">
        <f>$D$1&amp;2</f>
        <v>UA2</v>
      </c>
      <c r="B12" s="85" t="str">
        <f>IF(ISERROR(VLOOKUP(A12,classifications!A:C,3,FALSE)),0,VLOOKUP(A12,classifications!A:C,3,FALSE))</f>
        <v>Cheshire West &amp; Chester</v>
      </c>
      <c r="C12" s="31" t="s">
        <v>6</v>
      </c>
      <c r="D12" s="49" t="str">
        <f>VLOOKUP($C12,classifications!$C:$J,4,FALSE)</f>
        <v>SD</v>
      </c>
      <c r="E12" s="49" t="str">
        <f>VLOOKUP(C12,classifications!C:K,9,FALSE)</f>
        <v>Sparse</v>
      </c>
      <c r="F12" s="59">
        <f t="shared" ref="F12:F74" si="1">HLOOKUP($D$6,AX$10:ZX$363,ROW()-9,FALSE)</f>
        <v>22.673793524740379</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Telford &amp; Wrekin</v>
      </c>
      <c r="M12" s="153">
        <f>IF(L12="","",IF(VLOOKUP(L12,C:D,2,FALSE)=$F$3,VLOOKUP(L12,C:H,6,FALSE),""))</f>
        <v>12.149090233939845</v>
      </c>
      <c r="N12" s="148">
        <f>IF(L12="","",IF($H$8="%%",M12*100,M12))</f>
        <v>12.149090233939845</v>
      </c>
      <c r="O12" s="131">
        <f t="shared" ref="O12:O74" si="3">IF(I$8="A",IF(N12&gt;=$P$7,IF(N12&lt;=$O$10,N12,""),""),IF(N12&lt;=$P$7,IF(N12&gt;=$O$10,N12,""),""))</f>
        <v>12.149090233939845</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12</v>
      </c>
      <c r="AF12" s="6" t="str">
        <f>VLOOKUP(Profile!$J$5,Families!$C:$R,2,FALSE)</f>
        <v>Cheshire West &amp; Chester</v>
      </c>
      <c r="AG12" s="143">
        <f>VLOOKUP(AF12,$C$11:$H$363,4,FALSE)</f>
        <v>33.101427371956341</v>
      </c>
      <c r="AH12" s="72">
        <f>AE12</f>
        <v>12</v>
      </c>
      <c r="AI12" s="61" t="str">
        <f>IF(L12="","",VLOOKUP($L12,classifications!$C:$J,8,FALSE))</f>
        <v>Unitary</v>
      </c>
      <c r="AJ12" s="62">
        <f t="shared" si="0"/>
        <v>12.149090233939845</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Telford &amp; Wrekin</v>
      </c>
      <c r="AN12" s="31">
        <f t="shared" ref="AN12:AN75" si="9">(VLOOKUP(AM12,L:M,2,FALSE))</f>
        <v>12.149090233939845</v>
      </c>
      <c r="AP12" s="61" t="str">
        <f>IF(L12="","",VLOOKUP($L12,classifications!$C:$E,3,FALSE))</f>
        <v>West Midlands</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Blackburn with Darwen</v>
      </c>
      <c r="AU12" s="62">
        <f t="shared" ref="AU12:AU75" si="12">IF(AT12="","",VLOOKUP(AT12,L:M,2,FALSE))</f>
        <v>21.089064914992271</v>
      </c>
      <c r="AX12" s="44">
        <f>HLOOKUP($AX$9&amp;$AX$10,Data!$A$1:$ZZ$2000,(MATCH($C12,Data!$A$1:$A$2000,0)),FALSE)</f>
        <v>22.673793524740379</v>
      </c>
      <c r="AY12" s="156"/>
      <c r="AZ12" s="44"/>
    </row>
    <row r="13" spans="1:735">
      <c r="A13" s="84" t="str">
        <f>$D$1&amp;3</f>
        <v>UA3</v>
      </c>
      <c r="B13" s="85" t="str">
        <f>IF(ISERROR(VLOOKUP(A13,classifications!A:C,3,FALSE)),0,VLOOKUP(A13,classifications!A:C,3,FALSE))</f>
        <v>Cornwall</v>
      </c>
      <c r="C13" s="31" t="s">
        <v>7</v>
      </c>
      <c r="D13" s="49" t="str">
        <f>VLOOKUP($C13,classifications!$C:$J,4,FALSE)</f>
        <v>SD</v>
      </c>
      <c r="E13" s="49">
        <f>VLOOKUP(C13,classifications!C:K,9,FALSE)</f>
        <v>0</v>
      </c>
      <c r="F13" s="59">
        <f t="shared" si="1"/>
        <v>15.199163179916319</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Herefordshire</v>
      </c>
      <c r="M13" s="153">
        <f>IF(L13="","",IF(VLOOKUP(L13,C:D,2,FALSE)=$F$3,VLOOKUP(L13,C:H,6,FALSE),""))</f>
        <v>12.187860291624279</v>
      </c>
      <c r="N13" s="148">
        <f>IF(L13="","",IF($H$8="%%",M13*100,M13))</f>
        <v>12.187860291624279</v>
      </c>
      <c r="O13" s="131">
        <f t="shared" si="3"/>
        <v>12.187860291624279</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12.187860291624279</v>
      </c>
      <c r="V13" s="239">
        <f>IF(U13="","",IF($I$8="A",(RANK(U13,U$11:U$363)+COUNTIF(U$11:U13,U13)-1),(RANK(U13,U$11:U$363,1)+COUNTIF(U$11:U13,U13)-1)))</f>
        <v>12</v>
      </c>
      <c r="W13" s="240"/>
      <c r="X13" s="61" t="str">
        <f>IF(L13="","",VLOOKUP($L13,classifications!$C:$J,6,FALSE))</f>
        <v>Rural-50</v>
      </c>
      <c r="Y13" s="49">
        <f t="shared" si="6"/>
        <v>12.187860291624279</v>
      </c>
      <c r="Z13" s="57">
        <f>IF(Y13="","",IF(I$8="A",(RANK(Y13,Y$11:Y$363,1)+COUNTIF(Y$11:Y13,Y13)-1),(RANK(Y13,Y$11:Y$363)+COUNTIF(Y$11:Y13,Y13)-1)))</f>
        <v>1</v>
      </c>
      <c r="AA13" s="245" t="str">
        <f>IF(L13="","",VLOOKUP($L13,classifications!C:I,7,FALSE))</f>
        <v>Predominantly Rural</v>
      </c>
      <c r="AB13" s="239">
        <f>IF(AA13=$J$3,M13,"")</f>
        <v>12.187860291624279</v>
      </c>
      <c r="AC13" s="239">
        <f>IF(AB13="","",IF($I$8="A",(RANK(AB13,AB$11:AB$363)+COUNTIF(AB$11:AB13,AB13)-1),(RANK(AB13,AB$11:AB$363,1)+COUNTIF(AB$11:AB13,AB13)-1)))</f>
        <v>15</v>
      </c>
      <c r="AD13" s="239"/>
      <c r="AE13" s="71">
        <f>IF(I$8="A",(RANK(AG13,AG$11:AG$363,1)+COUNTIF(AG$11:AG13,AG13)-1),(RANK(AG13,AG$11:AG$363)+COUNTIF(AG$11:AG13,AG13)-1))</f>
        <v>9</v>
      </c>
      <c r="AF13" s="6" t="str">
        <f>VLOOKUP(Profile!$J$5,Families!$C:$R,3,FALSE)</f>
        <v>Wiltshire</v>
      </c>
      <c r="AG13" s="143">
        <f>VLOOKUP(AF13,$C$11:$H$363,4,FALSE)</f>
        <v>27.571598414795243</v>
      </c>
      <c r="AH13" s="72">
        <f t="shared" ref="AH13:AH26" si="18">AE13</f>
        <v>9</v>
      </c>
      <c r="AI13" s="61" t="str">
        <f>IF(L13="","",VLOOKUP($L13,classifications!$C:$J,8,FALSE))</f>
        <v>Unitary</v>
      </c>
      <c r="AJ13" s="62">
        <f>IF(AI13=$I$3,M13,"")</f>
        <v>12.187860291624279</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Herefordshire</v>
      </c>
      <c r="AN13" s="31">
        <f t="shared" si="9"/>
        <v>12.187860291624279</v>
      </c>
      <c r="AP13" s="61" t="str">
        <f>IF(L13="","",VLOOKUP($L13,classifications!$C:$E,3,FALSE))</f>
        <v>West Midlands</v>
      </c>
      <c r="AQ13" s="62" t="str">
        <f t="shared" si="10"/>
        <v/>
      </c>
      <c r="AR13" s="57" t="str">
        <f>IF(AQ13="","",IF(I$8="A",(RANK(AQ13,AQ$11:AQ$363,1)+COUNTIF(AQ$11:AQ13,AQ13)-1),(RANK(AQ13,AQ$11:AQ$363)+COUNTIF(AQ$11:AQ13,AQ13)-1)))</f>
        <v/>
      </c>
      <c r="AS13" s="52">
        <f>IF(AS12="","",IF(AS12+1&gt;(COUNT(AQ$11:AQ$363)),"",AS12+1))</f>
        <v>3</v>
      </c>
      <c r="AT13" s="57" t="str">
        <f t="shared" si="11"/>
        <v>Blackpool</v>
      </c>
      <c r="AU13" s="62">
        <f t="shared" si="12"/>
        <v>22.261488250652743</v>
      </c>
      <c r="AX13" s="44">
        <f>HLOOKUP($AX$9&amp;$AX$10,Data!$A$1:$ZZ$2000,(MATCH($C13,Data!$A$1:$A$2000,0)),FALSE)</f>
        <v>15.199163179916319</v>
      </c>
      <c r="AY13" s="156"/>
      <c r="AZ13" s="44"/>
    </row>
    <row r="14" spans="1:735">
      <c r="A14" s="84" t="str">
        <f>$D$1&amp;4</f>
        <v>UA4</v>
      </c>
      <c r="B14" s="85" t="str">
        <f>IF(ISERROR(VLOOKUP(A14,classifications!A:C,3,FALSE)),0,VLOOKUP(A14,classifications!A:C,3,FALSE))</f>
        <v>Durham</v>
      </c>
      <c r="C14" s="31" t="s">
        <v>8</v>
      </c>
      <c r="D14" s="49" t="str">
        <f>VLOOKUP($C14,classifications!$C:$J,4,FALSE)</f>
        <v>SD</v>
      </c>
      <c r="E14" s="49">
        <f>VLOOKUP(C14,classifications!C:K,9,FALSE)</f>
        <v>0</v>
      </c>
      <c r="F14" s="59">
        <f t="shared" si="1"/>
        <v>15.088631984585742</v>
      </c>
      <c r="G14" s="105"/>
      <c r="H14" s="60" t="str">
        <f t="shared" si="2"/>
        <v/>
      </c>
      <c r="I14" s="112" t="str">
        <f>IF(H14="","",IF($I$8="A",(RANK(H14,H$11:H$363,1)+COUNTIF(H$11:H14,H14)-1),(RANK(H14,H$11:H$363)+COUNTIF(H$11:H14,H14)-1)))</f>
        <v/>
      </c>
      <c r="J14" s="58"/>
      <c r="K14" s="51">
        <f t="shared" si="13"/>
        <v>4</v>
      </c>
      <c r="L14" s="59" t="str">
        <f t="shared" si="14"/>
        <v>Plymouth</v>
      </c>
      <c r="M14" s="153">
        <f t="shared" ref="M14:M75" si="20">IF(L14="","",IF(VLOOKUP(L14,C:D,2,FALSE)=$F$3,VLOOKUP(L14,C:H,6,FALSE),""))</f>
        <v>13.210231067183118</v>
      </c>
      <c r="N14" s="148">
        <f t="shared" ref="N14:N75" si="21">IF(L14="","",IF($H$8="%%",M14*100,M14))</f>
        <v>13.210231067183118</v>
      </c>
      <c r="O14" s="131">
        <f t="shared" si="3"/>
        <v>13.210231067183118</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8</v>
      </c>
      <c r="AF14" s="6" t="str">
        <f>VLOOKUP(Profile!$J$5,Families!$C:$R,4,FALSE)</f>
        <v>Solihull</v>
      </c>
      <c r="AG14" s="143">
        <f t="shared" ref="AG14:AG26" si="22">VLOOKUP(AF14,$C$11:$H$363,4,FALSE)</f>
        <v>26.990979381443299</v>
      </c>
      <c r="AH14" s="72">
        <f t="shared" si="18"/>
        <v>8</v>
      </c>
      <c r="AI14" s="61" t="str">
        <f>IF(L14="","",VLOOKUP($L14,classifications!$C:$J,8,FALSE))</f>
        <v>Unitary</v>
      </c>
      <c r="AJ14" s="62">
        <f t="shared" si="0"/>
        <v>13.210231067183118</v>
      </c>
      <c r="AK14" s="57">
        <f>IF(AJ14="","",IF(I$8="A",(RANK(AJ14,AJ$11:AJ$363,1)+COUNTIF(AJ$11:AJ14,AJ14)-1),(RANK(AJ14,AJ$11:AJ$363)+COUNTIF(AJ$11:AJ14,AJ14)-1)))</f>
        <v>4</v>
      </c>
      <c r="AL14" s="52">
        <f t="shared" si="19"/>
        <v>4</v>
      </c>
      <c r="AM14" s="31" t="str">
        <f t="shared" si="8"/>
        <v>Plymouth</v>
      </c>
      <c r="AN14" s="31">
        <f t="shared" si="9"/>
        <v>13.210231067183118</v>
      </c>
      <c r="AP14" s="61" t="str">
        <f>IF(L14="","",VLOOKUP($L14,classifications!$C:$E,3,FALSE))</f>
        <v>South West</v>
      </c>
      <c r="AQ14" s="62" t="str">
        <f t="shared" si="10"/>
        <v/>
      </c>
      <c r="AR14" s="57" t="str">
        <f>IF(AQ14="","",IF(I$8="A",(RANK(AQ14,AQ$11:AQ$363,1)+COUNTIF(AQ$11:AQ14,AQ14)-1),(RANK(AQ14,AQ$11:AQ$363)+COUNTIF(AQ$11:AQ14,AQ14)-1)))</f>
        <v/>
      </c>
      <c r="AS14" s="52">
        <f t="shared" ref="AS14:AS75" si="23">IF(AS13="","",IF(AS13+1&gt;(COUNT(AQ$11:AQ$363)),"",AS13+1))</f>
        <v>4</v>
      </c>
      <c r="AT14" s="57" t="str">
        <f t="shared" si="11"/>
        <v>Warrington</v>
      </c>
      <c r="AU14" s="62">
        <f t="shared" si="12"/>
        <v>26.247660187185026</v>
      </c>
      <c r="AX14" s="44">
        <f>HLOOKUP($AX$9&amp;$AX$10,Data!$A$1:$ZZ$2000,(MATCH($C14,Data!$A$1:$A$2000,0)),FALSE)</f>
        <v>15.088631984585742</v>
      </c>
      <c r="AY14" s="156"/>
      <c r="AZ14" s="44"/>
    </row>
    <row r="15" spans="1:735">
      <c r="A15" s="84" t="str">
        <f>$D$1&amp;5</f>
        <v>UA5</v>
      </c>
      <c r="B15" s="85" t="str">
        <f>IF(ISERROR(VLOOKUP(A15,classifications!A:C,3,FALSE)),0,VLOOKUP(A15,classifications!A:C,3,FALSE))</f>
        <v>East Riding of Yorkshire</v>
      </c>
      <c r="C15" s="31" t="s">
        <v>9</v>
      </c>
      <c r="D15" s="49" t="str">
        <f>VLOOKUP($C15,classifications!$C:$J,4,FALSE)</f>
        <v>SD</v>
      </c>
      <c r="E15" s="49">
        <f>VLOOKUP(C15,classifications!C:K,9,FALSE)</f>
        <v>0</v>
      </c>
      <c r="F15" s="59">
        <f t="shared" si="1"/>
        <v>15.438300988648846</v>
      </c>
      <c r="G15" s="105"/>
      <c r="H15" s="60" t="str">
        <f t="shared" si="2"/>
        <v/>
      </c>
      <c r="I15" s="112" t="str">
        <f>IF(H15="","",IF($I$8="A",(RANK(H15,H$11:H$363,1)+COUNTIF(H$11:H15,H15)-1),(RANK(H15,H$11:H$363)+COUNTIF(H$11:H15,H15)-1)))</f>
        <v/>
      </c>
      <c r="J15" s="58"/>
      <c r="K15" s="51">
        <f t="shared" si="13"/>
        <v>5</v>
      </c>
      <c r="L15" s="59" t="str">
        <f t="shared" si="14"/>
        <v>Southampton</v>
      </c>
      <c r="M15" s="153">
        <f t="shared" si="20"/>
        <v>14.731398908558498</v>
      </c>
      <c r="N15" s="148">
        <f t="shared" si="21"/>
        <v>14.731398908558498</v>
      </c>
      <c r="O15" s="131">
        <f t="shared" si="3"/>
        <v>14.731398908558498</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Large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t="e">
        <f>IF(I$8="A",(RANK(AG15,AG$11:AG$363,1)+COUNTIF(AG$11:AG15,AG15)-1),(RANK(AG15,AG$11:AG$363)+COUNTIF(AG$11:AG15,AG15)-1))</f>
        <v>#VALUE!</v>
      </c>
      <c r="AF15" s="6" t="str">
        <f>VLOOKUP(Profile!$J$5,Families!$C:$R,5,FALSE)</f>
        <v>Bath &amp; North East Somerset</v>
      </c>
      <c r="AG15" s="143" t="str">
        <f t="shared" si="22"/>
        <v/>
      </c>
      <c r="AH15" s="72" t="e">
        <f t="shared" si="18"/>
        <v>#VALUE!</v>
      </c>
      <c r="AI15" s="61" t="str">
        <f>IF(L15="","",VLOOKUP($L15,classifications!$C:$J,8,FALSE))</f>
        <v>Unitary</v>
      </c>
      <c r="AJ15" s="62">
        <f t="shared" si="0"/>
        <v>14.731398908558498</v>
      </c>
      <c r="AK15" s="57">
        <f>IF(AJ15="","",IF(I$8="A",(RANK(AJ15,AJ$11:AJ$363,1)+COUNTIF(AJ$11:AJ15,AJ15)-1),(RANK(AJ15,AJ$11:AJ$363)+COUNTIF(AJ$11:AJ15,AJ15)-1)))</f>
        <v>5</v>
      </c>
      <c r="AL15" s="52">
        <f t="shared" si="19"/>
        <v>5</v>
      </c>
      <c r="AM15" s="31" t="str">
        <f>IF(ISNA(IF(AL15="","",INDEX(L$11:L$363,MATCH(AL15,AK$11:AK$363,0)))),"",(IF(AL15="","",INDEX(L$11:L$363,MATCH(AL15,AK$11:AK$363,0)))))</f>
        <v>Southampton</v>
      </c>
      <c r="AN15" s="31">
        <f t="shared" si="9"/>
        <v>14.731398908558498</v>
      </c>
      <c r="AP15" s="61" t="str">
        <f>IF(L15="","",VLOOKUP($L15,classifications!$C:$E,3,FALSE))</f>
        <v>South East</v>
      </c>
      <c r="AQ15" s="62" t="str">
        <f t="shared" si="10"/>
        <v/>
      </c>
      <c r="AR15" s="57" t="str">
        <f>IF(AQ15="","",IF(I$8="A",(RANK(AQ15,AQ$11:AQ$363,1)+COUNTIF(AQ$11:AQ15,AQ15)-1),(RANK(AQ15,AQ$11:AQ$363)+COUNTIF(AQ$11:AQ15,AQ15)-1)))</f>
        <v/>
      </c>
      <c r="AS15" s="52">
        <f t="shared" si="23"/>
        <v>5</v>
      </c>
      <c r="AT15" s="57" t="str">
        <f t="shared" si="11"/>
        <v>Cheshire East</v>
      </c>
      <c r="AU15" s="62">
        <f t="shared" si="12"/>
        <v>30.986323555875472</v>
      </c>
      <c r="AX15" s="44">
        <f>HLOOKUP($AX$9&amp;$AX$10,Data!$A$1:$ZZ$2000,(MATCH($C15,Data!$A$1:$A$2000,0)),FALSE)</f>
        <v>15.438300988648846</v>
      </c>
      <c r="AY15" s="156"/>
      <c r="AZ15" s="44"/>
    </row>
    <row r="16" spans="1:735">
      <c r="A16" s="84" t="str">
        <f>$D$1&amp;6</f>
        <v>UA6</v>
      </c>
      <c r="B16" s="85" t="str">
        <f>IF(ISERROR(VLOOKUP(A16,classifications!A:C,3,FALSE)),0,VLOOKUP(A16,classifications!A:C,3,FALSE))</f>
        <v>Herefordshire</v>
      </c>
      <c r="C16" s="31" t="s">
        <v>10</v>
      </c>
      <c r="D16" s="49" t="str">
        <f>VLOOKUP($C16,classifications!$C:$J,4,FALSE)</f>
        <v>SD</v>
      </c>
      <c r="E16" s="49" t="str">
        <f>VLOOKUP(C16,classifications!C:K,9,FALSE)</f>
        <v>Sparse</v>
      </c>
      <c r="F16" s="59">
        <f t="shared" si="1"/>
        <v>26.209387755102039</v>
      </c>
      <c r="G16" s="105"/>
      <c r="H16" s="60" t="str">
        <f t="shared" si="2"/>
        <v/>
      </c>
      <c r="I16" s="112" t="str">
        <f>IF(H16="","",IF($I$8="A",(RANK(H16,H$11:H$363,1)+COUNTIF(H$11:H16,H16)-1),(RANK(H16,H$11:H$363)+COUNTIF(H$11:H16,H16)-1)))</f>
        <v/>
      </c>
      <c r="J16" s="58"/>
      <c r="K16" s="51">
        <f t="shared" si="13"/>
        <v>6</v>
      </c>
      <c r="L16" s="59" t="str">
        <f t="shared" si="14"/>
        <v>Halton</v>
      </c>
      <c r="M16" s="153">
        <f t="shared" si="20"/>
        <v>14.778051029818629</v>
      </c>
      <c r="N16" s="148">
        <f t="shared" si="21"/>
        <v>14.778051029818629</v>
      </c>
      <c r="O16" s="131">
        <f t="shared" si="3"/>
        <v>14.778051029818629</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4</v>
      </c>
      <c r="AF16" s="6" t="str">
        <f>VLOOKUP(Profile!$J$5,Families!$C:$R,6,FALSE)</f>
        <v>Stockport</v>
      </c>
      <c r="AG16" s="143">
        <f t="shared" si="22"/>
        <v>18.143794423182065</v>
      </c>
      <c r="AH16" s="72">
        <f t="shared" si="18"/>
        <v>4</v>
      </c>
      <c r="AI16" s="61" t="str">
        <f>IF(L16="","",VLOOKUP($L16,classifications!$C:$J,8,FALSE))</f>
        <v>Unitary</v>
      </c>
      <c r="AJ16" s="62">
        <f t="shared" si="0"/>
        <v>14.778051029818629</v>
      </c>
      <c r="AK16" s="57">
        <f>IF(AJ16="","",IF(I$8="A",(RANK(AJ16,AJ$11:AJ$363,1)+COUNTIF(AJ$11:AJ16,AJ16)-1),(RANK(AJ16,AJ$11:AJ$363)+COUNTIF(AJ$11:AJ16,AJ16)-1)))</f>
        <v>6</v>
      </c>
      <c r="AL16" s="52">
        <f t="shared" si="19"/>
        <v>6</v>
      </c>
      <c r="AM16" s="31" t="str">
        <f t="shared" si="8"/>
        <v>Halton</v>
      </c>
      <c r="AN16" s="31">
        <f t="shared" si="9"/>
        <v>14.778051029818629</v>
      </c>
      <c r="AP16" s="61" t="str">
        <f>IF(L16="","",VLOOKUP($L16,classifications!$C:$E,3,FALSE))</f>
        <v>North West</v>
      </c>
      <c r="AQ16" s="62">
        <f t="shared" si="10"/>
        <v>14.778051029818629</v>
      </c>
      <c r="AR16" s="57">
        <f>IF(AQ16="","",IF(I$8="A",(RANK(AQ16,AQ$11:AQ$363,1)+COUNTIF(AQ$11:AQ16,AQ16)-1),(RANK(AQ16,AQ$11:AQ$363)+COUNTIF(AQ$11:AQ16,AQ16)-1)))</f>
        <v>1</v>
      </c>
      <c r="AS16" s="52">
        <f t="shared" si="23"/>
        <v>6</v>
      </c>
      <c r="AT16" s="57" t="str">
        <f t="shared" si="11"/>
        <v>Cheshire West &amp; Chester</v>
      </c>
      <c r="AU16" s="62">
        <f t="shared" si="12"/>
        <v>33.101427371956341</v>
      </c>
      <c r="AX16" s="44">
        <f>HLOOKUP($AX$9&amp;$AX$10,Data!$A$1:$ZZ$2000,(MATCH($C16,Data!$A$1:$A$2000,0)),FALSE)</f>
        <v>26.209387755102039</v>
      </c>
      <c r="AY16" s="156"/>
      <c r="AZ16" s="44"/>
    </row>
    <row r="17" spans="1:52">
      <c r="A17" s="84" t="str">
        <f>$D$1&amp;7</f>
        <v>UA7</v>
      </c>
      <c r="B17" s="85" t="str">
        <f>IF(ISERROR(VLOOKUP(A17,classifications!A:C,3,FALSE)),0,VLOOKUP(A17,classifications!A:C,3,FALSE))</f>
        <v>Isle of Wight</v>
      </c>
      <c r="C17" s="31" t="s">
        <v>11</v>
      </c>
      <c r="D17" s="49" t="str">
        <f>VLOOKUP($C17,classifications!$C:$J,4,FALSE)</f>
        <v>SD</v>
      </c>
      <c r="E17" s="49" t="str">
        <f>VLOOKUP(C17,classifications!C:K,9,FALSE)</f>
        <v>Sparse</v>
      </c>
      <c r="F17" s="59">
        <f t="shared" si="1"/>
        <v>20.770333075135554</v>
      </c>
      <c r="G17" s="105"/>
      <c r="H17" s="60" t="str">
        <f t="shared" si="2"/>
        <v/>
      </c>
      <c r="I17" s="112" t="str">
        <f>IF(H17="","",IF($I$8="A",(RANK(H17,H$11:H$363,1)+COUNTIF(H$11:H17,H17)-1),(RANK(H17,H$11:H$363)+COUNTIF(H$11:H17,H17)-1)))</f>
        <v/>
      </c>
      <c r="J17" s="58"/>
      <c r="K17" s="51">
        <f t="shared" si="13"/>
        <v>7</v>
      </c>
      <c r="L17" s="59" t="str">
        <f t="shared" si="14"/>
        <v>Stoke-on-Trent</v>
      </c>
      <c r="M17" s="153">
        <f t="shared" si="20"/>
        <v>14.998013902681231</v>
      </c>
      <c r="N17" s="148">
        <f t="shared" si="21"/>
        <v>14.998013902681231</v>
      </c>
      <c r="O17" s="131">
        <f t="shared" si="3"/>
        <v>14.998013902681231</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14</v>
      </c>
      <c r="AF17" s="6" t="str">
        <f>VLOOKUP(Profile!$J$5,Families!$C:$R,7,FALSE)</f>
        <v>Central Bedfordshire</v>
      </c>
      <c r="AG17" s="143">
        <f t="shared" si="22"/>
        <v>36.476190476190474</v>
      </c>
      <c r="AH17" s="72">
        <f t="shared" si="18"/>
        <v>14</v>
      </c>
      <c r="AI17" s="61" t="str">
        <f>IF(L17="","",VLOOKUP($L17,classifications!$C:$J,8,FALSE))</f>
        <v>Unitary</v>
      </c>
      <c r="AJ17" s="62">
        <f t="shared" si="0"/>
        <v>14.998013902681231</v>
      </c>
      <c r="AK17" s="57">
        <f>IF(AJ17="","",IF(I$8="A",(RANK(AJ17,AJ$11:AJ$363,1)+COUNTIF(AJ$11:AJ17,AJ17)-1),(RANK(AJ17,AJ$11:AJ$363)+COUNTIF(AJ$11:AJ17,AJ17)-1)))</f>
        <v>7</v>
      </c>
      <c r="AL17" s="52">
        <f t="shared" si="19"/>
        <v>7</v>
      </c>
      <c r="AM17" s="31" t="str">
        <f t="shared" si="8"/>
        <v>Stoke-on-Trent</v>
      </c>
      <c r="AN17" s="31">
        <f t="shared" si="9"/>
        <v>14.998013902681231</v>
      </c>
      <c r="AP17" s="61" t="str">
        <f>IF(L17="","",VLOOKUP($L17,classifications!$C:$E,3,FALSE))</f>
        <v>West Midlands</v>
      </c>
      <c r="AQ17" s="62" t="str">
        <f t="shared" si="10"/>
        <v/>
      </c>
      <c r="AR17" s="57" t="str">
        <f>IF(AQ17="","",IF(I$8="A",(RANK(AQ17,AQ$11:AQ$363,1)+COUNTIF(AQ$11:AQ17,AQ17)-1),(RANK(AQ17,AQ$11:AQ$363)+COUNTIF(AQ$11:AQ17,AQ17)-1)))</f>
        <v/>
      </c>
      <c r="AS17" s="52" t="str">
        <f t="shared" si="23"/>
        <v/>
      </c>
      <c r="AT17" s="57" t="str">
        <f t="shared" si="11"/>
        <v/>
      </c>
      <c r="AU17" s="62" t="str">
        <f t="shared" si="12"/>
        <v/>
      </c>
      <c r="AX17" s="44">
        <f>HLOOKUP($AX$9&amp;$AX$10,Data!$A$1:$ZZ$2000,(MATCH($C17,Data!$A$1:$A$2000,0)),FALSE)</f>
        <v>20.770333075135554</v>
      </c>
      <c r="AY17" s="156"/>
      <c r="AZ17" s="44"/>
    </row>
    <row r="18" spans="1:52">
      <c r="A18" s="84" t="str">
        <f>$D$1&amp;8</f>
        <v>UA8</v>
      </c>
      <c r="B18" s="85" t="str">
        <f>IF(ISERROR(VLOOKUP(A18,classifications!A:C,3,FALSE)),0,VLOOKUP(A18,classifications!A:C,3,FALSE))</f>
        <v>North Lincolnshire</v>
      </c>
      <c r="C18" s="31" t="s">
        <v>12</v>
      </c>
      <c r="D18" s="49" t="str">
        <f>VLOOKUP($C18,classifications!$C:$J,4,FALSE)</f>
        <v>SD</v>
      </c>
      <c r="E18" s="49" t="str">
        <f>VLOOKUP(C18,classifications!C:K,9,FALSE)</f>
        <v>Sparse</v>
      </c>
      <c r="F18" s="59">
        <f t="shared" si="1"/>
        <v>23.817851959361395</v>
      </c>
      <c r="G18" s="105"/>
      <c r="H18" s="60" t="str">
        <f t="shared" si="2"/>
        <v/>
      </c>
      <c r="I18" s="112" t="str">
        <f>IF(H18="","",IF($I$8="A",(RANK(H18,H$11:H$363,1)+COUNTIF(H$11:H18,H18)-1),(RANK(H18,H$11:H$363)+COUNTIF(H$11:H18,H18)-1)))</f>
        <v/>
      </c>
      <c r="J18" s="58"/>
      <c r="K18" s="51">
        <f t="shared" si="13"/>
        <v>8</v>
      </c>
      <c r="L18" s="59" t="str">
        <f t="shared" si="14"/>
        <v>Swindon</v>
      </c>
      <c r="M18" s="153">
        <f t="shared" si="20"/>
        <v>16.08532240826505</v>
      </c>
      <c r="N18" s="148">
        <f t="shared" si="21"/>
        <v>16.08532240826505</v>
      </c>
      <c r="O18" s="131">
        <f t="shared" si="3"/>
        <v>16.08532240826505</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Other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15</v>
      </c>
      <c r="AF18" s="6" t="str">
        <f>VLOOKUP(Profile!$J$5,Families!$C:$R,8,FALSE)</f>
        <v>Shropshire</v>
      </c>
      <c r="AG18" s="143">
        <f t="shared" si="22"/>
        <v>39.024232295801127</v>
      </c>
      <c r="AH18" s="72">
        <f t="shared" si="18"/>
        <v>15</v>
      </c>
      <c r="AI18" s="61" t="str">
        <f>IF(L18="","",VLOOKUP($L18,classifications!$C:$J,8,FALSE))</f>
        <v>Unitary</v>
      </c>
      <c r="AJ18" s="62">
        <f t="shared" si="0"/>
        <v>16.08532240826505</v>
      </c>
      <c r="AK18" s="57">
        <f>IF(AJ18="","",IF(I$8="A",(RANK(AJ18,AJ$11:AJ$363,1)+COUNTIF(AJ$11:AJ18,AJ18)-1),(RANK(AJ18,AJ$11:AJ$363)+COUNTIF(AJ$11:AJ18,AJ18)-1)))</f>
        <v>8</v>
      </c>
      <c r="AL18" s="52">
        <f t="shared" si="19"/>
        <v>8</v>
      </c>
      <c r="AM18" s="31" t="str">
        <f t="shared" si="8"/>
        <v>Swindon</v>
      </c>
      <c r="AN18" s="31">
        <f t="shared" si="9"/>
        <v>16.08532240826505</v>
      </c>
      <c r="AP18" s="61" t="str">
        <f>IF(L18="","",VLOOKUP($L18,classifications!$C:$E,3,FALSE))</f>
        <v>South West</v>
      </c>
      <c r="AQ18" s="62" t="str">
        <f t="shared" si="10"/>
        <v/>
      </c>
      <c r="AR18" s="57" t="str">
        <f>IF(AQ18="","",IF(I$8="A",(RANK(AQ18,AQ$11:AQ$363,1)+COUNTIF(AQ$11:AQ18,AQ18)-1),(RANK(AQ18,AQ$11:AQ$363)+COUNTIF(AQ$11:AQ18,AQ18)-1)))</f>
        <v/>
      </c>
      <c r="AS18" s="52" t="str">
        <f t="shared" si="23"/>
        <v/>
      </c>
      <c r="AT18" s="57" t="str">
        <f t="shared" si="11"/>
        <v/>
      </c>
      <c r="AU18" s="62" t="str">
        <f t="shared" si="12"/>
        <v/>
      </c>
      <c r="AX18" s="44">
        <f>HLOOKUP($AX$9&amp;$AX$10,Data!$A$1:$ZZ$2000,(MATCH($C18,Data!$A$1:$A$2000,0)),FALSE)</f>
        <v>23.817851959361395</v>
      </c>
      <c r="AY18" s="156"/>
      <c r="AZ18" s="44"/>
    </row>
    <row r="19" spans="1:52">
      <c r="A19" s="84" t="str">
        <f>$D$1&amp;9</f>
        <v>UA9</v>
      </c>
      <c r="B19" s="85" t="str">
        <f>IF(ISERROR(VLOOKUP(A19,classifications!A:C,3,FALSE)),0,VLOOKUP(A19,classifications!A:C,3,FALSE))</f>
        <v>North Somerset</v>
      </c>
      <c r="C19" s="31" t="s">
        <v>341</v>
      </c>
      <c r="D19" s="49" t="str">
        <f>VLOOKUP($C19,classifications!$C:$J,4,FALSE)</f>
        <v>L</v>
      </c>
      <c r="E19" s="49">
        <f>VLOOKUP(C19,classifications!C:K,9,FALSE)</f>
        <v>0</v>
      </c>
      <c r="F19" s="59">
        <f t="shared" si="1"/>
        <v>25.515572672471535</v>
      </c>
      <c r="G19" s="105"/>
      <c r="H19" s="60" t="str">
        <f t="shared" si="2"/>
        <v/>
      </c>
      <c r="I19" s="112" t="str">
        <f>IF(H19="","",IF($I$8="A",(RANK(H19,H$11:H$363,1)+COUNTIF(H$11:H19,H19)-1),(RANK(H19,H$11:H$363)+COUNTIF(H$11:H19,H19)-1)))</f>
        <v/>
      </c>
      <c r="J19" s="58"/>
      <c r="K19" s="51">
        <f t="shared" si="13"/>
        <v>9</v>
      </c>
      <c r="L19" s="59" t="str">
        <f t="shared" si="14"/>
        <v>Bournemouth</v>
      </c>
      <c r="M19" s="153">
        <f t="shared" si="20"/>
        <v>16.990231500066908</v>
      </c>
      <c r="N19" s="148">
        <f t="shared" si="21"/>
        <v>16.990231500066908</v>
      </c>
      <c r="O19" s="131">
        <f t="shared" si="3"/>
        <v>16.990231500066908</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Large Urban</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6</v>
      </c>
      <c r="AF19" s="6" t="str">
        <f>VLOOKUP(Profile!$J$5,Families!$C:$R,9,FALSE)</f>
        <v>North Somerset</v>
      </c>
      <c r="AG19" s="143">
        <f t="shared" si="22"/>
        <v>20.484228684080829</v>
      </c>
      <c r="AH19" s="72">
        <f t="shared" si="18"/>
        <v>6</v>
      </c>
      <c r="AI19" s="61" t="str">
        <f>IF(L19="","",VLOOKUP($L19,classifications!$C:$J,8,FALSE))</f>
        <v>Unitary</v>
      </c>
      <c r="AJ19" s="62">
        <f t="shared" si="0"/>
        <v>16.990231500066908</v>
      </c>
      <c r="AK19" s="57">
        <f>IF(AJ19="","",IF(I$8="A",(RANK(AJ19,AJ$11:AJ$363,1)+COUNTIF(AJ$11:AJ19,AJ19)-1),(RANK(AJ19,AJ$11:AJ$363)+COUNTIF(AJ$11:AJ19,AJ19)-1)))</f>
        <v>9</v>
      </c>
      <c r="AL19" s="52">
        <f t="shared" si="19"/>
        <v>9</v>
      </c>
      <c r="AM19" s="31" t="str">
        <f t="shared" si="8"/>
        <v>Bournemouth</v>
      </c>
      <c r="AN19" s="31">
        <f t="shared" si="9"/>
        <v>16.990231500066908</v>
      </c>
      <c r="AP19" s="61" t="str">
        <f>IF(L19="","",VLOOKUP($L19,classifications!$C:$E,3,FALSE))</f>
        <v>South West</v>
      </c>
      <c r="AQ19" s="62" t="str">
        <f t="shared" si="10"/>
        <v/>
      </c>
      <c r="AR19" s="57" t="str">
        <f>IF(AQ19="","",IF(I$8="A",(RANK(AQ19,AQ$11:AQ$363,1)+COUNTIF(AQ$11:AQ19,AQ19)-1),(RANK(AQ19,AQ$11:AQ$363)+COUNTIF(AQ$11:AQ19,AQ19)-1)))</f>
        <v/>
      </c>
      <c r="AS19" s="52" t="str">
        <f t="shared" si="23"/>
        <v/>
      </c>
      <c r="AT19" s="57" t="str">
        <f t="shared" si="11"/>
        <v/>
      </c>
      <c r="AU19" s="62" t="str">
        <f t="shared" si="12"/>
        <v/>
      </c>
      <c r="AX19" s="44">
        <f>HLOOKUP($AX$9&amp;$AX$10,Data!$A$1:$ZZ$2000,(MATCH($C19,Data!$A$1:$A$2000,0)),FALSE)</f>
        <v>25.515572672471535</v>
      </c>
      <c r="AY19" s="156"/>
      <c r="AZ19" s="44"/>
    </row>
    <row r="20" spans="1:52">
      <c r="A20" s="84" t="str">
        <f>$D$1&amp;10</f>
        <v>UA10</v>
      </c>
      <c r="B20" s="85" t="str">
        <f>IF(ISERROR(VLOOKUP(A20,classifications!A:C,3,FALSE)),0,VLOOKUP(A20,classifications!A:C,3,FALSE))</f>
        <v>Northumberland</v>
      </c>
      <c r="C20" s="31" t="s">
        <v>197</v>
      </c>
      <c r="D20" s="49" t="str">
        <f>VLOOKUP($C20,classifications!$C:$J,4,FALSE)</f>
        <v>L</v>
      </c>
      <c r="E20" s="49">
        <f>VLOOKUP(C20,classifications!C:K,9,FALSE)</f>
        <v>0</v>
      </c>
      <c r="F20" s="59">
        <f t="shared" si="1"/>
        <v>5.6366973910326514</v>
      </c>
      <c r="G20" s="105"/>
      <c r="H20" s="60" t="str">
        <f t="shared" si="2"/>
        <v/>
      </c>
      <c r="I20" s="112" t="str">
        <f>IF(H20="","",IF($I$8="A",(RANK(H20,H$11:H$363,1)+COUNTIF(H$11:H20,H20)-1),(RANK(H20,H$11:H$363)+COUNTIF(H$11:H20,H20)-1)))</f>
        <v/>
      </c>
      <c r="J20" s="58"/>
      <c r="K20" s="51">
        <f t="shared" si="13"/>
        <v>10</v>
      </c>
      <c r="L20" s="59" t="str">
        <f t="shared" si="14"/>
        <v>Reading</v>
      </c>
      <c r="M20" s="153">
        <f t="shared" si="20"/>
        <v>17.339617834394904</v>
      </c>
      <c r="N20" s="148">
        <f t="shared" si="21"/>
        <v>17.339617834394904</v>
      </c>
      <c r="O20" s="131">
        <f t="shared" si="3"/>
        <v>17.339617834394904</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Large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13</v>
      </c>
      <c r="AF20" s="6" t="str">
        <f>VLOOKUP(Profile!$J$5,Families!$C:$R,10,FALSE)</f>
        <v>York</v>
      </c>
      <c r="AG20" s="143">
        <f t="shared" si="22"/>
        <v>33.983560090702944</v>
      </c>
      <c r="AH20" s="72">
        <f t="shared" si="18"/>
        <v>13</v>
      </c>
      <c r="AI20" s="61" t="str">
        <f>IF(L20="","",VLOOKUP($L20,classifications!$C:$J,8,FALSE))</f>
        <v>Unitary</v>
      </c>
      <c r="AJ20" s="62">
        <f t="shared" si="0"/>
        <v>17.339617834394904</v>
      </c>
      <c r="AK20" s="57">
        <f>IF(AJ20="","",IF(I$8="A",(RANK(AJ20,AJ$11:AJ$363,1)+COUNTIF(AJ$11:AJ20,AJ20)-1),(RANK(AJ20,AJ$11:AJ$363)+COUNTIF(AJ$11:AJ20,AJ20)-1)))</f>
        <v>10</v>
      </c>
      <c r="AL20" s="52">
        <f t="shared" si="19"/>
        <v>10</v>
      </c>
      <c r="AM20" s="31" t="str">
        <f t="shared" si="8"/>
        <v>Reading</v>
      </c>
      <c r="AN20" s="31">
        <f t="shared" si="9"/>
        <v>17.339617834394904</v>
      </c>
      <c r="AP20" s="61" t="str">
        <f>IF(L20="","",VLOOKUP($L20,classifications!$C:$E,3,FALSE))</f>
        <v>South East</v>
      </c>
      <c r="AQ20" s="62" t="str">
        <f t="shared" si="10"/>
        <v/>
      </c>
      <c r="AR20" s="57" t="str">
        <f>IF(AQ20="","",IF(I$8="A",(RANK(AQ20,AQ$11:AQ$363,1)+COUNTIF(AQ$11:AQ20,AQ20)-1),(RANK(AQ20,AQ$11:AQ$363)+COUNTIF(AQ$11:AQ20,AQ20)-1)))</f>
        <v/>
      </c>
      <c r="AS20" s="52" t="str">
        <f t="shared" si="23"/>
        <v/>
      </c>
      <c r="AT20" s="57" t="str">
        <f t="shared" si="11"/>
        <v/>
      </c>
      <c r="AU20" s="62" t="str">
        <f t="shared" si="12"/>
        <v/>
      </c>
      <c r="AX20" s="44">
        <f>HLOOKUP($AX$9&amp;$AX$10,Data!$A$1:$ZZ$2000,(MATCH($C20,Data!$A$1:$A$2000,0)),FALSE)</f>
        <v>5.6366973910326514</v>
      </c>
      <c r="AY20" s="156"/>
      <c r="AZ20" s="44"/>
    </row>
    <row r="21" spans="1:52">
      <c r="A21" s="84" t="str">
        <f>$D$1&amp;11</f>
        <v>UA11</v>
      </c>
      <c r="B21" s="85" t="str">
        <f>IF(ISERROR(VLOOKUP(A21,classifications!A:C,3,FALSE)),0,VLOOKUP(A21,classifications!A:C,3,FALSE))</f>
        <v>Rutland</v>
      </c>
      <c r="C21" s="31" t="s">
        <v>223</v>
      </c>
      <c r="D21" s="49" t="str">
        <f>VLOOKUP($C21,classifications!$C:$J,4,FALSE)</f>
        <v>MD</v>
      </c>
      <c r="E21" s="49">
        <f>VLOOKUP(C21,classifications!C:K,9,FALSE)</f>
        <v>0</v>
      </c>
      <c r="F21" s="59">
        <f t="shared" si="1"/>
        <v>21.882502831257078</v>
      </c>
      <c r="G21" s="105"/>
      <c r="H21" s="60" t="str">
        <f t="shared" si="2"/>
        <v/>
      </c>
      <c r="I21" s="112" t="str">
        <f>IF(H21="","",IF($I$8="A",(RANK(H21,H$11:H$363,1)+COUNTIF(H$11:H21,H21)-1),(RANK(H21,H$11:H$363)+COUNTIF(H$11:H21,H21)-1)))</f>
        <v/>
      </c>
      <c r="J21" s="58"/>
      <c r="K21" s="51">
        <f t="shared" si="13"/>
        <v>11</v>
      </c>
      <c r="L21" s="59" t="str">
        <f t="shared" si="14"/>
        <v>Bracknell Forest</v>
      </c>
      <c r="M21" s="153">
        <f t="shared" si="20"/>
        <v>17.523809523809526</v>
      </c>
      <c r="N21" s="148">
        <f t="shared" si="21"/>
        <v>17.523809523809526</v>
      </c>
      <c r="O21" s="131">
        <f t="shared" si="3"/>
        <v>17.523809523809526</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Large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2</v>
      </c>
      <c r="AF21" s="6" t="str">
        <f>VLOOKUP(Profile!$J$5,Families!$C:$R,11,FALSE)</f>
        <v>Trafford</v>
      </c>
      <c r="AG21" s="143">
        <f t="shared" si="22"/>
        <v>16.119587109768378</v>
      </c>
      <c r="AH21" s="72">
        <f t="shared" si="18"/>
        <v>2</v>
      </c>
      <c r="AI21" s="61" t="str">
        <f>IF(L21="","",VLOOKUP($L21,classifications!$C:$J,8,FALSE))</f>
        <v>Unitary</v>
      </c>
      <c r="AJ21" s="62">
        <f t="shared" si="0"/>
        <v>17.523809523809526</v>
      </c>
      <c r="AK21" s="57">
        <f>IF(AJ21="","",IF(I$8="A",(RANK(AJ21,AJ$11:AJ$363,1)+COUNTIF(AJ$11:AJ21,AJ21)-1),(RANK(AJ21,AJ$11:AJ$363)+COUNTIF(AJ$11:AJ21,AJ21)-1)))</f>
        <v>11</v>
      </c>
      <c r="AL21" s="52">
        <f t="shared" si="19"/>
        <v>11</v>
      </c>
      <c r="AM21" s="31" t="str">
        <f t="shared" si="8"/>
        <v>Bracknell Forest</v>
      </c>
      <c r="AN21" s="31">
        <f t="shared" si="9"/>
        <v>17.523809523809526</v>
      </c>
      <c r="AP21" s="61" t="str">
        <f>IF(L21="","",VLOOKUP($L21,classifications!$C:$E,3,FALSE))</f>
        <v>South East</v>
      </c>
      <c r="AQ21" s="62" t="str">
        <f t="shared" si="10"/>
        <v/>
      </c>
      <c r="AR21" s="57" t="str">
        <f>IF(AQ21="","",IF(I$8="A",(RANK(AQ21,AQ$11:AQ$363,1)+COUNTIF(AQ$11:AQ21,AQ21)-1),(RANK(AQ21,AQ$11:AQ$363)+COUNTIF(AQ$11:AQ21,AQ21)-1)))</f>
        <v/>
      </c>
      <c r="AS21" s="52" t="str">
        <f t="shared" si="23"/>
        <v/>
      </c>
      <c r="AT21" s="57" t="str">
        <f t="shared" si="11"/>
        <v/>
      </c>
      <c r="AU21" s="62" t="str">
        <f t="shared" si="12"/>
        <v/>
      </c>
      <c r="AX21" s="44">
        <f>HLOOKUP($AX$9&amp;$AX$10,Data!$A$1:$ZZ$2000,(MATCH($C21,Data!$A$1:$A$2000,0)),FALSE)</f>
        <v>21.882502831257078</v>
      </c>
      <c r="AY21" s="156"/>
      <c r="AZ21" s="44"/>
    </row>
    <row r="22" spans="1:52">
      <c r="A22" s="84" t="str">
        <f>$D$1&amp;12</f>
        <v>UA12</v>
      </c>
      <c r="B22" s="85" t="str">
        <f>IF(ISERROR(VLOOKUP(A22,classifications!A:C,3,FALSE)),0,VLOOKUP(A22,classifications!A:C,3,FALSE))</f>
        <v>Shropshire</v>
      </c>
      <c r="C22" s="31" t="s">
        <v>13</v>
      </c>
      <c r="D22" s="49" t="str">
        <f>VLOOKUP($C22,classifications!$C:$J,4,FALSE)</f>
        <v>SD</v>
      </c>
      <c r="E22" s="49">
        <f>VLOOKUP(C22,classifications!C:K,9,FALSE)</f>
        <v>0</v>
      </c>
      <c r="F22" s="59" t="str">
        <f t="shared" si="1"/>
        <v/>
      </c>
      <c r="G22" s="105"/>
      <c r="H22" s="60" t="str">
        <f t="shared" si="2"/>
        <v/>
      </c>
      <c r="I22" s="112" t="str">
        <f>IF(H22="","",IF($I$8="A",(RANK(H22,H$11:H$363,1)+COUNTIF(H$11:H22,H22)-1),(RANK(H22,H$11:H$363)+COUNTIF(H$11:H22,H22)-1)))</f>
        <v/>
      </c>
      <c r="J22" s="58"/>
      <c r="K22" s="51">
        <f t="shared" si="13"/>
        <v>12</v>
      </c>
      <c r="L22" s="59" t="str">
        <f t="shared" si="14"/>
        <v>Northumberland</v>
      </c>
      <c r="M22" s="153">
        <f t="shared" si="20"/>
        <v>17.588345323741006</v>
      </c>
      <c r="N22" s="148">
        <f t="shared" si="21"/>
        <v>17.588345323741006</v>
      </c>
      <c r="O22" s="131">
        <f t="shared" si="3"/>
        <v>17.588345323741006</v>
      </c>
      <c r="P22" s="131" t="str">
        <f t="shared" si="15"/>
        <v/>
      </c>
      <c r="Q22" s="131" t="str">
        <f t="shared" si="16"/>
        <v/>
      </c>
      <c r="R22" s="127" t="str">
        <f t="shared" si="17"/>
        <v/>
      </c>
      <c r="S22" s="60" t="str">
        <f t="shared" si="4"/>
        <v/>
      </c>
      <c r="T22" s="231" t="str">
        <f>IF(L22="","",VLOOKUP(L22,classifications!C:K,9,FALSE))</f>
        <v>Sparse</v>
      </c>
      <c r="U22" s="238">
        <f t="shared" si="5"/>
        <v>17.588345323741006</v>
      </c>
      <c r="V22" s="239">
        <f>IF(U22="","",IF($I$8="A",(RANK(U22,U$11:U$363)+COUNTIF(U$11:U22,U22)-1),(RANK(U22,U$11:U$363,1)+COUNTIF(U$11:U22,U22)-1)))</f>
        <v>11</v>
      </c>
      <c r="W22" s="240"/>
      <c r="X22" s="61" t="str">
        <f>IF(L22="","",VLOOKUP($L22,classifications!$C:$J,6,FALSE))</f>
        <v>Rural-50</v>
      </c>
      <c r="Y22" s="49">
        <f t="shared" si="6"/>
        <v>17.588345323741006</v>
      </c>
      <c r="Z22" s="57">
        <f>IF(Y22="","",IF(I$8="A",(RANK(Y22,Y$11:Y$363,1)+COUNTIF(Y$11:Y22,Y22)-1),(RANK(Y22,Y$11:Y$363)+COUNTIF(Y$11:Y22,Y22)-1)))</f>
        <v>2</v>
      </c>
      <c r="AA22" s="245" t="str">
        <f>IF(L22="","",VLOOKUP($L22,classifications!C:I,7,FALSE))</f>
        <v>Predominantly Rural</v>
      </c>
      <c r="AB22" s="239">
        <f t="shared" si="7"/>
        <v>17.588345323741006</v>
      </c>
      <c r="AC22" s="239">
        <f>IF(AB22="","",IF($I$8="A",(RANK(AB22,AB$11:AB$363)+COUNTIF(AB$11:AB22,AB22)-1),(RANK(AB22,AB$11:AB$363,1)+COUNTIF(AB$11:AB22,AB22)-1)))</f>
        <v>14</v>
      </c>
      <c r="AD22" s="239"/>
      <c r="AE22" s="71">
        <f>IF(I$8="A",(RANK(AG22,AG$11:AG$363,1)+COUNTIF(AG$11:AG22,AG22)-1),(RANK(AG22,AG$11:AG$363)+COUNTIF(AG$11:AG22,AG22)-1))</f>
        <v>7</v>
      </c>
      <c r="AF22" s="6" t="str">
        <f>VLOOKUP(Profile!$J$5,Families!$C:$R,12,FALSE)</f>
        <v>Warrington</v>
      </c>
      <c r="AG22" s="143">
        <f t="shared" si="22"/>
        <v>26.247660187185026</v>
      </c>
      <c r="AH22" s="72">
        <f t="shared" si="18"/>
        <v>7</v>
      </c>
      <c r="AI22" s="61" t="str">
        <f>IF(L22="","",VLOOKUP($L22,classifications!$C:$J,8,FALSE))</f>
        <v>Unitary</v>
      </c>
      <c r="AJ22" s="62">
        <f t="shared" si="0"/>
        <v>17.588345323741006</v>
      </c>
      <c r="AK22" s="57">
        <f>IF(AJ22="","",IF(I$8="A",(RANK(AJ22,AJ$11:AJ$363,1)+COUNTIF(AJ$11:AJ22,AJ22)-1),(RANK(AJ22,AJ$11:AJ$363)+COUNTIF(AJ$11:AJ22,AJ22)-1)))</f>
        <v>12</v>
      </c>
      <c r="AL22" s="52">
        <f t="shared" si="19"/>
        <v>12</v>
      </c>
      <c r="AM22" s="31" t="str">
        <f>IF(ISNA(IF(AL22="","",INDEX(L$11:L$363,MATCH(AL22,AK$11:AK$363,0)))),"",(IF(AL22="","",INDEX(L$11:L$363,MATCH(AL22,AK$11:AK$363,0)))))</f>
        <v>Northumberland</v>
      </c>
      <c r="AN22" s="31">
        <f t="shared" si="9"/>
        <v>17.588345323741006</v>
      </c>
      <c r="AP22" s="61" t="str">
        <f>IF(L22="","",VLOOKUP($L22,classifications!$C:$E,3,FALSE))</f>
        <v>NE</v>
      </c>
      <c r="AQ22" s="62" t="str">
        <f t="shared" si="10"/>
        <v/>
      </c>
      <c r="AR22" s="57" t="str">
        <f>IF(AQ22="","",IF(I$8="A",(RANK(AQ22,AQ$11:AQ$363,1)+COUNTIF(AQ$11:AQ22,AQ22)-1),(RANK(AQ22,AQ$11:AQ$363)+COUNTIF(AQ$11:AQ22,AQ22)-1)))</f>
        <v/>
      </c>
      <c r="AS22" s="52" t="str">
        <f t="shared" si="23"/>
        <v/>
      </c>
      <c r="AT22" s="57" t="str">
        <f t="shared" si="11"/>
        <v/>
      </c>
      <c r="AU22" s="62" t="str">
        <f t="shared" si="12"/>
        <v/>
      </c>
      <c r="AX22" s="44" t="str">
        <f>HLOOKUP($AX$9&amp;$AX$10,Data!$A$1:$ZZ$2000,(MATCH($C22,Data!$A$1:$A$2000,0)),FALSE)</f>
        <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1"/>
        <v>21.792391030486268</v>
      </c>
      <c r="G23" s="105"/>
      <c r="H23" s="60" t="str">
        <f t="shared" si="2"/>
        <v/>
      </c>
      <c r="I23" s="112" t="str">
        <f>IF(H23="","",IF($I$8="A",(RANK(H23,H$11:H$363,1)+COUNTIF(H$11:H23,H23)-1),(RANK(H23,H$11:H$363)+COUNTIF(H$11:H23,H23)-1)))</f>
        <v/>
      </c>
      <c r="J23" s="58"/>
      <c r="K23" s="51">
        <f t="shared" si="13"/>
        <v>13</v>
      </c>
      <c r="L23" s="59" t="str">
        <f t="shared" si="14"/>
        <v>East Riding of Yorkshire</v>
      </c>
      <c r="M23" s="153">
        <f t="shared" si="20"/>
        <v>18.041772554002542</v>
      </c>
      <c r="N23" s="148">
        <f t="shared" si="21"/>
        <v>18.041772554002542</v>
      </c>
      <c r="O23" s="131">
        <f t="shared" si="3"/>
        <v>18.041772554002542</v>
      </c>
      <c r="P23" s="131" t="str">
        <f t="shared" si="15"/>
        <v/>
      </c>
      <c r="Q23" s="131" t="str">
        <f t="shared" si="16"/>
        <v/>
      </c>
      <c r="R23" s="127" t="str">
        <f t="shared" si="17"/>
        <v/>
      </c>
      <c r="S23" s="60" t="str">
        <f t="shared" si="4"/>
        <v/>
      </c>
      <c r="T23" s="231" t="str">
        <f>IF(L23="","",VLOOKUP(L23,classifications!C:K,9,FALSE))</f>
        <v>Sparse</v>
      </c>
      <c r="U23" s="238">
        <f t="shared" si="5"/>
        <v>18.041772554002542</v>
      </c>
      <c r="V23" s="239">
        <f>IF(U23="","",IF($I$8="A",(RANK(U23,U$11:U$363)+COUNTIF(U$11:U23,U23)-1),(RANK(U23,U$11:U$363,1)+COUNTIF(U$11:U23,U23)-1)))</f>
        <v>10</v>
      </c>
      <c r="W23" s="240"/>
      <c r="X23" s="61" t="str">
        <f>IF(L23="","",VLOOKUP($L23,classifications!$C:$J,6,FALSE))</f>
        <v>Rural-50</v>
      </c>
      <c r="Y23" s="49">
        <f t="shared" si="6"/>
        <v>18.041772554002542</v>
      </c>
      <c r="Z23" s="57">
        <f>IF(Y23="","",IF(I$8="A",(RANK(Y23,Y$11:Y$363,1)+COUNTIF(Y$11:Y23,Y23)-1),(RANK(Y23,Y$11:Y$363)+COUNTIF(Y$11:Y23,Y23)-1)))</f>
        <v>3</v>
      </c>
      <c r="AA23" s="245" t="str">
        <f>IF(L23="","",VLOOKUP($L23,classifications!C:I,7,FALSE))</f>
        <v>Predominantly Rural</v>
      </c>
      <c r="AB23" s="239">
        <f t="shared" si="7"/>
        <v>18.041772554002542</v>
      </c>
      <c r="AC23" s="239">
        <f>IF(AB23="","",IF($I$8="A",(RANK(AB23,AB$11:AB$363)+COUNTIF(AB$11:AB23,AB23)-1),(RANK(AB23,AB$11:AB$363,1)+COUNTIF(AB$11:AB23,AB23)-1)))</f>
        <v>13</v>
      </c>
      <c r="AD23" s="239"/>
      <c r="AE23" s="71">
        <f>IF(I$8="A",(RANK(AG23,AG$11:AG$363,1)+COUNTIF(AG$11:AG23,AG23)-1),(RANK(AG23,AG$11:AG$363)+COUNTIF(AG$11:AG23,AG23)-1))</f>
        <v>3</v>
      </c>
      <c r="AF23" s="6" t="str">
        <f>VLOOKUP(Profile!$J$5,Families!$C:$R,13,FALSE)</f>
        <v>East Riding of Yorkshire</v>
      </c>
      <c r="AG23" s="143">
        <f t="shared" si="22"/>
        <v>18.041772554002542</v>
      </c>
      <c r="AH23" s="72">
        <f t="shared" si="18"/>
        <v>3</v>
      </c>
      <c r="AI23" s="61" t="str">
        <f>IF(L23="","",VLOOKUP($L23,classifications!$C:$J,8,FALSE))</f>
        <v>Unitary</v>
      </c>
      <c r="AJ23" s="62">
        <f t="shared" si="0"/>
        <v>18.041772554002542</v>
      </c>
      <c r="AK23" s="57">
        <f>IF(AJ23="","",IF(I$8="A",(RANK(AJ23,AJ$11:AJ$363,1)+COUNTIF(AJ$11:AJ23,AJ23)-1),(RANK(AJ23,AJ$11:AJ$363)+COUNTIF(AJ$11:AJ23,AJ23)-1)))</f>
        <v>13</v>
      </c>
      <c r="AL23" s="52">
        <f t="shared" si="19"/>
        <v>13</v>
      </c>
      <c r="AM23" s="31" t="str">
        <f t="shared" ref="AM23:AM86" si="24">IF(ISNA(IF(AL23="","",INDEX(L$11:L$363,MATCH(AL23,AK$11:AK$363,0)))),"",(IF(AL23="","",INDEX(L$11:L$363,MATCH(AL23,AK$11:AK$363,0)))))</f>
        <v>East Riding of Yorkshire</v>
      </c>
      <c r="AN23" s="31">
        <f t="shared" si="9"/>
        <v>18.041772554002542</v>
      </c>
      <c r="AP23" s="61" t="str">
        <f>IF(L23="","",VLOOKUP($L23,classifications!$C:$E,3,FALSE))</f>
        <v>Yorkshire &amp; Humberside</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21.792391030486268</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18.76814988290398</v>
      </c>
      <c r="G24" s="105"/>
      <c r="H24" s="60" t="str">
        <f t="shared" si="2"/>
        <v/>
      </c>
      <c r="I24" s="112" t="str">
        <f>IF(H24="","",IF($I$8="A",(RANK(H24,H$11:H$363,1)+COUNTIF(H$11:H24,H24)-1),(RANK(H24,H$11:H$363)+COUNTIF(H$11:H24,H24)-1)))</f>
        <v/>
      </c>
      <c r="J24" s="58"/>
      <c r="K24" s="51">
        <f t="shared" si="13"/>
        <v>14</v>
      </c>
      <c r="L24" s="59" t="str">
        <f t="shared" si="14"/>
        <v>Stockton-on-Tees</v>
      </c>
      <c r="M24" s="153">
        <f t="shared" si="20"/>
        <v>18.901736309864528</v>
      </c>
      <c r="N24" s="148">
        <f t="shared" si="21"/>
        <v>18.901736309864528</v>
      </c>
      <c r="O24" s="131">
        <f t="shared" si="3"/>
        <v>18.901736309864528</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Large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1</v>
      </c>
      <c r="AF24" s="6" t="str">
        <f>VLOOKUP(Profile!$J$5,Families!$C:$R,14,FALSE)</f>
        <v>Herefordshire</v>
      </c>
      <c r="AG24" s="143">
        <f t="shared" si="22"/>
        <v>12.187860291624279</v>
      </c>
      <c r="AH24" s="72">
        <f t="shared" si="18"/>
        <v>1</v>
      </c>
      <c r="AI24" s="61" t="str">
        <f>IF(L24="","",VLOOKUP($L24,classifications!$C:$J,8,FALSE))</f>
        <v>Unitary</v>
      </c>
      <c r="AJ24" s="62">
        <f t="shared" si="0"/>
        <v>18.901736309864528</v>
      </c>
      <c r="AK24" s="57">
        <f>IF(AJ24="","",IF(I$8="A",(RANK(AJ24,AJ$11:AJ$363,1)+COUNTIF(AJ$11:AJ24,AJ24)-1),(RANK(AJ24,AJ$11:AJ$363)+COUNTIF(AJ$11:AJ24,AJ24)-1)))</f>
        <v>14</v>
      </c>
      <c r="AL24" s="52">
        <f t="shared" si="19"/>
        <v>14</v>
      </c>
      <c r="AM24" s="31" t="str">
        <f t="shared" si="24"/>
        <v>Stockton-on-Tees</v>
      </c>
      <c r="AN24" s="31">
        <f t="shared" si="9"/>
        <v>18.901736309864528</v>
      </c>
      <c r="AP24" s="61" t="str">
        <f>IF(L24="","",VLOOKUP($L24,classifications!$C:$E,3,FALSE))</f>
        <v>NE</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18.76814988290398</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32.718813490451033</v>
      </c>
      <c r="G25" s="105"/>
      <c r="H25" s="60" t="str">
        <f t="shared" si="2"/>
        <v/>
      </c>
      <c r="I25" s="112" t="str">
        <f>IF(H25="","",IF($I$8="A",(RANK(H25,H$11:H$363,1)+COUNTIF(H$11:H25,H25)-1),(RANK(H25,H$11:H$363)+COUNTIF(H$11:H25,H25)-1)))</f>
        <v/>
      </c>
      <c r="J25" s="58"/>
      <c r="K25" s="51">
        <f t="shared" si="13"/>
        <v>15</v>
      </c>
      <c r="L25" s="59" t="str">
        <f t="shared" si="14"/>
        <v>Bedford</v>
      </c>
      <c r="M25" s="153">
        <f t="shared" si="20"/>
        <v>19.002378121284185</v>
      </c>
      <c r="N25" s="148">
        <f t="shared" si="21"/>
        <v>19.002378121284185</v>
      </c>
      <c r="O25" s="131" t="str">
        <f t="shared" si="3"/>
        <v/>
      </c>
      <c r="P25" s="131">
        <f t="shared" si="15"/>
        <v>19.002378121284185</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Significant Rural</v>
      </c>
      <c r="Y25" s="49">
        <f t="shared" si="6"/>
        <v>19.002378121284185</v>
      </c>
      <c r="Z25" s="57">
        <f>IF(Y25="","",IF(I$8="A",(RANK(Y25,Y$11:Y$363,1)+COUNTIF(Y$11:Y25,Y25)-1),(RANK(Y25,Y$11:Y$363)+COUNTIF(Y$11:Y25,Y25)-1)))</f>
        <v>4</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11</v>
      </c>
      <c r="AF25" s="6" t="str">
        <f>VLOOKUP(Profile!$J$5,Families!$C:$R,15,FALSE)</f>
        <v>South Gloucestershire</v>
      </c>
      <c r="AG25" s="143">
        <f t="shared" si="22"/>
        <v>32.959018603397141</v>
      </c>
      <c r="AH25" s="72">
        <f t="shared" si="18"/>
        <v>11</v>
      </c>
      <c r="AI25" s="61" t="str">
        <f>IF(L25="","",VLOOKUP($L25,classifications!$C:$J,8,FALSE))</f>
        <v>Unitary</v>
      </c>
      <c r="AJ25" s="62">
        <f t="shared" si="0"/>
        <v>19.002378121284185</v>
      </c>
      <c r="AK25" s="57">
        <f>IF(AJ25="","",IF(I$8="A",(RANK(AJ25,AJ$11:AJ$363,1)+COUNTIF(AJ$11:AJ25,AJ25)-1),(RANK(AJ25,AJ$11:AJ$363)+COUNTIF(AJ$11:AJ25,AJ25)-1)))</f>
        <v>15</v>
      </c>
      <c r="AL25" s="52">
        <f t="shared" si="19"/>
        <v>15</v>
      </c>
      <c r="AM25" s="31" t="str">
        <f t="shared" si="24"/>
        <v>Bedford</v>
      </c>
      <c r="AN25" s="31">
        <f t="shared" si="9"/>
        <v>19.002378121284185</v>
      </c>
      <c r="AP25" s="61" t="str">
        <f>IF(L25="","",VLOOKUP($L25,classifications!$C:$E,3,FALSE))</f>
        <v>East of England</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32.718813490451033</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t="str">
        <f t="shared" si="1"/>
        <v/>
      </c>
      <c r="G26" s="105"/>
      <c r="H26" s="60" t="str">
        <f t="shared" si="2"/>
        <v/>
      </c>
      <c r="I26" s="112" t="str">
        <f>IF(H26="","",IF($I$8="A",(RANK(H26,H$11:H$363,1)+COUNTIF(H$11:H26,H26)-1),(RANK(H26,H$11:H$363)+COUNTIF(H$11:H26,H26)-1)))</f>
        <v/>
      </c>
      <c r="J26" s="58"/>
      <c r="K26" s="51">
        <f t="shared" si="13"/>
        <v>16</v>
      </c>
      <c r="L26" s="59" t="str">
        <f t="shared" si="14"/>
        <v>Rutland</v>
      </c>
      <c r="M26" s="153">
        <f t="shared" si="20"/>
        <v>19.134564643799472</v>
      </c>
      <c r="N26" s="148">
        <f t="shared" si="21"/>
        <v>19.134564643799472</v>
      </c>
      <c r="O26" s="131" t="str">
        <f t="shared" si="3"/>
        <v/>
      </c>
      <c r="P26" s="131">
        <f t="shared" si="15"/>
        <v>19.134564643799472</v>
      </c>
      <c r="Q26" s="131" t="str">
        <f t="shared" si="16"/>
        <v/>
      </c>
      <c r="R26" s="127" t="str">
        <f t="shared" si="17"/>
        <v/>
      </c>
      <c r="S26" s="60" t="str">
        <f t="shared" si="4"/>
        <v/>
      </c>
      <c r="T26" s="231" t="str">
        <f>IF(L26="","",VLOOKUP(L26,classifications!C:K,9,FALSE))</f>
        <v>Sparse</v>
      </c>
      <c r="U26" s="238">
        <f t="shared" si="5"/>
        <v>19.134564643799472</v>
      </c>
      <c r="V26" s="239">
        <f>IF(U26="","",IF($I$8="A",(RANK(U26,U$11:U$363)+COUNTIF(U$11:U26,U26)-1),(RANK(U26,U$11:U$363,1)+COUNTIF(U$11:U26,U26)-1)))</f>
        <v>9</v>
      </c>
      <c r="W26" s="240"/>
      <c r="X26" s="61" t="str">
        <f>IF(L26="","",VLOOKUP($L26,classifications!$C:$J,6,FALSE))</f>
        <v>Rural-80</v>
      </c>
      <c r="Y26" s="49">
        <f t="shared" si="6"/>
        <v>19.134564643799472</v>
      </c>
      <c r="Z26" s="57">
        <f>IF(Y26="","",IF(I$8="A",(RANK(Y26,Y$11:Y$363,1)+COUNTIF(Y$11:Y26,Y26)-1),(RANK(Y26,Y$11:Y$363)+COUNTIF(Y$11:Y26,Y26)-1)))</f>
        <v>5</v>
      </c>
      <c r="AA26" s="245" t="str">
        <f>IF(L26="","",VLOOKUP($L26,classifications!C:I,7,FALSE))</f>
        <v>Predominantly Rural</v>
      </c>
      <c r="AB26" s="239">
        <f t="shared" si="7"/>
        <v>19.134564643799472</v>
      </c>
      <c r="AC26" s="239">
        <f>IF(AB26="","",IF($I$8="A",(RANK(AB26,AB$11:AB$363)+COUNTIF(AB$11:AB26,AB26)-1),(RANK(AB26,AB$11:AB$363,1)+COUNTIF(AB$11:AB26,AB26)-1)))</f>
        <v>12</v>
      </c>
      <c r="AD26" s="239"/>
      <c r="AE26" s="71">
        <f>IF(I$8="A",(RANK(AG26,AG$11:AG$363,1)+COUNTIF(AG$11:AG26,AG26)-1),(RANK(AG26,AG$11:AG$363)+COUNTIF(AG$11:AG26,AG26)-1))</f>
        <v>5</v>
      </c>
      <c r="AF26" s="6" t="str">
        <f>VLOOKUP(Profile!$J$5,Families!$C:$R,16,FALSE)</f>
        <v>Bedford</v>
      </c>
      <c r="AG26" s="143">
        <f t="shared" si="22"/>
        <v>19.002378121284185</v>
      </c>
      <c r="AH26" s="72">
        <f t="shared" si="18"/>
        <v>5</v>
      </c>
      <c r="AI26" s="61" t="str">
        <f>IF(L26="","",VLOOKUP($L26,classifications!$C:$J,8,FALSE))</f>
        <v>Unitary</v>
      </c>
      <c r="AJ26" s="62">
        <f t="shared" si="0"/>
        <v>19.134564643799472</v>
      </c>
      <c r="AK26" s="57">
        <f>IF(AJ26="","",IF(I$8="A",(RANK(AJ26,AJ$11:AJ$363,1)+COUNTIF(AJ$11:AJ26,AJ26)-1),(RANK(AJ26,AJ$11:AJ$363)+COUNTIF(AJ$11:AJ26,AJ26)-1)))</f>
        <v>16</v>
      </c>
      <c r="AL26" s="52">
        <f t="shared" si="19"/>
        <v>16</v>
      </c>
      <c r="AM26" s="31" t="str">
        <f t="shared" si="24"/>
        <v>Rutland</v>
      </c>
      <c r="AN26" s="31">
        <f t="shared" si="9"/>
        <v>19.134564643799472</v>
      </c>
      <c r="AP26" s="61" t="str">
        <f>IF(L26="","",VLOOKUP($L26,classifications!$C:$E,3,FALSE))</f>
        <v>East Midlands</v>
      </c>
      <c r="AQ26" s="62" t="str">
        <f t="shared" si="10"/>
        <v/>
      </c>
      <c r="AR26" s="57" t="str">
        <f>IF(AQ26="","",IF(I$8="A",(RANK(AQ26,AQ$11:AQ$363,1)+COUNTIF(AQ$11:AQ26,AQ26)-1),(RANK(AQ26,AQ$11:AQ$363)+COUNTIF(AQ$11:AQ26,AQ26)-1)))</f>
        <v/>
      </c>
      <c r="AS26" s="52" t="str">
        <f t="shared" si="23"/>
        <v/>
      </c>
      <c r="AT26" s="57" t="str">
        <f t="shared" si="11"/>
        <v/>
      </c>
      <c r="AU26" s="62" t="str">
        <f t="shared" si="12"/>
        <v/>
      </c>
      <c r="AX26" s="44" t="str">
        <f>HLOOKUP($AX$9&amp;$AX$10,Data!$A$1:$ZZ$2000,(MATCH($C26,Data!$A$1:$A$2000,0)),FALSE)</f>
        <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19.002378121284185</v>
      </c>
      <c r="G27" s="105"/>
      <c r="H27" s="60">
        <f t="shared" si="2"/>
        <v>19.002378121284185</v>
      </c>
      <c r="I27" s="112">
        <f>IF(H27="","",IF($I$8="A",(RANK(H27,H$11:H$363,1)+COUNTIF(H$11:H27,H27)-1),(RANK(H27,H$11:H$363)+COUNTIF(H$11:H27,H27)-1)))</f>
        <v>15</v>
      </c>
      <c r="J27" s="58"/>
      <c r="K27" s="51">
        <f t="shared" si="13"/>
        <v>17</v>
      </c>
      <c r="L27" s="59" t="str">
        <f>IF(K27="","",INDEX(C$11:C$363,MATCH(K27,I$11:I$363,0)))</f>
        <v>West Berkshire</v>
      </c>
      <c r="M27" s="153">
        <f t="shared" si="20"/>
        <v>19.242205151378219</v>
      </c>
      <c r="N27" s="148">
        <f t="shared" si="21"/>
        <v>19.242205151378219</v>
      </c>
      <c r="O27" s="131" t="str">
        <f t="shared" si="3"/>
        <v/>
      </c>
      <c r="P27" s="131">
        <f t="shared" si="15"/>
        <v>19.242205151378219</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Significant Rural</v>
      </c>
      <c r="Y27" s="49">
        <f t="shared" si="6"/>
        <v>19.242205151378219</v>
      </c>
      <c r="Z27" s="57">
        <f>IF(Y27="","",IF(I$8="A",(RANK(Y27,Y$11:Y$363,1)+COUNTIF(Y$11:Y27,Y27)-1),(RANK(Y27,Y$11:Y$363)+COUNTIF(Y$11:Y27,Y27)-1)))</f>
        <v>6</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19.242205151378219</v>
      </c>
      <c r="AK27" s="57">
        <f>IF(AJ27="","",IF(I$8="A",(RANK(AJ27,AJ$11:AJ$363,1)+COUNTIF(AJ$11:AJ27,AJ27)-1),(RANK(AJ27,AJ$11:AJ$363)+COUNTIF(AJ$11:AJ27,AJ27)-1)))</f>
        <v>17</v>
      </c>
      <c r="AL27" s="52">
        <f t="shared" si="19"/>
        <v>17</v>
      </c>
      <c r="AM27" s="31" t="str">
        <f t="shared" si="24"/>
        <v>West Berkshire</v>
      </c>
      <c r="AN27" s="31">
        <f t="shared" si="9"/>
        <v>19.242205151378219</v>
      </c>
      <c r="AP27" s="61" t="str">
        <f>IF(L27="","",VLOOKUP($L27,classifications!$C:$E,3,FALSE))</f>
        <v>South East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19.002378121284185</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21.12525562372188</v>
      </c>
      <c r="G28" s="105"/>
      <c r="H28" s="60" t="str">
        <f t="shared" si="2"/>
        <v/>
      </c>
      <c r="I28" s="112" t="str">
        <f>IF(H28="","",IF($I$8="A",(RANK(H28,H$11:H$363,1)+COUNTIF(H$11:H28,H28)-1),(RANK(H28,H$11:H$363)+COUNTIF(H$11:H28,H28)-1)))</f>
        <v/>
      </c>
      <c r="J28" s="58"/>
      <c r="K28" s="51">
        <f t="shared" si="13"/>
        <v>18</v>
      </c>
      <c r="L28" s="59" t="str">
        <f t="shared" si="14"/>
        <v>Milton Keynes</v>
      </c>
      <c r="M28" s="153">
        <f t="shared" si="20"/>
        <v>19.920873929731325</v>
      </c>
      <c r="N28" s="148">
        <f t="shared" si="21"/>
        <v>19.920873929731325</v>
      </c>
      <c r="O28" s="131" t="str">
        <f t="shared" si="3"/>
        <v/>
      </c>
      <c r="P28" s="131">
        <f t="shared" si="15"/>
        <v>19.920873929731325</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Other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19.920873929731325</v>
      </c>
      <c r="AK28" s="57">
        <f>IF(AJ28="","",IF(I$8="A",(RANK(AJ28,AJ$11:AJ$363,1)+COUNTIF(AJ$11:AJ28,AJ28)-1),(RANK(AJ28,AJ$11:AJ$363)+COUNTIF(AJ$11:AJ28,AJ28)-1)))</f>
        <v>18</v>
      </c>
      <c r="AL28" s="52">
        <f t="shared" si="19"/>
        <v>18</v>
      </c>
      <c r="AM28" s="31" t="str">
        <f t="shared" si="24"/>
        <v>Milton Keynes</v>
      </c>
      <c r="AN28" s="31">
        <f t="shared" si="9"/>
        <v>19.920873929731325</v>
      </c>
      <c r="AP28" s="61" t="str">
        <f>IF(L28="","",VLOOKUP($L28,classifications!$C:$E,3,FALSE))</f>
        <v>South East</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21.12525562372188</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22.658967210938538</v>
      </c>
      <c r="G29" s="105"/>
      <c r="H29" s="60" t="str">
        <f t="shared" si="2"/>
        <v/>
      </c>
      <c r="I29" s="112" t="str">
        <f>IF(H29="","",IF($I$8="A",(RANK(H29,H$11:H$363,1)+COUNTIF(H$11:H29,H29)-1),(RANK(H29,H$11:H$363)+COUNTIF(H$11:H29,H29)-1)))</f>
        <v/>
      </c>
      <c r="J29" s="58"/>
      <c r="K29" s="51">
        <f t="shared" si="13"/>
        <v>19</v>
      </c>
      <c r="L29" s="59" t="str">
        <f t="shared" si="14"/>
        <v>Hartlepool</v>
      </c>
      <c r="M29" s="153">
        <f t="shared" si="20"/>
        <v>20.160720353380903</v>
      </c>
      <c r="N29" s="148">
        <f t="shared" si="21"/>
        <v>20.160720353380903</v>
      </c>
      <c r="O29" s="131" t="str">
        <f t="shared" si="3"/>
        <v/>
      </c>
      <c r="P29" s="131">
        <f t="shared" si="15"/>
        <v>20.160720353380903</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20.160720353380903</v>
      </c>
      <c r="AK29" s="57">
        <f>IF(AJ29="","",IF(I$8="A",(RANK(AJ29,AJ$11:AJ$363,1)+COUNTIF(AJ$11:AJ29,AJ29)-1),(RANK(AJ29,AJ$11:AJ$363)+COUNTIF(AJ$11:AJ29,AJ29)-1)))</f>
        <v>19</v>
      </c>
      <c r="AL29" s="52">
        <f t="shared" si="19"/>
        <v>19</v>
      </c>
      <c r="AM29" s="31" t="str">
        <f t="shared" si="24"/>
        <v>Hartlepool</v>
      </c>
      <c r="AN29" s="31">
        <f t="shared" si="9"/>
        <v>20.160720353380903</v>
      </c>
      <c r="AP29" s="61" t="str">
        <f>IF(L29="","",VLOOKUP($L29,classifications!$C:$E,3,FALSE))</f>
        <v>NE</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22.658967210938538</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26.901998097050427</v>
      </c>
      <c r="G30" s="105"/>
      <c r="H30" s="60" t="str">
        <f t="shared" si="2"/>
        <v/>
      </c>
      <c r="I30" s="112" t="str">
        <f>IF(H30="","",IF($I$8="A",(RANK(H30,H$11:H$363,1)+COUNTIF(H$11:H30,H30)-1),(RANK(H30,H$11:H$363)+COUNTIF(H$11:H30,H30)-1)))</f>
        <v/>
      </c>
      <c r="J30" s="58"/>
      <c r="K30" s="51">
        <f t="shared" si="13"/>
        <v>20</v>
      </c>
      <c r="L30" s="59" t="str">
        <f t="shared" si="14"/>
        <v>Slough</v>
      </c>
      <c r="M30" s="153">
        <f t="shared" si="20"/>
        <v>20.42526864213611</v>
      </c>
      <c r="N30" s="148">
        <f t="shared" si="21"/>
        <v>20.42526864213611</v>
      </c>
      <c r="O30" s="131" t="str">
        <f t="shared" si="3"/>
        <v/>
      </c>
      <c r="P30" s="131">
        <f t="shared" si="15"/>
        <v>20.42526864213611</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Other Urban</v>
      </c>
      <c r="Y30" s="49" t="str">
        <f t="shared" si="6"/>
        <v/>
      </c>
      <c r="Z30" s="57" t="str">
        <f>IF(Y30="","",IF(I$8="A",(RANK(Y30,Y$11:Y$363,1)+COUNTIF(Y$11:Y30,Y30)-1),(RANK(Y30,Y$11:Y$363)+COUNTIF(Y$11:Y30,Y30)-1)))</f>
        <v/>
      </c>
      <c r="AA30" s="245" t="str">
        <f>IF(L30="","",VLOOKUP($L30,classifications!C:I,7,FALSE))</f>
        <v>Predominantly Rural</v>
      </c>
      <c r="AB30" s="239">
        <f t="shared" si="7"/>
        <v>20.42526864213611</v>
      </c>
      <c r="AC30" s="239">
        <f>IF(AB30="","",IF($I$8="A",(RANK(AB30,AB$11:AB$363)+COUNTIF(AB$11:AB30,AB30)-1),(RANK(AB30,AB$11:AB$363,1)+COUNTIF(AB$11:AB30,AB30)-1)))</f>
        <v>11</v>
      </c>
      <c r="AD30" s="239"/>
      <c r="AE30" s="51"/>
      <c r="AF30" s="6"/>
      <c r="AG30" s="143"/>
      <c r="AH30" s="52"/>
      <c r="AI30" s="61" t="str">
        <f>IF(L30="","",VLOOKUP($L30,classifications!$C:$J,8,FALSE))</f>
        <v>Unitary</v>
      </c>
      <c r="AJ30" s="62">
        <f t="shared" si="0"/>
        <v>20.42526864213611</v>
      </c>
      <c r="AK30" s="57">
        <f>IF(AJ30="","",IF(I$8="A",(RANK(AJ30,AJ$11:AJ$363,1)+COUNTIF(AJ$11:AJ30,AJ30)-1),(RANK(AJ30,AJ$11:AJ$363)+COUNTIF(AJ$11:AJ30,AJ30)-1)))</f>
        <v>20</v>
      </c>
      <c r="AL30" s="52">
        <f t="shared" si="19"/>
        <v>20</v>
      </c>
      <c r="AM30" s="31" t="str">
        <f t="shared" si="24"/>
        <v>Slough</v>
      </c>
      <c r="AN30" s="31">
        <f t="shared" si="9"/>
        <v>20.42526864213611</v>
      </c>
      <c r="AP30" s="61" t="str">
        <f>IF(L30="","",VLOOKUP($L30,classifications!$C:$E,3,FALSE))</f>
        <v>South East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26.901998097050427</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21.089064914992271</v>
      </c>
      <c r="G31" s="105"/>
      <c r="H31" s="60">
        <f t="shared" si="2"/>
        <v>21.089064914992271</v>
      </c>
      <c r="I31" s="112">
        <f>IF(H31="","",IF($I$8="A",(RANK(H31,H$11:H$363,1)+COUNTIF(H$11:H31,H31)-1),(RANK(H31,H$11:H$363)+COUNTIF(H$11:H31,H31)-1)))</f>
        <v>24</v>
      </c>
      <c r="J31" s="58"/>
      <c r="K31" s="51">
        <f t="shared" si="13"/>
        <v>21</v>
      </c>
      <c r="L31" s="59" t="str">
        <f t="shared" si="14"/>
        <v>North Somerset</v>
      </c>
      <c r="M31" s="153">
        <f t="shared" si="20"/>
        <v>20.484228684080829</v>
      </c>
      <c r="N31" s="148">
        <f t="shared" si="21"/>
        <v>20.484228684080829</v>
      </c>
      <c r="O31" s="131" t="str">
        <f t="shared" si="3"/>
        <v/>
      </c>
      <c r="P31" s="131">
        <f t="shared" si="15"/>
        <v>20.484228684080829</v>
      </c>
      <c r="Q31" s="131" t="str">
        <f t="shared" si="16"/>
        <v/>
      </c>
      <c r="R31" s="127" t="str">
        <f t="shared" si="17"/>
        <v/>
      </c>
      <c r="S31" s="60" t="str">
        <f t="shared" si="4"/>
        <v/>
      </c>
      <c r="T31" s="231" t="str">
        <f>IF(L31="","",VLOOKUP(L31,classifications!C:K,9,FALSE))</f>
        <v>Sparse</v>
      </c>
      <c r="U31" s="238">
        <f t="shared" si="5"/>
        <v>20.484228684080829</v>
      </c>
      <c r="V31" s="239">
        <f>IF(U31="","",IF($I$8="A",(RANK(U31,U$11:U$363)+COUNTIF(U$11:U31,U31)-1),(RANK(U31,U$11:U$363,1)+COUNTIF(U$11:U31,U31)-1)))</f>
        <v>8</v>
      </c>
      <c r="W31" s="240"/>
      <c r="X31" s="61" t="str">
        <f>IF(L31="","",VLOOKUP($L31,classifications!$C:$J,6,FALSE))</f>
        <v>Rural-50</v>
      </c>
      <c r="Y31" s="49">
        <f t="shared" si="6"/>
        <v>20.484228684080829</v>
      </c>
      <c r="Z31" s="57">
        <f>IF(Y31="","",IF(I$8="A",(RANK(Y31,Y$11:Y$363,1)+COUNTIF(Y$11:Y31,Y31)-1),(RANK(Y31,Y$11:Y$363)+COUNTIF(Y$11:Y31,Y31)-1)))</f>
        <v>7</v>
      </c>
      <c r="AA31" s="245" t="str">
        <f>IF(L31="","",VLOOKUP($L31,classifications!C:I,7,FALSE))</f>
        <v>Predominantly Rural</v>
      </c>
      <c r="AB31" s="239">
        <f t="shared" si="7"/>
        <v>20.484228684080829</v>
      </c>
      <c r="AC31" s="239">
        <f>IF(AB31="","",IF($I$8="A",(RANK(AB31,AB$11:AB$363)+COUNTIF(AB$11:AB31,AB31)-1),(RANK(AB31,AB$11:AB$363,1)+COUNTIF(AB$11:AB31,AB31)-1)))</f>
        <v>10</v>
      </c>
      <c r="AD31" s="239"/>
      <c r="AE31" s="51"/>
      <c r="AF31" s="6"/>
      <c r="AG31" s="143"/>
      <c r="AH31" s="52"/>
      <c r="AI31" s="61" t="str">
        <f>IF(L31="","",VLOOKUP($L31,classifications!$C:$J,8,FALSE))</f>
        <v>Unitary</v>
      </c>
      <c r="AJ31" s="62">
        <f t="shared" si="0"/>
        <v>20.484228684080829</v>
      </c>
      <c r="AK31" s="57">
        <f>IF(AJ31="","",IF(I$8="A",(RANK(AJ31,AJ$11:AJ$363,1)+COUNTIF(AJ$11:AJ31,AJ31)-1),(RANK(AJ31,AJ$11:AJ$363)+COUNTIF(AJ$11:AJ31,AJ31)-1)))</f>
        <v>21</v>
      </c>
      <c r="AL31" s="52">
        <f t="shared" si="19"/>
        <v>21</v>
      </c>
      <c r="AM31" s="31" t="str">
        <f t="shared" si="24"/>
        <v>North Somerset</v>
      </c>
      <c r="AN31" s="31">
        <f t="shared" si="9"/>
        <v>20.484228684080829</v>
      </c>
      <c r="AP31" s="61" t="str">
        <f>IF(L31="","",VLOOKUP($L31,classifications!$C:$E,3,FALSE))</f>
        <v>South West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21.089064914992271</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22.261488250652743</v>
      </c>
      <c r="G32" s="105"/>
      <c r="H32" s="60">
        <f t="shared" si="2"/>
        <v>22.261488250652743</v>
      </c>
      <c r="I32" s="112">
        <f>IF(H32="","",IF($I$8="A",(RANK(H32,H$11:H$363,1)+COUNTIF(H$11:H32,H32)-1),(RANK(H32,H$11:H$363)+COUNTIF(H$11:H32,H32)-1)))</f>
        <v>31</v>
      </c>
      <c r="J32" s="58"/>
      <c r="K32" s="51">
        <f t="shared" si="13"/>
        <v>22</v>
      </c>
      <c r="L32" s="59" t="str">
        <f t="shared" si="14"/>
        <v>Poole</v>
      </c>
      <c r="M32" s="153">
        <f t="shared" si="20"/>
        <v>20.732318104906938</v>
      </c>
      <c r="N32" s="148">
        <f t="shared" si="21"/>
        <v>20.732318104906938</v>
      </c>
      <c r="O32" s="131" t="str">
        <f t="shared" si="3"/>
        <v/>
      </c>
      <c r="P32" s="131">
        <f t="shared" si="15"/>
        <v>20.732318104906938</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Large Urban</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20.732318104906938</v>
      </c>
      <c r="AK32" s="57">
        <f>IF(AJ32="","",IF(I$8="A",(RANK(AJ32,AJ$11:AJ$363,1)+COUNTIF(AJ$11:AJ32,AJ32)-1),(RANK(AJ32,AJ$11:AJ$363)+COUNTIF(AJ$11:AJ32,AJ32)-1)))</f>
        <v>22</v>
      </c>
      <c r="AL32" s="52">
        <f t="shared" si="19"/>
        <v>22</v>
      </c>
      <c r="AM32" s="31" t="str">
        <f t="shared" si="24"/>
        <v>Poole</v>
      </c>
      <c r="AN32" s="31">
        <f t="shared" si="9"/>
        <v>20.732318104906938</v>
      </c>
      <c r="AP32" s="61" t="str">
        <f>IF(L32="","",VLOOKUP($L32,classifications!$C:$E,3,FALSE))</f>
        <v>South West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22.261488250652743</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19.43060686015831</v>
      </c>
      <c r="G33" s="105"/>
      <c r="H33" s="60" t="str">
        <f t="shared" si="2"/>
        <v/>
      </c>
      <c r="I33" s="112" t="str">
        <f>IF(H33="","",IF($I$8="A",(RANK(H33,H$11:H$363,1)+COUNTIF(H$11:H33,H33)-1),(RANK(H33,H$11:H$363)+COUNTIF(H$11:H33,H33)-1)))</f>
        <v/>
      </c>
      <c r="J33" s="58"/>
      <c r="K33" s="51">
        <f t="shared" si="13"/>
        <v>23</v>
      </c>
      <c r="L33" s="59" t="str">
        <f t="shared" si="14"/>
        <v>Middlesbrough</v>
      </c>
      <c r="M33" s="153">
        <f t="shared" si="20"/>
        <v>21.061842808768489</v>
      </c>
      <c r="N33" s="148">
        <f t="shared" si="21"/>
        <v>21.061842808768489</v>
      </c>
      <c r="O33" s="131" t="str">
        <f t="shared" si="3"/>
        <v/>
      </c>
      <c r="P33" s="131">
        <f t="shared" si="15"/>
        <v>21.061842808768489</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Large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21.061842808768489</v>
      </c>
      <c r="AK33" s="57">
        <f>IF(AJ33="","",IF(I$8="A",(RANK(AJ33,AJ$11:AJ$363,1)+COUNTIF(AJ$11:AJ33,AJ33)-1),(RANK(AJ33,AJ$11:AJ$363)+COUNTIF(AJ$11:AJ33,AJ33)-1)))</f>
        <v>23</v>
      </c>
      <c r="AL33" s="52">
        <f t="shared" si="19"/>
        <v>23</v>
      </c>
      <c r="AM33" s="31" t="str">
        <f t="shared" si="24"/>
        <v>Middlesbrough</v>
      </c>
      <c r="AN33" s="31">
        <f t="shared" si="9"/>
        <v>21.061842808768489</v>
      </c>
      <c r="AP33" s="61" t="str">
        <f>IF(L33="","",VLOOKUP($L33,classifications!$C:$E,3,FALSE))</f>
        <v>NE</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19.43060686015831</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22.292326283987915</v>
      </c>
      <c r="G34" s="105"/>
      <c r="H34" s="60" t="str">
        <f t="shared" si="2"/>
        <v/>
      </c>
      <c r="I34" s="112" t="str">
        <f>IF(H34="","",IF($I$8="A",(RANK(H34,H$11:H$363,1)+COUNTIF(H$11:H34,H34)-1),(RANK(H34,H$11:H$363)+COUNTIF(H$11:H34,H34)-1)))</f>
        <v/>
      </c>
      <c r="J34" s="58"/>
      <c r="K34" s="51">
        <f t="shared" si="13"/>
        <v>24</v>
      </c>
      <c r="L34" s="59" t="str">
        <f t="shared" si="14"/>
        <v>Blackburn with Darwen</v>
      </c>
      <c r="M34" s="153">
        <f t="shared" si="20"/>
        <v>21.089064914992271</v>
      </c>
      <c r="N34" s="148">
        <f t="shared" si="21"/>
        <v>21.089064914992271</v>
      </c>
      <c r="O34" s="131" t="str">
        <f t="shared" si="3"/>
        <v/>
      </c>
      <c r="P34" s="131">
        <f t="shared" si="15"/>
        <v>21.089064914992271</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Other Urban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21.089064914992271</v>
      </c>
      <c r="AK34" s="57">
        <f>IF(AJ34="","",IF(I$8="A",(RANK(AJ34,AJ$11:AJ$363,1)+COUNTIF(AJ$11:AJ34,AJ34)-1),(RANK(AJ34,AJ$11:AJ$363)+COUNTIF(AJ$11:AJ34,AJ34)-1)))</f>
        <v>24</v>
      </c>
      <c r="AL34" s="52">
        <f t="shared" si="19"/>
        <v>24</v>
      </c>
      <c r="AM34" s="31" t="str">
        <f t="shared" si="24"/>
        <v>Blackburn with Darwen</v>
      </c>
      <c r="AN34" s="31">
        <f t="shared" si="9"/>
        <v>21.089064914992271</v>
      </c>
      <c r="AP34" s="61" t="str">
        <f>IF(L34="","",VLOOKUP($L34,classifications!$C:$E,3,FALSE))</f>
        <v>North West</v>
      </c>
      <c r="AQ34" s="62">
        <f t="shared" si="10"/>
        <v>21.089064914992271</v>
      </c>
      <c r="AR34" s="57">
        <f>IF(AQ34="","",IF(I$8="A",(RANK(AQ34,AQ$11:AQ$363,1)+COUNTIF(AQ$11:AQ34,AQ34)-1),(RANK(AQ34,AQ$11:AQ$363)+COUNTIF(AQ$11:AQ34,AQ34)-1)))</f>
        <v>2</v>
      </c>
      <c r="AS34" s="52" t="str">
        <f t="shared" si="23"/>
        <v/>
      </c>
      <c r="AT34" s="57" t="str">
        <f t="shared" si="11"/>
        <v/>
      </c>
      <c r="AU34" s="62" t="str">
        <f t="shared" si="12"/>
        <v/>
      </c>
      <c r="AX34" s="44">
        <f>HLOOKUP($AX$9&amp;$AX$10,Data!$A$1:$ZZ$2000,(MATCH($C34,Data!$A$1:$A$2000,0)),FALSE)</f>
        <v>22.292326283987915</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10.222502522704339</v>
      </c>
      <c r="G35" s="105"/>
      <c r="H35" s="60" t="str">
        <f t="shared" si="2"/>
        <v/>
      </c>
      <c r="I35" s="112" t="str">
        <f>IF(H35="","",IF($I$8="A",(RANK(H35,H$11:H$363,1)+COUNTIF(H$11:H35,H35)-1),(RANK(H35,H$11:H$363)+COUNTIF(H$11:H35,H35)-1)))</f>
        <v/>
      </c>
      <c r="J35" s="58"/>
      <c r="K35" s="51">
        <f t="shared" si="13"/>
        <v>25</v>
      </c>
      <c r="L35" s="59" t="str">
        <f t="shared" si="14"/>
        <v>Southend-on-Sea</v>
      </c>
      <c r="M35" s="153">
        <f t="shared" si="20"/>
        <v>21.172611464968153</v>
      </c>
      <c r="N35" s="148">
        <f t="shared" si="21"/>
        <v>21.172611464968153</v>
      </c>
      <c r="O35" s="131" t="str">
        <f t="shared" si="3"/>
        <v/>
      </c>
      <c r="P35" s="131">
        <f t="shared" si="15"/>
        <v>21.172611464968153</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Large Urban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21.172611464968153</v>
      </c>
      <c r="AK35" s="57">
        <f>IF(AJ35="","",IF(I$8="A",(RANK(AJ35,AJ$11:AJ$363,1)+COUNTIF(AJ$11:AJ35,AJ35)-1),(RANK(AJ35,AJ$11:AJ$363)+COUNTIF(AJ$11:AJ35,AJ35)-1)))</f>
        <v>25</v>
      </c>
      <c r="AL35" s="52">
        <f t="shared" si="19"/>
        <v>25</v>
      </c>
      <c r="AM35" s="31" t="str">
        <f t="shared" si="24"/>
        <v>Southend-on-Sea</v>
      </c>
      <c r="AN35" s="31">
        <f t="shared" si="9"/>
        <v>21.172611464968153</v>
      </c>
      <c r="AP35" s="61" t="str">
        <f>IF(L35="","",VLOOKUP($L35,classifications!$C:$E,3,FALSE))</f>
        <v>East of England</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10.222502522704339</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16.990231500066908</v>
      </c>
      <c r="G36" s="105"/>
      <c r="H36" s="60">
        <f t="shared" si="2"/>
        <v>16.990231500066908</v>
      </c>
      <c r="I36" s="112">
        <f>IF(H36="","",IF($I$8="A",(RANK(H36,H$11:H$363,1)+COUNTIF(H$11:H36,H36)-1),(RANK(H36,H$11:H$363)+COUNTIF(H$11:H36,H36)-1)))</f>
        <v>9</v>
      </c>
      <c r="J36" s="58"/>
      <c r="K36" s="51">
        <f t="shared" si="13"/>
        <v>26</v>
      </c>
      <c r="L36" s="59" t="str">
        <f t="shared" si="14"/>
        <v>Durham</v>
      </c>
      <c r="M36" s="153">
        <f t="shared" si="20"/>
        <v>21.178634846224874</v>
      </c>
      <c r="N36" s="148">
        <f t="shared" si="21"/>
        <v>21.178634846224874</v>
      </c>
      <c r="O36" s="131" t="str">
        <f t="shared" si="3"/>
        <v/>
      </c>
      <c r="P36" s="131">
        <f t="shared" si="15"/>
        <v>21.178634846224874</v>
      </c>
      <c r="Q36" s="131" t="str">
        <f t="shared" si="16"/>
        <v/>
      </c>
      <c r="R36" s="127" t="str">
        <f t="shared" si="17"/>
        <v/>
      </c>
      <c r="S36" s="60" t="str">
        <f t="shared" si="4"/>
        <v/>
      </c>
      <c r="T36" s="231" t="str">
        <f>IF(L36="","",VLOOKUP(L36,classifications!C:K,9,FALSE))</f>
        <v>Sparse</v>
      </c>
      <c r="U36" s="238">
        <f t="shared" si="5"/>
        <v>21.178634846224874</v>
      </c>
      <c r="V36" s="239">
        <f>IF(U36="","",IF($I$8="A",(RANK(U36,U$11:U$363)+COUNTIF(U$11:U36,U36)-1),(RANK(U36,U$11:U$363,1)+COUNTIF(U$11:U36,U36)-1)))</f>
        <v>7</v>
      </c>
      <c r="W36" s="240"/>
      <c r="X36" s="61" t="str">
        <f>IF(L36="","",VLOOKUP($L36,classifications!$C:$J,6,FALSE))</f>
        <v>Rural-50</v>
      </c>
      <c r="Y36" s="49">
        <f t="shared" si="6"/>
        <v>21.178634846224874</v>
      </c>
      <c r="Z36" s="57">
        <f>IF(Y36="","",IF(I$8="A",(RANK(Y36,Y$11:Y$363,1)+COUNTIF(Y$11:Y36,Y36)-1),(RANK(Y36,Y$11:Y$363)+COUNTIF(Y$11:Y36,Y36)-1)))</f>
        <v>8</v>
      </c>
      <c r="AA36" s="245" t="str">
        <f>IF(L36="","",VLOOKUP($L36,classifications!C:I,7,FALSE))</f>
        <v>Predominantly Rural</v>
      </c>
      <c r="AB36" s="239">
        <f t="shared" si="7"/>
        <v>21.178634846224874</v>
      </c>
      <c r="AC36" s="239">
        <f>IF(AB36="","",IF($I$8="A",(RANK(AB36,AB$11:AB$363)+COUNTIF(AB$11:AB36,AB36)-1),(RANK(AB36,AB$11:AB$363,1)+COUNTIF(AB$11:AB36,AB36)-1)))</f>
        <v>9</v>
      </c>
      <c r="AD36" s="239"/>
      <c r="AE36" s="51" t="str">
        <f t="shared" si="25"/>
        <v/>
      </c>
      <c r="AG36" s="143"/>
      <c r="AH36" s="52"/>
      <c r="AI36" s="61" t="str">
        <f>IF(L36="","",VLOOKUP($L36,classifications!$C:$J,8,FALSE))</f>
        <v>Unitary</v>
      </c>
      <c r="AJ36" s="62">
        <f t="shared" si="0"/>
        <v>21.178634846224874</v>
      </c>
      <c r="AK36" s="57">
        <f>IF(AJ36="","",IF(I$8="A",(RANK(AJ36,AJ$11:AJ$363,1)+COUNTIF(AJ$11:AJ36,AJ36)-1),(RANK(AJ36,AJ$11:AJ$363)+COUNTIF(AJ$11:AJ36,AJ36)-1)))</f>
        <v>26</v>
      </c>
      <c r="AL36" s="52">
        <f t="shared" si="19"/>
        <v>26</v>
      </c>
      <c r="AM36" s="31" t="str">
        <f t="shared" si="24"/>
        <v>Durham</v>
      </c>
      <c r="AN36" s="31">
        <f t="shared" si="9"/>
        <v>21.178634846224874</v>
      </c>
      <c r="AP36" s="61" t="str">
        <f>IF(L36="","",VLOOKUP($L36,classifications!$C:$E,3,FALSE))</f>
        <v>NE</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16.990231500066908</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17.523809523809526</v>
      </c>
      <c r="G37" s="105"/>
      <c r="H37" s="60">
        <f t="shared" si="2"/>
        <v>17.523809523809526</v>
      </c>
      <c r="I37" s="112">
        <f>IF(H37="","",IF($I$8="A",(RANK(H37,H$11:H$363,1)+COUNTIF(H$11:H37,H37)-1),(RANK(H37,H$11:H$363)+COUNTIF(H$11:H37,H37)-1)))</f>
        <v>11</v>
      </c>
      <c r="J37" s="58"/>
      <c r="K37" s="51">
        <f t="shared" si="13"/>
        <v>27</v>
      </c>
      <c r="L37" s="59" t="str">
        <f t="shared" si="14"/>
        <v>Isle of Wight</v>
      </c>
      <c r="M37" s="153">
        <f t="shared" si="20"/>
        <v>21.550568521843207</v>
      </c>
      <c r="N37" s="148">
        <f t="shared" si="21"/>
        <v>21.550568521843207</v>
      </c>
      <c r="O37" s="131" t="str">
        <f t="shared" si="3"/>
        <v/>
      </c>
      <c r="P37" s="131">
        <f t="shared" si="15"/>
        <v>21.550568521843207</v>
      </c>
      <c r="Q37" s="131" t="str">
        <f t="shared" si="16"/>
        <v/>
      </c>
      <c r="R37" s="127" t="str">
        <f t="shared" si="17"/>
        <v/>
      </c>
      <c r="S37" s="60" t="str">
        <f t="shared" si="4"/>
        <v/>
      </c>
      <c r="T37" s="231" t="str">
        <f>IF(L37="","",VLOOKUP(L37,classifications!C:K,9,FALSE))</f>
        <v>Sparse</v>
      </c>
      <c r="U37" s="238">
        <f t="shared" si="5"/>
        <v>21.550568521843207</v>
      </c>
      <c r="V37" s="239">
        <f>IF(U37="","",IF($I$8="A",(RANK(U37,U$11:U$363)+COUNTIF(U$11:U37,U37)-1),(RANK(U37,U$11:U$363,1)+COUNTIF(U$11:U37,U37)-1)))</f>
        <v>6</v>
      </c>
      <c r="W37" s="240"/>
      <c r="X37" s="61" t="str">
        <f>IF(L37="","",VLOOKUP($L37,classifications!$C:$J,6,FALSE))</f>
        <v>Rural-80</v>
      </c>
      <c r="Y37" s="49">
        <f t="shared" si="6"/>
        <v>21.550568521843207</v>
      </c>
      <c r="Z37" s="57">
        <f>IF(Y37="","",IF(I$8="A",(RANK(Y37,Y$11:Y$363,1)+COUNTIF(Y$11:Y37,Y37)-1),(RANK(Y37,Y$11:Y$363)+COUNTIF(Y$11:Y37,Y37)-1)))</f>
        <v>9</v>
      </c>
      <c r="AA37" s="245" t="str">
        <f>IF(L37="","",VLOOKUP($L37,classifications!C:I,7,FALSE))</f>
        <v>Predominantly Rural</v>
      </c>
      <c r="AB37" s="239">
        <f t="shared" si="7"/>
        <v>21.550568521843207</v>
      </c>
      <c r="AC37" s="239">
        <f>IF(AB37="","",IF($I$8="A",(RANK(AB37,AB$11:AB$363)+COUNTIF(AB$11:AB37,AB37)-1),(RANK(AB37,AB$11:AB$363,1)+COUNTIF(AB$11:AB37,AB37)-1)))</f>
        <v>8</v>
      </c>
      <c r="AD37" s="239"/>
      <c r="AE37" s="51" t="str">
        <f t="shared" si="25"/>
        <v/>
      </c>
      <c r="AG37" s="143"/>
      <c r="AH37" s="52"/>
      <c r="AI37" s="61" t="str">
        <f>IF(L37="","",VLOOKUP($L37,classifications!$C:$J,8,FALSE))</f>
        <v>Unitary</v>
      </c>
      <c r="AJ37" s="62">
        <f t="shared" si="0"/>
        <v>21.550568521843207</v>
      </c>
      <c r="AK37" s="57">
        <f>IF(AJ37="","",IF(I$8="A",(RANK(AJ37,AJ$11:AJ$363,1)+COUNTIF(AJ$11:AJ37,AJ37)-1),(RANK(AJ37,AJ$11:AJ$363)+COUNTIF(AJ$11:AJ37,AJ37)-1)))</f>
        <v>27</v>
      </c>
      <c r="AL37" s="52">
        <f t="shared" si="19"/>
        <v>27</v>
      </c>
      <c r="AM37" s="31" t="str">
        <f t="shared" si="24"/>
        <v>Isle of Wight</v>
      </c>
      <c r="AN37" s="31">
        <f t="shared" si="9"/>
        <v>21.550568521843207</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17.523809523809526</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25.469358372456963</v>
      </c>
      <c r="G38" s="105"/>
      <c r="H38" s="60" t="str">
        <f t="shared" si="2"/>
        <v/>
      </c>
      <c r="I38" s="112" t="str">
        <f>IF(H38="","",IF($I$8="A",(RANK(H38,H$11:H$363,1)+COUNTIF(H$11:H38,H38)-1),(RANK(H38,H$11:H$363)+COUNTIF(H$11:H38,H38)-1)))</f>
        <v/>
      </c>
      <c r="J38" s="58"/>
      <c r="K38" s="51">
        <f t="shared" si="13"/>
        <v>28</v>
      </c>
      <c r="L38" s="59" t="str">
        <f t="shared" si="14"/>
        <v>Luton</v>
      </c>
      <c r="M38" s="153">
        <f t="shared" si="20"/>
        <v>21.738749570594297</v>
      </c>
      <c r="N38" s="148">
        <f t="shared" si="21"/>
        <v>21.738749570594297</v>
      </c>
      <c r="O38" s="131" t="str">
        <f t="shared" si="3"/>
        <v/>
      </c>
      <c r="P38" s="131" t="str">
        <f t="shared" si="15"/>
        <v/>
      </c>
      <c r="Q38" s="131">
        <f t="shared" si="16"/>
        <v>21.738749570594297</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Other Urban</v>
      </c>
      <c r="Y38" s="49" t="str">
        <f t="shared" si="6"/>
        <v/>
      </c>
      <c r="Z38" s="57" t="str">
        <f>IF(Y38="","",IF(I$8="A",(RANK(Y38,Y$11:Y$363,1)+COUNTIF(Y$11:Y38,Y38)-1),(RANK(Y38,Y$11:Y$363)+COUNTIF(Y$11:Y38,Y38)-1)))</f>
        <v/>
      </c>
      <c r="AA38" s="245" t="str">
        <f>IF(L38="","",VLOOKUP($L38,classifications!C:I,7,FALSE))</f>
        <v>Predominantly Urban</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21.738749570594297</v>
      </c>
      <c r="AK38" s="57">
        <f>IF(AJ38="","",IF(I$8="A",(RANK(AJ38,AJ$11:AJ$363,1)+COUNTIF(AJ$11:AJ38,AJ38)-1),(RANK(AJ38,AJ$11:AJ$363)+COUNTIF(AJ$11:AJ38,AJ38)-1)))</f>
        <v>28</v>
      </c>
      <c r="AL38" s="52">
        <f t="shared" si="19"/>
        <v>28</v>
      </c>
      <c r="AM38" s="31" t="str">
        <f t="shared" si="24"/>
        <v>Luton</v>
      </c>
      <c r="AN38" s="31">
        <f t="shared" si="9"/>
        <v>21.738749570594297</v>
      </c>
      <c r="AP38" s="61" t="str">
        <f>IF(L38="","",VLOOKUP($L38,classifications!$C:$E,3,FALSE))</f>
        <v>East of England</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25.469358372456963</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15.354181818181818</v>
      </c>
      <c r="G39" s="105"/>
      <c r="H39" s="60" t="str">
        <f t="shared" si="2"/>
        <v/>
      </c>
      <c r="I39" s="112" t="str">
        <f>IF(H39="","",IF($I$8="A",(RANK(H39,H$11:H$363,1)+COUNTIF(H$11:H39,H39)-1),(RANK(H39,H$11:H$363)+COUNTIF(H$11:H39,H39)-1)))</f>
        <v/>
      </c>
      <c r="J39" s="58"/>
      <c r="K39" s="51">
        <f t="shared" si="13"/>
        <v>29</v>
      </c>
      <c r="L39" s="59" t="str">
        <f t="shared" si="14"/>
        <v>Leicester</v>
      </c>
      <c r="M39" s="153">
        <f t="shared" si="20"/>
        <v>21.880040020010004</v>
      </c>
      <c r="N39" s="148">
        <f t="shared" si="21"/>
        <v>21.880040020010004</v>
      </c>
      <c r="O39" s="131" t="str">
        <f t="shared" si="3"/>
        <v/>
      </c>
      <c r="P39" s="131" t="str">
        <f t="shared" si="15"/>
        <v/>
      </c>
      <c r="Q39" s="131">
        <f t="shared" si="16"/>
        <v>21.880040020010004</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Large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21.880040020010004</v>
      </c>
      <c r="AK39" s="57">
        <f>IF(AJ39="","",IF(I$8="A",(RANK(AJ39,AJ$11:AJ$363,1)+COUNTIF(AJ$11:AJ39,AJ39)-1),(RANK(AJ39,AJ$11:AJ$363)+COUNTIF(AJ$11:AJ39,AJ39)-1)))</f>
        <v>29</v>
      </c>
      <c r="AL39" s="52">
        <f t="shared" si="19"/>
        <v>29</v>
      </c>
      <c r="AM39" s="31" t="str">
        <f t="shared" si="24"/>
        <v>Leicester</v>
      </c>
      <c r="AN39" s="31">
        <f t="shared" si="9"/>
        <v>21.880040020010004</v>
      </c>
      <c r="AP39" s="61" t="str">
        <f>IF(L39="","",VLOOKUP($L39,classifications!$C:$E,3,FALSE))</f>
        <v>East Midlands</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15.354181818181818</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16.978699551569505</v>
      </c>
      <c r="G40" s="105"/>
      <c r="H40" s="60" t="str">
        <f t="shared" si="2"/>
        <v/>
      </c>
      <c r="I40" s="112" t="str">
        <f>IF(H40="","",IF($I$8="A",(RANK(H40,H$11:H$363,1)+COUNTIF(H$11:H40,H40)-1),(RANK(H40,H$11:H$363)+COUNTIF(H$11:H40,H40)-1)))</f>
        <v/>
      </c>
      <c r="J40" s="58"/>
      <c r="K40" s="51">
        <f t="shared" si="13"/>
        <v>30</v>
      </c>
      <c r="L40" s="59" t="str">
        <f t="shared" si="14"/>
        <v>Cornwall</v>
      </c>
      <c r="M40" s="153">
        <f t="shared" si="20"/>
        <v>22.247213375796179</v>
      </c>
      <c r="N40" s="148">
        <f t="shared" si="21"/>
        <v>22.247213375796179</v>
      </c>
      <c r="O40" s="131" t="str">
        <f t="shared" si="3"/>
        <v/>
      </c>
      <c r="P40" s="131" t="str">
        <f t="shared" si="15"/>
        <v/>
      </c>
      <c r="Q40" s="131">
        <f t="shared" si="16"/>
        <v>22.247213375796179</v>
      </c>
      <c r="R40" s="127" t="str">
        <f t="shared" si="17"/>
        <v/>
      </c>
      <c r="S40" s="60" t="str">
        <f t="shared" si="4"/>
        <v/>
      </c>
      <c r="T40" s="231" t="str">
        <f>IF(L40="","",VLOOKUP(L40,classifications!C:K,9,FALSE))</f>
        <v>Sparse</v>
      </c>
      <c r="U40" s="238">
        <f t="shared" si="5"/>
        <v>22.247213375796179</v>
      </c>
      <c r="V40" s="239">
        <f>IF(U40="","",IF($I$8="A",(RANK(U40,U$11:U$363)+COUNTIF(U$11:U40,U40)-1),(RANK(U40,U$11:U$363,1)+COUNTIF(U$11:U40,U40)-1)))</f>
        <v>5</v>
      </c>
      <c r="W40" s="240"/>
      <c r="X40" s="61" t="str">
        <f>IF(L40="","",VLOOKUP($L40,classifications!$C:$J,6,FALSE))</f>
        <v>Rural-80</v>
      </c>
      <c r="Y40" s="49">
        <f t="shared" si="6"/>
        <v>22.247213375796179</v>
      </c>
      <c r="Z40" s="57">
        <f>IF(Y40="","",IF(I$8="A",(RANK(Y40,Y$11:Y$363,1)+COUNTIF(Y$11:Y40,Y40)-1),(RANK(Y40,Y$11:Y$363)+COUNTIF(Y$11:Y40,Y40)-1)))</f>
        <v>10</v>
      </c>
      <c r="AA40" s="245" t="str">
        <f>IF(L40="","",VLOOKUP($L40,classifications!C:I,7,FALSE))</f>
        <v>Predominantly Rural</v>
      </c>
      <c r="AB40" s="239">
        <f t="shared" si="7"/>
        <v>22.247213375796179</v>
      </c>
      <c r="AC40" s="239">
        <f>IF(AB40="","",IF($I$8="A",(RANK(AB40,AB$11:AB$363)+COUNTIF(AB$11:AB40,AB40)-1),(RANK(AB40,AB$11:AB$363,1)+COUNTIF(AB$11:AB40,AB40)-1)))</f>
        <v>7</v>
      </c>
      <c r="AD40" s="239"/>
      <c r="AE40" s="51" t="str">
        <f t="shared" si="25"/>
        <v/>
      </c>
      <c r="AG40" s="143"/>
      <c r="AH40" s="52"/>
      <c r="AI40" s="61" t="str">
        <f>IF(L40="","",VLOOKUP($L40,classifications!$C:$J,8,FALSE))</f>
        <v>Unitary</v>
      </c>
      <c r="AJ40" s="62">
        <f t="shared" si="0"/>
        <v>22.247213375796179</v>
      </c>
      <c r="AK40" s="57">
        <f>IF(AJ40="","",IF(I$8="A",(RANK(AJ40,AJ$11:AJ$363,1)+COUNTIF(AJ$11:AJ40,AJ40)-1),(RANK(AJ40,AJ$11:AJ$363)+COUNTIF(AJ$11:AJ40,AJ40)-1)))</f>
        <v>30</v>
      </c>
      <c r="AL40" s="52">
        <f t="shared" si="19"/>
        <v>30</v>
      </c>
      <c r="AM40" s="31" t="str">
        <f t="shared" si="24"/>
        <v>Cornwall</v>
      </c>
      <c r="AN40" s="31">
        <f t="shared" si="9"/>
        <v>22.247213375796179</v>
      </c>
      <c r="AP40" s="61" t="str">
        <f>IF(L40="","",VLOOKUP($L40,classifications!$C:$E,3,FALSE))</f>
        <v>South West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16.978699551569505</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14.168171320596263</v>
      </c>
      <c r="G41" s="105"/>
      <c r="H41" s="60" t="str">
        <f t="shared" si="2"/>
        <v/>
      </c>
      <c r="I41" s="112" t="str">
        <f>IF(H41="","",IF($I$8="A",(RANK(H41,H$11:H$363,1)+COUNTIF(H$11:H41,H41)-1),(RANK(H41,H$11:H$363)+COUNTIF(H$11:H41,H41)-1)))</f>
        <v/>
      </c>
      <c r="J41" s="58"/>
      <c r="K41" s="51">
        <f t="shared" si="13"/>
        <v>31</v>
      </c>
      <c r="L41" s="59" t="str">
        <f t="shared" si="14"/>
        <v>Blackpool</v>
      </c>
      <c r="M41" s="153">
        <f t="shared" si="20"/>
        <v>22.261488250652743</v>
      </c>
      <c r="N41" s="148">
        <f t="shared" si="21"/>
        <v>22.261488250652743</v>
      </c>
      <c r="O41" s="131" t="str">
        <f t="shared" si="3"/>
        <v/>
      </c>
      <c r="P41" s="131" t="str">
        <f t="shared" si="15"/>
        <v/>
      </c>
      <c r="Q41" s="131">
        <f t="shared" si="16"/>
        <v>22.261488250652743</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Large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22.261488250652743</v>
      </c>
      <c r="AK41" s="57">
        <f>IF(AJ41="","",IF(I$8="A",(RANK(AJ41,AJ$11:AJ$363,1)+COUNTIF(AJ$11:AJ41,AJ41)-1),(RANK(AJ41,AJ$11:AJ$363)+COUNTIF(AJ$11:AJ41,AJ41)-1)))</f>
        <v>31</v>
      </c>
      <c r="AL41" s="52">
        <f t="shared" si="19"/>
        <v>31</v>
      </c>
      <c r="AM41" s="31" t="str">
        <f t="shared" si="24"/>
        <v>Blackpool</v>
      </c>
      <c r="AN41" s="31">
        <f t="shared" si="9"/>
        <v>22.261488250652743</v>
      </c>
      <c r="AP41" s="61" t="str">
        <f>IF(L41="","",VLOOKUP($L41,classifications!$C:$E,3,FALSE))</f>
        <v>North West</v>
      </c>
      <c r="AQ41" s="62">
        <f t="shared" si="10"/>
        <v>22.261488250652743</v>
      </c>
      <c r="AR41" s="57">
        <f>IF(AQ41="","",IF(I$8="A",(RANK(AQ41,AQ$11:AQ$363,1)+COUNTIF(AQ$11:AQ41,AQ41)-1),(RANK(AQ41,AQ$11:AQ$363)+COUNTIF(AQ$11:AQ41,AQ41)-1)))</f>
        <v>3</v>
      </c>
      <c r="AS41" s="52" t="str">
        <f t="shared" si="23"/>
        <v/>
      </c>
      <c r="AT41" s="57" t="str">
        <f t="shared" si="11"/>
        <v/>
      </c>
      <c r="AU41" s="62" t="str">
        <f t="shared" si="12"/>
        <v/>
      </c>
      <c r="AX41" s="44">
        <f>HLOOKUP($AX$9&amp;$AX$10,Data!$A$1:$ZZ$2000,(MATCH($C41,Data!$A$1:$A$2000,0)),FALSE)</f>
        <v>14.168171320596263</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16.803821656050957</v>
      </c>
      <c r="G42" s="105"/>
      <c r="H42" s="60" t="str">
        <f t="shared" si="2"/>
        <v/>
      </c>
      <c r="I42" s="112" t="str">
        <f>IF(H42="","",IF($I$8="A",(RANK(H42,H$11:H$363,1)+COUNTIF(H$11:H42,H42)-1),(RANK(H42,H$11:H$363)+COUNTIF(H$11:H42,H42)-1)))</f>
        <v/>
      </c>
      <c r="J42" s="58"/>
      <c r="K42" s="51">
        <f t="shared" si="13"/>
        <v>32</v>
      </c>
      <c r="L42" s="59" t="str">
        <f t="shared" si="14"/>
        <v>Windsor &amp; Maidenhead</v>
      </c>
      <c r="M42" s="153">
        <f t="shared" si="20"/>
        <v>22.586440677966102</v>
      </c>
      <c r="N42" s="148">
        <f t="shared" si="21"/>
        <v>22.586440677966102</v>
      </c>
      <c r="O42" s="131" t="str">
        <f t="shared" si="3"/>
        <v/>
      </c>
      <c r="P42" s="131" t="str">
        <f t="shared" si="15"/>
        <v/>
      </c>
      <c r="Q42" s="131">
        <f t="shared" si="16"/>
        <v>22.586440677966102</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Other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22.586440677966102</v>
      </c>
      <c r="AK42" s="57">
        <f>IF(AJ42="","",IF(I$8="A",(RANK(AJ42,AJ$11:AJ$363,1)+COUNTIF(AJ$11:AJ42,AJ42)-1),(RANK(AJ42,AJ$11:AJ$363)+COUNTIF(AJ$11:AJ42,AJ42)-1)))</f>
        <v>32</v>
      </c>
      <c r="AL42" s="52">
        <f t="shared" si="19"/>
        <v>32</v>
      </c>
      <c r="AM42" s="31" t="str">
        <f t="shared" si="24"/>
        <v>Windsor &amp; Maidenhead</v>
      </c>
      <c r="AN42" s="31">
        <f t="shared" si="9"/>
        <v>22.586440677966102</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16.803821656050957</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29.29084745762712</v>
      </c>
      <c r="G43" s="105"/>
      <c r="H43" s="60">
        <f t="shared" si="2"/>
        <v>29.29084745762712</v>
      </c>
      <c r="I43" s="112">
        <f>IF(H43="","",IF($I$8="A",(RANK(H43,H$11:H$363,1)+COUNTIF(H$11:H43,H43)-1),(RANK(H43,H$11:H$363)+COUNTIF(H$11:H43,H43)-1)))</f>
        <v>39</v>
      </c>
      <c r="J43" s="58"/>
      <c r="K43" s="51">
        <f t="shared" si="13"/>
        <v>33</v>
      </c>
      <c r="L43" s="59" t="str">
        <f t="shared" si="14"/>
        <v>Torbay</v>
      </c>
      <c r="M43" s="153">
        <f t="shared" si="20"/>
        <v>22.925659472422062</v>
      </c>
      <c r="N43" s="148">
        <f t="shared" si="21"/>
        <v>22.925659472422062</v>
      </c>
      <c r="O43" s="131" t="str">
        <f t="shared" si="3"/>
        <v/>
      </c>
      <c r="P43" s="131" t="str">
        <f t="shared" si="15"/>
        <v/>
      </c>
      <c r="Q43" s="131">
        <f t="shared" si="16"/>
        <v>22.925659472422062</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22.925659472422062</v>
      </c>
      <c r="AK43" s="57">
        <f>IF(AJ43="","",IF(I$8="A",(RANK(AJ43,AJ$11:AJ$363,1)+COUNTIF(AJ$11:AJ43,AJ43)-1),(RANK(AJ43,AJ$11:AJ$363)+COUNTIF(AJ$11:AJ43,AJ43)-1)))</f>
        <v>33</v>
      </c>
      <c r="AL43" s="52">
        <f t="shared" si="19"/>
        <v>33</v>
      </c>
      <c r="AM43" s="31" t="str">
        <f t="shared" si="24"/>
        <v>Torbay</v>
      </c>
      <c r="AN43" s="31">
        <f t="shared" si="9"/>
        <v>22.925659472422062</v>
      </c>
      <c r="AP43" s="61" t="str">
        <f>IF(L43="","",VLOOKUP($L43,classifications!$C:$E,3,FALSE))</f>
        <v>South West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29.29084745762712</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27.488506547784898</v>
      </c>
      <c r="G44" s="105"/>
      <c r="H44" s="60">
        <f t="shared" si="2"/>
        <v>27.488506547784898</v>
      </c>
      <c r="I44" s="112">
        <f>IF(H44="","",IF($I$8="A",(RANK(H44,H$11:H$363,1)+COUNTIF(H$11:H44,H44)-1),(RANK(H44,H$11:H$363)+COUNTIF(H$11:H44,H44)-1)))</f>
        <v>37</v>
      </c>
      <c r="J44" s="58"/>
      <c r="K44" s="51">
        <f t="shared" si="13"/>
        <v>34</v>
      </c>
      <c r="L44" s="59" t="str">
        <f t="shared" si="14"/>
        <v>Redcar &amp; Cleveland</v>
      </c>
      <c r="M44" s="153">
        <f t="shared" si="20"/>
        <v>24.365638766519822</v>
      </c>
      <c r="N44" s="148">
        <f t="shared" si="21"/>
        <v>24.365638766519822</v>
      </c>
      <c r="O44" s="131" t="str">
        <f t="shared" si="3"/>
        <v/>
      </c>
      <c r="P44" s="131" t="str">
        <f t="shared" si="15"/>
        <v/>
      </c>
      <c r="Q44" s="131">
        <f t="shared" si="16"/>
        <v>24.365638766519822</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Significant Rural</v>
      </c>
      <c r="Y44" s="49">
        <f t="shared" si="6"/>
        <v>24.365638766519822</v>
      </c>
      <c r="Z44" s="57">
        <f>IF(Y44="","",IF(I$8="A",(RANK(Y44,Y$11:Y$363,1)+COUNTIF(Y$11:Y44,Y44)-1),(RANK(Y44,Y$11:Y$363)+COUNTIF(Y$11:Y44,Y44)-1)))</f>
        <v>11</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24.365638766519822</v>
      </c>
      <c r="AK44" s="57">
        <f>IF(AJ44="","",IF(I$8="A",(RANK(AJ44,AJ$11:AJ$363,1)+COUNTIF(AJ$11:AJ44,AJ44)-1),(RANK(AJ44,AJ$11:AJ$363)+COUNTIF(AJ$11:AJ44,AJ44)-1)))</f>
        <v>34</v>
      </c>
      <c r="AL44" s="52">
        <f t="shared" si="19"/>
        <v>34</v>
      </c>
      <c r="AM44" s="31" t="str">
        <f t="shared" si="24"/>
        <v>Redcar &amp; Cleveland</v>
      </c>
      <c r="AN44" s="31">
        <f t="shared" si="9"/>
        <v>24.365638766519822</v>
      </c>
      <c r="AP44" s="61" t="str">
        <f>IF(L44="","",VLOOKUP($L44,classifications!$C:$E,3,FALSE))</f>
        <v>NE</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27.488506547784898</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30.099621689785625</v>
      </c>
      <c r="G45" s="105"/>
      <c r="H45" s="60" t="str">
        <f t="shared" si="2"/>
        <v/>
      </c>
      <c r="I45" s="112" t="str">
        <f>IF(H45="","",IF($I$8="A",(RANK(H45,H$11:H$363,1)+COUNTIF(H$11:H45,H45)-1),(RANK(H45,H$11:H$363)+COUNTIF(H$11:H45,H45)-1)))</f>
        <v/>
      </c>
      <c r="J45" s="58"/>
      <c r="K45" s="51">
        <f t="shared" si="13"/>
        <v>35</v>
      </c>
      <c r="L45" s="59" t="str">
        <f t="shared" si="14"/>
        <v>Kingston upon Hull</v>
      </c>
      <c r="M45" s="153">
        <f t="shared" si="20"/>
        <v>25.673504128010894</v>
      </c>
      <c r="N45" s="148">
        <f t="shared" si="21"/>
        <v>25.673504128010894</v>
      </c>
      <c r="O45" s="131" t="str">
        <f t="shared" si="3"/>
        <v/>
      </c>
      <c r="P45" s="131" t="str">
        <f t="shared" si="15"/>
        <v/>
      </c>
      <c r="Q45" s="131">
        <f t="shared" si="16"/>
        <v>25.673504128010894</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25.673504128010894</v>
      </c>
      <c r="AK45" s="57">
        <f>IF(AJ45="","",IF(I$8="A",(RANK(AJ45,AJ$11:AJ$363,1)+COUNTIF(AJ$11:AJ45,AJ45)-1),(RANK(AJ45,AJ$11:AJ$363)+COUNTIF(AJ$11:AJ45,AJ45)-1)))</f>
        <v>35</v>
      </c>
      <c r="AL45" s="52">
        <f t="shared" si="19"/>
        <v>35</v>
      </c>
      <c r="AM45" s="31" t="str">
        <f t="shared" si="24"/>
        <v>Kingston upon Hull</v>
      </c>
      <c r="AN45" s="31">
        <f t="shared" si="9"/>
        <v>25.673504128010894</v>
      </c>
      <c r="AP45" s="61" t="str">
        <f>IF(L45="","",VLOOKUP($L45,classifications!$C:$E,3,FALSE))</f>
        <v>Yorkshire &amp; Humberside</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30.099621689785625</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28.317444813440126</v>
      </c>
      <c r="G46" s="105"/>
      <c r="H46" s="60" t="str">
        <f t="shared" si="2"/>
        <v/>
      </c>
      <c r="I46" s="112" t="str">
        <f>IF(H46="","",IF($I$8="A",(RANK(H46,H$11:H$363,1)+COUNTIF(H$11:H46,H46)-1),(RANK(H46,H$11:H$363)+COUNTIF(H$11:H46,H46)-1)))</f>
        <v/>
      </c>
      <c r="J46" s="58"/>
      <c r="K46" s="51">
        <f t="shared" si="13"/>
        <v>36</v>
      </c>
      <c r="L46" s="59" t="str">
        <f t="shared" si="14"/>
        <v>Warrington</v>
      </c>
      <c r="M46" s="153">
        <f t="shared" si="20"/>
        <v>26.247660187185026</v>
      </c>
      <c r="N46" s="148">
        <f t="shared" si="21"/>
        <v>26.247660187185026</v>
      </c>
      <c r="O46" s="131" t="str">
        <f t="shared" si="3"/>
        <v/>
      </c>
      <c r="P46" s="131" t="str">
        <f t="shared" si="15"/>
        <v/>
      </c>
      <c r="Q46" s="131">
        <f t="shared" si="16"/>
        <v>26.247660187185026</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Other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26.247660187185026</v>
      </c>
      <c r="AK46" s="57">
        <f>IF(AJ46="","",IF(I$8="A",(RANK(AJ46,AJ$11:AJ$363,1)+COUNTIF(AJ$11:AJ46,AJ46)-1),(RANK(AJ46,AJ$11:AJ$363)+COUNTIF(AJ$11:AJ46,AJ46)-1)))</f>
        <v>36</v>
      </c>
      <c r="AL46" s="52">
        <f t="shared" si="19"/>
        <v>36</v>
      </c>
      <c r="AM46" s="31" t="str">
        <f t="shared" si="24"/>
        <v>Warrington</v>
      </c>
      <c r="AN46" s="31">
        <f t="shared" si="9"/>
        <v>26.247660187185026</v>
      </c>
      <c r="AP46" s="61" t="str">
        <f>IF(L46="","",VLOOKUP($L46,classifications!$C:$E,3,FALSE))</f>
        <v>North West</v>
      </c>
      <c r="AQ46" s="62">
        <f t="shared" si="10"/>
        <v>26.247660187185026</v>
      </c>
      <c r="AR46" s="57">
        <f>IF(AQ46="","",IF(I$8="A",(RANK(AQ46,AQ$11:AQ$363,1)+COUNTIF(AQ$11:AQ46,AQ46)-1),(RANK(AQ46,AQ$11:AQ$363)+COUNTIF(AQ$11:AQ46,AQ46)-1)))</f>
        <v>4</v>
      </c>
      <c r="AS46" s="52" t="str">
        <f t="shared" si="23"/>
        <v/>
      </c>
      <c r="AT46" s="57" t="str">
        <f t="shared" si="11"/>
        <v/>
      </c>
      <c r="AU46" s="62" t="str">
        <f t="shared" si="12"/>
        <v/>
      </c>
      <c r="AX46" s="44">
        <f>HLOOKUP($AX$9&amp;$AX$10,Data!$A$1:$ZZ$2000,(MATCH($C46,Data!$A$1:$A$2000,0)),FALSE)</f>
        <v>28.317444813440126</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25.322796934865899</v>
      </c>
      <c r="G47" s="105"/>
      <c r="H47" s="60" t="str">
        <f t="shared" si="2"/>
        <v/>
      </c>
      <c r="I47" s="112" t="str">
        <f>IF(H47="","",IF($I$8="A",(RANK(H47,H$11:H$363,1)+COUNTIF(H$11:H47,H47)-1),(RANK(H47,H$11:H$363)+COUNTIF(H$11:H47,H47)-1)))</f>
        <v/>
      </c>
      <c r="J47" s="58"/>
      <c r="K47" s="51">
        <f t="shared" si="13"/>
        <v>37</v>
      </c>
      <c r="L47" s="59" t="str">
        <f t="shared" si="14"/>
        <v>Bristol</v>
      </c>
      <c r="M47" s="153">
        <f t="shared" si="20"/>
        <v>27.488506547784898</v>
      </c>
      <c r="N47" s="148">
        <f t="shared" si="21"/>
        <v>27.488506547784898</v>
      </c>
      <c r="O47" s="131" t="str">
        <f t="shared" si="3"/>
        <v/>
      </c>
      <c r="P47" s="131" t="str">
        <f t="shared" si="15"/>
        <v/>
      </c>
      <c r="Q47" s="131">
        <f t="shared" si="16"/>
        <v>27.488506547784898</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Large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27.488506547784898</v>
      </c>
      <c r="AK47" s="57">
        <f>IF(AJ47="","",IF(I$8="A",(RANK(AJ47,AJ$11:AJ$363,1)+COUNTIF(AJ$11:AJ47,AJ47)-1),(RANK(AJ47,AJ$11:AJ$363)+COUNTIF(AJ$11:AJ47,AJ47)-1)))</f>
        <v>37</v>
      </c>
      <c r="AL47" s="52">
        <f t="shared" si="19"/>
        <v>37</v>
      </c>
      <c r="AM47" s="31" t="str">
        <f t="shared" si="24"/>
        <v>Bristol</v>
      </c>
      <c r="AN47" s="31">
        <f t="shared" si="9"/>
        <v>27.488506547784898</v>
      </c>
      <c r="AP47" s="61" t="str">
        <f>IF(L47="","",VLOOKUP($L47,classifications!$C:$E,3,FALSE))</f>
        <v>South West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25.322796934865899</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24.475073313782993</v>
      </c>
      <c r="G48" s="105"/>
      <c r="H48" s="60" t="str">
        <f t="shared" si="2"/>
        <v/>
      </c>
      <c r="I48" s="112" t="str">
        <f>IF(H48="","",IF($I$8="A",(RANK(H48,H$11:H$363,1)+COUNTIF(H$11:H48,H48)-1),(RANK(H48,H$11:H$363)+COUNTIF(H$11:H48,H48)-1)))</f>
        <v/>
      </c>
      <c r="J48" s="58"/>
      <c r="K48" s="51">
        <f t="shared" si="13"/>
        <v>38</v>
      </c>
      <c r="L48" s="59" t="str">
        <f t="shared" si="14"/>
        <v>Wiltshire</v>
      </c>
      <c r="M48" s="153">
        <f t="shared" si="20"/>
        <v>27.571598414795243</v>
      </c>
      <c r="N48" s="148">
        <f t="shared" si="21"/>
        <v>27.571598414795243</v>
      </c>
      <c r="O48" s="131" t="str">
        <f t="shared" si="3"/>
        <v/>
      </c>
      <c r="P48" s="131" t="str">
        <f t="shared" si="15"/>
        <v/>
      </c>
      <c r="Q48" s="131">
        <f t="shared" si="16"/>
        <v>27.571598414795243</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Rural-50</v>
      </c>
      <c r="Y48" s="49">
        <f t="shared" si="6"/>
        <v>27.571598414795243</v>
      </c>
      <c r="Z48" s="57">
        <f>IF(Y48="","",IF(I$8="A",(RANK(Y48,Y$11:Y$363,1)+COUNTIF(Y$11:Y48,Y48)-1),(RANK(Y48,Y$11:Y$363)+COUNTIF(Y$11:Y48,Y48)-1)))</f>
        <v>12</v>
      </c>
      <c r="AA48" s="245" t="str">
        <f>IF(L48="","",VLOOKUP($L48,classifications!C:I,7,FALSE))</f>
        <v>Predominantly Rural</v>
      </c>
      <c r="AB48" s="239">
        <f t="shared" si="7"/>
        <v>27.571598414795243</v>
      </c>
      <c r="AC48" s="239">
        <f>IF(AB48="","",IF($I$8="A",(RANK(AB48,AB$11:AB$363)+COUNTIF(AB$11:AB48,AB48)-1),(RANK(AB48,AB$11:AB$363,1)+COUNTIF(AB$11:AB48,AB48)-1)))</f>
        <v>6</v>
      </c>
      <c r="AD48" s="239"/>
      <c r="AE48" s="51" t="str">
        <f t="shared" si="25"/>
        <v/>
      </c>
      <c r="AG48" s="143"/>
      <c r="AH48" s="52"/>
      <c r="AI48" s="61" t="str">
        <f>IF(L48="","",VLOOKUP($L48,classifications!$C:$J,8,FALSE))</f>
        <v>Unitary</v>
      </c>
      <c r="AJ48" s="62">
        <f t="shared" si="0"/>
        <v>27.571598414795243</v>
      </c>
      <c r="AK48" s="57">
        <f>IF(AJ48="","",IF(I$8="A",(RANK(AJ48,AJ$11:AJ$363,1)+COUNTIF(AJ$11:AJ48,AJ48)-1),(RANK(AJ48,AJ$11:AJ$363)+COUNTIF(AJ$11:AJ48,AJ48)-1)))</f>
        <v>38</v>
      </c>
      <c r="AL48" s="52">
        <f t="shared" si="19"/>
        <v>38</v>
      </c>
      <c r="AM48" s="31" t="str">
        <f t="shared" si="24"/>
        <v>Wiltshire</v>
      </c>
      <c r="AN48" s="31">
        <f t="shared" si="9"/>
        <v>27.571598414795243</v>
      </c>
      <c r="AP48" s="61" t="str">
        <f>IF(L48="","",VLOOKUP($L48,classifications!$C:$E,3,FALSE))</f>
        <v>South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24.475073313782993</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22.039934354485776</v>
      </c>
      <c r="G49" s="105"/>
      <c r="H49" s="60" t="str">
        <f t="shared" si="2"/>
        <v/>
      </c>
      <c r="I49" s="112" t="str">
        <f>IF(H49="","",IF($I$8="A",(RANK(H49,H$11:H$363,1)+COUNTIF(H$11:H49,H49)-1),(RANK(H49,H$11:H$363)+COUNTIF(H$11:H49,H49)-1)))</f>
        <v/>
      </c>
      <c r="J49" s="58"/>
      <c r="K49" s="51">
        <f t="shared" si="13"/>
        <v>39</v>
      </c>
      <c r="L49" s="59" t="str">
        <f t="shared" si="14"/>
        <v>Brighton &amp; Hove</v>
      </c>
      <c r="M49" s="153">
        <f t="shared" si="20"/>
        <v>29.29084745762712</v>
      </c>
      <c r="N49" s="148">
        <f t="shared" si="21"/>
        <v>29.29084745762712</v>
      </c>
      <c r="O49" s="131" t="str">
        <f t="shared" si="3"/>
        <v/>
      </c>
      <c r="P49" s="131" t="str">
        <f t="shared" si="15"/>
        <v/>
      </c>
      <c r="Q49" s="131">
        <f t="shared" si="16"/>
        <v>29.29084745762712</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Large Urban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29.29084745762712</v>
      </c>
      <c r="AK49" s="57">
        <f>IF(AJ49="","",IF(I$8="A",(RANK(AJ49,AJ$11:AJ$363,1)+COUNTIF(AJ$11:AJ49,AJ49)-1),(RANK(AJ49,AJ$11:AJ$363)+COUNTIF(AJ$11:AJ49,AJ49)-1)))</f>
        <v>39</v>
      </c>
      <c r="AL49" s="52">
        <f t="shared" si="19"/>
        <v>39</v>
      </c>
      <c r="AM49" s="31" t="str">
        <f t="shared" si="24"/>
        <v>Brighton &amp; Hove</v>
      </c>
      <c r="AN49" s="31">
        <f t="shared" si="9"/>
        <v>29.29084745762712</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22.039934354485776</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Portsmouth</v>
      </c>
      <c r="M50" s="153">
        <f t="shared" si="20"/>
        <v>29.316905444126075</v>
      </c>
      <c r="N50" s="148">
        <f t="shared" si="21"/>
        <v>29.316905444126075</v>
      </c>
      <c r="O50" s="131" t="str">
        <f t="shared" si="3"/>
        <v/>
      </c>
      <c r="P50" s="131" t="str">
        <f t="shared" si="15"/>
        <v/>
      </c>
      <c r="Q50" s="131">
        <f t="shared" si="16"/>
        <v>29.316905444126075</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Large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29.316905444126075</v>
      </c>
      <c r="AK50" s="57">
        <f>IF(AJ50="","",IF(I$8="A",(RANK(AJ50,AJ$11:AJ$363,1)+COUNTIF(AJ$11:AJ50,AJ50)-1),(RANK(AJ50,AJ$11:AJ$363)+COUNTIF(AJ$11:AJ50,AJ50)-1)))</f>
        <v>40</v>
      </c>
      <c r="AL50" s="52">
        <f t="shared" si="19"/>
        <v>40</v>
      </c>
      <c r="AM50" s="31" t="str">
        <f t="shared" si="24"/>
        <v>Portsmouth</v>
      </c>
      <c r="AN50" s="31">
        <f t="shared" si="9"/>
        <v>29.316905444126075</v>
      </c>
      <c r="AP50" s="61" t="str">
        <f>IF(L50="","",VLOOKUP($L50,classifications!$C:$E,3,FALSE))</f>
        <v>South East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20.690132185674763</v>
      </c>
      <c r="G51" s="105"/>
      <c r="H51" s="60" t="str">
        <f t="shared" si="2"/>
        <v/>
      </c>
      <c r="I51" s="112" t="str">
        <f>IF(H51="","",IF($I$8="A",(RANK(H51,H$11:H$363,1)+COUNTIF(H$11:H51,H51)-1),(RANK(H51,H$11:H$363)+COUNTIF(H$11:H51,H51)-1)))</f>
        <v/>
      </c>
      <c r="J51" s="58"/>
      <c r="K51" s="51">
        <f t="shared" si="13"/>
        <v>41</v>
      </c>
      <c r="L51" s="59" t="str">
        <f t="shared" si="14"/>
        <v>Thurrock</v>
      </c>
      <c r="M51" s="153">
        <f t="shared" si="20"/>
        <v>30.048022598870055</v>
      </c>
      <c r="N51" s="148">
        <f t="shared" si="21"/>
        <v>30.048022598870055</v>
      </c>
      <c r="O51" s="131" t="str">
        <f t="shared" si="3"/>
        <v/>
      </c>
      <c r="P51" s="131" t="str">
        <f t="shared" si="15"/>
        <v/>
      </c>
      <c r="Q51" s="131" t="str">
        <f t="shared" si="16"/>
        <v/>
      </c>
      <c r="R51" s="127">
        <f t="shared" si="17"/>
        <v>30.048022598870055</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Other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30.048022598870055</v>
      </c>
      <c r="AK51" s="57">
        <f>IF(AJ51="","",IF(I$8="A",(RANK(AJ51,AJ$11:AJ$363,1)+COUNTIF(AJ$11:AJ51,AJ51)-1),(RANK(AJ51,AJ$11:AJ$363)+COUNTIF(AJ$11:AJ51,AJ51)-1)))</f>
        <v>41</v>
      </c>
      <c r="AL51" s="52">
        <f t="shared" si="19"/>
        <v>41</v>
      </c>
      <c r="AM51" s="31" t="str">
        <f t="shared" si="24"/>
        <v>Thurrock</v>
      </c>
      <c r="AN51" s="31">
        <f t="shared" si="9"/>
        <v>30.048022598870055</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20.690132185674763</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23.195748987854252</v>
      </c>
      <c r="G52" s="105"/>
      <c r="H52" s="60" t="str">
        <f t="shared" si="2"/>
        <v/>
      </c>
      <c r="I52" s="112" t="str">
        <f>IF(H52="","",IF($I$8="A",(RANK(H52,H$11:H$363,1)+COUNTIF(H$11:H52,H52)-1),(RANK(H52,H$11:H$363)+COUNTIF(H$11:H52,H52)-1)))</f>
        <v/>
      </c>
      <c r="J52" s="58"/>
      <c r="K52" s="51">
        <f t="shared" si="13"/>
        <v>42</v>
      </c>
      <c r="L52" s="59" t="str">
        <f t="shared" si="14"/>
        <v>Cheshire East</v>
      </c>
      <c r="M52" s="153">
        <f t="shared" si="20"/>
        <v>30.986323555875472</v>
      </c>
      <c r="N52" s="148">
        <f t="shared" si="21"/>
        <v>30.986323555875472</v>
      </c>
      <c r="O52" s="131" t="str">
        <f t="shared" si="3"/>
        <v/>
      </c>
      <c r="P52" s="131" t="str">
        <f t="shared" si="15"/>
        <v/>
      </c>
      <c r="Q52" s="131" t="str">
        <f t="shared" si="16"/>
        <v/>
      </c>
      <c r="R52" s="127">
        <f t="shared" si="17"/>
        <v>30.986323555875472</v>
      </c>
      <c r="S52" s="60" t="str">
        <f t="shared" si="4"/>
        <v>u</v>
      </c>
      <c r="T52" s="231" t="str">
        <f>IF(L52="","",VLOOKUP(L52,classifications!C:K,9,FALSE))</f>
        <v>Sparse</v>
      </c>
      <c r="U52" s="238">
        <f t="shared" si="26"/>
        <v>30.986323555875472</v>
      </c>
      <c r="V52" s="239">
        <f>IF(U52="","",IF($I$8="A",(RANK(U52,U$11:U$363)+COUNTIF(U$11:U52,U52)-1),(RANK(U52,U$11:U$363,1)+COUNTIF(U$11:U52,U52)-1)))</f>
        <v>4</v>
      </c>
      <c r="W52" s="240"/>
      <c r="X52" s="61" t="str">
        <f>IF(L52="","",VLOOKUP($L52,classifications!$C:$J,6,FALSE))</f>
        <v>Rural-50</v>
      </c>
      <c r="Y52" s="49">
        <f t="shared" si="6"/>
        <v>30.986323555875472</v>
      </c>
      <c r="Z52" s="57">
        <f>IF(Y52="","",IF(I$8="A",(RANK(Y52,Y$11:Y$363,1)+COUNTIF(Y$11:Y52,Y52)-1),(RANK(Y52,Y$11:Y$363)+COUNTIF(Y$11:Y52,Y52)-1)))</f>
        <v>13</v>
      </c>
      <c r="AA52" s="245" t="str">
        <f>IF(L52="","",VLOOKUP($L52,classifications!C:I,7,FALSE))</f>
        <v>Predominantly Rural</v>
      </c>
      <c r="AB52" s="239">
        <f t="shared" si="7"/>
        <v>30.986323555875472</v>
      </c>
      <c r="AC52" s="239">
        <f>IF(AB52="","",IF($I$8="A",(RANK(AB52,AB$11:AB$363)+COUNTIF(AB$11:AB52,AB52)-1),(RANK(AB52,AB$11:AB$363,1)+COUNTIF(AB$11:AB52,AB52)-1)))</f>
        <v>5</v>
      </c>
      <c r="AD52" s="239"/>
      <c r="AE52" s="51" t="str">
        <f t="shared" si="25"/>
        <v/>
      </c>
      <c r="AG52" s="143"/>
      <c r="AH52" s="52"/>
      <c r="AI52" s="61" t="str">
        <f>IF(L52="","",VLOOKUP($L52,classifications!$C:$J,8,FALSE))</f>
        <v>Unitary</v>
      </c>
      <c r="AJ52" s="62">
        <f t="shared" si="0"/>
        <v>30.986323555875472</v>
      </c>
      <c r="AK52" s="57">
        <f>IF(AJ52="","",IF(I$8="A",(RANK(AJ52,AJ$11:AJ$363,1)+COUNTIF(AJ$11:AJ52,AJ52)-1),(RANK(AJ52,AJ$11:AJ$363)+COUNTIF(AJ$11:AJ52,AJ52)-1)))</f>
        <v>42</v>
      </c>
      <c r="AL52" s="52">
        <f t="shared" si="19"/>
        <v>42</v>
      </c>
      <c r="AM52" s="31" t="str">
        <f t="shared" si="24"/>
        <v>Cheshire East</v>
      </c>
      <c r="AN52" s="31">
        <f t="shared" si="9"/>
        <v>30.986323555875472</v>
      </c>
      <c r="AP52" s="61" t="str">
        <f>IF(L52="","",VLOOKUP($L52,classifications!$C:$E,3,FALSE))</f>
        <v>North West</v>
      </c>
      <c r="AQ52" s="62">
        <f t="shared" si="10"/>
        <v>30.986323555875472</v>
      </c>
      <c r="AR52" s="57">
        <f>IF(AQ52="","",IF(I$8="A",(RANK(AQ52,AQ$11:AQ$363,1)+COUNTIF(AQ$11:AQ52,AQ52)-1),(RANK(AQ52,AQ$11:AQ$363)+COUNTIF(AQ$11:AQ52,AQ52)-1)))</f>
        <v>5</v>
      </c>
      <c r="AS52" s="52" t="str">
        <f t="shared" si="23"/>
        <v/>
      </c>
      <c r="AT52" s="57" t="str">
        <f t="shared" si="11"/>
        <v/>
      </c>
      <c r="AU52" s="62" t="str">
        <f t="shared" si="12"/>
        <v/>
      </c>
      <c r="AX52" s="44">
        <f>HLOOKUP($AX$9&amp;$AX$10,Data!$A$1:$ZZ$2000,(MATCH($C52,Data!$A$1:$A$2000,0)),FALSE)</f>
        <v>23.195748987854252</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13.872949179671869</v>
      </c>
      <c r="G53" s="105"/>
      <c r="H53" s="60" t="str">
        <f t="shared" si="2"/>
        <v/>
      </c>
      <c r="I53" s="112" t="str">
        <f>IF(H53="","",IF($I$8="A",(RANK(H53,H$11:H$363,1)+COUNTIF(H$11:H53,H53)-1),(RANK(H53,H$11:H$363)+COUNTIF(H$11:H53,H53)-1)))</f>
        <v/>
      </c>
      <c r="J53" s="58"/>
      <c r="K53" s="51">
        <f t="shared" si="13"/>
        <v>43</v>
      </c>
      <c r="L53" s="59" t="str">
        <f t="shared" si="14"/>
        <v>Medway</v>
      </c>
      <c r="M53" s="153">
        <f t="shared" si="20"/>
        <v>31.146839546191249</v>
      </c>
      <c r="N53" s="148">
        <f t="shared" si="21"/>
        <v>31.146839546191249</v>
      </c>
      <c r="O53" s="131" t="str">
        <f t="shared" si="3"/>
        <v/>
      </c>
      <c r="P53" s="131" t="str">
        <f t="shared" si="15"/>
        <v/>
      </c>
      <c r="Q53" s="131" t="str">
        <f t="shared" si="16"/>
        <v/>
      </c>
      <c r="R53" s="127">
        <f t="shared" si="17"/>
        <v>31.146839546191249</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31.146839546191249</v>
      </c>
      <c r="AK53" s="57">
        <f>IF(AJ53="","",IF(I$8="A",(RANK(AJ53,AJ$11:AJ$363,1)+COUNTIF(AJ$11:AJ53,AJ53)-1),(RANK(AJ53,AJ$11:AJ$363)+COUNTIF(AJ$11:AJ53,AJ53)-1)))</f>
        <v>43</v>
      </c>
      <c r="AL53" s="52">
        <f t="shared" si="19"/>
        <v>43</v>
      </c>
      <c r="AM53" s="31" t="str">
        <f t="shared" si="24"/>
        <v>Medway</v>
      </c>
      <c r="AN53" s="31">
        <f t="shared" si="9"/>
        <v>31.146839546191249</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13.872949179671869</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15.526346776567559</v>
      </c>
      <c r="G54" s="105"/>
      <c r="H54" s="60" t="str">
        <f t="shared" si="2"/>
        <v/>
      </c>
      <c r="I54" s="112" t="str">
        <f>IF(H54="","",IF($I$8="A",(RANK(H54,H$11:H$363,1)+COUNTIF(H$11:H54,H54)-1),(RANK(H54,H$11:H$363)+COUNTIF(H$11:H54,H54)-1)))</f>
        <v/>
      </c>
      <c r="J54" s="58"/>
      <c r="K54" s="51">
        <f t="shared" si="13"/>
        <v>44</v>
      </c>
      <c r="L54" s="59" t="str">
        <f t="shared" si="14"/>
        <v>North East Lincolnshire</v>
      </c>
      <c r="M54" s="153">
        <f t="shared" si="20"/>
        <v>31.157499083241657</v>
      </c>
      <c r="N54" s="148">
        <f t="shared" si="21"/>
        <v>31.157499083241657</v>
      </c>
      <c r="O54" s="131" t="str">
        <f t="shared" si="3"/>
        <v/>
      </c>
      <c r="P54" s="131" t="str">
        <f t="shared" si="15"/>
        <v/>
      </c>
      <c r="Q54" s="131" t="str">
        <f t="shared" si="16"/>
        <v/>
      </c>
      <c r="R54" s="127">
        <f t="shared" si="17"/>
        <v>31.157499083241657</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Other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31.157499083241657</v>
      </c>
      <c r="AK54" s="57">
        <f>IF(AJ54="","",IF(I$8="A",(RANK(AJ54,AJ$11:AJ$363,1)+COUNTIF(AJ$11:AJ54,AJ54)-1),(RANK(AJ54,AJ$11:AJ$363)+COUNTIF(AJ$11:AJ54,AJ54)-1)))</f>
        <v>44</v>
      </c>
      <c r="AL54" s="52">
        <f t="shared" si="19"/>
        <v>44</v>
      </c>
      <c r="AM54" s="31" t="str">
        <f t="shared" si="24"/>
        <v>North East Lincolnshire</v>
      </c>
      <c r="AN54" s="31">
        <f t="shared" si="9"/>
        <v>31.157499083241657</v>
      </c>
      <c r="AP54" s="61" t="str">
        <f>IF(L54="","",VLOOKUP($L54,classifications!$C:$E,3,FALSE))</f>
        <v>Yorkshire &amp; Humberside</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15.526346776567559</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Wokingham</v>
      </c>
      <c r="M55" s="153">
        <f t="shared" si="20"/>
        <v>31.252307692307692</v>
      </c>
      <c r="N55" s="148">
        <f t="shared" si="21"/>
        <v>31.252307692307692</v>
      </c>
      <c r="O55" s="131" t="str">
        <f t="shared" si="3"/>
        <v/>
      </c>
      <c r="P55" s="131" t="str">
        <f t="shared" si="15"/>
        <v/>
      </c>
      <c r="Q55" s="131" t="str">
        <f t="shared" si="16"/>
        <v/>
      </c>
      <c r="R55" s="127">
        <f t="shared" si="17"/>
        <v>31.252307692307692</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Large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31.252307692307692</v>
      </c>
      <c r="AK55" s="57">
        <f>IF(AJ55="","",IF(I$8="A",(RANK(AJ55,AJ$11:AJ$363,1)+COUNTIF(AJ$11:AJ55,AJ55)-1),(RANK(AJ55,AJ$11:AJ$363)+COUNTIF(AJ$11:AJ55,AJ55)-1)))</f>
        <v>45</v>
      </c>
      <c r="AL55" s="52">
        <f t="shared" si="19"/>
        <v>45</v>
      </c>
      <c r="AM55" s="31" t="str">
        <f t="shared" si="24"/>
        <v>Wokingham</v>
      </c>
      <c r="AN55" s="31">
        <f t="shared" si="9"/>
        <v>31.252307692307692</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18.838216560509554</v>
      </c>
      <c r="G56" s="105"/>
      <c r="H56" s="60" t="str">
        <f t="shared" si="2"/>
        <v/>
      </c>
      <c r="I56" s="112" t="str">
        <f>IF(H56="","",IF($I$8="A",(RANK(H56,H$11:H$363,1)+COUNTIF(H$11:H56,H56)-1),(RANK(H56,H$11:H$363)+COUNTIF(H$11:H56,H56)-1)))</f>
        <v/>
      </c>
      <c r="J56" s="58"/>
      <c r="K56" s="51">
        <f t="shared" si="13"/>
        <v>46</v>
      </c>
      <c r="L56" s="59" t="str">
        <f t="shared" si="14"/>
        <v>Peterborough</v>
      </c>
      <c r="M56" s="153">
        <f t="shared" si="20"/>
        <v>32.726662299377658</v>
      </c>
      <c r="N56" s="148">
        <f t="shared" si="21"/>
        <v>32.726662299377658</v>
      </c>
      <c r="O56" s="131" t="str">
        <f t="shared" si="3"/>
        <v/>
      </c>
      <c r="P56" s="131" t="str">
        <f t="shared" si="15"/>
        <v/>
      </c>
      <c r="Q56" s="131" t="str">
        <f t="shared" si="16"/>
        <v/>
      </c>
      <c r="R56" s="127">
        <f t="shared" si="17"/>
        <v>32.726662299377658</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Other Urban</v>
      </c>
      <c r="Y56" s="49" t="str">
        <f t="shared" si="6"/>
        <v/>
      </c>
      <c r="Z56" s="57" t="str">
        <f>IF(Y56="","",IF(I$8="A",(RANK(Y56,Y$11:Y$363,1)+COUNTIF(Y$11:Y56,Y56)-1),(RANK(Y56,Y$11:Y$363)+COUNTIF(Y$11:Y56,Y56)-1)))</f>
        <v/>
      </c>
      <c r="AA56" s="245" t="str">
        <f>IF(L56="","",VLOOKUP($L56,classifications!C:I,7,FALSE))</f>
        <v>Predominantly Rural</v>
      </c>
      <c r="AB56" s="239">
        <f t="shared" si="7"/>
        <v>32.726662299377658</v>
      </c>
      <c r="AC56" s="239">
        <f>IF(AB56="","",IF($I$8="A",(RANK(AB56,AB$11:AB$363)+COUNTIF(AB$11:AB56,AB56)-1),(RANK(AB56,AB$11:AB$363,1)+COUNTIF(AB$11:AB56,AB56)-1)))</f>
        <v>4</v>
      </c>
      <c r="AD56" s="239"/>
      <c r="AE56" s="51" t="str">
        <f t="shared" si="25"/>
        <v/>
      </c>
      <c r="AG56" s="143"/>
      <c r="AH56" s="52"/>
      <c r="AI56" s="61" t="str">
        <f>IF(L56="","",VLOOKUP($L56,classifications!$C:$J,8,FALSE))</f>
        <v>Unitary</v>
      </c>
      <c r="AJ56" s="62">
        <f t="shared" si="0"/>
        <v>32.726662299377658</v>
      </c>
      <c r="AK56" s="57">
        <f>IF(AJ56="","",IF(I$8="A",(RANK(AJ56,AJ$11:AJ$363,1)+COUNTIF(AJ$11:AJ56,AJ56)-1),(RANK(AJ56,AJ$11:AJ$363)+COUNTIF(AJ$11:AJ56,AJ56)-1)))</f>
        <v>46</v>
      </c>
      <c r="AL56" s="52">
        <f t="shared" si="19"/>
        <v>46</v>
      </c>
      <c r="AM56" s="31" t="str">
        <f t="shared" si="24"/>
        <v>Peterborough</v>
      </c>
      <c r="AN56" s="31">
        <f t="shared" si="9"/>
        <v>32.726662299377658</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18.838216560509554</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16.029935581659721</v>
      </c>
      <c r="G57" s="105"/>
      <c r="H57" s="60" t="str">
        <f t="shared" si="2"/>
        <v/>
      </c>
      <c r="I57" s="112" t="str">
        <f>IF(H57="","",IF($I$8="A",(RANK(H57,H$11:H$363,1)+COUNTIF(H$11:H57,H57)-1),(RANK(H57,H$11:H$363)+COUNTIF(H$11:H57,H57)-1)))</f>
        <v/>
      </c>
      <c r="J57" s="58"/>
      <c r="K57" s="51">
        <f t="shared" si="13"/>
        <v>47</v>
      </c>
      <c r="L57" s="59" t="str">
        <f t="shared" si="14"/>
        <v>South Gloucestershire</v>
      </c>
      <c r="M57" s="153">
        <f t="shared" si="20"/>
        <v>32.959018603397141</v>
      </c>
      <c r="N57" s="148">
        <f t="shared" si="21"/>
        <v>32.959018603397141</v>
      </c>
      <c r="O57" s="131" t="str">
        <f t="shared" si="3"/>
        <v/>
      </c>
      <c r="P57" s="131" t="str">
        <f t="shared" si="15"/>
        <v/>
      </c>
      <c r="Q57" s="131" t="str">
        <f t="shared" si="16"/>
        <v/>
      </c>
      <c r="R57" s="127">
        <f t="shared" si="17"/>
        <v>32.959018603397141</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Large Urban</v>
      </c>
      <c r="Y57" s="49" t="str">
        <f t="shared" si="6"/>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32.959018603397141</v>
      </c>
      <c r="AK57" s="57">
        <f>IF(AJ57="","",IF(I$8="A",(RANK(AJ57,AJ$11:AJ$363,1)+COUNTIF(AJ$11:AJ57,AJ57)-1),(RANK(AJ57,AJ$11:AJ$363)+COUNTIF(AJ$11:AJ57,AJ57)-1)))</f>
        <v>47</v>
      </c>
      <c r="AL57" s="52">
        <f t="shared" si="19"/>
        <v>47</v>
      </c>
      <c r="AM57" s="31" t="str">
        <f t="shared" si="24"/>
        <v>South Gloucestershire</v>
      </c>
      <c r="AN57" s="31">
        <f t="shared" si="9"/>
        <v>32.959018603397141</v>
      </c>
      <c r="AP57" s="61" t="str">
        <f>IF(L57="","",VLOOKUP($L57,classifications!$C:$E,3,FALSE))</f>
        <v>South West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16.029935581659721</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18.637671462027434</v>
      </c>
      <c r="G58" s="105"/>
      <c r="H58" s="60" t="str">
        <f t="shared" si="2"/>
        <v/>
      </c>
      <c r="I58" s="112" t="str">
        <f>IF(H58="","",IF($I$8="A",(RANK(H58,H$11:H$363,1)+COUNTIF(H$11:H58,H58)-1),(RANK(H58,H$11:H$363)+COUNTIF(H$11:H58,H58)-1)))</f>
        <v/>
      </c>
      <c r="J58" s="58"/>
      <c r="K58" s="51">
        <f t="shared" si="13"/>
        <v>48</v>
      </c>
      <c r="L58" s="59" t="str">
        <f t="shared" si="14"/>
        <v>Cheshire West &amp; Chester</v>
      </c>
      <c r="M58" s="153">
        <f t="shared" si="20"/>
        <v>33.101427371956341</v>
      </c>
      <c r="N58" s="148">
        <f t="shared" si="21"/>
        <v>33.101427371956341</v>
      </c>
      <c r="O58" s="131" t="str">
        <f t="shared" si="3"/>
        <v/>
      </c>
      <c r="P58" s="131" t="str">
        <f t="shared" si="15"/>
        <v/>
      </c>
      <c r="Q58" s="131" t="str">
        <f t="shared" si="16"/>
        <v/>
      </c>
      <c r="R58" s="127">
        <f t="shared" si="17"/>
        <v>33.101427371956341</v>
      </c>
      <c r="S58" s="60" t="str">
        <f t="shared" si="4"/>
        <v/>
      </c>
      <c r="T58" s="231" t="str">
        <f>IF(L58="","",VLOOKUP(L58,classifications!C:K,9,FALSE))</f>
        <v>Sparse</v>
      </c>
      <c r="U58" s="238">
        <f t="shared" si="26"/>
        <v>33.101427371956341</v>
      </c>
      <c r="V58" s="239">
        <f>IF(U58="","",IF($I$8="A",(RANK(U58,U$11:U$363)+COUNTIF(U$11:U58,U58)-1),(RANK(U58,U$11:U$363,1)+COUNTIF(U$11:U58,U58)-1)))</f>
        <v>3</v>
      </c>
      <c r="W58" s="240"/>
      <c r="X58" s="61" t="str">
        <f>IF(L58="","",VLOOKUP($L58,classifications!$C:$J,6,FALSE))</f>
        <v>Significant Rural</v>
      </c>
      <c r="Y58" s="49">
        <f t="shared" si="6"/>
        <v>33.101427371956341</v>
      </c>
      <c r="Z58" s="57">
        <f>IF(Y58="","",IF(I$8="A",(RANK(Y58,Y$11:Y$363,1)+COUNTIF(Y$11:Y58,Y58)-1),(RANK(Y58,Y$11:Y$363)+COUNTIF(Y$11:Y58,Y58)-1)))</f>
        <v>14</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33.101427371956341</v>
      </c>
      <c r="AK58" s="57">
        <f>IF(AJ58="","",IF(I$8="A",(RANK(AJ58,AJ$11:AJ$363,1)+COUNTIF(AJ$11:AJ58,AJ58)-1),(RANK(AJ58,AJ$11:AJ$363)+COUNTIF(AJ$11:AJ58,AJ58)-1)))</f>
        <v>48</v>
      </c>
      <c r="AL58" s="52">
        <f t="shared" si="19"/>
        <v>48</v>
      </c>
      <c r="AM58" s="31" t="str">
        <f t="shared" si="24"/>
        <v>Cheshire West &amp; Chester</v>
      </c>
      <c r="AN58" s="31">
        <f t="shared" si="9"/>
        <v>33.101427371956341</v>
      </c>
      <c r="AP58" s="61" t="str">
        <f>IF(L58="","",VLOOKUP($L58,classifications!$C:$E,3,FALSE))</f>
        <v>North West</v>
      </c>
      <c r="AQ58" s="62">
        <f t="shared" si="10"/>
        <v>33.101427371956341</v>
      </c>
      <c r="AR58" s="57">
        <f>IF(AQ58="","",IF(I$8="A",(RANK(AQ58,AQ$11:AQ$363,1)+COUNTIF(AQ$11:AQ58,AQ58)-1),(RANK(AQ58,AQ$11:AQ$363)+COUNTIF(AQ$11:AQ58,AQ58)-1)))</f>
        <v>6</v>
      </c>
      <c r="AS58" s="52" t="str">
        <f t="shared" si="23"/>
        <v/>
      </c>
      <c r="AT58" s="57" t="str">
        <f t="shared" si="11"/>
        <v/>
      </c>
      <c r="AU58" s="62" t="str">
        <f t="shared" si="12"/>
        <v/>
      </c>
      <c r="AX58" s="44">
        <f>HLOOKUP($AX$9&amp;$AX$10,Data!$A$1:$ZZ$2000,(MATCH($C58,Data!$A$1:$A$2000,0)),FALSE)</f>
        <v>18.637671462027434</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21.215319148936171</v>
      </c>
      <c r="G59" s="105"/>
      <c r="H59" s="60" t="str">
        <f t="shared" si="2"/>
        <v/>
      </c>
      <c r="I59" s="112" t="str">
        <f>IF(H59="","",IF($I$8="A",(RANK(H59,H$11:H$363,1)+COUNTIF(H$11:H59,H59)-1),(RANK(H59,H$11:H$363)+COUNTIF(H$11:H59,H59)-1)))</f>
        <v/>
      </c>
      <c r="J59" s="58"/>
      <c r="K59" s="51">
        <f t="shared" si="13"/>
        <v>49</v>
      </c>
      <c r="L59" s="59" t="str">
        <f t="shared" si="14"/>
        <v>York</v>
      </c>
      <c r="M59" s="153">
        <f t="shared" si="20"/>
        <v>33.983560090702944</v>
      </c>
      <c r="N59" s="148">
        <f t="shared" si="21"/>
        <v>33.983560090702944</v>
      </c>
      <c r="O59" s="131" t="str">
        <f t="shared" si="3"/>
        <v/>
      </c>
      <c r="P59" s="131" t="str">
        <f t="shared" si="15"/>
        <v/>
      </c>
      <c r="Q59" s="131" t="str">
        <f t="shared" si="16"/>
        <v/>
      </c>
      <c r="R59" s="127">
        <f t="shared" si="17"/>
        <v>33.983560090702944</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Other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33.983560090702944</v>
      </c>
      <c r="AK59" s="57">
        <f>IF(AJ59="","",IF(I$8="A",(RANK(AJ59,AJ$11:AJ$363,1)+COUNTIF(AJ$11:AJ59,AJ59)-1),(RANK(AJ59,AJ$11:AJ$363)+COUNTIF(AJ$11:AJ59,AJ59)-1)))</f>
        <v>49</v>
      </c>
      <c r="AL59" s="52">
        <f t="shared" si="19"/>
        <v>49</v>
      </c>
      <c r="AM59" s="31" t="str">
        <f t="shared" si="24"/>
        <v>York</v>
      </c>
      <c r="AN59" s="31">
        <f t="shared" si="9"/>
        <v>33.983560090702944</v>
      </c>
      <c r="AP59" s="61" t="str">
        <f>IF(L59="","",VLOOKUP($L59,classifications!$C:$E,3,FALSE))</f>
        <v>Yorkshire &amp; Humberside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21.215319148936171</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23.084718923198732</v>
      </c>
      <c r="G60" s="105"/>
      <c r="H60" s="60" t="str">
        <f t="shared" si="2"/>
        <v/>
      </c>
      <c r="I60" s="112" t="str">
        <f>IF(H60="","",IF($I$8="A",(RANK(H60,H$11:H$363,1)+COUNTIF(H$11:H60,H60)-1),(RANK(H60,H$11:H$363)+COUNTIF(H$11:H60,H60)-1)))</f>
        <v/>
      </c>
      <c r="J60" s="58"/>
      <c r="K60" s="51">
        <f t="shared" si="13"/>
        <v>50</v>
      </c>
      <c r="L60" s="59" t="str">
        <f t="shared" si="14"/>
        <v>Central Bedfordshire</v>
      </c>
      <c r="M60" s="153">
        <f t="shared" si="20"/>
        <v>36.476190476190474</v>
      </c>
      <c r="N60" s="148">
        <f t="shared" si="21"/>
        <v>36.476190476190474</v>
      </c>
      <c r="O60" s="131" t="str">
        <f t="shared" si="3"/>
        <v/>
      </c>
      <c r="P60" s="131" t="str">
        <f t="shared" si="15"/>
        <v/>
      </c>
      <c r="Q60" s="131" t="str">
        <f t="shared" si="16"/>
        <v/>
      </c>
      <c r="R60" s="127">
        <f t="shared" si="17"/>
        <v>36.476190476190474</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Rural-50</v>
      </c>
      <c r="Y60" s="49">
        <f t="shared" si="6"/>
        <v>36.476190476190474</v>
      </c>
      <c r="Z60" s="57">
        <f>IF(Y60="","",IF(I$8="A",(RANK(Y60,Y$11:Y$363,1)+COUNTIF(Y$11:Y60,Y60)-1),(RANK(Y60,Y$11:Y$363)+COUNTIF(Y$11:Y60,Y60)-1)))</f>
        <v>15</v>
      </c>
      <c r="AA60" s="245" t="str">
        <f>IF(L60="","",VLOOKUP($L60,classifications!C:I,7,FALSE))</f>
        <v>Predominantly Rural</v>
      </c>
      <c r="AB60" s="239">
        <f t="shared" si="7"/>
        <v>36.476190476190474</v>
      </c>
      <c r="AC60" s="239">
        <f>IF(AB60="","",IF($I$8="A",(RANK(AB60,AB$11:AB$363)+COUNTIF(AB$11:AB60,AB60)-1),(RANK(AB60,AB$11:AB$363,1)+COUNTIF(AB$11:AB60,AB60)-1)))</f>
        <v>3</v>
      </c>
      <c r="AD60" s="239"/>
      <c r="AE60" s="51" t="str">
        <f t="shared" si="25"/>
        <v/>
      </c>
      <c r="AG60" s="143"/>
      <c r="AH60" s="52"/>
      <c r="AI60" s="61" t="str">
        <f>IF(L60="","",VLOOKUP($L60,classifications!$C:$J,8,FALSE))</f>
        <v>Unitary</v>
      </c>
      <c r="AJ60" s="62">
        <f t="shared" si="0"/>
        <v>36.476190476190474</v>
      </c>
      <c r="AK60" s="57">
        <f>IF(AJ60="","",IF(I$8="A",(RANK(AJ60,AJ$11:AJ$363,1)+COUNTIF(AJ$11:AJ60,AJ60)-1),(RANK(AJ60,AJ$11:AJ$363)+COUNTIF(AJ$11:AJ60,AJ60)-1)))</f>
        <v>50</v>
      </c>
      <c r="AL60" s="52">
        <f t="shared" si="19"/>
        <v>50</v>
      </c>
      <c r="AM60" s="31" t="str">
        <f t="shared" si="24"/>
        <v>Central Bedfordshire</v>
      </c>
      <c r="AN60" s="31">
        <f t="shared" si="9"/>
        <v>36.476190476190474</v>
      </c>
      <c r="AP60" s="61" t="str">
        <f>IF(L60="","",VLOOKUP($L60,classifications!$C:$E,3,FALSE))</f>
        <v>East of England</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23.084718923198732</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36.476190476190474</v>
      </c>
      <c r="G61" s="105"/>
      <c r="H61" s="60">
        <f t="shared" si="2"/>
        <v>36.476190476190474</v>
      </c>
      <c r="I61" s="112">
        <f>IF(H61="","",IF($I$8="A",(RANK(H61,H$11:H$363,1)+COUNTIF(H$11:H61,H61)-1),(RANK(H61,H$11:H$363)+COUNTIF(H$11:H61,H61)-1)))</f>
        <v>50</v>
      </c>
      <c r="J61" s="58"/>
      <c r="K61" s="51">
        <f t="shared" si="13"/>
        <v>51</v>
      </c>
      <c r="L61" s="59" t="str">
        <f t="shared" si="14"/>
        <v>North Lincolnshire</v>
      </c>
      <c r="M61" s="153">
        <f t="shared" si="20"/>
        <v>37.026943984873554</v>
      </c>
      <c r="N61" s="148">
        <f t="shared" si="21"/>
        <v>37.026943984873554</v>
      </c>
      <c r="O61" s="131" t="str">
        <f t="shared" si="3"/>
        <v/>
      </c>
      <c r="P61" s="131" t="str">
        <f t="shared" si="15"/>
        <v/>
      </c>
      <c r="Q61" s="131" t="str">
        <f t="shared" si="16"/>
        <v/>
      </c>
      <c r="R61" s="127">
        <f t="shared" si="17"/>
        <v>37.026943984873554</v>
      </c>
      <c r="S61" s="60" t="str">
        <f t="shared" si="4"/>
        <v/>
      </c>
      <c r="T61" s="231" t="str">
        <f>IF(L61="","",VLOOKUP(L61,classifications!C:K,9,FALSE))</f>
        <v>Sparse</v>
      </c>
      <c r="U61" s="238">
        <f t="shared" si="26"/>
        <v>37.026943984873554</v>
      </c>
      <c r="V61" s="239">
        <f>IF(U61="","",IF($I$8="A",(RANK(U61,U$11:U$363)+COUNTIF(U$11:U61,U61)-1),(RANK(U61,U$11:U$363,1)+COUNTIF(U$11:U61,U61)-1)))</f>
        <v>2</v>
      </c>
      <c r="W61" s="240"/>
      <c r="X61" s="61" t="str">
        <f>IF(L61="","",VLOOKUP($L61,classifications!$C:$J,6,FALSE))</f>
        <v>Rural-50</v>
      </c>
      <c r="Y61" s="49">
        <f t="shared" si="6"/>
        <v>37.026943984873554</v>
      </c>
      <c r="Z61" s="57">
        <f>IF(Y61="","",IF(I$8="A",(RANK(Y61,Y$11:Y$363,1)+COUNTIF(Y$11:Y61,Y61)-1),(RANK(Y61,Y$11:Y$363)+COUNTIF(Y$11:Y61,Y61)-1)))</f>
        <v>16</v>
      </c>
      <c r="AA61" s="245" t="str">
        <f>IF(L61="","",VLOOKUP($L61,classifications!C:I,7,FALSE))</f>
        <v>Predominantly Rural</v>
      </c>
      <c r="AB61" s="239">
        <f t="shared" si="7"/>
        <v>37.026943984873554</v>
      </c>
      <c r="AC61" s="239">
        <f>IF(AB61="","",IF($I$8="A",(RANK(AB61,AB$11:AB$363)+COUNTIF(AB$11:AB61,AB61)-1),(RANK(AB61,AB$11:AB$363,1)+COUNTIF(AB$11:AB61,AB61)-1)))</f>
        <v>2</v>
      </c>
      <c r="AD61" s="239"/>
      <c r="AE61" s="51" t="str">
        <f t="shared" si="25"/>
        <v/>
      </c>
      <c r="AG61" s="143"/>
      <c r="AH61" s="52"/>
      <c r="AI61" s="61" t="str">
        <f>IF(L61="","",VLOOKUP($L61,classifications!$C:$J,8,FALSE))</f>
        <v>Unitary</v>
      </c>
      <c r="AJ61" s="62">
        <f t="shared" si="0"/>
        <v>37.026943984873554</v>
      </c>
      <c r="AK61" s="57">
        <f>IF(AJ61="","",IF(I$8="A",(RANK(AJ61,AJ$11:AJ$363,1)+COUNTIF(AJ$11:AJ61,AJ61)-1),(RANK(AJ61,AJ$11:AJ$363)+COUNTIF(AJ$11:AJ61,AJ61)-1)))</f>
        <v>51</v>
      </c>
      <c r="AL61" s="52">
        <f t="shared" si="19"/>
        <v>51</v>
      </c>
      <c r="AM61" s="31" t="str">
        <f t="shared" si="24"/>
        <v>North Lincolnshire</v>
      </c>
      <c r="AN61" s="31">
        <f t="shared" si="9"/>
        <v>37.026943984873554</v>
      </c>
      <c r="AP61" s="61" t="str">
        <f>IF(L61="","",VLOOKUP($L61,classifications!$C:$E,3,FALSE))</f>
        <v>Yorkshire &amp; Humberside</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36.476190476190474</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25.891358910003586</v>
      </c>
      <c r="G62" s="105"/>
      <c r="H62" s="60" t="str">
        <f t="shared" si="2"/>
        <v/>
      </c>
      <c r="I62" s="112" t="str">
        <f>IF(H62="","",IF($I$8="A",(RANK(H62,H$11:H$363,1)+COUNTIF(H$11:H62,H62)-1),(RANK(H62,H$11:H$363)+COUNTIF(H$11:H62,H62)-1)))</f>
        <v/>
      </c>
      <c r="J62" s="58"/>
      <c r="K62" s="51">
        <f t="shared" si="13"/>
        <v>52</v>
      </c>
      <c r="L62" s="59" t="str">
        <f t="shared" si="14"/>
        <v>Shropshire</v>
      </c>
      <c r="M62" s="153">
        <f t="shared" si="20"/>
        <v>39.024232295801127</v>
      </c>
      <c r="N62" s="148">
        <f t="shared" si="21"/>
        <v>39.024232295801127</v>
      </c>
      <c r="O62" s="131" t="str">
        <f t="shared" si="3"/>
        <v/>
      </c>
      <c r="P62" s="131" t="str">
        <f t="shared" si="15"/>
        <v/>
      </c>
      <c r="Q62" s="131" t="str">
        <f t="shared" si="16"/>
        <v/>
      </c>
      <c r="R62" s="127">
        <f t="shared" si="17"/>
        <v>39.024232295801127</v>
      </c>
      <c r="S62" s="60" t="str">
        <f t="shared" si="4"/>
        <v/>
      </c>
      <c r="T62" s="231" t="str">
        <f>IF(L62="","",VLOOKUP(L62,classifications!C:K,9,FALSE))</f>
        <v>Sparse</v>
      </c>
      <c r="U62" s="238">
        <f t="shared" si="26"/>
        <v>39.024232295801127</v>
      </c>
      <c r="V62" s="239">
        <f>IF(U62="","",IF($I$8="A",(RANK(U62,U$11:U$363)+COUNTIF(U$11:U62,U62)-1),(RANK(U62,U$11:U$363,1)+COUNTIF(U$11:U62,U62)-1)))</f>
        <v>1</v>
      </c>
      <c r="W62" s="240"/>
      <c r="X62" s="61" t="str">
        <f>IF(L62="","",VLOOKUP($L62,classifications!$C:$J,6,FALSE))</f>
        <v>Rural-50</v>
      </c>
      <c r="Y62" s="49">
        <f t="shared" si="6"/>
        <v>39.024232295801127</v>
      </c>
      <c r="Z62" s="57">
        <f>IF(Y62="","",IF(I$8="A",(RANK(Y62,Y$11:Y$363,1)+COUNTIF(Y$11:Y62,Y62)-1),(RANK(Y62,Y$11:Y$363)+COUNTIF(Y$11:Y62,Y62)-1)))</f>
        <v>17</v>
      </c>
      <c r="AA62" s="245" t="str">
        <f>IF(L62="","",VLOOKUP($L62,classifications!C:I,7,FALSE))</f>
        <v>Predominantly Rural</v>
      </c>
      <c r="AB62" s="239">
        <f t="shared" si="7"/>
        <v>39.024232295801127</v>
      </c>
      <c r="AC62" s="239">
        <f>IF(AB62="","",IF($I$8="A",(RANK(AB62,AB$11:AB$363)+COUNTIF(AB$11:AB62,AB62)-1),(RANK(AB62,AB$11:AB$363,1)+COUNTIF(AB$11:AB62,AB62)-1)))</f>
        <v>1</v>
      </c>
      <c r="AD62" s="239"/>
      <c r="AE62" s="51" t="str">
        <f t="shared" si="25"/>
        <v/>
      </c>
      <c r="AG62" s="143"/>
      <c r="AH62" s="52"/>
      <c r="AI62" s="61" t="str">
        <f>IF(L62="","",VLOOKUP($L62,classifications!$C:$J,8,FALSE))</f>
        <v>Unitary</v>
      </c>
      <c r="AJ62" s="62">
        <f t="shared" si="0"/>
        <v>39.024232295801127</v>
      </c>
      <c r="AK62" s="57">
        <f>IF(AJ62="","",IF(I$8="A",(RANK(AJ62,AJ$11:AJ$363,1)+COUNTIF(AJ$11:AJ62,AJ62)-1),(RANK(AJ62,AJ$11:AJ$363)+COUNTIF(AJ$11:AJ62,AJ62)-1)))</f>
        <v>52</v>
      </c>
      <c r="AL62" s="52">
        <f t="shared" si="19"/>
        <v>52</v>
      </c>
      <c r="AM62" s="31" t="str">
        <f t="shared" si="24"/>
        <v>Shropshire</v>
      </c>
      <c r="AN62" s="31">
        <f t="shared" si="9"/>
        <v>39.024232295801127</v>
      </c>
      <c r="AP62" s="61" t="str">
        <f>IF(L62="","",VLOOKUP($L62,classifications!$C:$E,3,FALSE))</f>
        <v>West Midlands</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25.891358910003586</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16.932161830813239</v>
      </c>
      <c r="G63" s="105"/>
      <c r="H63" s="60" t="str">
        <f t="shared" si="2"/>
        <v/>
      </c>
      <c r="I63" s="112" t="str">
        <f>IF(H63="","",IF($I$8="A",(RANK(H63,H$11:H$363,1)+COUNTIF(H$11:H63,H63)-1),(RANK(H63,H$11:H$363)+COUNTIF(H$11:H63,H63)-1)))</f>
        <v/>
      </c>
      <c r="J63" s="58"/>
      <c r="K63" s="51">
        <f t="shared" si="13"/>
        <v>53</v>
      </c>
      <c r="L63" s="59" t="str">
        <f t="shared" si="14"/>
        <v>Derby</v>
      </c>
      <c r="M63" s="153">
        <f t="shared" si="20"/>
        <v>40.589195435504841</v>
      </c>
      <c r="N63" s="148">
        <f t="shared" si="21"/>
        <v>40.589195435504841</v>
      </c>
      <c r="O63" s="131" t="str">
        <f t="shared" si="3"/>
        <v/>
      </c>
      <c r="P63" s="131" t="str">
        <f t="shared" si="15"/>
        <v/>
      </c>
      <c r="Q63" s="131" t="str">
        <f t="shared" si="16"/>
        <v/>
      </c>
      <c r="R63" s="127">
        <f t="shared" si="17"/>
        <v>40.589195435504841</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Other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40.589195435504841</v>
      </c>
      <c r="AK63" s="57">
        <f>IF(AJ63="","",IF(I$8="A",(RANK(AJ63,AJ$11:AJ$363,1)+COUNTIF(AJ$11:AJ63,AJ63)-1),(RANK(AJ63,AJ$11:AJ$363)+COUNTIF(AJ$11:AJ63,AJ63)-1)))</f>
        <v>53</v>
      </c>
      <c r="AL63" s="52">
        <f t="shared" si="19"/>
        <v>53</v>
      </c>
      <c r="AM63" s="31" t="str">
        <f t="shared" si="24"/>
        <v>Derby</v>
      </c>
      <c r="AN63" s="31">
        <f t="shared" si="9"/>
        <v>40.589195435504841</v>
      </c>
      <c r="AP63" s="61" t="str">
        <f>IF(L63="","",VLOOKUP($L63,classifications!$C:$E,3,FALSE))</f>
        <v>East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16.932161830813239</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19.030951471150171</v>
      </c>
      <c r="G64" s="105"/>
      <c r="H64" s="60" t="str">
        <f t="shared" si="2"/>
        <v/>
      </c>
      <c r="I64" s="112" t="str">
        <f>IF(H64="","",IF($I$8="A",(RANK(H64,H$11:H$363,1)+COUNTIF(H$11:H64,H64)-1),(RANK(H64,H$11:H$363)+COUNTIF(H$11:H64,H64)-1)))</f>
        <v/>
      </c>
      <c r="J64" s="58"/>
      <c r="K64" s="51">
        <f t="shared" si="13"/>
        <v>54</v>
      </c>
      <c r="L64" s="59" t="str">
        <f t="shared" si="14"/>
        <v>Nottingham</v>
      </c>
      <c r="M64" s="153">
        <f t="shared" si="20"/>
        <v>40.626253710984514</v>
      </c>
      <c r="N64" s="148">
        <f t="shared" si="21"/>
        <v>40.626253710984514</v>
      </c>
      <c r="O64" s="131" t="str">
        <f t="shared" si="3"/>
        <v/>
      </c>
      <c r="P64" s="131" t="str">
        <f t="shared" si="15"/>
        <v/>
      </c>
      <c r="Q64" s="131" t="str">
        <f t="shared" si="16"/>
        <v/>
      </c>
      <c r="R64" s="127">
        <f t="shared" si="17"/>
        <v>40.626253710984514</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Large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40.626253710984514</v>
      </c>
      <c r="AK64" s="57">
        <f>IF(AJ64="","",IF(I$8="A",(RANK(AJ64,AJ$11:AJ$363,1)+COUNTIF(AJ$11:AJ64,AJ64)-1),(RANK(AJ64,AJ$11:AJ$363)+COUNTIF(AJ$11:AJ64,AJ64)-1)))</f>
        <v>54</v>
      </c>
      <c r="AL64" s="52">
        <f t="shared" si="19"/>
        <v>54</v>
      </c>
      <c r="AM64" s="31" t="str">
        <f t="shared" si="24"/>
        <v>Nottingham</v>
      </c>
      <c r="AN64" s="31">
        <f t="shared" si="9"/>
        <v>40.626253710984514</v>
      </c>
      <c r="AP64" s="61" t="str">
        <f>IF(L64="","",VLOOKUP($L64,classifications!$C:$E,3,FALSE))</f>
        <v>East Midlands</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19.030951471150171</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16.004554865424431</v>
      </c>
      <c r="G65" s="105"/>
      <c r="H65" s="60" t="str">
        <f t="shared" si="2"/>
        <v/>
      </c>
      <c r="I65" s="112" t="str">
        <f>IF(H65="","",IF($I$8="A",(RANK(H65,H$11:H$363,1)+COUNTIF(H$11:H65,H65)-1),(RANK(H65,H$11:H$363)+COUNTIF(H$11:H65,H65)-1)))</f>
        <v/>
      </c>
      <c r="J65" s="58"/>
      <c r="K65" s="51" t="str">
        <f t="shared" si="13"/>
        <v/>
      </c>
      <c r="L65" s="59" t="str">
        <f t="shared" si="14"/>
        <v/>
      </c>
      <c r="M65" s="153" t="str">
        <f t="shared" si="20"/>
        <v/>
      </c>
      <c r="N65" s="148" t="str">
        <f t="shared" si="21"/>
        <v/>
      </c>
      <c r="O65" s="131" t="str">
        <f t="shared" si="3"/>
        <v/>
      </c>
      <c r="P65" s="131" t="str">
        <f t="shared" si="15"/>
        <v/>
      </c>
      <c r="Q65" s="131" t="str">
        <f t="shared" si="16"/>
        <v/>
      </c>
      <c r="R65" s="127" t="str">
        <f t="shared" si="17"/>
        <v/>
      </c>
      <c r="S65" s="60" t="str">
        <f t="shared" si="4"/>
        <v/>
      </c>
      <c r="T65" s="231" t="str">
        <f>IF(L65="","",VLOOKUP(L65,classifications!C:K,9,FALSE))</f>
        <v/>
      </c>
      <c r="U65" s="238" t="str">
        <f t="shared" si="26"/>
        <v/>
      </c>
      <c r="V65" s="239" t="str">
        <f>IF(U65="","",IF($I$8="A",(RANK(U65,U$11:U$363)+COUNTIF(U$11:U65,U65)-1),(RANK(U65,U$11:U$363,1)+COUNTIF(U$11:U65,U65)-1)))</f>
        <v/>
      </c>
      <c r="W65" s="240"/>
      <c r="X65" s="61" t="str">
        <f>IF(L65="","",VLOOKUP($L65,classifications!$C:$J,6,FALSE))</f>
        <v/>
      </c>
      <c r="Y65" s="49" t="str">
        <f t="shared" si="6"/>
        <v/>
      </c>
      <c r="Z65" s="57" t="str">
        <f>IF(Y65="","",IF(I$8="A",(RANK(Y65,Y$11:Y$363,1)+COUNTIF(Y$11:Y65,Y65)-1),(RANK(Y65,Y$11:Y$363)+COUNTIF(Y$11:Y65,Y65)-1)))</f>
        <v/>
      </c>
      <c r="AA65" s="245" t="str">
        <f>IF(L65="","",VLOOKUP($L65,classifications!C:I,7,FALSE))</f>
        <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16.004554865424431</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30.986323555875472</v>
      </c>
      <c r="G66" s="105"/>
      <c r="H66" s="60">
        <f t="shared" si="2"/>
        <v>30.986323555875472</v>
      </c>
      <c r="I66" s="112">
        <f>IF(H66="","",IF($I$8="A",(RANK(H66,H$11:H$363,1)+COUNTIF(H$11:H66,H66)-1),(RANK(H66,H$11:H$363)+COUNTIF(H$11:H66,H66)-1)))</f>
        <v>42</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30.986323555875472</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33.101427371956341</v>
      </c>
      <c r="G67" s="105"/>
      <c r="H67" s="60">
        <f t="shared" si="2"/>
        <v>33.101427371956341</v>
      </c>
      <c r="I67" s="112">
        <f>IF(H67="","",IF($I$8="A",(RANK(H67,H$11:H$363,1)+COUNTIF(H$11:H67,H67)-1),(RANK(H67,H$11:H$363)+COUNTIF(H$11:H67,H67)-1)))</f>
        <v>48</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33.101427371956341</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27.559176672384218</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27.559176672384218</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21.793618116314978</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21.793618116314978</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13.935294117647059</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13.935294117647059</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21.844522968197879</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21.844522968197879</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19.168449197860962</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19.168449197860962</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20.726315789473684</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20.726315789473684</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40.626253710984514</v>
      </c>
      <c r="G74" s="105"/>
      <c r="H74" s="60">
        <f t="shared" si="2"/>
        <v>40.626253710984514</v>
      </c>
      <c r="I74" s="112">
        <f>IF(H74="","",IF($I$8="A",(RANK(H74,H$11:H$363,1)+COUNTIF(H$11:H74,H74)-1),(RANK(H74,H$11:H$363)+COUNTIF(H$11:H74,H74)-1)))</f>
        <v>54</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40.626253710984514</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27.666069600818833</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27.666069600818833</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23.867437722419929</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23.867437722419929</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17.612917594654789</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17.612917594654789</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22.247213375796179</v>
      </c>
      <c r="G78" s="105"/>
      <c r="H78" s="60">
        <f t="shared" si="28"/>
        <v>22.247213375796179</v>
      </c>
      <c r="I78" s="112">
        <f>IF(H78="","",IF($I$8="A",(RANK(H78,H$11:H$363,1)+COUNTIF(H$11:H78,H78)-1),(RANK(H78,H$11:H$363)+COUNTIF(H$11:H78,H78)-1)))</f>
        <v>30</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22.247213375796179</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10.972602739726028</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10.972602739726028</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21.178634846224874</v>
      </c>
      <c r="G80" s="105"/>
      <c r="H80" s="60">
        <f t="shared" si="28"/>
        <v>21.178634846224874</v>
      </c>
      <c r="I80" s="112">
        <f>IF(H80="","",IF($I$8="A",(RANK(H80,H$11:H$363,1)+COUNTIF(H$11:H80,H80)-1),(RANK(H80,H$11:H$363)+COUNTIF(H$11:H80,H80)-1)))</f>
        <v>26</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21.178634846224874</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22.164536569648803</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22.164536569648803</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24.979338842975206</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24.979338842975206</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13.114886731391586</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13.114886731391586</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24.49354073292908</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24.49354073292908</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28.296244296244296</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28.296244296244296</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10.189274447949527</v>
      </c>
      <c r="G87" s="105"/>
      <c r="H87" s="60">
        <f t="shared" si="28"/>
        <v>10.189274447949527</v>
      </c>
      <c r="I87" s="112">
        <f>IF(H87="","",IF($I$8="A",(RANK(H87,H$11:H$363,1)+COUNTIF(H$11:H87,H87)-1),(RANK(H87,H$11:H$363)+COUNTIF(H$11:H87,H87)-1)))</f>
        <v>1</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10.189274447949527</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26.810668229777256</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26.810668229777256</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29.226452905811623</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29.226452905811623</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40.589195435504841</v>
      </c>
      <c r="G90" s="105"/>
      <c r="H90" s="60">
        <f t="shared" si="28"/>
        <v>40.589195435504841</v>
      </c>
      <c r="I90" s="112">
        <f>IF(H90="","",IF($I$8="A",(RANK(H90,H$11:H$363,1)+COUNTIF(H$11:H90,H90)-1),(RANK(H90,H$11:H$363)+COUNTIF(H$11:H90,H90)-1)))</f>
        <v>53</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40.589195435504841</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17.971177944862156</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17.971177944862156</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50.85292109626451</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50.85292109626451</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14.23929388689114</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14.23929388689114</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15.751428969747664</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15.751428969747664</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20.091226031377108</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20.091226031377108</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16.481717011128776</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16.481717011128776</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12.276442307692308</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12.276442307692308</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20.392561983471076</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20.392561983471076</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22.929980903882878</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22.929980903882878</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22.929729729729729</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22.929729729729729</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21.51689732861281</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21.51689732861281</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35.880190605854324</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35.880190605854324</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18.041772554002542</v>
      </c>
      <c r="G106" s="105"/>
      <c r="H106" s="60">
        <f t="shared" si="28"/>
        <v>18.041772554002542</v>
      </c>
      <c r="I106" s="112">
        <f>IF(H106="","",IF($I$8="A",(RANK(H106,H$11:H$363,1)+COUNTIF(H$11:H106,H106)-1),(RANK(H106,H$11:H$363)+COUNTIF(H$11:H106,H106)-1)))</f>
        <v>13</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18.041772554002542</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24.066641133665261</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24.066641133665261</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20.75986742994878</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20.75986742994878</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15.927528393726339</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15.927528393726339</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24.989942528735632</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24.989942528735632</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12.509273570324575</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12.509273570324575</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23.343868795481697</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23.343868795481697</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24.452247191011235</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24.452247191011235</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39.494529540481402</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39.494529540481402</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18.864208242950109</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18.864208242950109</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18.378428927680797</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18.378428927680797</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19.794781382228489</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19.794781382228489</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21.530874097834804</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21.530874097834804</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15.818694601128122</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15.818694601128122</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15.336300692383778</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15.336300692383778</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18.325224071702944</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18.325224071702944</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27.31029740416022</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27.31029740416022</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11.959700093720713</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11.959700093720713</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17.859143155694881</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17.859143155694881</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16.417638114546374</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16.417638114546374</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22.52095347943099</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22.52095347943099</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28.022016512384287</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28.022016512384287</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38.168829532568978</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38.168829532568978</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19.586610486891384</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19.586610486891384</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19.951310462390794</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19.951310462390794</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14.778051029818629</v>
      </c>
      <c r="G134" s="105"/>
      <c r="H134" s="60">
        <f t="shared" si="28"/>
        <v>14.778051029818629</v>
      </c>
      <c r="I134" s="112">
        <f>IF(H134="","",IF($I$8="A",(RANK(H134,H$11:H$363,1)+COUNTIF(H$11:H134,H134)-1),(RANK(H134,H$11:H$363)+COUNTIF(H$11:H134,H134)-1)))</f>
        <v>6</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14.778051029818629</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25.827480916030535</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25.827480916030535</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30.799538638985005</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30.799538638985005</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18.828125</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18.828125</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38.279747739171825</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38.279747739171825</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22.128278688524592</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22.128278688524592</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26.715576592082616</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26.715576592082616</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20.544677020031511</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20.544677020031511</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20.39801699716714</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20.39801699716714</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20.160720353380903</v>
      </c>
      <c r="G144" s="105"/>
      <c r="H144" s="60">
        <f t="shared" si="52"/>
        <v>20.160720353380903</v>
      </c>
      <c r="I144" s="112">
        <f>IF(H144="","",IF($I$8="A",(RANK(H144,H$11:H$363,1)+COUNTIF(H$11:H144,H144)-1),(RANK(H144,H$11:H$363)+COUNTIF(H$11:H144,H144)-1)))</f>
        <v>19</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20.160720353380903</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11.572357723577236</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11.572357723577236</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15.080126515550869</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15.080126515550869</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26.912046908315563</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26.912046908315563</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12.187860291624279</v>
      </c>
      <c r="G148" s="105"/>
      <c r="H148" s="60">
        <f t="shared" si="52"/>
        <v>12.187860291624279</v>
      </c>
      <c r="I148" s="112">
        <f>IF(H148="","",IF($I$8="A",(RANK(H148,H$11:H$363,1)+COUNTIF(H$11:H148,H148)-1),(RANK(H148,H$11:H$363)+COUNTIF(H$11:H148,H148)-1)))</f>
        <v>3</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12.187860291624279</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16.98149290561382</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16.98149290561382</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17.821253071253071</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17.821253071253071</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10.140207972270364</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10.140207972270364</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18.025948103792416</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18.025948103792416</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16.367454068241472</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16.367454068241472</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20.125297923050731</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20.125297923050731</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24.843976777939041</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24.843976777939041</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19.201480263157894</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19.201480263157894</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21.376541961577352</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21.376541961577352</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21.550568521843207</v>
      </c>
      <c r="G159" s="105"/>
      <c r="H159" s="60">
        <f t="shared" si="52"/>
        <v>21.550568521843207</v>
      </c>
      <c r="I159" s="112">
        <f>IF(H159="","",IF($I$8="A",(RANK(H159,H$11:H$363,1)+COUNTIF(H$11:H159,H159)-1),(RANK(H159,H$11:H$363)+COUNTIF(H$11:H159,H159)-1)))</f>
        <v>27</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21.550568521843207</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17.727399944024629</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17.727399944024629</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16.960571710202071</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16.960571710202071</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15.020774845592364</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15.020774845592364</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20.263094521372668</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20.263094521372668</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25.673504128010894</v>
      </c>
      <c r="G166" s="105"/>
      <c r="H166" s="60">
        <f t="shared" si="52"/>
        <v>25.673504128010894</v>
      </c>
      <c r="I166" s="112">
        <f>IF(H166="","",IF($I$8="A",(RANK(H166,H$11:H$363,1)+COUNTIF(H$11:H166,H166)-1),(RANK(H166,H$11:H$363)+COUNTIF(H$11:H166,H166)-1)))</f>
        <v>35</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25.673504128010894</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27.078389830508474</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27.078389830508474</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23.128555389221557</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23.128555389221557</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31.026433026433025</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31.026433026433025</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25.097488372093022</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25.097488372093022</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20.890525610980916</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20.890525610980916</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29.533082118038564</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29.533082118038564</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21.880040020010004</v>
      </c>
      <c r="G174" s="105"/>
      <c r="H174" s="60">
        <f t="shared" si="52"/>
        <v>21.880040020010004</v>
      </c>
      <c r="I174" s="112">
        <f>IF(H174="","",IF($I$8="A",(RANK(H174,H$11:H$363,1)+COUNTIF(H$11:H174,H174)-1),(RANK(H174,H$11:H$363)+COUNTIF(H$11:H174,H174)-1)))</f>
        <v>29</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21.880040020010004</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19.539809714571859</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19.539809714571859</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13.915693084938427</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13.915693084938427</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25.165384615384614</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25.165384615384614</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24.179508196721311</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24.179508196721311</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24.18714566376649</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24.18714566376649</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21.738749570594297</v>
      </c>
      <c r="G182" s="105"/>
      <c r="H182" s="60">
        <f t="shared" si="52"/>
        <v>21.738749570594297</v>
      </c>
      <c r="I182" s="112">
        <f>IF(H182="","",IF($I$8="A",(RANK(H182,H$11:H$363,1)+COUNTIF(H$11:H182,H182)-1),(RANK(H182,H$11:H$363)+COUNTIF(H$11:H182,H182)-1)))</f>
        <v>28</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21.738749570594297</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14.689123071132856</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14.689123071132856</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14.201248049921997</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14.201248049921997</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19.370912220309812</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19.370912220309812</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28.415308929327125</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28.415308929327125</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27.841279420639712</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27.841279420639712</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13.605042016806722</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13.605042016806722</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18.797587834294703</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18.797587834294703</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30.588248001728235</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30.588248001728235</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18.684210526315791</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18.684210526315791</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24.344927536231886</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24.344927536231886</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16.485229415461973</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16.485229415461973</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21.061842808768489</v>
      </c>
      <c r="G194" s="105"/>
      <c r="H194" s="60">
        <f t="shared" si="52"/>
        <v>21.061842808768489</v>
      </c>
      <c r="I194" s="112">
        <f>IF(H194="","",IF($I$8="A",(RANK(H194,H$11:H$363,1)+COUNTIF(H$11:H194,H194)-1),(RANK(H194,H$11:H$363)+COUNTIF(H$11:H194,H194)-1)))</f>
        <v>23</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21.061842808768489</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19.920873929731325</v>
      </c>
      <c r="G195" s="105"/>
      <c r="H195" s="60">
        <f t="shared" si="52"/>
        <v>19.920873929731325</v>
      </c>
      <c r="I195" s="112">
        <f>IF(H195="","",IF($I$8="A",(RANK(H195,H$11:H$363,1)+COUNTIF(H$11:H195,H195)-1),(RANK(H195,H$11:H$363)+COUNTIF(H$11:H195,H195)-1)))</f>
        <v>18</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19.920873929731325</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21.31285988483685</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21.31285988483685</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18.022094926350245</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18.022094926350245</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34.340938441670254</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34.340938441670254</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31.773990027475325</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31.773990027475325</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31.952973183054802</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31.952973183054802</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30.053167082294266</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30.053167082294266</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14.05104305370617</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14.05104305370617</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21.505859375</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21.505859375</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21.313432835820894</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21.313432835820894</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31.157499083241657</v>
      </c>
      <c r="G206" s="105"/>
      <c r="H206" s="60">
        <f t="shared" si="75"/>
        <v>31.157499083241657</v>
      </c>
      <c r="I206" s="112">
        <f>IF(H206="","",IF($I$8="A",(RANK(H206,H$11:H$363,1)+COUNTIF(H$11:H206,H206)-1),(RANK(H206,H$11:H$363)+COUNTIF(H$11:H206,H206)-1)))</f>
        <v>44</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31.157499083241657</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22.720518358531319</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22.720518358531319</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11.515073765234124</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11.515073765234124</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37.026943984873554</v>
      </c>
      <c r="G209" s="105"/>
      <c r="H209" s="60">
        <f t="shared" si="75"/>
        <v>37.026943984873554</v>
      </c>
      <c r="I209" s="112">
        <f>IF(H209="","",IF($I$8="A",(RANK(H209,H$11:H$363,1)+COUNTIF(H$11:H209,H209)-1),(RANK(H209,H$11:H$363)+COUNTIF(H$11:H209,H209)-1)))</f>
        <v>51</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37.026943984873554</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t="str">
        <f t="shared" si="74"/>
        <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t="str">
        <f>HLOOKUP($AX$9&amp;$AX$10,Data!$A$1:$ZZ$2000,(MATCH($C210,Data!$A$1:$A$2000,0)),FALSE)</f>
        <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20.484228684080829</v>
      </c>
      <c r="G211" s="105"/>
      <c r="H211" s="60">
        <f t="shared" si="75"/>
        <v>20.484228684080829</v>
      </c>
      <c r="I211" s="112">
        <f>IF(H211="","",IF($I$8="A",(RANK(H211,H$11:H$363,1)+COUNTIF(H$11:H211,H211)-1),(RANK(H211,H$11:H$363)+COUNTIF(H$11:H211,H211)-1)))</f>
        <v>21</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20.484228684080829</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23.679027355623099</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23.679027355623099</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19.290640394088669</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19.290640394088669</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18.900338983050847</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18.900338983050847</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26.378275290215587</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26.378275290215587</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17.588345323741006</v>
      </c>
      <c r="G218" s="105"/>
      <c r="H218" s="60">
        <f t="shared" si="75"/>
        <v>17.588345323741006</v>
      </c>
      <c r="I218" s="112">
        <f>IF(H218="","",IF($I$8="A",(RANK(H218,H$11:H$363,1)+COUNTIF(H$11:H218,H218)-1),(RANK(H218,H$11:H$363)+COUNTIF(H$11:H218,H218)-1)))</f>
        <v>12</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17.588345323741006</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28.942553969996339</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28.942553969996339</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16.63574351978172</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16.63574351978172</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14.244034707158351</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14.244034707158351</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27.769850595937552</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27.769850595937552</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17.977641653905053</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17.977641653905053</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25.066330814441645</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25.066330814441645</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32.726662299377658</v>
      </c>
      <c r="G227" s="105"/>
      <c r="H227" s="60">
        <f t="shared" si="75"/>
        <v>32.726662299377658</v>
      </c>
      <c r="I227" s="112">
        <f>IF(H227="","",IF($I$8="A",(RANK(H227,H$11:H$363,1)+COUNTIF(H$11:H227,H227)-1),(RANK(H227,H$11:H$363)+COUNTIF(H$11:H227,H227)-1)))</f>
        <v>46</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32.726662299377658</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13.210231067183118</v>
      </c>
      <c r="G228" s="105"/>
      <c r="H228" s="60">
        <f t="shared" si="75"/>
        <v>13.210231067183118</v>
      </c>
      <c r="I228" s="112">
        <f>IF(H228="","",IF($I$8="A",(RANK(H228,H$11:H$363,1)+COUNTIF(H$11:H228,H228)-1),(RANK(H228,H$11:H$363)+COUNTIF(H$11:H228,H228)-1)))</f>
        <v>4</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13.210231067183118</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20.732318104906938</v>
      </c>
      <c r="G229" s="105"/>
      <c r="H229" s="60">
        <f t="shared" si="75"/>
        <v>20.732318104906938</v>
      </c>
      <c r="I229" s="112">
        <f>IF(H229="","",IF($I$8="A",(RANK(H229,H$11:H$363,1)+COUNTIF(H$11:H229,H229)-1),(RANK(H229,H$11:H$363)+COUNTIF(H$11:H229,H229)-1)))</f>
        <v>22</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20.732318104906938</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29.316905444126075</v>
      </c>
      <c r="G230" s="105"/>
      <c r="H230" s="60">
        <f t="shared" si="75"/>
        <v>29.316905444126075</v>
      </c>
      <c r="I230" s="112">
        <f>IF(H230="","",IF($I$8="A",(RANK(H230,H$11:H$363,1)+COUNTIF(H$11:H230,H230)-1),(RANK(H230,H$11:H$363)+COUNTIF(H$11:H230,H230)-1)))</f>
        <v>40</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29.316905444126075</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18.213059386434001</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18.213059386434001</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24.586764705882352</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24.586764705882352</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17.339617834394904</v>
      </c>
      <c r="G233" s="105"/>
      <c r="H233" s="60">
        <f t="shared" si="75"/>
        <v>17.339617834394904</v>
      </c>
      <c r="I233" s="112">
        <f>IF(H233="","",IF($I$8="A",(RANK(H233,H$11:H$363,1)+COUNTIF(H$11:H233,H233)-1),(RANK(H233,H$11:H$363)+COUNTIF(H$11:H233,H233)-1)))</f>
        <v>10</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17.339617834394904</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26.919437340153454</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26.919437340153454</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24.365638766519822</v>
      </c>
      <c r="G235" s="105"/>
      <c r="H235" s="60">
        <f t="shared" si="75"/>
        <v>24.365638766519822</v>
      </c>
      <c r="I235" s="112">
        <f>IF(H235="","",IF($I$8="A",(RANK(H235,H$11:H$363,1)+COUNTIF(H$11:H235,H235)-1),(RANK(H235,H$11:H$363)+COUNTIF(H$11:H235,H235)-1)))</f>
        <v>34</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24.365638766519822</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14.181267662494953</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14.181267662494953</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21.866634799235182</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21.866634799235182</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22.92412746585736</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22.92412746585736</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18.747147589252851</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18.747147589252851</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36.59110473457676</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36.59110473457676</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25.897063322116857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25.897063322116857</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21.558394160583941</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21.558394160583941</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26.411111111111111</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26.411111111111111</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24.436742934051143</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24.436742934051143</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20.40758541427228</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20.40758541427228</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22.514661274014156</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22.514661274014156</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16.664435146443516</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16.664435146443516</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12.278296988577363</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12.278296988577363</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4.9037656903765692</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4.9037656903765692</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19.134564643799472</v>
      </c>
      <c r="G250" s="105"/>
      <c r="H250" s="60">
        <f t="shared" si="75"/>
        <v>19.134564643799472</v>
      </c>
      <c r="I250" s="112">
        <f>IF(H250="","",IF($I$8="A",(RANK(H250,H$11:H$363,1)+COUNTIF(H$11:H250,H250)-1),(RANK(H250,H$11:H$363)+COUNTIF(H$11:H250,H250)-1)))</f>
        <v>16</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19.134564643799472</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64.129761904761907</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64.129761904761907</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25.09900276342665</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25.09900276342665</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23.633976366023635</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23.633976366023635</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18.211183819155266</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18.211183819155266</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9.0952189634391321</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9.0952189634391321</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24.575194537081149</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24.575194537081149</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22.105439892545334</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22.105439892545334</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28.421494542401344</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28.421494542401344</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21.319092410425792</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21.319092410425792</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12.222265778126225</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12.222265778126225</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39.024232295801127</v>
      </c>
      <c r="G261" s="105"/>
      <c r="H261" s="60">
        <f t="shared" si="75"/>
        <v>39.024232295801127</v>
      </c>
      <c r="I261" s="112">
        <f>IF(H261="","",IF($I$8="A",(RANK(H261,H$11:H$363,1)+COUNTIF(H$11:H261,H261)-1),(RANK(H261,H$11:H$363)+COUNTIF(H$11:H261,H261)-1)))</f>
        <v>52</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39.024232295801127</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20.42526864213611</v>
      </c>
      <c r="G262" s="105"/>
      <c r="H262" s="60">
        <f t="shared" si="75"/>
        <v>20.42526864213611</v>
      </c>
      <c r="I262" s="112">
        <f>IF(H262="","",IF($I$8="A",(RANK(H262,H$11:H$363,1)+COUNTIF(H$11:H262,H262)-1),(RANK(H262,H$11:H$363)+COUNTIF(H$11:H262,H262)-1)))</f>
        <v>20</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20.42526864213611</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26.990979381443299</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26.990979381443299</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17.046875</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17.046875</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13.012174875484227</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13.012174875484227</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15.393894266567386</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15.393894266567386</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32.959018603397141</v>
      </c>
      <c r="G268" s="105"/>
      <c r="H268" s="60">
        <f t="shared" si="99"/>
        <v>32.959018603397141</v>
      </c>
      <c r="I268" s="112">
        <f>IF(H268="","",IF($I$8="A",(RANK(H268,H$11:H$363,1)+COUNTIF(H$11:H268,H268)-1),(RANK(H268,H$11:H$363)+COUNTIF(H$11:H268,H268)-1)))</f>
        <v>47</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32.959018603397141</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29.857879234167893</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29.857879234167893</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22.707301173402868</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22.707301173402868</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12.333714285714287</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12.333714285714287</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27.280149812734081</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27.280149812734081</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12.097546728971963</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12.097546728971963</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9.1985018726591754</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9.1985018726591754</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13.491472868217054</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13.491472868217054</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22.914007571660356</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22.914007571660356</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38.981154651510622</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38.981154651510622</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14.250598563447726</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14.250598563447726</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23.435298852887904</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23.435298852887904</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14.731398908558498</v>
      </c>
      <c r="G280" s="105"/>
      <c r="H280" s="60">
        <f t="shared" si="99"/>
        <v>14.731398908558498</v>
      </c>
      <c r="I280" s="112">
        <f>IF(H280="","",IF($I$8="A",(RANK(H280,H$11:H$363,1)+COUNTIF(H$11:H280,H280)-1),(RANK(H280,H$11:H$363)+COUNTIF(H$11:H280,H280)-1)))</f>
        <v>5</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14.731398908558498</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21.172611464968153</v>
      </c>
      <c r="G281" s="105"/>
      <c r="H281" s="60">
        <f t="shared" si="99"/>
        <v>21.172611464968153</v>
      </c>
      <c r="I281" s="112">
        <f>IF(H281="","",IF($I$8="A",(RANK(H281,H$11:H$363,1)+COUNTIF(H$11:H281,H281)-1),(RANK(H281,H$11:H$363)+COUNTIF(H$11:H281,H281)-1)))</f>
        <v>25</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21.172611464968153</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21.56841607565012</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21.56841607565012</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26.499375000000001</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26.499375000000001</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38.936898395721926</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38.936898395721926</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13.322951605174893</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13.322951605174893</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26.455897126783203</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26.455897126783203</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15.502944640753828</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15.502944640753828</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20.307045215562567</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20.307045215562567</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30.031190926275993</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30.031190926275993</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18.143794423182065</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18.143794423182065</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18.901736309864528</v>
      </c>
      <c r="G292" s="105"/>
      <c r="H292" s="60">
        <f t="shared" si="99"/>
        <v>18.901736309864528</v>
      </c>
      <c r="I292" s="112">
        <f>IF(H292="","",IF($I$8="A",(RANK(H292,H$11:H$363,1)+COUNTIF(H$11:H292,H292)-1),(RANK(H292,H$11:H$363)+COUNTIF(H$11:H292,H292)-1)))</f>
        <v>14</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18.901736309864528</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14.998013902681231</v>
      </c>
      <c r="G293" s="105"/>
      <c r="H293" s="60">
        <f t="shared" si="99"/>
        <v>14.998013902681231</v>
      </c>
      <c r="I293" s="112">
        <f>IF(H293="","",IF($I$8="A",(RANK(H293,H$11:H$363,1)+COUNTIF(H$11:H293,H293)-1),(RANK(H293,H$11:H$363)+COUNTIF(H$11:H293,H293)-1)))</f>
        <v>7</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14.998013902681231</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20.817204301075268</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20.817204301075268</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15.25083426028921</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15.25083426028921</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32.110120942075113</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32.110120942075113</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17.951325040562466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17.951325040562466</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26.435438265786992</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26.435438265786992</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16.663941605839415</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16.663941605839415</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18.74064346684176</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18.74064346684176</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16.08532240826505</v>
      </c>
      <c r="G303" s="105"/>
      <c r="H303" s="60">
        <f t="shared" si="99"/>
        <v>16.08532240826505</v>
      </c>
      <c r="I303" s="112">
        <f>IF(H303="","",IF($I$8="A",(RANK(H303,H$11:H$363,1)+COUNTIF(H$11:H303,H303)-1),(RANK(H303,H$11:H$363)+COUNTIF(H$11:H303,H303)-1)))</f>
        <v>8</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16.08532240826505</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24.40480935299588</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24.40480935299588</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31.525656324582339</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31.525656324582339</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19.482320942883046</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19.482320942883046</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13.447718631178708</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13.447718631178708</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17.154825462012319</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17.154825462012319</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12.149090233939845</v>
      </c>
      <c r="G309" s="105"/>
      <c r="H309" s="60">
        <f t="shared" si="99"/>
        <v>12.149090233939845</v>
      </c>
      <c r="I309" s="112">
        <f>IF(H309="","",IF($I$8="A",(RANK(H309,H$11:H$363,1)+COUNTIF(H$11:H309,H309)-1),(RANK(H309,H$11:H$363)+COUNTIF(H$11:H309,H309)-1)))</f>
        <v>2</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12.149090233939845</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5.9123249299719891</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5.9123249299719891</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19.286880466472304</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19.286880466472304</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26.928947368421053</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26.928947368421053</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15.402348117778606</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15.402348117778606</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31.146839546191249</v>
      </c>
      <c r="G314" s="105"/>
      <c r="H314" s="60">
        <f t="shared" si="99"/>
        <v>31.146839546191249</v>
      </c>
      <c r="I314" s="112">
        <f>IF(H314="","",IF($I$8="A",(RANK(H314,H$11:H$363,1)+COUNTIF(H$11:H314,H314)-1),(RANK(H314,H$11:H$363)+COUNTIF(H$11:H314,H314)-1)))</f>
        <v>43</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31.146839546191249</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18.850642927794262</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18.850642927794262</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30.048022598870055</v>
      </c>
      <c r="G316" s="105"/>
      <c r="H316" s="60">
        <f t="shared" si="99"/>
        <v>30.048022598870055</v>
      </c>
      <c r="I316" s="112">
        <f>IF(H316="","",IF($I$8="A",(RANK(H316,H$11:H$363,1)+COUNTIF(H$11:H316,H316)-1),(RANK(H316,H$11:H$363)+COUNTIF(H$11:H316,H316)-1)))</f>
        <v>41</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30.048022598870055</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36.443985849056602</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36.443985849056602</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22.925659472422062</v>
      </c>
      <c r="G318" s="105"/>
      <c r="H318" s="60">
        <f t="shared" si="99"/>
        <v>22.925659472422062</v>
      </c>
      <c r="I318" s="112">
        <f>IF(H318="","",IF($I$8="A",(RANK(H318,H$11:H$363,1)+COUNTIF(H$11:H318,H318)-1),(RANK(H318,H$11:H$363)+COUNTIF(H$11:H318,H318)-1)))</f>
        <v>33</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22.925659472422062</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15.472691807542263</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15.472691807542263</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23.932583017606419</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23.932583017606419</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16.119587109768378</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16.119587109768378</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15.765674477517416</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15.765674477517416</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21.62785388127854</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21.62785388127854</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13.084697508896797</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13.084697508896797</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24.659432933478737</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24.659432933478737</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32.414830736163353</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32.414830736163353</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33.510034033564139</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33.510034033564139</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23.897027275513331</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23.897027275513331</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26.247660187185026</v>
      </c>
      <c r="G329" s="105"/>
      <c r="H329" s="60">
        <f t="shared" si="99"/>
        <v>26.247660187185026</v>
      </c>
      <c r="I329" s="112">
        <f>IF(H329="","",IF($I$8="A",(RANK(H329,H$11:H$363,1)+COUNTIF(H$11:H329,H329)-1),(RANK(H329,H$11:H$363)+COUNTIF(H$11:H329,H329)-1)))</f>
        <v>36</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26.247660187185026</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23.514594594594595</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23.514594594594595</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16.860522022838499</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16.860522022838499</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32.060634920634918</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32.060634920634918</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16.56515373352855</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16.56515373352855</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25.149829738933029</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25.149829738933029</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21.737664875427456</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21.737664875427456</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14.546108861898336</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14.546108861898336</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19.242205151378219</v>
      </c>
      <c r="G338" s="105"/>
      <c r="H338" s="60">
        <f t="shared" si="122"/>
        <v>19.242205151378219</v>
      </c>
      <c r="I338" s="112">
        <f>IF(H338="","",IF($I$8="A",(RANK(H338,H$11:H$363,1)+COUNTIF(H$11:H338,H338)-1),(RANK(H338,H$11:H$363)+COUNTIF(H$11:H338,H338)-1)))</f>
        <v>17</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19.242205151378219</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28.14327485380117</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28.14327485380117</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21.784513805522209</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21.784513805522209</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25.768822905620361</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25.768822905620361</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19.561829211385909</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19.561829211385909</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12.892686261107313</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12.892686261107313</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19.467265725288833</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19.467265725288833</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29.218602745339069</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29.218602745339069</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22.498525073746311</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22.498525073746311</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37.372964837871116</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37.372964837871116</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27.571598414795243</v>
      </c>
      <c r="G349" s="105"/>
      <c r="H349" s="60">
        <f t="shared" si="122"/>
        <v>27.571598414795243</v>
      </c>
      <c r="I349" s="112">
        <f>IF(H349="","",IF($I$8="A",(RANK(H349,H$11:H$363,1)+COUNTIF(H$11:H349,H349)-1),(RANK(H349,H$11:H$363)+COUNTIF(H$11:H349,H349)-1)))</f>
        <v>38</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27.571598414795243</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18.230115361262904</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18.230115361262904</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22.586440677966102</v>
      </c>
      <c r="G351" s="105"/>
      <c r="H351" s="60">
        <f t="shared" si="122"/>
        <v>22.586440677966102</v>
      </c>
      <c r="I351" s="112">
        <f>IF(H351="","",IF($I$8="A",(RANK(H351,H$11:H$363,1)+COUNTIF(H$11:H351,H351)-1),(RANK(H351,H$11:H$363)+COUNTIF(H$11:H351,H351)-1)))</f>
        <v>32</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22.586440677966102</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24.970001456239988</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24.970001456239988</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21.727380248373745</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21.727380248373745</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31.252307692307692</v>
      </c>
      <c r="G354" s="105"/>
      <c r="H354" s="60">
        <f t="shared" si="122"/>
        <v>31.252307692307692</v>
      </c>
      <c r="I354" s="112">
        <f>IF(H354="","",IF($I$8="A",(RANK(H354,H$11:H$363,1)+COUNTIF(H$11:H354,H354)-1),(RANK(H354,H$11:H$363)+COUNTIF(H$11:H354,H354)-1)))</f>
        <v>45</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31.252307692307692</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19.216049382716051</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19.216049382716051</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17.275945017182131</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17.275945017182131</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23.204412989175687</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23.204412989175687</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20.303770578863517</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20.303770578863517</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17.977191413237925</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17.977191413237925</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16.436132983377078</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16.436132983377078</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20.913682277318642</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20.913682277318642</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33.983560090702944</v>
      </c>
      <c r="G363" s="105"/>
      <c r="H363" s="60">
        <f t="shared" si="122"/>
        <v>33.983560090702944</v>
      </c>
      <c r="I363" s="112">
        <f>IF(H363="","",IF($I$8="A",(RANK(H363,H$11:H$363,1)+COUNTIF(H$11:H363,H363)-1),(RANK(H363,H$11:H$363)+COUNTIF(H$11:H363,H363)-1)))</f>
        <v>49</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33.983560090702944</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D3" sqref="D3"/>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898</v>
      </c>
      <c r="G2" s="6"/>
      <c r="H2" s="6"/>
    </row>
    <row r="3" spans="1:8" ht="15">
      <c r="A3" s="269" t="s">
        <v>897</v>
      </c>
      <c r="B3" t="s">
        <v>831</v>
      </c>
      <c r="C3" t="s">
        <v>831</v>
      </c>
      <c r="D3" t="s">
        <v>888</v>
      </c>
      <c r="F3" t="s">
        <v>899</v>
      </c>
      <c r="G3" s="6"/>
    </row>
    <row r="4" spans="1:8" ht="15">
      <c r="A4" s="269"/>
      <c r="F4" s="6" t="s">
        <v>900</v>
      </c>
      <c r="G4" s="6"/>
    </row>
    <row r="5" spans="1:8" ht="15">
      <c r="A5" s="269"/>
      <c r="B5" s="6"/>
      <c r="E5" s="6"/>
      <c r="F5" s="6" t="s">
        <v>901</v>
      </c>
    </row>
    <row r="6" spans="1:8" ht="15">
      <c r="A6" s="269"/>
      <c r="B6" s="49"/>
      <c r="E6" s="6"/>
      <c r="F6" s="6" t="s">
        <v>902</v>
      </c>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B3" sqref="B3"/>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2013/14</v>
      </c>
      <c r="D1" s="188" t="str">
        <f t="shared" ref="D1:BO1" si="0">D4&amp;D5</f>
        <v>Housing Benefit - Change of CircumstancesQ1 2013/14</v>
      </c>
      <c r="E1" s="188" t="str">
        <f t="shared" si="0"/>
        <v>Housing Benefit - New ClaimsQ2 2013/14</v>
      </c>
      <c r="F1" s="188" t="str">
        <f t="shared" si="0"/>
        <v>Housing Benefit - Change of CircumstancesQ2 2013/14</v>
      </c>
      <c r="G1" s="188" t="str">
        <f t="shared" si="0"/>
        <v>Housing Benefit - New ClaimsQ3 2013/14</v>
      </c>
      <c r="H1" s="188" t="str">
        <f t="shared" si="0"/>
        <v>Housing Benefit - Change of CircumstancesQ3 2013/14</v>
      </c>
      <c r="I1" s="188" t="str">
        <f t="shared" si="0"/>
        <v>Housing Benefit - New ClaimsQ4 2013/14</v>
      </c>
      <c r="J1" s="188" t="str">
        <f t="shared" si="0"/>
        <v>Housing Benefit - Change of CircumstancesQ4 2013/14</v>
      </c>
      <c r="K1" s="188" t="str">
        <f t="shared" si="0"/>
        <v>Housing Benefit - New ClaimsYear 2013/14</v>
      </c>
      <c r="L1" s="188" t="str">
        <f t="shared" si="0"/>
        <v>Housing Benefit - Change of CircumstancesYear 2013/14</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904</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896</v>
      </c>
      <c r="D4" s="269" t="s">
        <v>897</v>
      </c>
      <c r="E4" s="269" t="s">
        <v>896</v>
      </c>
      <c r="F4" s="269" t="s">
        <v>897</v>
      </c>
      <c r="G4" s="269" t="s">
        <v>896</v>
      </c>
      <c r="H4" s="269" t="s">
        <v>897</v>
      </c>
      <c r="I4" s="181" t="s">
        <v>896</v>
      </c>
      <c r="J4" s="183" t="s">
        <v>897</v>
      </c>
      <c r="K4" s="183" t="s">
        <v>896</v>
      </c>
      <c r="L4" s="179" t="s">
        <v>897</v>
      </c>
      <c r="M4" s="183"/>
      <c r="N4" s="179"/>
      <c r="O4" s="181"/>
      <c r="P4" s="181"/>
      <c r="Q4" s="181"/>
      <c r="R4" s="183"/>
      <c r="S4" s="183"/>
      <c r="T4" s="183"/>
      <c r="U4" s="181"/>
      <c r="V4" s="361"/>
      <c r="W4" s="361"/>
      <c r="X4" s="179"/>
      <c r="Y4" s="179"/>
    </row>
    <row r="5" spans="1:77" ht="30" customHeight="1">
      <c r="A5" s="359"/>
      <c r="B5" s="191" t="s">
        <v>369</v>
      </c>
      <c r="C5" s="269" t="s">
        <v>898</v>
      </c>
      <c r="D5" s="269" t="s">
        <v>898</v>
      </c>
      <c r="E5" s="269" t="s">
        <v>899</v>
      </c>
      <c r="F5" s="269" t="s">
        <v>899</v>
      </c>
      <c r="G5" s="269" t="s">
        <v>900</v>
      </c>
      <c r="H5" s="269" t="s">
        <v>900</v>
      </c>
      <c r="I5" s="182" t="s">
        <v>901</v>
      </c>
      <c r="J5" s="165" t="s">
        <v>901</v>
      </c>
      <c r="K5" s="165" t="s">
        <v>902</v>
      </c>
      <c r="L5" s="179" t="s">
        <v>902</v>
      </c>
      <c r="M5" s="165"/>
      <c r="N5" s="179"/>
      <c r="O5" s="182"/>
      <c r="P5" s="182"/>
      <c r="Q5" s="182"/>
      <c r="R5" s="165"/>
      <c r="S5" s="165"/>
      <c r="T5" s="165"/>
      <c r="U5" s="182"/>
      <c r="V5" s="362"/>
      <c r="W5" s="362"/>
      <c r="X5" s="179"/>
      <c r="Y5" s="179"/>
    </row>
    <row r="6" spans="1:77" ht="14.65" customHeight="1">
      <c r="A6" s="359"/>
      <c r="B6" s="191" t="s">
        <v>370</v>
      </c>
      <c r="C6" s="217" t="s">
        <v>903</v>
      </c>
      <c r="D6" s="217" t="s">
        <v>903</v>
      </c>
      <c r="E6" s="217" t="s">
        <v>903</v>
      </c>
      <c r="F6" s="217" t="s">
        <v>903</v>
      </c>
      <c r="G6" s="217" t="s">
        <v>903</v>
      </c>
      <c r="H6" s="217" t="s">
        <v>903</v>
      </c>
      <c r="I6" s="182" t="s">
        <v>903</v>
      </c>
      <c r="J6" s="165" t="s">
        <v>903</v>
      </c>
      <c r="K6" s="165" t="s">
        <v>903</v>
      </c>
      <c r="L6" s="179" t="s">
        <v>903</v>
      </c>
      <c r="M6" s="165"/>
      <c r="N6" s="179"/>
      <c r="O6" s="182"/>
      <c r="P6" s="182"/>
      <c r="Q6" s="182"/>
      <c r="R6" s="165"/>
      <c r="S6" s="165"/>
      <c r="T6" s="165"/>
      <c r="U6" s="181"/>
      <c r="V6" s="361"/>
      <c r="W6" s="361"/>
      <c r="X6" s="179"/>
      <c r="Y6" s="179"/>
    </row>
    <row r="7" spans="1:77" ht="14.65" customHeight="1">
      <c r="A7" s="186" t="s">
        <v>4</v>
      </c>
      <c r="B7" s="186"/>
      <c r="C7">
        <v>17</v>
      </c>
      <c r="D7">
        <v>14</v>
      </c>
      <c r="E7">
        <v>15</v>
      </c>
      <c r="F7">
        <v>8</v>
      </c>
      <c r="G7">
        <v>16</v>
      </c>
      <c r="H7">
        <v>11</v>
      </c>
      <c r="I7" s="202">
        <v>15</v>
      </c>
      <c r="J7" s="165">
        <v>5</v>
      </c>
      <c r="K7" s="165">
        <v>15.647505422993492</v>
      </c>
      <c r="L7" s="179">
        <v>8.2510371933910758</v>
      </c>
      <c r="M7" s="165"/>
      <c r="N7" s="179"/>
      <c r="O7" s="202"/>
      <c r="P7" s="202"/>
      <c r="Q7" s="202"/>
      <c r="R7" s="165"/>
      <c r="S7" s="165"/>
      <c r="T7" s="165"/>
      <c r="U7" s="201"/>
      <c r="V7" s="166"/>
      <c r="W7" s="166"/>
      <c r="X7" s="179"/>
      <c r="Y7" s="179"/>
    </row>
    <row r="8" spans="1:77" ht="14.65" customHeight="1">
      <c r="A8" s="186" t="s">
        <v>6</v>
      </c>
      <c r="B8" s="186"/>
      <c r="C8">
        <v>20</v>
      </c>
      <c r="D8">
        <v>15</v>
      </c>
      <c r="E8">
        <v>22</v>
      </c>
      <c r="F8">
        <v>14</v>
      </c>
      <c r="G8">
        <v>23</v>
      </c>
      <c r="H8">
        <v>17</v>
      </c>
      <c r="I8" s="202">
        <v>25</v>
      </c>
      <c r="J8" s="165">
        <v>6</v>
      </c>
      <c r="K8" s="165">
        <v>22.673793524740379</v>
      </c>
      <c r="L8" s="179">
        <v>11.015070716438673</v>
      </c>
      <c r="M8" s="165"/>
      <c r="N8" s="179"/>
      <c r="O8" s="202"/>
      <c r="P8" s="202"/>
      <c r="Q8" s="202"/>
      <c r="R8" s="165"/>
      <c r="S8" s="165"/>
      <c r="T8" s="165"/>
      <c r="U8" s="201"/>
      <c r="V8" s="166"/>
      <c r="W8" s="166"/>
      <c r="X8" s="179"/>
      <c r="Y8" s="179"/>
    </row>
    <row r="9" spans="1:77" ht="14.65" customHeight="1">
      <c r="A9" s="186" t="s">
        <v>7</v>
      </c>
      <c r="B9" s="186"/>
      <c r="C9">
        <v>16</v>
      </c>
      <c r="D9">
        <v>7</v>
      </c>
      <c r="E9">
        <v>15</v>
      </c>
      <c r="F9">
        <v>7</v>
      </c>
      <c r="G9">
        <v>14</v>
      </c>
      <c r="H9">
        <v>6</v>
      </c>
      <c r="I9" s="202">
        <v>15</v>
      </c>
      <c r="J9" s="165">
        <v>3</v>
      </c>
      <c r="K9" s="165">
        <v>15.199163179916319</v>
      </c>
      <c r="L9" s="179">
        <v>4.9852369852369849</v>
      </c>
      <c r="M9" s="165"/>
      <c r="N9" s="179"/>
      <c r="O9" s="202"/>
      <c r="P9" s="202"/>
      <c r="Q9" s="202"/>
      <c r="R9" s="165"/>
      <c r="S9" s="165"/>
      <c r="T9" s="165"/>
      <c r="U9" s="201"/>
      <c r="V9" s="166"/>
      <c r="W9" s="166"/>
      <c r="X9" s="179"/>
      <c r="Y9" s="179"/>
    </row>
    <row r="10" spans="1:77" ht="14.65" customHeight="1">
      <c r="A10" s="186" t="s">
        <v>8</v>
      </c>
      <c r="B10" s="186"/>
      <c r="C10">
        <v>14</v>
      </c>
      <c r="D10">
        <v>6</v>
      </c>
      <c r="E10">
        <v>13</v>
      </c>
      <c r="F10">
        <v>6</v>
      </c>
      <c r="G10">
        <v>17</v>
      </c>
      <c r="H10">
        <v>5</v>
      </c>
      <c r="I10" s="202">
        <v>16</v>
      </c>
      <c r="J10" s="165">
        <v>2</v>
      </c>
      <c r="K10" s="165">
        <v>15.088631984585742</v>
      </c>
      <c r="L10" s="179">
        <v>4.4851788224269873</v>
      </c>
      <c r="M10" s="165"/>
      <c r="N10" s="179"/>
      <c r="O10" s="202"/>
      <c r="P10" s="202"/>
      <c r="Q10" s="202"/>
      <c r="R10" s="165"/>
      <c r="S10" s="165"/>
      <c r="T10" s="165"/>
      <c r="U10" s="201"/>
      <c r="V10" s="166"/>
      <c r="W10" s="166"/>
      <c r="X10" s="179"/>
      <c r="Y10" s="179"/>
    </row>
    <row r="11" spans="1:77" ht="14.65" customHeight="1">
      <c r="A11" s="186" t="s">
        <v>9</v>
      </c>
      <c r="B11" s="186"/>
      <c r="C11">
        <v>13</v>
      </c>
      <c r="D11">
        <v>11</v>
      </c>
      <c r="E11">
        <v>16</v>
      </c>
      <c r="F11">
        <v>29</v>
      </c>
      <c r="G11">
        <v>17</v>
      </c>
      <c r="H11">
        <v>31</v>
      </c>
      <c r="I11" s="202">
        <v>16</v>
      </c>
      <c r="J11" s="165">
        <v>5</v>
      </c>
      <c r="K11" s="165">
        <v>15.438300988648846</v>
      </c>
      <c r="L11" s="179">
        <v>14.292982096487632</v>
      </c>
      <c r="M11" s="165"/>
      <c r="N11" s="179"/>
      <c r="O11" s="202"/>
      <c r="P11" s="202"/>
      <c r="Q11" s="202"/>
      <c r="R11" s="165"/>
      <c r="S11" s="165"/>
      <c r="T11" s="165"/>
      <c r="U11" s="201"/>
      <c r="V11" s="166"/>
      <c r="W11" s="166"/>
      <c r="X11" s="179"/>
      <c r="Y11" s="179"/>
    </row>
    <row r="12" spans="1:77" ht="14.65" customHeight="1">
      <c r="A12" s="186" t="s">
        <v>10</v>
      </c>
      <c r="B12" s="186"/>
      <c r="C12">
        <v>25</v>
      </c>
      <c r="D12">
        <v>3</v>
      </c>
      <c r="E12">
        <v>27</v>
      </c>
      <c r="F12">
        <v>3</v>
      </c>
      <c r="G12">
        <v>27</v>
      </c>
      <c r="H12">
        <v>7</v>
      </c>
      <c r="I12" s="202">
        <v>26</v>
      </c>
      <c r="J12" s="165">
        <v>2</v>
      </c>
      <c r="K12" s="165">
        <v>26.209387755102039</v>
      </c>
      <c r="L12" s="179" t="s">
        <v>3</v>
      </c>
      <c r="M12" s="165"/>
      <c r="N12" s="179"/>
      <c r="O12" s="202"/>
      <c r="P12" s="202"/>
      <c r="Q12" s="202"/>
      <c r="R12" s="165"/>
      <c r="S12" s="165"/>
      <c r="T12" s="165"/>
      <c r="U12" s="201"/>
      <c r="V12" s="166"/>
      <c r="W12" s="166"/>
      <c r="X12" s="179"/>
      <c r="Y12" s="179"/>
    </row>
    <row r="13" spans="1:77" ht="14.65" customHeight="1">
      <c r="A13" s="186" t="s">
        <v>11</v>
      </c>
      <c r="B13" s="186"/>
      <c r="C13">
        <v>21</v>
      </c>
      <c r="D13">
        <v>5</v>
      </c>
      <c r="E13">
        <v>22</v>
      </c>
      <c r="F13">
        <v>6</v>
      </c>
      <c r="G13">
        <v>19</v>
      </c>
      <c r="H13">
        <v>5</v>
      </c>
      <c r="I13" s="202">
        <v>21</v>
      </c>
      <c r="J13" s="165">
        <v>4</v>
      </c>
      <c r="K13" s="165">
        <v>20.770333075135554</v>
      </c>
      <c r="L13" s="179">
        <v>4.9856616376828287</v>
      </c>
      <c r="M13" s="165"/>
      <c r="N13" s="179"/>
      <c r="O13" s="202"/>
      <c r="P13" s="202"/>
      <c r="Q13" s="202"/>
      <c r="R13" s="165"/>
      <c r="S13" s="165"/>
      <c r="T13" s="165"/>
      <c r="U13" s="201"/>
      <c r="V13" s="166"/>
      <c r="W13" s="166"/>
      <c r="X13" s="179"/>
      <c r="Y13" s="179"/>
    </row>
    <row r="14" spans="1:77" ht="14.65" customHeight="1">
      <c r="A14" s="186" t="s">
        <v>12</v>
      </c>
      <c r="B14" s="186"/>
      <c r="C14">
        <v>24</v>
      </c>
      <c r="D14">
        <v>9</v>
      </c>
      <c r="E14">
        <v>25</v>
      </c>
      <c r="F14">
        <v>9</v>
      </c>
      <c r="G14">
        <v>22</v>
      </c>
      <c r="H14">
        <v>8</v>
      </c>
      <c r="I14" s="202">
        <v>24</v>
      </c>
      <c r="J14" s="165">
        <v>4</v>
      </c>
      <c r="K14" s="165">
        <v>23.817851959361395</v>
      </c>
      <c r="L14" s="179">
        <v>6.7021554539516659</v>
      </c>
      <c r="M14" s="165"/>
      <c r="N14" s="179"/>
      <c r="O14" s="202"/>
      <c r="P14" s="202"/>
      <c r="Q14" s="202"/>
      <c r="R14" s="165"/>
      <c r="S14" s="165"/>
      <c r="T14" s="165"/>
      <c r="U14" s="202"/>
      <c r="V14" s="204"/>
      <c r="W14" s="204"/>
      <c r="X14" s="179"/>
      <c r="Y14" s="179"/>
    </row>
    <row r="15" spans="1:77" ht="14.65" customHeight="1">
      <c r="A15" s="186" t="s">
        <v>341</v>
      </c>
      <c r="B15" s="186"/>
      <c r="C15">
        <v>29</v>
      </c>
      <c r="D15">
        <v>15</v>
      </c>
      <c r="E15">
        <v>23</v>
      </c>
      <c r="F15">
        <v>15</v>
      </c>
      <c r="G15">
        <v>24</v>
      </c>
      <c r="H15">
        <v>14</v>
      </c>
      <c r="I15" s="202">
        <v>26</v>
      </c>
      <c r="J15" s="165">
        <v>6</v>
      </c>
      <c r="K15" s="165">
        <v>25.515572672471535</v>
      </c>
      <c r="L15" s="179">
        <v>10.89261861393009</v>
      </c>
      <c r="M15" s="165"/>
      <c r="N15" s="179"/>
      <c r="O15" s="202"/>
      <c r="P15" s="202"/>
      <c r="Q15" s="202"/>
      <c r="R15" s="165"/>
      <c r="S15" s="165"/>
      <c r="T15" s="165"/>
      <c r="U15" s="201"/>
      <c r="V15" s="166"/>
      <c r="W15" s="166"/>
      <c r="X15" s="179"/>
      <c r="Y15" s="179"/>
    </row>
    <row r="16" spans="1:77" ht="14.65" customHeight="1">
      <c r="A16" s="186" t="s">
        <v>197</v>
      </c>
      <c r="B16" s="186"/>
      <c r="C16">
        <v>5</v>
      </c>
      <c r="D16">
        <v>6</v>
      </c>
      <c r="E16">
        <v>4</v>
      </c>
      <c r="F16">
        <v>5</v>
      </c>
      <c r="G16">
        <v>7</v>
      </c>
      <c r="H16">
        <v>7</v>
      </c>
      <c r="I16" s="202">
        <v>9</v>
      </c>
      <c r="J16" s="165">
        <v>4</v>
      </c>
      <c r="K16" s="165">
        <v>5.6366973910326514</v>
      </c>
      <c r="L16" s="179">
        <v>5.0376653248993675</v>
      </c>
      <c r="M16" s="165"/>
      <c r="N16" s="179"/>
      <c r="O16" s="202"/>
      <c r="P16" s="202"/>
      <c r="Q16" s="202"/>
      <c r="R16" s="165"/>
      <c r="S16" s="165"/>
      <c r="T16" s="165"/>
      <c r="U16" s="201"/>
      <c r="V16" s="166"/>
      <c r="W16" s="166"/>
      <c r="X16" s="179"/>
      <c r="Y16" s="179"/>
    </row>
    <row r="17" spans="1:25" ht="14.65" customHeight="1">
      <c r="A17" s="186" t="s">
        <v>223</v>
      </c>
      <c r="B17" s="186"/>
      <c r="C17">
        <v>23</v>
      </c>
      <c r="D17">
        <v>12</v>
      </c>
      <c r="E17">
        <v>22</v>
      </c>
      <c r="F17">
        <v>13</v>
      </c>
      <c r="G17">
        <v>20</v>
      </c>
      <c r="H17">
        <v>12</v>
      </c>
      <c r="I17" s="201">
        <v>23</v>
      </c>
      <c r="J17" s="199">
        <v>5</v>
      </c>
      <c r="K17" s="199">
        <v>21.882502831257078</v>
      </c>
      <c r="L17" s="179">
        <v>8.8773828579743892</v>
      </c>
      <c r="M17" s="199"/>
      <c r="N17" s="179"/>
      <c r="O17" s="201"/>
      <c r="P17" s="201"/>
      <c r="Q17" s="201"/>
      <c r="R17" s="199"/>
      <c r="S17" s="199"/>
      <c r="T17" s="199"/>
      <c r="U17" s="201"/>
      <c r="V17" s="166"/>
      <c r="W17" s="166"/>
      <c r="X17" s="179"/>
      <c r="Y17" s="179"/>
    </row>
    <row r="18" spans="1:25" ht="14.65" customHeight="1">
      <c r="A18" s="186" t="s">
        <v>13</v>
      </c>
      <c r="B18" s="186"/>
      <c r="C18">
        <v>19</v>
      </c>
      <c r="D18">
        <v>7</v>
      </c>
      <c r="E18">
        <v>20</v>
      </c>
      <c r="F18">
        <v>7</v>
      </c>
      <c r="G18">
        <v>19</v>
      </c>
      <c r="H18">
        <v>7</v>
      </c>
      <c r="I18" s="202">
        <v>18</v>
      </c>
      <c r="J18" s="165">
        <v>3</v>
      </c>
      <c r="K18" s="165" t="s">
        <v>3</v>
      </c>
      <c r="L18" s="179" t="s">
        <v>3</v>
      </c>
      <c r="M18" s="165"/>
      <c r="N18" s="179"/>
      <c r="O18" s="202"/>
      <c r="P18" s="202"/>
      <c r="Q18" s="202"/>
      <c r="R18" s="165"/>
      <c r="S18" s="165"/>
      <c r="T18" s="165"/>
      <c r="U18" s="201"/>
      <c r="V18" s="166"/>
      <c r="W18" s="166"/>
      <c r="X18" s="179"/>
      <c r="Y18" s="179"/>
    </row>
    <row r="19" spans="1:25" ht="14.65" customHeight="1">
      <c r="A19" s="186" t="s">
        <v>14</v>
      </c>
      <c r="B19" s="186"/>
      <c r="C19">
        <v>17</v>
      </c>
      <c r="D19">
        <v>12</v>
      </c>
      <c r="E19">
        <v>21</v>
      </c>
      <c r="F19">
        <v>15</v>
      </c>
      <c r="G19">
        <v>24</v>
      </c>
      <c r="H19">
        <v>9</v>
      </c>
      <c r="I19" s="202">
        <v>26</v>
      </c>
      <c r="J19" s="165">
        <v>6</v>
      </c>
      <c r="K19" s="165">
        <v>21.792391030486268</v>
      </c>
      <c r="L19" s="179">
        <v>9.7740054155384293</v>
      </c>
      <c r="M19" s="165"/>
      <c r="N19" s="179"/>
      <c r="O19" s="202"/>
      <c r="P19" s="202"/>
      <c r="Q19" s="202"/>
      <c r="R19" s="165"/>
      <c r="S19" s="165"/>
      <c r="T19" s="165"/>
      <c r="U19" s="201"/>
      <c r="V19" s="166"/>
      <c r="W19" s="166"/>
      <c r="X19" s="179"/>
      <c r="Y19" s="179"/>
    </row>
    <row r="20" spans="1:25" ht="14.65" customHeight="1">
      <c r="A20" s="186" t="s">
        <v>346</v>
      </c>
      <c r="B20" s="186"/>
      <c r="C20">
        <v>14</v>
      </c>
      <c r="D20">
        <v>11</v>
      </c>
      <c r="E20">
        <v>25</v>
      </c>
      <c r="F20">
        <v>9</v>
      </c>
      <c r="G20">
        <v>20</v>
      </c>
      <c r="H20">
        <v>11</v>
      </c>
      <c r="I20" s="202">
        <v>19</v>
      </c>
      <c r="J20" s="165">
        <v>4</v>
      </c>
      <c r="K20" s="165">
        <v>18.76814988290398</v>
      </c>
      <c r="L20" s="179">
        <v>7.4994899115846749</v>
      </c>
      <c r="M20" s="165"/>
      <c r="N20" s="179"/>
      <c r="O20" s="202"/>
      <c r="P20" s="202"/>
      <c r="Q20" s="202"/>
      <c r="R20" s="165"/>
      <c r="S20" s="165"/>
      <c r="T20" s="165"/>
      <c r="U20" s="201"/>
      <c r="V20" s="166"/>
      <c r="W20" s="166"/>
      <c r="X20" s="179"/>
      <c r="Y20" s="179"/>
    </row>
    <row r="21" spans="1:25" ht="14.65" customHeight="1">
      <c r="A21" s="186" t="s">
        <v>15</v>
      </c>
      <c r="B21" s="186"/>
      <c r="C21">
        <v>46</v>
      </c>
      <c r="D21">
        <v>15</v>
      </c>
      <c r="E21">
        <v>39</v>
      </c>
      <c r="F21">
        <v>11</v>
      </c>
      <c r="G21">
        <v>17</v>
      </c>
      <c r="H21">
        <v>7</v>
      </c>
      <c r="I21" s="202">
        <v>26</v>
      </c>
      <c r="J21" s="165">
        <v>4</v>
      </c>
      <c r="K21" s="165">
        <v>32.718813490451033</v>
      </c>
      <c r="L21" s="179">
        <v>8.1773774406517763</v>
      </c>
      <c r="M21" s="165"/>
      <c r="N21" s="179"/>
      <c r="O21" s="202"/>
      <c r="P21" s="202"/>
      <c r="Q21" s="202"/>
      <c r="R21" s="165"/>
      <c r="S21" s="165"/>
      <c r="T21" s="165"/>
      <c r="U21" s="201"/>
      <c r="V21" s="166"/>
      <c r="W21" s="166"/>
      <c r="X21" s="179"/>
      <c r="Y21" s="179"/>
    </row>
    <row r="22" spans="1:25" ht="14.65" customHeight="1">
      <c r="A22" s="186" t="s">
        <v>259</v>
      </c>
      <c r="B22" s="186"/>
      <c r="C22" t="s">
        <v>3</v>
      </c>
      <c r="D22" t="s">
        <v>3</v>
      </c>
      <c r="E22">
        <v>18</v>
      </c>
      <c r="F22">
        <v>6</v>
      </c>
      <c r="G22">
        <v>16</v>
      </c>
      <c r="H22">
        <v>7</v>
      </c>
      <c r="I22" s="202">
        <v>14</v>
      </c>
      <c r="J22" s="165">
        <v>2</v>
      </c>
      <c r="K22" s="165" t="s">
        <v>3</v>
      </c>
      <c r="L22" s="179" t="s">
        <v>3</v>
      </c>
      <c r="M22" s="165"/>
      <c r="N22" s="179"/>
      <c r="O22" s="202"/>
      <c r="P22" s="202"/>
      <c r="Q22" s="202"/>
      <c r="R22" s="165"/>
      <c r="S22" s="165"/>
      <c r="T22" s="165"/>
      <c r="U22" s="201"/>
      <c r="V22" s="166"/>
      <c r="W22" s="166"/>
      <c r="X22" s="179"/>
      <c r="Y22" s="179"/>
    </row>
    <row r="23" spans="1:25" ht="14.65" customHeight="1">
      <c r="A23" s="186" t="s">
        <v>260</v>
      </c>
      <c r="B23" s="186"/>
      <c r="C23">
        <v>20</v>
      </c>
      <c r="D23">
        <v>14</v>
      </c>
      <c r="E23">
        <v>19</v>
      </c>
      <c r="F23">
        <v>17</v>
      </c>
      <c r="G23">
        <v>19</v>
      </c>
      <c r="H23">
        <v>13</v>
      </c>
      <c r="I23" s="202">
        <v>18</v>
      </c>
      <c r="J23" s="165">
        <v>7</v>
      </c>
      <c r="K23" s="165">
        <v>19.002378121284185</v>
      </c>
      <c r="L23" s="179">
        <v>12.011673289809821</v>
      </c>
      <c r="M23" s="165"/>
      <c r="N23" s="179"/>
      <c r="O23" s="202"/>
      <c r="P23" s="202"/>
      <c r="Q23" s="202"/>
      <c r="R23" s="165"/>
      <c r="S23" s="165"/>
      <c r="T23" s="165"/>
      <c r="U23" s="201"/>
      <c r="V23" s="166"/>
      <c r="W23" s="166"/>
      <c r="X23" s="179"/>
      <c r="Y23" s="179"/>
    </row>
    <row r="24" spans="1:25" ht="14.65" customHeight="1">
      <c r="A24" s="186" t="s">
        <v>198</v>
      </c>
      <c r="B24" s="186"/>
      <c r="C24">
        <v>22</v>
      </c>
      <c r="D24">
        <v>21</v>
      </c>
      <c r="E24">
        <v>25</v>
      </c>
      <c r="F24">
        <v>21</v>
      </c>
      <c r="G24">
        <v>21</v>
      </c>
      <c r="H24">
        <v>22</v>
      </c>
      <c r="I24" s="202">
        <v>16</v>
      </c>
      <c r="J24" s="165">
        <v>8</v>
      </c>
      <c r="K24" s="165">
        <v>21.12525562372188</v>
      </c>
      <c r="L24" s="179">
        <v>14.919272830563841</v>
      </c>
      <c r="M24" s="165"/>
      <c r="N24" s="179"/>
      <c r="O24" s="202"/>
      <c r="P24" s="202"/>
      <c r="Q24" s="202"/>
      <c r="R24" s="165"/>
      <c r="S24" s="165"/>
      <c r="T24" s="165"/>
      <c r="U24" s="201"/>
      <c r="V24" s="166"/>
      <c r="W24" s="166"/>
      <c r="X24" s="179"/>
      <c r="Y24" s="179"/>
    </row>
    <row r="25" spans="1:25" ht="14.65" customHeight="1">
      <c r="A25" s="186" t="s">
        <v>224</v>
      </c>
      <c r="B25" s="186"/>
      <c r="C25">
        <v>26</v>
      </c>
      <c r="D25">
        <v>8</v>
      </c>
      <c r="E25">
        <v>24</v>
      </c>
      <c r="F25">
        <v>7</v>
      </c>
      <c r="G25">
        <v>21</v>
      </c>
      <c r="H25">
        <v>7</v>
      </c>
      <c r="I25" s="202">
        <v>20</v>
      </c>
      <c r="J25" s="165">
        <v>3</v>
      </c>
      <c r="K25" s="165">
        <v>22.658967210938538</v>
      </c>
      <c r="L25" s="179">
        <v>5.741164241164241</v>
      </c>
      <c r="M25" s="165"/>
      <c r="N25" s="179"/>
      <c r="O25" s="202"/>
      <c r="P25" s="202"/>
      <c r="Q25" s="202"/>
      <c r="R25" s="165"/>
      <c r="S25" s="165"/>
      <c r="T25" s="165"/>
      <c r="U25" s="201"/>
      <c r="V25" s="166"/>
      <c r="W25" s="166"/>
      <c r="X25" s="179"/>
      <c r="Y25" s="179"/>
    </row>
    <row r="26" spans="1:25" ht="14.65" customHeight="1">
      <c r="A26" s="186" t="s">
        <v>16</v>
      </c>
      <c r="B26" s="186"/>
      <c r="C26">
        <v>28</v>
      </c>
      <c r="D26">
        <v>7</v>
      </c>
      <c r="E26">
        <v>36</v>
      </c>
      <c r="F26">
        <v>10</v>
      </c>
      <c r="G26">
        <v>27</v>
      </c>
      <c r="H26">
        <v>6</v>
      </c>
      <c r="I26" s="202">
        <v>19</v>
      </c>
      <c r="J26" s="165">
        <v>3</v>
      </c>
      <c r="K26" s="165">
        <v>26.901998097050427</v>
      </c>
      <c r="L26" s="179">
        <v>5.8001367885097652</v>
      </c>
      <c r="M26" s="165"/>
      <c r="N26" s="179"/>
      <c r="O26" s="202"/>
      <c r="P26" s="202"/>
      <c r="Q26" s="202"/>
      <c r="R26" s="165"/>
      <c r="S26" s="165"/>
      <c r="T26" s="165"/>
      <c r="U26" s="201"/>
      <c r="V26" s="166"/>
      <c r="W26" s="166"/>
      <c r="X26" s="179"/>
      <c r="Y26" s="179"/>
    </row>
    <row r="27" spans="1:25" ht="14.65" customHeight="1">
      <c r="A27" s="186" t="s">
        <v>261</v>
      </c>
      <c r="B27" s="186"/>
      <c r="C27">
        <v>19</v>
      </c>
      <c r="D27">
        <v>11</v>
      </c>
      <c r="E27">
        <v>21</v>
      </c>
      <c r="F27">
        <v>12</v>
      </c>
      <c r="G27">
        <v>22</v>
      </c>
      <c r="H27">
        <v>16</v>
      </c>
      <c r="I27" s="202">
        <v>22</v>
      </c>
      <c r="J27" s="165">
        <v>6</v>
      </c>
      <c r="K27" s="165">
        <v>21.089064914992271</v>
      </c>
      <c r="L27" s="179">
        <v>9.7732179556517043</v>
      </c>
      <c r="M27" s="165"/>
      <c r="N27" s="179"/>
      <c r="O27" s="202"/>
      <c r="P27" s="202"/>
      <c r="Q27" s="202"/>
      <c r="R27" s="165"/>
      <c r="S27" s="165"/>
      <c r="T27" s="165"/>
      <c r="U27" s="201"/>
      <c r="V27" s="166"/>
      <c r="W27" s="166"/>
      <c r="X27" s="179"/>
      <c r="Y27" s="179"/>
    </row>
    <row r="28" spans="1:25" ht="14.65" customHeight="1">
      <c r="A28" s="186" t="s">
        <v>262</v>
      </c>
      <c r="B28" s="186"/>
      <c r="C28">
        <v>19</v>
      </c>
      <c r="D28">
        <v>23</v>
      </c>
      <c r="E28">
        <v>22</v>
      </c>
      <c r="F28">
        <v>25</v>
      </c>
      <c r="G28">
        <v>21</v>
      </c>
      <c r="H28">
        <v>32</v>
      </c>
      <c r="I28" s="202">
        <v>27</v>
      </c>
      <c r="J28" s="165">
        <v>11</v>
      </c>
      <c r="K28" s="165">
        <v>22.261488250652743</v>
      </c>
      <c r="L28" s="179">
        <v>18.453837885919722</v>
      </c>
      <c r="M28" s="165"/>
      <c r="N28" s="179"/>
      <c r="O28" s="202"/>
      <c r="P28" s="202"/>
      <c r="Q28" s="202"/>
      <c r="R28" s="165"/>
      <c r="S28" s="165"/>
      <c r="T28" s="165"/>
      <c r="U28" s="201"/>
      <c r="V28" s="166"/>
      <c r="W28" s="166"/>
      <c r="X28" s="179"/>
      <c r="Y28" s="179"/>
    </row>
    <row r="29" spans="1:25" ht="14.65" customHeight="1">
      <c r="A29" s="186" t="s">
        <v>17</v>
      </c>
      <c r="B29" s="186"/>
      <c r="C29">
        <v>25</v>
      </c>
      <c r="D29">
        <v>11</v>
      </c>
      <c r="E29">
        <v>18</v>
      </c>
      <c r="F29">
        <v>10</v>
      </c>
      <c r="G29">
        <v>16</v>
      </c>
      <c r="H29">
        <v>10</v>
      </c>
      <c r="I29" s="202">
        <v>18</v>
      </c>
      <c r="J29" s="165">
        <v>5</v>
      </c>
      <c r="K29" s="165">
        <v>19.43060686015831</v>
      </c>
      <c r="L29" s="179">
        <v>7.6647622558053818</v>
      </c>
      <c r="M29" s="165"/>
      <c r="N29" s="179"/>
      <c r="O29" s="202"/>
      <c r="P29" s="202"/>
      <c r="Q29" s="202"/>
      <c r="R29" s="165"/>
      <c r="S29" s="165"/>
      <c r="T29" s="165"/>
      <c r="U29" s="201"/>
      <c r="V29" s="166"/>
      <c r="W29" s="166"/>
      <c r="X29" s="179"/>
      <c r="Y29" s="179"/>
    </row>
    <row r="30" spans="1:25" ht="14.65" customHeight="1">
      <c r="A30" s="186" t="s">
        <v>225</v>
      </c>
      <c r="B30" s="186"/>
      <c r="C30">
        <v>26</v>
      </c>
      <c r="D30">
        <v>14</v>
      </c>
      <c r="E30">
        <v>24</v>
      </c>
      <c r="F30">
        <v>14</v>
      </c>
      <c r="G30">
        <v>22</v>
      </c>
      <c r="H30">
        <v>13</v>
      </c>
      <c r="I30" s="202">
        <v>18</v>
      </c>
      <c r="J30" s="165">
        <v>8</v>
      </c>
      <c r="K30" s="165">
        <v>22.292326283987915</v>
      </c>
      <c r="L30" s="179">
        <v>11.903168168168168</v>
      </c>
      <c r="M30" s="165"/>
      <c r="N30" s="179"/>
      <c r="O30" s="202"/>
      <c r="P30" s="202"/>
      <c r="Q30" s="202"/>
      <c r="R30" s="165"/>
      <c r="S30" s="165"/>
      <c r="T30" s="165"/>
      <c r="U30" s="201"/>
      <c r="V30" s="166"/>
      <c r="W30" s="166"/>
      <c r="X30" s="179"/>
      <c r="Y30" s="179"/>
    </row>
    <row r="31" spans="1:25" ht="14.65" customHeight="1">
      <c r="A31" s="186" t="s">
        <v>18</v>
      </c>
      <c r="B31" s="186"/>
      <c r="C31">
        <v>24</v>
      </c>
      <c r="D31" t="s">
        <v>3</v>
      </c>
      <c r="E31">
        <v>8</v>
      </c>
      <c r="F31">
        <v>16</v>
      </c>
      <c r="G31">
        <v>4</v>
      </c>
      <c r="H31">
        <v>10</v>
      </c>
      <c r="I31" s="202">
        <v>8</v>
      </c>
      <c r="J31" s="165">
        <v>7</v>
      </c>
      <c r="K31" s="165">
        <v>10.222502522704339</v>
      </c>
      <c r="L31" s="179" t="s">
        <v>3</v>
      </c>
      <c r="M31" s="165"/>
      <c r="N31" s="179"/>
      <c r="O31" s="202"/>
      <c r="P31" s="202"/>
      <c r="Q31" s="202"/>
      <c r="R31" s="165"/>
      <c r="S31" s="165"/>
      <c r="T31" s="165"/>
      <c r="U31" s="202"/>
      <c r="V31" s="204"/>
      <c r="W31" s="204"/>
      <c r="X31" s="179"/>
      <c r="Y31" s="179"/>
    </row>
    <row r="32" spans="1:25" ht="14.65" customHeight="1">
      <c r="A32" s="186" t="s">
        <v>263</v>
      </c>
      <c r="B32" s="186"/>
      <c r="C32">
        <v>18</v>
      </c>
      <c r="D32">
        <v>12</v>
      </c>
      <c r="E32">
        <v>19</v>
      </c>
      <c r="F32">
        <v>11</v>
      </c>
      <c r="G32">
        <v>16</v>
      </c>
      <c r="H32">
        <v>8</v>
      </c>
      <c r="I32" s="202">
        <v>16</v>
      </c>
      <c r="J32" s="165">
        <v>5</v>
      </c>
      <c r="K32" s="165">
        <v>16.990231500066908</v>
      </c>
      <c r="L32" s="179">
        <v>8.0313854387853052</v>
      </c>
      <c r="M32" s="165"/>
      <c r="N32" s="179"/>
      <c r="O32" s="202"/>
      <c r="P32" s="202"/>
      <c r="Q32" s="202"/>
      <c r="R32" s="165"/>
      <c r="S32" s="165"/>
      <c r="T32" s="165"/>
      <c r="U32" s="201"/>
      <c r="V32" s="166"/>
      <c r="W32" s="166"/>
      <c r="X32" s="179"/>
      <c r="Y32" s="179"/>
    </row>
    <row r="33" spans="1:25" ht="14.65" customHeight="1">
      <c r="A33" s="186" t="s">
        <v>264</v>
      </c>
      <c r="B33" s="186"/>
      <c r="C33">
        <v>16</v>
      </c>
      <c r="D33">
        <v>8</v>
      </c>
      <c r="E33">
        <v>16</v>
      </c>
      <c r="F33">
        <v>10</v>
      </c>
      <c r="G33">
        <v>19</v>
      </c>
      <c r="H33">
        <v>12</v>
      </c>
      <c r="I33" s="202">
        <v>18</v>
      </c>
      <c r="J33" s="165">
        <v>3</v>
      </c>
      <c r="K33" s="165">
        <v>17.523809523809526</v>
      </c>
      <c r="L33" s="179">
        <v>6.947935713598306</v>
      </c>
      <c r="M33" s="165"/>
      <c r="N33" s="179"/>
      <c r="O33" s="202"/>
      <c r="P33" s="202"/>
      <c r="Q33" s="202"/>
      <c r="R33" s="165"/>
      <c r="S33" s="165"/>
      <c r="T33" s="165"/>
      <c r="U33" s="201"/>
      <c r="V33" s="166"/>
      <c r="W33" s="166"/>
      <c r="X33" s="179"/>
      <c r="Y33" s="179"/>
    </row>
    <row r="34" spans="1:25" ht="14.65" customHeight="1">
      <c r="A34" s="186" t="s">
        <v>226</v>
      </c>
      <c r="B34" s="186"/>
      <c r="C34">
        <v>26</v>
      </c>
      <c r="D34">
        <v>23</v>
      </c>
      <c r="E34">
        <v>28</v>
      </c>
      <c r="F34">
        <v>17</v>
      </c>
      <c r="G34">
        <v>25</v>
      </c>
      <c r="H34">
        <v>18</v>
      </c>
      <c r="I34" s="202">
        <v>23</v>
      </c>
      <c r="J34" s="165">
        <v>8</v>
      </c>
      <c r="K34" s="165">
        <v>25.469358372456963</v>
      </c>
      <c r="L34" s="179">
        <v>15.281234524847427</v>
      </c>
      <c r="M34" s="165"/>
      <c r="N34" s="179"/>
      <c r="O34" s="202"/>
      <c r="P34" s="202"/>
      <c r="Q34" s="202"/>
      <c r="R34" s="165"/>
      <c r="S34" s="165"/>
      <c r="T34" s="165"/>
      <c r="U34" s="201"/>
      <c r="V34" s="166"/>
      <c r="W34" s="166"/>
      <c r="X34" s="179"/>
      <c r="Y34" s="179"/>
    </row>
    <row r="35" spans="1:25" ht="14.65" customHeight="1">
      <c r="A35" s="186" t="s">
        <v>19</v>
      </c>
      <c r="B35" s="186"/>
      <c r="C35">
        <v>12</v>
      </c>
      <c r="D35">
        <v>7</v>
      </c>
      <c r="E35">
        <v>18</v>
      </c>
      <c r="F35">
        <v>5</v>
      </c>
      <c r="G35">
        <v>16</v>
      </c>
      <c r="H35">
        <v>6</v>
      </c>
      <c r="I35" s="202">
        <v>16</v>
      </c>
      <c r="J35" s="165">
        <v>2</v>
      </c>
      <c r="K35" s="165">
        <v>15.354181818181818</v>
      </c>
      <c r="L35" s="179">
        <v>4.3155514778163706</v>
      </c>
      <c r="M35" s="165"/>
      <c r="N35" s="179"/>
      <c r="O35" s="202"/>
      <c r="P35" s="202"/>
      <c r="Q35" s="202"/>
      <c r="R35" s="165"/>
      <c r="S35" s="165"/>
      <c r="T35" s="165"/>
      <c r="U35" s="201"/>
      <c r="V35" s="166"/>
      <c r="W35" s="166"/>
      <c r="X35" s="179"/>
      <c r="Y35" s="179"/>
    </row>
    <row r="36" spans="1:25" ht="14.65" customHeight="1">
      <c r="A36" s="186" t="s">
        <v>20</v>
      </c>
      <c r="B36" s="186"/>
      <c r="C36">
        <v>18</v>
      </c>
      <c r="D36">
        <v>8</v>
      </c>
      <c r="E36">
        <v>22</v>
      </c>
      <c r="F36">
        <v>7</v>
      </c>
      <c r="G36">
        <v>15</v>
      </c>
      <c r="H36">
        <v>7</v>
      </c>
      <c r="I36" s="202">
        <v>13</v>
      </c>
      <c r="J36" s="165">
        <v>2</v>
      </c>
      <c r="K36" s="165">
        <v>16.978699551569505</v>
      </c>
      <c r="L36" s="179" t="s">
        <v>3</v>
      </c>
      <c r="M36" s="165"/>
      <c r="N36" s="179"/>
      <c r="O36" s="202"/>
      <c r="P36" s="202"/>
      <c r="Q36" s="202"/>
      <c r="R36" s="165"/>
      <c r="S36" s="165"/>
      <c r="T36" s="165"/>
      <c r="U36" s="201"/>
      <c r="V36" s="166"/>
      <c r="W36" s="166"/>
      <c r="X36" s="179"/>
      <c r="Y36" s="179"/>
    </row>
    <row r="37" spans="1:25" ht="14.65" customHeight="1">
      <c r="A37" s="186" t="s">
        <v>199</v>
      </c>
      <c r="B37" s="186"/>
      <c r="C37">
        <v>15</v>
      </c>
      <c r="D37">
        <v>10</v>
      </c>
      <c r="E37">
        <v>14</v>
      </c>
      <c r="F37">
        <v>7</v>
      </c>
      <c r="G37">
        <v>14</v>
      </c>
      <c r="H37">
        <v>9</v>
      </c>
      <c r="I37" s="202">
        <v>14</v>
      </c>
      <c r="J37" s="165">
        <v>4</v>
      </c>
      <c r="K37" s="165">
        <v>14.168171320596263</v>
      </c>
      <c r="L37" s="179">
        <v>6.7520728150634843</v>
      </c>
      <c r="M37" s="165"/>
      <c r="N37" s="179"/>
      <c r="O37" s="202"/>
      <c r="P37" s="202"/>
      <c r="Q37" s="202"/>
      <c r="R37" s="165"/>
      <c r="S37" s="165"/>
      <c r="T37" s="165"/>
      <c r="U37" s="201"/>
      <c r="V37" s="166"/>
      <c r="W37" s="166"/>
      <c r="X37" s="179"/>
      <c r="Y37" s="179"/>
    </row>
    <row r="38" spans="1:25" ht="14.65" customHeight="1">
      <c r="A38" s="186" t="s">
        <v>21</v>
      </c>
      <c r="B38" s="186"/>
      <c r="C38">
        <v>16</v>
      </c>
      <c r="D38">
        <v>11</v>
      </c>
      <c r="E38">
        <v>17</v>
      </c>
      <c r="F38">
        <v>10</v>
      </c>
      <c r="G38">
        <v>16</v>
      </c>
      <c r="H38">
        <v>11</v>
      </c>
      <c r="I38" s="202">
        <v>20</v>
      </c>
      <c r="J38" s="165">
        <v>4</v>
      </c>
      <c r="K38" s="165">
        <v>16.803821656050957</v>
      </c>
      <c r="L38" s="179">
        <v>7.6705873425405979</v>
      </c>
      <c r="M38" s="165"/>
      <c r="N38" s="179"/>
      <c r="O38" s="202"/>
      <c r="P38" s="202"/>
      <c r="Q38" s="202"/>
      <c r="R38" s="165"/>
      <c r="S38" s="165"/>
      <c r="T38" s="165"/>
      <c r="U38" s="201"/>
      <c r="V38" s="166"/>
      <c r="W38" s="166"/>
      <c r="X38" s="179"/>
      <c r="Y38" s="179"/>
    </row>
    <row r="39" spans="1:25" ht="14.65" customHeight="1">
      <c r="A39" s="186" t="s">
        <v>821</v>
      </c>
      <c r="B39" s="186"/>
      <c r="C39">
        <v>31</v>
      </c>
      <c r="D39">
        <v>10</v>
      </c>
      <c r="E39">
        <v>30</v>
      </c>
      <c r="F39">
        <v>11</v>
      </c>
      <c r="G39">
        <v>28</v>
      </c>
      <c r="H39">
        <v>14</v>
      </c>
      <c r="I39" s="202">
        <v>28</v>
      </c>
      <c r="J39" s="165">
        <v>5</v>
      </c>
      <c r="K39" s="165">
        <v>29.29084745762712</v>
      </c>
      <c r="L39" s="179">
        <v>8.8255980810006207</v>
      </c>
      <c r="M39" s="165"/>
      <c r="N39" s="179"/>
      <c r="O39" s="202"/>
      <c r="P39" s="202"/>
      <c r="Q39" s="202"/>
      <c r="R39" s="165"/>
      <c r="S39" s="165"/>
      <c r="T39" s="165"/>
      <c r="U39" s="201"/>
      <c r="V39" s="166"/>
      <c r="W39" s="166"/>
      <c r="X39" s="179"/>
      <c r="Y39" s="179"/>
    </row>
    <row r="40" spans="1:25" ht="14.65" customHeight="1">
      <c r="A40" s="186" t="s">
        <v>825</v>
      </c>
      <c r="B40" s="186"/>
      <c r="C40">
        <v>24</v>
      </c>
      <c r="D40">
        <v>17</v>
      </c>
      <c r="E40">
        <v>28</v>
      </c>
      <c r="F40">
        <v>17</v>
      </c>
      <c r="G40">
        <v>27</v>
      </c>
      <c r="H40">
        <v>14</v>
      </c>
      <c r="I40" s="202">
        <v>29</v>
      </c>
      <c r="J40" s="165">
        <v>5</v>
      </c>
      <c r="K40" s="165">
        <v>27.488506547784898</v>
      </c>
      <c r="L40" s="179">
        <v>11.279851095113846</v>
      </c>
      <c r="M40" s="165"/>
      <c r="N40" s="179"/>
      <c r="O40" s="202"/>
      <c r="P40" s="202"/>
      <c r="Q40" s="202"/>
      <c r="R40" s="165"/>
      <c r="S40" s="165"/>
      <c r="T40" s="165"/>
      <c r="U40" s="201"/>
      <c r="V40" s="166"/>
      <c r="W40" s="166"/>
      <c r="X40" s="179"/>
      <c r="Y40" s="179"/>
    </row>
    <row r="41" spans="1:25" ht="14.65" customHeight="1">
      <c r="A41" s="186" t="s">
        <v>22</v>
      </c>
      <c r="B41" s="186"/>
      <c r="C41">
        <v>39</v>
      </c>
      <c r="D41">
        <v>16</v>
      </c>
      <c r="E41">
        <v>36</v>
      </c>
      <c r="F41">
        <v>22</v>
      </c>
      <c r="G41">
        <v>28</v>
      </c>
      <c r="H41">
        <v>12</v>
      </c>
      <c r="I41" s="202">
        <v>18</v>
      </c>
      <c r="J41" s="165">
        <v>3</v>
      </c>
      <c r="K41" s="165">
        <v>30.099621689785625</v>
      </c>
      <c r="L41" s="179">
        <v>10.4849395327875</v>
      </c>
      <c r="M41" s="165"/>
      <c r="N41" s="179"/>
      <c r="O41" s="202"/>
      <c r="P41" s="202"/>
      <c r="Q41" s="202"/>
      <c r="R41" s="165"/>
      <c r="S41" s="165"/>
      <c r="T41" s="165"/>
      <c r="U41" s="202"/>
      <c r="V41" s="204"/>
      <c r="W41" s="204"/>
      <c r="X41" s="179"/>
      <c r="Y41" s="179"/>
    </row>
    <row r="42" spans="1:25" ht="14.65" customHeight="1">
      <c r="A42" s="186" t="s">
        <v>200</v>
      </c>
      <c r="B42" s="186"/>
      <c r="C42">
        <v>30</v>
      </c>
      <c r="D42">
        <v>14</v>
      </c>
      <c r="E42">
        <v>26</v>
      </c>
      <c r="F42">
        <v>14</v>
      </c>
      <c r="G42">
        <v>26</v>
      </c>
      <c r="H42">
        <v>18</v>
      </c>
      <c r="I42" s="202">
        <v>32</v>
      </c>
      <c r="J42" s="165">
        <v>8</v>
      </c>
      <c r="K42" s="165">
        <v>28.317444813440126</v>
      </c>
      <c r="L42" s="179">
        <v>11.544596124676879</v>
      </c>
      <c r="M42" s="165"/>
      <c r="N42" s="179"/>
      <c r="O42" s="202"/>
      <c r="P42" s="202"/>
      <c r="Q42" s="202"/>
      <c r="R42" s="165"/>
      <c r="S42" s="165"/>
      <c r="T42" s="165"/>
      <c r="U42" s="201"/>
      <c r="V42" s="166"/>
      <c r="W42" s="166"/>
      <c r="X42" s="179"/>
      <c r="Y42" s="179"/>
    </row>
    <row r="43" spans="1:25" ht="14.65" customHeight="1">
      <c r="A43" s="186" t="s">
        <v>23</v>
      </c>
      <c r="B43" s="186"/>
      <c r="C43">
        <v>25</v>
      </c>
      <c r="D43">
        <v>17</v>
      </c>
      <c r="E43">
        <v>22</v>
      </c>
      <c r="F43">
        <v>18</v>
      </c>
      <c r="G43">
        <v>27</v>
      </c>
      <c r="H43">
        <v>35</v>
      </c>
      <c r="I43" s="202">
        <v>28</v>
      </c>
      <c r="J43" s="165">
        <v>9</v>
      </c>
      <c r="K43" s="165">
        <v>25.322796934865899</v>
      </c>
      <c r="L43" s="179">
        <v>16.128402903811253</v>
      </c>
      <c r="M43" s="165"/>
      <c r="N43" s="179"/>
      <c r="O43" s="202"/>
      <c r="P43" s="202"/>
      <c r="Q43" s="202"/>
      <c r="R43" s="165"/>
      <c r="S43" s="165"/>
      <c r="T43" s="165"/>
      <c r="U43" s="201"/>
      <c r="V43" s="166"/>
      <c r="W43" s="166"/>
      <c r="X43" s="179"/>
      <c r="Y43" s="179"/>
    </row>
    <row r="44" spans="1:25" ht="14.65" customHeight="1">
      <c r="A44" s="186" t="s">
        <v>24</v>
      </c>
      <c r="B44" s="186"/>
      <c r="C44">
        <v>25</v>
      </c>
      <c r="D44">
        <v>16</v>
      </c>
      <c r="E44">
        <v>23</v>
      </c>
      <c r="F44">
        <v>15</v>
      </c>
      <c r="G44">
        <v>22</v>
      </c>
      <c r="H44">
        <v>10</v>
      </c>
      <c r="I44" s="202">
        <v>27</v>
      </c>
      <c r="J44" s="165">
        <v>6</v>
      </c>
      <c r="K44" s="165">
        <v>24.475073313782993</v>
      </c>
      <c r="L44" s="179">
        <v>10.451952635773655</v>
      </c>
      <c r="M44" s="165"/>
      <c r="N44" s="179"/>
      <c r="O44" s="202"/>
      <c r="P44" s="202"/>
      <c r="Q44" s="202"/>
      <c r="R44" s="165"/>
      <c r="S44" s="165"/>
      <c r="T44" s="165"/>
      <c r="U44" s="202"/>
      <c r="V44" s="204"/>
      <c r="W44" s="204"/>
      <c r="X44" s="179"/>
      <c r="Y44" s="179"/>
    </row>
    <row r="45" spans="1:25" ht="14.65" customHeight="1">
      <c r="A45" s="186" t="s">
        <v>25</v>
      </c>
      <c r="B45" s="186"/>
      <c r="C45">
        <v>21</v>
      </c>
      <c r="D45">
        <v>11</v>
      </c>
      <c r="E45">
        <v>25</v>
      </c>
      <c r="F45">
        <v>12</v>
      </c>
      <c r="G45">
        <v>22</v>
      </c>
      <c r="H45">
        <v>12</v>
      </c>
      <c r="I45" s="202">
        <v>20</v>
      </c>
      <c r="J45" s="165">
        <v>4</v>
      </c>
      <c r="K45" s="165">
        <v>22.039934354485776</v>
      </c>
      <c r="L45" s="179">
        <v>7.9628841362126241</v>
      </c>
      <c r="M45" s="165"/>
      <c r="N45" s="179"/>
      <c r="O45" s="202"/>
      <c r="P45" s="202"/>
      <c r="Q45" s="202"/>
      <c r="R45" s="165"/>
      <c r="S45" s="165"/>
      <c r="T45" s="165"/>
      <c r="U45" s="201"/>
      <c r="V45" s="166"/>
      <c r="W45" s="166"/>
      <c r="X45" s="179"/>
      <c r="Y45" s="179"/>
    </row>
    <row r="46" spans="1:25" ht="14.65" customHeight="1">
      <c r="A46" s="186" t="s">
        <v>26</v>
      </c>
      <c r="B46" s="186"/>
      <c r="C46">
        <v>21</v>
      </c>
      <c r="D46">
        <v>7</v>
      </c>
      <c r="E46">
        <v>21</v>
      </c>
      <c r="F46">
        <v>9</v>
      </c>
      <c r="G46">
        <v>20</v>
      </c>
      <c r="H46">
        <v>6</v>
      </c>
      <c r="I46" s="202">
        <v>21</v>
      </c>
      <c r="J46" s="165">
        <v>3</v>
      </c>
      <c r="K46" s="165">
        <v>20.690132185674763</v>
      </c>
      <c r="L46" s="179">
        <v>5.8048115806130225</v>
      </c>
      <c r="M46" s="165"/>
      <c r="N46" s="179"/>
      <c r="O46" s="202"/>
      <c r="P46" s="202"/>
      <c r="Q46" s="202"/>
      <c r="R46" s="165"/>
      <c r="S46" s="165"/>
      <c r="T46" s="165"/>
      <c r="U46" s="201"/>
      <c r="V46" s="166"/>
      <c r="W46" s="166"/>
      <c r="X46" s="179"/>
      <c r="Y46" s="179"/>
    </row>
    <row r="47" spans="1:25" ht="14.65" customHeight="1">
      <c r="A47" s="186" t="s">
        <v>227</v>
      </c>
      <c r="B47" s="186"/>
      <c r="C47">
        <v>22</v>
      </c>
      <c r="D47">
        <v>9</v>
      </c>
      <c r="E47">
        <v>24</v>
      </c>
      <c r="F47">
        <v>8</v>
      </c>
      <c r="G47">
        <v>25</v>
      </c>
      <c r="H47">
        <v>10</v>
      </c>
      <c r="I47" s="202">
        <v>22</v>
      </c>
      <c r="J47" s="165">
        <v>4</v>
      </c>
      <c r="K47" s="165">
        <v>23.195748987854252</v>
      </c>
      <c r="L47" s="179">
        <v>6.4181349273301356</v>
      </c>
      <c r="M47" s="165"/>
      <c r="N47" s="179"/>
      <c r="O47" s="202"/>
      <c r="P47" s="202"/>
      <c r="Q47" s="202"/>
      <c r="R47" s="165"/>
      <c r="S47" s="165"/>
      <c r="T47" s="165"/>
      <c r="U47" s="201"/>
      <c r="V47" s="166"/>
      <c r="W47" s="166"/>
      <c r="X47" s="179"/>
      <c r="Y47" s="179"/>
    </row>
    <row r="48" spans="1:25" ht="14.65" customHeight="1">
      <c r="A48" s="186" t="s">
        <v>228</v>
      </c>
      <c r="B48" s="186"/>
      <c r="C48">
        <v>13</v>
      </c>
      <c r="D48">
        <v>11</v>
      </c>
      <c r="E48">
        <v>12</v>
      </c>
      <c r="F48">
        <v>13</v>
      </c>
      <c r="G48">
        <v>15</v>
      </c>
      <c r="H48">
        <v>21</v>
      </c>
      <c r="I48" s="202">
        <v>15</v>
      </c>
      <c r="J48" s="165">
        <v>5</v>
      </c>
      <c r="K48" s="165">
        <v>13.872949179671869</v>
      </c>
      <c r="L48" s="179">
        <v>10.476908108108107</v>
      </c>
      <c r="M48" s="165"/>
      <c r="N48" s="179"/>
      <c r="O48" s="202"/>
      <c r="P48" s="202"/>
      <c r="Q48" s="202"/>
      <c r="R48" s="165"/>
      <c r="S48" s="165"/>
      <c r="T48" s="165"/>
      <c r="U48" s="201"/>
      <c r="V48" s="166"/>
      <c r="W48" s="166"/>
      <c r="X48" s="179"/>
      <c r="Y48" s="179"/>
    </row>
    <row r="49" spans="1:25" ht="14.65" customHeight="1">
      <c r="A49" s="186" t="s">
        <v>27</v>
      </c>
      <c r="B49" s="186"/>
      <c r="C49">
        <v>19</v>
      </c>
      <c r="D49">
        <v>7</v>
      </c>
      <c r="E49">
        <v>13</v>
      </c>
      <c r="F49">
        <v>5</v>
      </c>
      <c r="G49">
        <v>16</v>
      </c>
      <c r="H49">
        <v>7</v>
      </c>
      <c r="I49" s="202">
        <v>15</v>
      </c>
      <c r="J49" s="165">
        <v>3</v>
      </c>
      <c r="K49" s="165">
        <v>15.526346776567559</v>
      </c>
      <c r="L49" s="179">
        <v>5.1213192343408318</v>
      </c>
      <c r="M49" s="165"/>
      <c r="N49" s="179"/>
      <c r="O49" s="202"/>
      <c r="P49" s="202"/>
      <c r="Q49" s="202"/>
      <c r="R49" s="165"/>
      <c r="S49" s="165"/>
      <c r="T49" s="165"/>
      <c r="U49" s="201"/>
      <c r="V49" s="166"/>
      <c r="W49" s="166"/>
      <c r="X49" s="179"/>
      <c r="Y49" s="179"/>
    </row>
    <row r="50" spans="1:25" ht="14.65" customHeight="1">
      <c r="A50" s="186" t="s">
        <v>201</v>
      </c>
      <c r="B50" s="186"/>
      <c r="C50">
        <v>13</v>
      </c>
      <c r="D50">
        <v>7</v>
      </c>
      <c r="E50">
        <v>24</v>
      </c>
      <c r="F50">
        <v>5</v>
      </c>
      <c r="G50">
        <v>22</v>
      </c>
      <c r="H50">
        <v>5</v>
      </c>
      <c r="I50" s="202">
        <v>21</v>
      </c>
      <c r="J50" s="165">
        <v>3</v>
      </c>
      <c r="K50" s="165">
        <v>18.838216560509554</v>
      </c>
      <c r="L50" s="179">
        <v>4.6777063833833701</v>
      </c>
      <c r="M50" s="165"/>
      <c r="N50" s="179"/>
      <c r="O50" s="202"/>
      <c r="P50" s="202"/>
      <c r="Q50" s="202"/>
      <c r="R50" s="165"/>
      <c r="S50" s="165"/>
      <c r="T50" s="165"/>
      <c r="U50" s="201"/>
      <c r="V50" s="166"/>
      <c r="W50" s="166"/>
      <c r="X50" s="179"/>
      <c r="Y50" s="179"/>
    </row>
    <row r="51" spans="1:25" ht="14.65" customHeight="1">
      <c r="A51" s="186" t="s">
        <v>28</v>
      </c>
      <c r="B51" s="186"/>
      <c r="C51">
        <v>21</v>
      </c>
      <c r="D51">
        <v>11</v>
      </c>
      <c r="E51">
        <v>20</v>
      </c>
      <c r="F51">
        <v>9</v>
      </c>
      <c r="G51">
        <v>8</v>
      </c>
      <c r="H51">
        <v>5</v>
      </c>
      <c r="I51" s="202">
        <v>12</v>
      </c>
      <c r="J51" s="165">
        <v>3</v>
      </c>
      <c r="K51" s="165">
        <v>16.029935581659721</v>
      </c>
      <c r="L51" s="179">
        <v>5.9700294582248219</v>
      </c>
      <c r="M51" s="165"/>
      <c r="N51" s="179"/>
      <c r="O51" s="202"/>
      <c r="P51" s="202"/>
      <c r="Q51" s="202"/>
      <c r="R51" s="165"/>
      <c r="S51" s="165"/>
      <c r="T51" s="165"/>
      <c r="U51" s="201"/>
      <c r="V51" s="166"/>
      <c r="W51" s="166"/>
      <c r="X51" s="179"/>
      <c r="Y51" s="179"/>
    </row>
    <row r="52" spans="1:25" ht="14.65" customHeight="1">
      <c r="A52" s="186" t="s">
        <v>29</v>
      </c>
      <c r="B52" s="186"/>
      <c r="C52">
        <v>22</v>
      </c>
      <c r="D52">
        <v>7</v>
      </c>
      <c r="E52">
        <v>18</v>
      </c>
      <c r="F52">
        <v>6</v>
      </c>
      <c r="G52">
        <v>17</v>
      </c>
      <c r="H52">
        <v>6</v>
      </c>
      <c r="I52" s="202">
        <v>17</v>
      </c>
      <c r="J52" s="165">
        <v>3</v>
      </c>
      <c r="K52" s="165">
        <v>18.637671462027434</v>
      </c>
      <c r="L52" s="179">
        <v>4.8117810489374149</v>
      </c>
      <c r="M52" s="165"/>
      <c r="N52" s="179"/>
      <c r="O52" s="202"/>
      <c r="P52" s="202"/>
      <c r="Q52" s="202"/>
      <c r="R52" s="165"/>
      <c r="S52" s="165"/>
      <c r="T52" s="165"/>
      <c r="U52" s="201"/>
      <c r="V52" s="166"/>
      <c r="W52" s="166"/>
      <c r="X52" s="179"/>
      <c r="Y52" s="179"/>
    </row>
    <row r="53" spans="1:25" ht="14.65" customHeight="1">
      <c r="A53" s="186" t="s">
        <v>30</v>
      </c>
      <c r="B53" s="186"/>
      <c r="C53">
        <v>19</v>
      </c>
      <c r="D53">
        <v>7</v>
      </c>
      <c r="E53">
        <v>21</v>
      </c>
      <c r="F53">
        <v>12</v>
      </c>
      <c r="G53">
        <v>23</v>
      </c>
      <c r="H53">
        <v>15</v>
      </c>
      <c r="I53" s="202">
        <v>23</v>
      </c>
      <c r="J53" s="165">
        <v>5</v>
      </c>
      <c r="K53" s="165">
        <v>21.215319148936171</v>
      </c>
      <c r="L53" s="179">
        <v>8.1209202076185445</v>
      </c>
      <c r="M53" s="165"/>
      <c r="N53" s="179"/>
      <c r="O53" s="202"/>
      <c r="P53" s="202"/>
      <c r="Q53" s="202"/>
      <c r="R53" s="165"/>
      <c r="S53" s="165"/>
      <c r="T53" s="165"/>
      <c r="U53" s="201"/>
      <c r="V53" s="166"/>
      <c r="W53" s="166"/>
      <c r="X53" s="179"/>
      <c r="Y53" s="179"/>
    </row>
    <row r="54" spans="1:25" ht="14.65" customHeight="1">
      <c r="A54" s="186" t="s">
        <v>31</v>
      </c>
      <c r="B54" s="186"/>
      <c r="C54">
        <v>21</v>
      </c>
      <c r="D54">
        <v>6</v>
      </c>
      <c r="E54">
        <v>22</v>
      </c>
      <c r="F54">
        <v>8</v>
      </c>
      <c r="G54">
        <v>21</v>
      </c>
      <c r="H54">
        <v>9</v>
      </c>
      <c r="I54" s="202">
        <v>27</v>
      </c>
      <c r="J54" s="165">
        <v>6</v>
      </c>
      <c r="K54" s="165">
        <v>23.084718923198732</v>
      </c>
      <c r="L54" s="179">
        <v>6.8419940109212609</v>
      </c>
      <c r="M54" s="165"/>
      <c r="N54" s="179"/>
      <c r="O54" s="202"/>
      <c r="P54" s="202"/>
      <c r="Q54" s="202"/>
      <c r="R54" s="165"/>
      <c r="S54" s="165"/>
      <c r="T54" s="165"/>
      <c r="U54" s="202"/>
      <c r="V54" s="204"/>
      <c r="W54" s="204"/>
      <c r="X54" s="179"/>
      <c r="Y54" s="179"/>
    </row>
    <row r="55" spans="1:25" ht="14.65" customHeight="1">
      <c r="A55" s="186" t="s">
        <v>304</v>
      </c>
      <c r="B55" s="186"/>
      <c r="C55">
        <v>32</v>
      </c>
      <c r="D55">
        <v>23</v>
      </c>
      <c r="E55">
        <v>36</v>
      </c>
      <c r="F55">
        <v>29</v>
      </c>
      <c r="G55">
        <v>41</v>
      </c>
      <c r="H55">
        <v>37</v>
      </c>
      <c r="I55" s="202">
        <v>37</v>
      </c>
      <c r="J55" s="165">
        <v>10</v>
      </c>
      <c r="K55" s="165">
        <v>36.476190476190474</v>
      </c>
      <c r="L55" s="179">
        <v>19.152518463198074</v>
      </c>
      <c r="M55" s="165"/>
      <c r="N55" s="179"/>
      <c r="O55" s="202"/>
      <c r="P55" s="202"/>
      <c r="Q55" s="202"/>
      <c r="R55" s="165"/>
      <c r="S55" s="165"/>
      <c r="T55" s="165"/>
      <c r="U55" s="201"/>
      <c r="V55" s="166"/>
      <c r="W55" s="166"/>
      <c r="X55" s="179"/>
      <c r="Y55" s="179"/>
    </row>
    <row r="56" spans="1:25" ht="14.65" customHeight="1">
      <c r="A56" s="186" t="s">
        <v>32</v>
      </c>
      <c r="B56" s="186"/>
      <c r="C56">
        <v>28</v>
      </c>
      <c r="D56">
        <v>33</v>
      </c>
      <c r="E56">
        <v>25</v>
      </c>
      <c r="F56">
        <v>21</v>
      </c>
      <c r="G56">
        <v>25</v>
      </c>
      <c r="H56">
        <v>11</v>
      </c>
      <c r="I56" s="202">
        <v>26</v>
      </c>
      <c r="J56" s="165">
        <v>5</v>
      </c>
      <c r="K56" s="165">
        <v>25.891358910003586</v>
      </c>
      <c r="L56" s="179">
        <v>14.639803234078183</v>
      </c>
      <c r="M56" s="165"/>
      <c r="N56" s="179"/>
      <c r="O56" s="202"/>
      <c r="P56" s="202"/>
      <c r="Q56" s="202"/>
      <c r="R56" s="165"/>
      <c r="S56" s="165"/>
      <c r="T56" s="165"/>
      <c r="U56" s="201"/>
      <c r="V56" s="166"/>
      <c r="W56" s="166"/>
      <c r="X56" s="179"/>
      <c r="Y56" s="179"/>
    </row>
    <row r="57" spans="1:25" ht="14.65" customHeight="1">
      <c r="A57" s="186" t="s">
        <v>33</v>
      </c>
      <c r="B57" s="186"/>
      <c r="C57">
        <v>19</v>
      </c>
      <c r="D57">
        <v>5</v>
      </c>
      <c r="E57">
        <v>16</v>
      </c>
      <c r="F57">
        <v>4</v>
      </c>
      <c r="G57">
        <v>16</v>
      </c>
      <c r="H57">
        <v>4</v>
      </c>
      <c r="I57" s="201">
        <v>17</v>
      </c>
      <c r="J57" s="199">
        <v>3</v>
      </c>
      <c r="K57" s="199">
        <v>16.932161830813239</v>
      </c>
      <c r="L57" s="179">
        <v>3.7566735498404356</v>
      </c>
      <c r="M57" s="199"/>
      <c r="N57" s="179"/>
      <c r="O57" s="201"/>
      <c r="P57" s="201"/>
      <c r="Q57" s="201"/>
      <c r="R57" s="199"/>
      <c r="S57" s="199"/>
      <c r="T57" s="199"/>
      <c r="U57" s="201"/>
      <c r="V57" s="166"/>
      <c r="W57" s="166"/>
      <c r="X57" s="179"/>
      <c r="Y57" s="179"/>
    </row>
    <row r="58" spans="1:25" ht="14.65" customHeight="1">
      <c r="A58" s="186" t="s">
        <v>34</v>
      </c>
      <c r="B58" s="186"/>
      <c r="C58">
        <v>19</v>
      </c>
      <c r="D58">
        <v>5</v>
      </c>
      <c r="E58">
        <v>20</v>
      </c>
      <c r="F58">
        <v>5</v>
      </c>
      <c r="G58">
        <v>18</v>
      </c>
      <c r="H58">
        <v>6</v>
      </c>
      <c r="I58" s="202">
        <v>19</v>
      </c>
      <c r="J58" s="165">
        <v>3</v>
      </c>
      <c r="K58" s="165">
        <v>19.030951471150171</v>
      </c>
      <c r="L58" s="179">
        <v>4.2235507109719759</v>
      </c>
      <c r="M58" s="165"/>
      <c r="N58" s="179"/>
      <c r="O58" s="202"/>
      <c r="P58" s="202"/>
      <c r="Q58" s="202"/>
      <c r="R58" s="165"/>
      <c r="S58" s="165"/>
      <c r="T58" s="165"/>
      <c r="U58" s="201"/>
      <c r="V58" s="166"/>
      <c r="W58" s="166"/>
      <c r="X58" s="179"/>
      <c r="Y58" s="179"/>
    </row>
    <row r="59" spans="1:25" ht="14.65" customHeight="1">
      <c r="A59" s="186" t="s">
        <v>35</v>
      </c>
      <c r="B59" s="186"/>
      <c r="C59">
        <v>15</v>
      </c>
      <c r="D59">
        <v>4</v>
      </c>
      <c r="E59">
        <v>19</v>
      </c>
      <c r="F59">
        <v>6</v>
      </c>
      <c r="G59">
        <v>17</v>
      </c>
      <c r="H59">
        <v>7</v>
      </c>
      <c r="I59" s="202">
        <v>13</v>
      </c>
      <c r="J59" s="165">
        <v>2</v>
      </c>
      <c r="K59" s="165">
        <v>16.004554865424431</v>
      </c>
      <c r="L59" s="179">
        <v>3.9783733188827037</v>
      </c>
      <c r="M59" s="165"/>
      <c r="N59" s="179"/>
      <c r="O59" s="202"/>
      <c r="P59" s="202"/>
      <c r="Q59" s="202"/>
      <c r="R59" s="165"/>
      <c r="S59" s="165"/>
      <c r="T59" s="165"/>
      <c r="U59" s="202"/>
      <c r="V59" s="204"/>
      <c r="W59" s="204"/>
      <c r="X59" s="179"/>
      <c r="Y59" s="179"/>
    </row>
    <row r="60" spans="1:25" ht="14.65" customHeight="1">
      <c r="A60" s="186" t="s">
        <v>305</v>
      </c>
      <c r="B60" s="186"/>
      <c r="C60">
        <v>23</v>
      </c>
      <c r="D60">
        <v>9</v>
      </c>
      <c r="E60">
        <v>28</v>
      </c>
      <c r="F60">
        <v>12</v>
      </c>
      <c r="G60">
        <v>33</v>
      </c>
      <c r="H60">
        <v>18</v>
      </c>
      <c r="I60" s="202">
        <v>38</v>
      </c>
      <c r="J60" s="165">
        <v>6</v>
      </c>
      <c r="K60" s="165">
        <v>30.986323555875472</v>
      </c>
      <c r="L60" s="179">
        <v>9.7215530606334219</v>
      </c>
      <c r="M60" s="165"/>
      <c r="N60" s="179"/>
      <c r="O60" s="202"/>
      <c r="P60" s="202"/>
      <c r="Q60" s="202"/>
      <c r="R60" s="165"/>
      <c r="S60" s="165"/>
      <c r="T60" s="165"/>
      <c r="U60" s="202"/>
      <c r="V60" s="204"/>
      <c r="W60" s="204"/>
      <c r="X60" s="179"/>
      <c r="Y60" s="179"/>
    </row>
    <row r="61" spans="1:25" ht="14.65" customHeight="1">
      <c r="A61" s="186" t="s">
        <v>822</v>
      </c>
      <c r="B61" s="186"/>
      <c r="C61">
        <v>31</v>
      </c>
      <c r="D61">
        <v>15</v>
      </c>
      <c r="E61">
        <v>37</v>
      </c>
      <c r="F61">
        <v>17</v>
      </c>
      <c r="G61">
        <v>33</v>
      </c>
      <c r="H61">
        <v>20</v>
      </c>
      <c r="I61" s="202">
        <v>31</v>
      </c>
      <c r="J61" s="165">
        <v>6</v>
      </c>
      <c r="K61" s="165">
        <v>33.101427371956341</v>
      </c>
      <c r="L61" s="179">
        <v>12.129072959470749</v>
      </c>
      <c r="M61" s="165"/>
      <c r="N61" s="179"/>
      <c r="O61" s="202"/>
      <c r="P61" s="202"/>
      <c r="Q61" s="202"/>
      <c r="R61" s="165"/>
      <c r="S61" s="165"/>
      <c r="T61" s="165"/>
      <c r="U61" s="201"/>
      <c r="V61" s="166"/>
      <c r="W61" s="166"/>
      <c r="X61" s="179"/>
      <c r="Y61" s="179"/>
    </row>
    <row r="62" spans="1:25" ht="14.65" customHeight="1">
      <c r="A62" s="186" t="s">
        <v>36</v>
      </c>
      <c r="B62" s="186"/>
      <c r="C62">
        <v>24</v>
      </c>
      <c r="D62">
        <v>10</v>
      </c>
      <c r="E62">
        <v>29</v>
      </c>
      <c r="F62">
        <v>13</v>
      </c>
      <c r="G62">
        <v>28</v>
      </c>
      <c r="H62">
        <v>14</v>
      </c>
      <c r="I62" s="202">
        <v>29</v>
      </c>
      <c r="J62" s="165">
        <v>5</v>
      </c>
      <c r="K62" s="165">
        <v>27.559176672384218</v>
      </c>
      <c r="L62" s="179">
        <v>8.9520795308920036</v>
      </c>
      <c r="M62" s="165"/>
      <c r="N62" s="179"/>
      <c r="O62" s="202"/>
      <c r="P62" s="202"/>
      <c r="Q62" s="202"/>
      <c r="R62" s="165"/>
      <c r="S62" s="165"/>
      <c r="T62" s="165"/>
      <c r="U62" s="201"/>
      <c r="V62" s="166"/>
      <c r="W62" s="166"/>
      <c r="X62" s="179"/>
      <c r="Y62" s="179"/>
    </row>
    <row r="63" spans="1:25" ht="14.65" customHeight="1">
      <c r="A63" s="186" t="s">
        <v>37</v>
      </c>
      <c r="B63" s="186"/>
      <c r="C63">
        <v>22</v>
      </c>
      <c r="D63">
        <v>6</v>
      </c>
      <c r="E63">
        <v>19</v>
      </c>
      <c r="F63">
        <v>6</v>
      </c>
      <c r="G63">
        <v>21</v>
      </c>
      <c r="H63">
        <v>7</v>
      </c>
      <c r="I63" s="202">
        <v>26</v>
      </c>
      <c r="J63" s="165">
        <v>4</v>
      </c>
      <c r="K63" s="165">
        <v>21.793618116314978</v>
      </c>
      <c r="L63" s="179">
        <v>5.3455858221201185</v>
      </c>
      <c r="M63" s="165"/>
      <c r="N63" s="179"/>
      <c r="O63" s="202"/>
      <c r="P63" s="202"/>
      <c r="Q63" s="202"/>
      <c r="R63" s="165"/>
      <c r="S63" s="165"/>
      <c r="T63" s="165"/>
      <c r="U63" s="201"/>
      <c r="V63" s="166"/>
      <c r="W63" s="166"/>
      <c r="X63" s="179"/>
      <c r="Y63" s="179"/>
    </row>
    <row r="64" spans="1:25" ht="14.65" customHeight="1">
      <c r="A64" s="186" t="s">
        <v>38</v>
      </c>
      <c r="B64" s="186"/>
      <c r="C64">
        <v>12</v>
      </c>
      <c r="D64">
        <v>2</v>
      </c>
      <c r="E64">
        <v>15</v>
      </c>
      <c r="F64">
        <v>3</v>
      </c>
      <c r="G64">
        <v>14</v>
      </c>
      <c r="H64">
        <v>3</v>
      </c>
      <c r="I64" s="202">
        <v>15</v>
      </c>
      <c r="J64" s="165">
        <v>2</v>
      </c>
      <c r="K64" s="165">
        <v>13.935294117647059</v>
      </c>
      <c r="L64" s="179">
        <v>2.7576582709326072</v>
      </c>
      <c r="M64" s="165"/>
      <c r="N64" s="179"/>
      <c r="O64" s="202"/>
      <c r="P64" s="202"/>
      <c r="Q64" s="202"/>
      <c r="R64" s="165"/>
      <c r="S64" s="165"/>
      <c r="T64" s="165"/>
      <c r="U64" s="201"/>
      <c r="V64" s="166"/>
      <c r="W64" s="166"/>
      <c r="X64" s="179"/>
      <c r="Y64" s="179"/>
    </row>
    <row r="65" spans="1:25" ht="14.65" customHeight="1">
      <c r="A65" s="186" t="s">
        <v>39</v>
      </c>
      <c r="B65" s="186"/>
      <c r="C65">
        <v>24</v>
      </c>
      <c r="D65">
        <v>9</v>
      </c>
      <c r="E65">
        <v>22</v>
      </c>
      <c r="F65">
        <v>9</v>
      </c>
      <c r="G65">
        <v>20</v>
      </c>
      <c r="H65">
        <v>9</v>
      </c>
      <c r="I65" s="202">
        <v>21</v>
      </c>
      <c r="J65" s="165">
        <v>4</v>
      </c>
      <c r="K65" s="165">
        <v>21.844522968197879</v>
      </c>
      <c r="L65" s="179">
        <v>7.0023287405394914</v>
      </c>
      <c r="M65" s="165"/>
      <c r="N65" s="179"/>
      <c r="O65" s="202"/>
      <c r="P65" s="202"/>
      <c r="Q65" s="202"/>
      <c r="R65" s="165"/>
      <c r="S65" s="165"/>
      <c r="T65" s="165"/>
      <c r="U65" s="201"/>
      <c r="V65" s="166"/>
      <c r="W65" s="166"/>
      <c r="X65" s="179"/>
      <c r="Y65" s="179"/>
    </row>
    <row r="66" spans="1:25" ht="14.65" customHeight="1">
      <c r="A66" s="186" t="s">
        <v>40</v>
      </c>
      <c r="B66" s="186"/>
      <c r="C66">
        <v>22</v>
      </c>
      <c r="D66">
        <v>10</v>
      </c>
      <c r="E66">
        <v>19</v>
      </c>
      <c r="F66">
        <v>9</v>
      </c>
      <c r="G66">
        <v>19</v>
      </c>
      <c r="H66">
        <v>11</v>
      </c>
      <c r="I66" s="202">
        <v>16</v>
      </c>
      <c r="J66" s="165">
        <v>3</v>
      </c>
      <c r="K66" s="165">
        <v>19.168449197860962</v>
      </c>
      <c r="L66" s="179">
        <v>7.1802740346506626</v>
      </c>
      <c r="M66" s="165"/>
      <c r="N66" s="179"/>
      <c r="O66" s="202"/>
      <c r="P66" s="202"/>
      <c r="Q66" s="202"/>
      <c r="R66" s="165"/>
      <c r="S66" s="165"/>
      <c r="T66" s="165"/>
      <c r="U66" s="201"/>
      <c r="V66" s="166"/>
      <c r="W66" s="166"/>
      <c r="X66" s="179"/>
      <c r="Y66" s="179"/>
    </row>
    <row r="67" spans="1:25" ht="14.65" customHeight="1">
      <c r="A67" s="186" t="s">
        <v>374</v>
      </c>
      <c r="B67" s="186"/>
      <c r="C67">
        <v>18</v>
      </c>
      <c r="D67">
        <v>8</v>
      </c>
      <c r="E67">
        <v>18</v>
      </c>
      <c r="F67">
        <v>7</v>
      </c>
      <c r="G67">
        <v>20</v>
      </c>
      <c r="H67">
        <v>5</v>
      </c>
      <c r="I67" s="202">
        <v>26</v>
      </c>
      <c r="J67" s="165">
        <v>8</v>
      </c>
      <c r="K67" s="165">
        <v>20.726315789473684</v>
      </c>
      <c r="L67" s="179">
        <v>6.3472184896533186</v>
      </c>
      <c r="M67" s="165"/>
      <c r="N67" s="179"/>
      <c r="O67" s="202"/>
      <c r="P67" s="202"/>
      <c r="Q67" s="202"/>
      <c r="R67" s="165"/>
      <c r="S67" s="165"/>
      <c r="T67" s="165"/>
      <c r="U67" s="201"/>
      <c r="V67" s="166"/>
      <c r="W67" s="166"/>
      <c r="X67" s="179"/>
      <c r="Y67" s="179"/>
    </row>
    <row r="68" spans="1:25" ht="14.65" customHeight="1">
      <c r="A68" s="186" t="s">
        <v>41</v>
      </c>
      <c r="B68" s="186"/>
      <c r="C68">
        <v>30</v>
      </c>
      <c r="D68">
        <v>14</v>
      </c>
      <c r="E68">
        <v>31</v>
      </c>
      <c r="F68">
        <v>17</v>
      </c>
      <c r="G68">
        <v>27</v>
      </c>
      <c r="H68">
        <v>17</v>
      </c>
      <c r="I68" s="202">
        <v>23</v>
      </c>
      <c r="J68" s="165">
        <v>6</v>
      </c>
      <c r="K68" s="165">
        <v>27.666069600818833</v>
      </c>
      <c r="L68" s="179">
        <v>11.236641447856401</v>
      </c>
      <c r="M68" s="165"/>
      <c r="N68" s="179"/>
      <c r="O68" s="202"/>
      <c r="P68" s="202"/>
      <c r="Q68" s="202"/>
      <c r="R68" s="165"/>
      <c r="S68" s="165"/>
      <c r="T68" s="165"/>
      <c r="U68" s="202"/>
      <c r="V68" s="204"/>
      <c r="W68" s="204"/>
      <c r="X68" s="179"/>
      <c r="Y68" s="179"/>
    </row>
    <row r="69" spans="1:25" ht="14.65" customHeight="1">
      <c r="A69" s="186" t="s">
        <v>42</v>
      </c>
      <c r="B69" s="186"/>
      <c r="C69">
        <v>24</v>
      </c>
      <c r="D69">
        <v>16</v>
      </c>
      <c r="E69">
        <v>22</v>
      </c>
      <c r="F69">
        <v>13</v>
      </c>
      <c r="G69">
        <v>24</v>
      </c>
      <c r="H69">
        <v>17</v>
      </c>
      <c r="I69" s="202">
        <v>26</v>
      </c>
      <c r="J69" s="165">
        <v>6</v>
      </c>
      <c r="K69" s="165">
        <v>23.867437722419929</v>
      </c>
      <c r="L69" s="179">
        <v>10.42640922850364</v>
      </c>
      <c r="M69" s="165"/>
      <c r="N69" s="179"/>
      <c r="O69" s="202"/>
      <c r="P69" s="202"/>
      <c r="Q69" s="202"/>
      <c r="R69" s="165"/>
      <c r="S69" s="165"/>
      <c r="T69" s="165"/>
      <c r="U69" s="201"/>
      <c r="V69" s="166"/>
      <c r="W69" s="166"/>
      <c r="X69" s="179"/>
      <c r="Y69" s="179"/>
    </row>
    <row r="70" spans="1:25" ht="14.65" customHeight="1">
      <c r="A70" s="186" t="s">
        <v>43</v>
      </c>
      <c r="B70" s="186"/>
      <c r="C70">
        <v>24</v>
      </c>
      <c r="D70">
        <v>11</v>
      </c>
      <c r="E70">
        <v>14</v>
      </c>
      <c r="F70">
        <v>5</v>
      </c>
      <c r="G70">
        <v>15</v>
      </c>
      <c r="H70">
        <v>7</v>
      </c>
      <c r="I70" s="202">
        <v>14</v>
      </c>
      <c r="J70" s="165">
        <v>3</v>
      </c>
      <c r="K70" s="165">
        <v>17.612917594654789</v>
      </c>
      <c r="L70" s="179">
        <v>5.7270270270270274</v>
      </c>
      <c r="M70" s="165"/>
      <c r="N70" s="179"/>
      <c r="O70" s="202"/>
      <c r="P70" s="202"/>
      <c r="Q70" s="202"/>
      <c r="R70" s="165"/>
      <c r="S70" s="165"/>
      <c r="T70" s="165"/>
      <c r="U70" s="201"/>
      <c r="V70" s="166"/>
      <c r="W70" s="166"/>
      <c r="X70" s="179"/>
      <c r="Y70" s="179"/>
    </row>
    <row r="71" spans="1:25" ht="14.65" customHeight="1">
      <c r="A71" s="186" t="s">
        <v>306</v>
      </c>
      <c r="B71" s="186"/>
      <c r="C71">
        <v>28</v>
      </c>
      <c r="D71">
        <v>15</v>
      </c>
      <c r="E71">
        <v>23</v>
      </c>
      <c r="F71">
        <v>11</v>
      </c>
      <c r="G71">
        <v>20</v>
      </c>
      <c r="H71">
        <v>11</v>
      </c>
      <c r="I71" s="202">
        <v>20</v>
      </c>
      <c r="J71" s="165">
        <v>4</v>
      </c>
      <c r="K71" s="165">
        <v>22.247213375796179</v>
      </c>
      <c r="L71" s="179">
        <v>8.6026086465832048</v>
      </c>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4</v>
      </c>
      <c r="G72">
        <v>11</v>
      </c>
      <c r="H72">
        <v>5</v>
      </c>
      <c r="I72" s="202">
        <v>10</v>
      </c>
      <c r="J72" s="165">
        <v>2</v>
      </c>
      <c r="K72" s="165">
        <v>10.972602739726028</v>
      </c>
      <c r="L72" s="179">
        <v>3.4104238618524332</v>
      </c>
      <c r="M72" s="165"/>
      <c r="N72" s="179"/>
      <c r="O72" s="202"/>
      <c r="P72" s="202"/>
      <c r="Q72" s="202"/>
      <c r="R72" s="165"/>
      <c r="S72" s="165"/>
      <c r="T72" s="165"/>
      <c r="U72" s="201"/>
      <c r="V72" s="166"/>
      <c r="W72" s="166"/>
      <c r="X72" s="179"/>
      <c r="Y72" s="179"/>
    </row>
    <row r="73" spans="1:25" ht="14.65" customHeight="1">
      <c r="A73" s="186" t="s">
        <v>267</v>
      </c>
      <c r="B73" s="186"/>
      <c r="C73">
        <v>20</v>
      </c>
      <c r="D73">
        <v>20</v>
      </c>
      <c r="E73">
        <v>21</v>
      </c>
      <c r="F73">
        <v>12</v>
      </c>
      <c r="G73">
        <v>21</v>
      </c>
      <c r="H73">
        <v>10</v>
      </c>
      <c r="I73" s="202">
        <v>22</v>
      </c>
      <c r="J73" s="165">
        <v>4</v>
      </c>
      <c r="K73" s="165">
        <v>21.178634846224874</v>
      </c>
      <c r="L73" s="179">
        <v>9.2709444302658266</v>
      </c>
      <c r="M73" s="165"/>
      <c r="N73" s="179"/>
      <c r="O73" s="202"/>
      <c r="P73" s="202"/>
      <c r="Q73" s="202"/>
      <c r="R73" s="165"/>
      <c r="S73" s="165"/>
      <c r="T73" s="165"/>
      <c r="U73" s="201"/>
      <c r="V73" s="166"/>
      <c r="W73" s="166"/>
      <c r="X73" s="179"/>
      <c r="Y73" s="179"/>
    </row>
    <row r="74" spans="1:25" ht="14.65" customHeight="1">
      <c r="A74" s="186" t="s">
        <v>229</v>
      </c>
      <c r="B74" s="186"/>
      <c r="C74">
        <v>24</v>
      </c>
      <c r="D74">
        <v>16</v>
      </c>
      <c r="E74">
        <v>24</v>
      </c>
      <c r="F74">
        <v>22</v>
      </c>
      <c r="G74">
        <v>21</v>
      </c>
      <c r="H74">
        <v>18</v>
      </c>
      <c r="I74" s="202">
        <v>20</v>
      </c>
      <c r="J74" s="165">
        <v>5</v>
      </c>
      <c r="K74" s="165">
        <v>22.164536569648803</v>
      </c>
      <c r="L74" s="179">
        <v>12.711334293470641</v>
      </c>
      <c r="M74" s="165"/>
      <c r="N74" s="179"/>
      <c r="O74" s="202"/>
      <c r="P74" s="202"/>
      <c r="Q74" s="202"/>
      <c r="R74" s="165"/>
      <c r="S74" s="165"/>
      <c r="T74" s="165"/>
      <c r="U74" s="201"/>
      <c r="V74" s="166"/>
      <c r="W74" s="166"/>
      <c r="X74" s="179"/>
      <c r="Y74" s="179"/>
    </row>
    <row r="75" spans="1:25" ht="14.65" customHeight="1">
      <c r="A75" s="186" t="s">
        <v>45</v>
      </c>
      <c r="B75" s="186"/>
      <c r="C75">
        <v>24</v>
      </c>
      <c r="D75">
        <v>10</v>
      </c>
      <c r="E75">
        <v>24</v>
      </c>
      <c r="F75">
        <v>9</v>
      </c>
      <c r="G75">
        <v>27</v>
      </c>
      <c r="H75">
        <v>9</v>
      </c>
      <c r="I75" s="202">
        <v>25</v>
      </c>
      <c r="J75" s="165">
        <v>3</v>
      </c>
      <c r="K75" s="165">
        <v>24.979338842975206</v>
      </c>
      <c r="L75" s="179">
        <v>6.4517194957777502</v>
      </c>
      <c r="M75" s="165"/>
      <c r="N75" s="179"/>
      <c r="O75" s="202"/>
      <c r="P75" s="202"/>
      <c r="Q75" s="202"/>
      <c r="R75" s="165"/>
      <c r="S75" s="165"/>
      <c r="T75" s="165"/>
      <c r="U75" s="201"/>
      <c r="V75" s="166"/>
      <c r="W75" s="166"/>
      <c r="X75" s="179"/>
      <c r="Y75" s="179"/>
    </row>
    <row r="76" spans="1:25" ht="14.65" customHeight="1">
      <c r="A76" s="186" t="s">
        <v>46</v>
      </c>
      <c r="B76" s="186"/>
      <c r="C76">
        <v>13</v>
      </c>
      <c r="D76">
        <v>3</v>
      </c>
      <c r="E76">
        <v>14</v>
      </c>
      <c r="F76">
        <v>4</v>
      </c>
      <c r="G76">
        <v>13</v>
      </c>
      <c r="H76">
        <v>5</v>
      </c>
      <c r="I76" s="202">
        <v>13</v>
      </c>
      <c r="J76" s="165" t="s">
        <v>3</v>
      </c>
      <c r="K76" s="165">
        <v>13.114886731391586</v>
      </c>
      <c r="L76" s="179" t="s">
        <v>3</v>
      </c>
      <c r="M76" s="165"/>
      <c r="N76" s="179"/>
      <c r="O76" s="202"/>
      <c r="P76" s="202"/>
      <c r="Q76" s="202"/>
      <c r="R76" s="165"/>
      <c r="S76" s="165"/>
      <c r="T76" s="165"/>
      <c r="U76" s="202"/>
      <c r="V76" s="204"/>
      <c r="W76" s="204"/>
      <c r="X76" s="179"/>
      <c r="Y76" s="179"/>
    </row>
    <row r="77" spans="1:25" ht="14.65" customHeight="1">
      <c r="A77" s="186" t="s">
        <v>202</v>
      </c>
      <c r="B77" s="186"/>
      <c r="C77">
        <v>27</v>
      </c>
      <c r="D77">
        <v>5</v>
      </c>
      <c r="E77">
        <v>24</v>
      </c>
      <c r="F77">
        <v>6</v>
      </c>
      <c r="G77">
        <v>23</v>
      </c>
      <c r="H77" t="s">
        <v>3</v>
      </c>
      <c r="I77" s="202">
        <v>23</v>
      </c>
      <c r="J77" s="165">
        <v>3</v>
      </c>
      <c r="K77" s="165">
        <v>24.49354073292908</v>
      </c>
      <c r="L77" s="179" t="s">
        <v>3</v>
      </c>
      <c r="M77" s="165"/>
      <c r="N77" s="179"/>
      <c r="O77" s="202"/>
      <c r="P77" s="202"/>
      <c r="Q77" s="202"/>
      <c r="R77" s="165"/>
      <c r="S77" s="165"/>
      <c r="T77" s="165"/>
      <c r="U77" s="202"/>
      <c r="V77" s="204"/>
      <c r="W77" s="204"/>
      <c r="X77" s="179"/>
      <c r="Y77" s="179"/>
    </row>
    <row r="78" spans="1:25" ht="14.65" customHeight="1">
      <c r="A78" s="186" t="s">
        <v>47</v>
      </c>
      <c r="B78" s="186"/>
      <c r="C78">
        <v>32</v>
      </c>
      <c r="D78">
        <v>10</v>
      </c>
      <c r="E78">
        <v>30</v>
      </c>
      <c r="F78">
        <v>13</v>
      </c>
      <c r="G78">
        <v>29</v>
      </c>
      <c r="H78">
        <v>15</v>
      </c>
      <c r="I78" s="202">
        <v>22</v>
      </c>
      <c r="J78" s="165">
        <v>7</v>
      </c>
      <c r="K78" s="165">
        <v>28.296244296244296</v>
      </c>
      <c r="L78" s="179">
        <v>9.9836593216142617</v>
      </c>
      <c r="M78" s="165"/>
      <c r="N78" s="179"/>
      <c r="O78" s="202"/>
      <c r="P78" s="202"/>
      <c r="Q78" s="202"/>
      <c r="R78" s="165"/>
      <c r="S78" s="165"/>
      <c r="T78" s="165"/>
      <c r="U78" s="201"/>
      <c r="V78" s="166"/>
      <c r="W78" s="166"/>
      <c r="X78" s="179"/>
      <c r="Y78" s="179"/>
    </row>
    <row r="79" spans="1:25" ht="14.65" customHeight="1">
      <c r="A79" s="186" t="s">
        <v>265</v>
      </c>
      <c r="B79" s="186"/>
      <c r="C79">
        <v>9</v>
      </c>
      <c r="D79">
        <v>4</v>
      </c>
      <c r="E79">
        <v>11</v>
      </c>
      <c r="F79">
        <v>4</v>
      </c>
      <c r="G79">
        <v>10</v>
      </c>
      <c r="H79">
        <v>5</v>
      </c>
      <c r="I79" s="201">
        <v>11</v>
      </c>
      <c r="J79" s="199">
        <v>3</v>
      </c>
      <c r="K79" s="199">
        <v>10.189274447949527</v>
      </c>
      <c r="L79" s="179">
        <v>3.6665713332380001</v>
      </c>
      <c r="M79" s="199"/>
      <c r="N79" s="179"/>
      <c r="O79" s="201"/>
      <c r="P79" s="201"/>
      <c r="Q79" s="201"/>
      <c r="R79" s="199"/>
      <c r="S79" s="199"/>
      <c r="T79" s="199"/>
      <c r="U79" s="201"/>
      <c r="V79" s="166"/>
      <c r="W79" s="166"/>
      <c r="X79" s="179"/>
      <c r="Y79" s="179"/>
    </row>
    <row r="80" spans="1:25" ht="14.65" customHeight="1">
      <c r="A80" s="186" t="s">
        <v>48</v>
      </c>
      <c r="B80" s="186"/>
      <c r="C80">
        <v>28</v>
      </c>
      <c r="D80">
        <v>22</v>
      </c>
      <c r="E80">
        <v>24</v>
      </c>
      <c r="F80">
        <v>13</v>
      </c>
      <c r="G80">
        <v>27</v>
      </c>
      <c r="H80">
        <v>14</v>
      </c>
      <c r="I80" s="202">
        <v>28</v>
      </c>
      <c r="J80" s="165">
        <v>6</v>
      </c>
      <c r="K80" s="165">
        <v>26.810668229777256</v>
      </c>
      <c r="L80" s="179">
        <v>11.502347417840376</v>
      </c>
      <c r="M80" s="165"/>
      <c r="N80" s="179"/>
      <c r="O80" s="202"/>
      <c r="P80" s="202"/>
      <c r="Q80" s="202"/>
      <c r="R80" s="165"/>
      <c r="S80" s="165"/>
      <c r="T80" s="165"/>
      <c r="U80" s="201"/>
      <c r="V80" s="166"/>
      <c r="W80" s="166"/>
      <c r="X80" s="179"/>
      <c r="Y80" s="179"/>
    </row>
    <row r="81" spans="1:25" ht="14.65" customHeight="1">
      <c r="A81" s="186" t="s">
        <v>49</v>
      </c>
      <c r="B81" s="186"/>
      <c r="C81">
        <v>31</v>
      </c>
      <c r="D81">
        <v>6</v>
      </c>
      <c r="E81">
        <v>31</v>
      </c>
      <c r="F81">
        <v>5</v>
      </c>
      <c r="G81">
        <v>28</v>
      </c>
      <c r="H81">
        <v>7</v>
      </c>
      <c r="I81" s="202">
        <v>26</v>
      </c>
      <c r="J81" s="165">
        <v>2</v>
      </c>
      <c r="K81" s="165">
        <v>29.226452905811623</v>
      </c>
      <c r="L81" s="179">
        <v>4.0188679245283021</v>
      </c>
      <c r="M81" s="165"/>
      <c r="N81" s="179"/>
      <c r="O81" s="202"/>
      <c r="P81" s="202"/>
      <c r="Q81" s="202"/>
      <c r="R81" s="165"/>
      <c r="S81" s="165"/>
      <c r="T81" s="165"/>
      <c r="U81" s="201"/>
      <c r="V81" s="166"/>
      <c r="W81" s="166"/>
      <c r="X81" s="179"/>
      <c r="Y81" s="179"/>
    </row>
    <row r="82" spans="1:25" ht="14.65" customHeight="1">
      <c r="A82" s="186" t="s">
        <v>266</v>
      </c>
      <c r="B82" s="186"/>
      <c r="C82">
        <v>34</v>
      </c>
      <c r="D82">
        <v>20</v>
      </c>
      <c r="E82">
        <v>47</v>
      </c>
      <c r="F82">
        <v>26</v>
      </c>
      <c r="G82">
        <v>46</v>
      </c>
      <c r="H82">
        <v>28</v>
      </c>
      <c r="I82" s="202">
        <v>38</v>
      </c>
      <c r="J82" s="165">
        <v>13</v>
      </c>
      <c r="K82" s="165">
        <v>40.589195435504841</v>
      </c>
      <c r="L82" s="179">
        <v>20.723388814757591</v>
      </c>
      <c r="M82" s="165"/>
      <c r="N82" s="179"/>
      <c r="O82" s="202"/>
      <c r="P82" s="202"/>
      <c r="Q82" s="202"/>
      <c r="R82" s="165"/>
      <c r="S82" s="165"/>
      <c r="T82" s="165"/>
      <c r="U82" s="201"/>
      <c r="V82" s="166"/>
      <c r="W82" s="166"/>
      <c r="X82" s="179"/>
      <c r="Y82" s="179"/>
    </row>
    <row r="83" spans="1:25" ht="14.65" customHeight="1">
      <c r="A83" s="186" t="s">
        <v>50</v>
      </c>
      <c r="B83" s="186"/>
      <c r="C83">
        <v>27</v>
      </c>
      <c r="D83">
        <v>8</v>
      </c>
      <c r="E83">
        <v>19</v>
      </c>
      <c r="F83">
        <v>5</v>
      </c>
      <c r="G83">
        <v>12</v>
      </c>
      <c r="H83">
        <v>3</v>
      </c>
      <c r="I83" s="202">
        <v>17</v>
      </c>
      <c r="J83" s="165">
        <v>2</v>
      </c>
      <c r="K83" s="165">
        <v>17.971177944862156</v>
      </c>
      <c r="L83" s="179">
        <v>3.663800370932389</v>
      </c>
      <c r="M83" s="165"/>
      <c r="N83" s="179"/>
      <c r="O83" s="202"/>
      <c r="P83" s="202"/>
      <c r="Q83" s="202"/>
      <c r="R83" s="165"/>
      <c r="S83" s="165"/>
      <c r="T83" s="165"/>
      <c r="U83" s="201"/>
      <c r="V83" s="166"/>
      <c r="W83" s="166"/>
      <c r="X83" s="179"/>
      <c r="Y83" s="179"/>
    </row>
    <row r="84" spans="1:25" ht="14.65" customHeight="1">
      <c r="A84" s="186" t="s">
        <v>230</v>
      </c>
      <c r="B84" s="186"/>
      <c r="C84">
        <v>67</v>
      </c>
      <c r="D84">
        <v>11</v>
      </c>
      <c r="E84">
        <v>44</v>
      </c>
      <c r="F84">
        <v>10</v>
      </c>
      <c r="G84">
        <v>43</v>
      </c>
      <c r="H84">
        <v>10</v>
      </c>
      <c r="I84" s="202">
        <v>46</v>
      </c>
      <c r="J84" s="165">
        <v>7</v>
      </c>
      <c r="K84" s="165">
        <v>50.85292109626451</v>
      </c>
      <c r="L84" s="179">
        <v>9.1697849545842711</v>
      </c>
      <c r="M84" s="165"/>
      <c r="N84" s="179"/>
      <c r="O84" s="202"/>
      <c r="P84" s="202"/>
      <c r="Q84" s="202"/>
      <c r="R84" s="165"/>
      <c r="S84" s="165"/>
      <c r="T84" s="165"/>
      <c r="U84" s="201"/>
      <c r="V84" s="166"/>
      <c r="W84" s="166"/>
      <c r="X84" s="179"/>
      <c r="Y84" s="179"/>
    </row>
    <row r="85" spans="1:25" ht="14.65" customHeight="1">
      <c r="A85" s="186" t="s">
        <v>51</v>
      </c>
      <c r="B85" s="186"/>
      <c r="C85">
        <v>12</v>
      </c>
      <c r="D85">
        <v>9</v>
      </c>
      <c r="E85">
        <v>13</v>
      </c>
      <c r="F85">
        <v>10</v>
      </c>
      <c r="G85">
        <v>14</v>
      </c>
      <c r="H85">
        <v>8</v>
      </c>
      <c r="I85" s="202">
        <v>18</v>
      </c>
      <c r="J85" s="165">
        <v>2</v>
      </c>
      <c r="K85" s="165">
        <v>14.23929388689114</v>
      </c>
      <c r="L85" s="179">
        <v>6.0519275399690562</v>
      </c>
      <c r="M85" s="165"/>
      <c r="N85" s="179"/>
      <c r="O85" s="202"/>
      <c r="P85" s="202"/>
      <c r="Q85" s="202"/>
      <c r="R85" s="165"/>
      <c r="S85" s="165"/>
      <c r="T85" s="165"/>
      <c r="U85" s="201"/>
      <c r="V85" s="166"/>
      <c r="W85" s="166"/>
      <c r="X85" s="179"/>
      <c r="Y85" s="179"/>
    </row>
    <row r="86" spans="1:25" ht="14.65" customHeight="1">
      <c r="A86" s="186" t="s">
        <v>231</v>
      </c>
      <c r="B86" s="186"/>
      <c r="C86">
        <v>14</v>
      </c>
      <c r="D86">
        <v>17</v>
      </c>
      <c r="E86">
        <v>15</v>
      </c>
      <c r="F86">
        <v>19</v>
      </c>
      <c r="G86">
        <v>16</v>
      </c>
      <c r="H86">
        <v>22</v>
      </c>
      <c r="I86" s="202">
        <v>17</v>
      </c>
      <c r="J86" s="165">
        <v>7</v>
      </c>
      <c r="K86" s="165">
        <v>15.751428969747664</v>
      </c>
      <c r="L86" s="179">
        <v>13.637372905319841</v>
      </c>
      <c r="M86" s="165"/>
      <c r="N86" s="179"/>
      <c r="O86" s="202"/>
      <c r="P86" s="202"/>
      <c r="Q86" s="202"/>
      <c r="R86" s="165"/>
      <c r="S86" s="165"/>
      <c r="T86" s="165"/>
      <c r="U86" s="202"/>
      <c r="V86" s="204"/>
      <c r="W86" s="204"/>
      <c r="X86" s="179"/>
      <c r="Y86" s="179"/>
    </row>
    <row r="87" spans="1:25" ht="14.65" customHeight="1">
      <c r="A87" s="186" t="s">
        <v>203</v>
      </c>
      <c r="B87" s="186"/>
      <c r="C87">
        <v>24</v>
      </c>
      <c r="D87">
        <v>14</v>
      </c>
      <c r="E87">
        <v>22</v>
      </c>
      <c r="F87">
        <v>13</v>
      </c>
      <c r="G87">
        <v>18</v>
      </c>
      <c r="H87">
        <v>12</v>
      </c>
      <c r="I87" s="202">
        <v>17</v>
      </c>
      <c r="J87" s="165">
        <v>4</v>
      </c>
      <c r="K87" s="165">
        <v>20.091226031377108</v>
      </c>
      <c r="L87" s="179">
        <v>9.6764120815905201</v>
      </c>
      <c r="M87" s="165"/>
      <c r="N87" s="179"/>
      <c r="O87" s="202"/>
      <c r="P87" s="202"/>
      <c r="Q87" s="202"/>
      <c r="R87" s="165"/>
      <c r="S87" s="165"/>
      <c r="T87" s="165"/>
      <c r="U87" s="201"/>
      <c r="V87" s="166"/>
      <c r="W87" s="166"/>
      <c r="X87" s="179"/>
      <c r="Y87" s="179"/>
    </row>
    <row r="88" spans="1:25" ht="14.65" customHeight="1">
      <c r="A88" s="186" t="s">
        <v>52</v>
      </c>
      <c r="B88" s="186"/>
      <c r="C88">
        <v>17</v>
      </c>
      <c r="D88">
        <v>8</v>
      </c>
      <c r="E88">
        <v>22</v>
      </c>
      <c r="F88">
        <v>8</v>
      </c>
      <c r="G88">
        <v>15</v>
      </c>
      <c r="H88">
        <v>7</v>
      </c>
      <c r="I88" s="202">
        <v>12</v>
      </c>
      <c r="J88" s="165">
        <v>2</v>
      </c>
      <c r="K88" s="165">
        <v>16.481717011128776</v>
      </c>
      <c r="L88" s="179">
        <v>5.2753050063104752</v>
      </c>
      <c r="M88" s="165"/>
      <c r="N88" s="179"/>
      <c r="O88" s="202"/>
      <c r="P88" s="202"/>
      <c r="Q88" s="202"/>
      <c r="R88" s="165"/>
      <c r="S88" s="165"/>
      <c r="T88" s="165"/>
      <c r="U88" s="201"/>
      <c r="V88" s="166"/>
      <c r="W88" s="166"/>
      <c r="X88" s="179"/>
      <c r="Y88" s="179"/>
    </row>
    <row r="89" spans="1:25" ht="14.65" customHeight="1">
      <c r="A89" s="186" t="s">
        <v>53</v>
      </c>
      <c r="B89" s="186"/>
      <c r="C89">
        <v>15</v>
      </c>
      <c r="D89">
        <v>7</v>
      </c>
      <c r="E89">
        <v>12</v>
      </c>
      <c r="F89">
        <v>6</v>
      </c>
      <c r="G89">
        <v>11</v>
      </c>
      <c r="H89">
        <v>5</v>
      </c>
      <c r="I89" s="202">
        <v>12</v>
      </c>
      <c r="J89" s="165">
        <v>3</v>
      </c>
      <c r="K89" s="165">
        <v>12.276442307692308</v>
      </c>
      <c r="L89" s="179">
        <v>4.6312603192074846</v>
      </c>
      <c r="M89" s="165"/>
      <c r="N89" s="179"/>
      <c r="O89" s="202"/>
      <c r="P89" s="202"/>
      <c r="Q89" s="202"/>
      <c r="R89" s="165"/>
      <c r="S89" s="165"/>
      <c r="T89" s="165"/>
      <c r="U89" s="201"/>
      <c r="V89" s="166"/>
      <c r="W89" s="166"/>
      <c r="X89" s="179"/>
      <c r="Y89" s="179"/>
    </row>
    <row r="90" spans="1:25" ht="14.65" customHeight="1">
      <c r="A90" s="186" t="s">
        <v>54</v>
      </c>
      <c r="B90" s="186"/>
      <c r="C90">
        <v>23</v>
      </c>
      <c r="D90">
        <v>11</v>
      </c>
      <c r="E90">
        <v>20</v>
      </c>
      <c r="F90">
        <v>10</v>
      </c>
      <c r="G90">
        <v>19</v>
      </c>
      <c r="H90">
        <v>11</v>
      </c>
      <c r="I90" s="202">
        <v>19</v>
      </c>
      <c r="J90" s="165">
        <v>3</v>
      </c>
      <c r="K90" s="165">
        <v>20.392561983471076</v>
      </c>
      <c r="L90" s="179">
        <v>7.5929598413485371</v>
      </c>
      <c r="M90" s="165"/>
      <c r="N90" s="179"/>
      <c r="O90" s="202"/>
      <c r="P90" s="202"/>
      <c r="Q90" s="202"/>
      <c r="R90" s="165"/>
      <c r="S90" s="165"/>
      <c r="T90" s="165"/>
      <c r="U90" s="202"/>
      <c r="V90" s="204"/>
      <c r="W90" s="204"/>
      <c r="X90" s="179"/>
      <c r="Y90" s="179"/>
    </row>
    <row r="91" spans="1:25" ht="14.65" customHeight="1">
      <c r="A91" s="186" t="s">
        <v>55</v>
      </c>
      <c r="B91" s="186"/>
      <c r="C91">
        <v>26</v>
      </c>
      <c r="D91">
        <v>9</v>
      </c>
      <c r="E91">
        <v>20</v>
      </c>
      <c r="F91">
        <v>8</v>
      </c>
      <c r="G91">
        <v>24</v>
      </c>
      <c r="H91">
        <v>6</v>
      </c>
      <c r="I91" s="202">
        <v>21</v>
      </c>
      <c r="J91" s="165">
        <v>3</v>
      </c>
      <c r="K91" s="165">
        <v>22.929980903882878</v>
      </c>
      <c r="L91" s="179">
        <v>5.6096203095423673</v>
      </c>
      <c r="M91" s="165"/>
      <c r="N91" s="179"/>
      <c r="O91" s="202"/>
      <c r="P91" s="202"/>
      <c r="Q91" s="202"/>
      <c r="R91" s="165"/>
      <c r="S91" s="165"/>
      <c r="T91" s="165"/>
      <c r="U91" s="201"/>
      <c r="V91" s="166"/>
      <c r="W91" s="166"/>
      <c r="X91" s="179"/>
      <c r="Y91" s="179"/>
    </row>
    <row r="92" spans="1:25" ht="14.65" customHeight="1">
      <c r="A92" s="186" t="s">
        <v>56</v>
      </c>
      <c r="B92" s="186"/>
      <c r="C92">
        <v>29</v>
      </c>
      <c r="D92">
        <v>9</v>
      </c>
      <c r="E92">
        <v>25</v>
      </c>
      <c r="F92">
        <v>17</v>
      </c>
      <c r="G92">
        <v>19</v>
      </c>
      <c r="H92">
        <v>10</v>
      </c>
      <c r="I92" s="202">
        <v>18</v>
      </c>
      <c r="J92" s="165">
        <v>2</v>
      </c>
      <c r="K92" s="165">
        <v>22.929729729729729</v>
      </c>
      <c r="L92" s="179">
        <v>7.7503097195630142</v>
      </c>
      <c r="M92" s="165"/>
      <c r="N92" s="179"/>
      <c r="O92" s="202"/>
      <c r="P92" s="202"/>
      <c r="Q92" s="202"/>
      <c r="R92" s="165"/>
      <c r="S92" s="165"/>
      <c r="T92" s="165"/>
      <c r="U92" s="201"/>
      <c r="V92" s="166"/>
      <c r="W92" s="166"/>
      <c r="X92" s="179"/>
      <c r="Y92" s="179"/>
    </row>
    <row r="93" spans="1:25" ht="14.65" customHeight="1">
      <c r="A93" s="186" t="s">
        <v>57</v>
      </c>
      <c r="B93" s="186"/>
      <c r="C93">
        <v>17</v>
      </c>
      <c r="D93">
        <v>21</v>
      </c>
      <c r="E93">
        <v>17</v>
      </c>
      <c r="F93">
        <v>18</v>
      </c>
      <c r="G93">
        <v>21</v>
      </c>
      <c r="H93">
        <v>14</v>
      </c>
      <c r="I93" s="202">
        <v>31</v>
      </c>
      <c r="J93" s="165">
        <v>6</v>
      </c>
      <c r="K93" s="165">
        <v>21.51689732861281</v>
      </c>
      <c r="L93" s="179">
        <v>12.603362911522634</v>
      </c>
      <c r="M93" s="165"/>
      <c r="N93" s="179"/>
      <c r="O93" s="202"/>
      <c r="P93" s="202"/>
      <c r="Q93" s="202"/>
      <c r="R93" s="165"/>
      <c r="S93" s="165"/>
      <c r="T93" s="165"/>
      <c r="U93" s="201"/>
      <c r="V93" s="166"/>
      <c r="W93" s="166"/>
      <c r="X93" s="179"/>
      <c r="Y93" s="179"/>
    </row>
    <row r="94" spans="1:25" ht="14.65" customHeight="1">
      <c r="A94" s="186" t="s">
        <v>58</v>
      </c>
      <c r="B94" s="186"/>
      <c r="C94">
        <v>30</v>
      </c>
      <c r="D94">
        <v>12</v>
      </c>
      <c r="E94">
        <v>42</v>
      </c>
      <c r="F94">
        <v>14</v>
      </c>
      <c r="G94">
        <v>41</v>
      </c>
      <c r="H94">
        <v>20</v>
      </c>
      <c r="I94" s="202">
        <v>33</v>
      </c>
      <c r="J94" s="165">
        <v>5</v>
      </c>
      <c r="K94" s="165">
        <v>35.880190605854324</v>
      </c>
      <c r="L94" s="179">
        <v>10.650170955551557</v>
      </c>
      <c r="M94" s="165"/>
      <c r="N94" s="179"/>
      <c r="O94" s="202"/>
      <c r="P94" s="202"/>
      <c r="Q94" s="202"/>
      <c r="R94" s="165"/>
      <c r="S94" s="165"/>
      <c r="T94" s="165"/>
      <c r="U94" s="201"/>
      <c r="V94" s="166"/>
      <c r="W94" s="166"/>
      <c r="X94" s="179"/>
      <c r="Y94" s="179"/>
    </row>
    <row r="95" spans="1:25" ht="14.65" customHeight="1">
      <c r="A95" s="186" t="s">
        <v>268</v>
      </c>
      <c r="B95" s="186"/>
      <c r="C95">
        <v>14</v>
      </c>
      <c r="D95">
        <v>8</v>
      </c>
      <c r="E95">
        <v>17</v>
      </c>
      <c r="F95">
        <v>8</v>
      </c>
      <c r="G95">
        <v>20</v>
      </c>
      <c r="H95">
        <v>10</v>
      </c>
      <c r="I95" s="202">
        <v>20</v>
      </c>
      <c r="J95" s="165">
        <v>4</v>
      </c>
      <c r="K95" s="165">
        <v>18.041772554002542</v>
      </c>
      <c r="L95" s="179">
        <v>6.3463596342702333</v>
      </c>
      <c r="M95" s="165"/>
      <c r="N95" s="179"/>
      <c r="O95" s="202"/>
      <c r="P95" s="202"/>
      <c r="Q95" s="202"/>
      <c r="R95" s="165"/>
      <c r="S95" s="165"/>
      <c r="T95" s="165"/>
      <c r="U95" s="201"/>
      <c r="V95" s="166"/>
      <c r="W95" s="166"/>
      <c r="X95" s="179"/>
      <c r="Y95" s="179"/>
    </row>
    <row r="96" spans="1:25" ht="14.65" customHeight="1">
      <c r="A96" s="186" t="s">
        <v>59</v>
      </c>
      <c r="B96" s="186"/>
      <c r="C96">
        <v>28</v>
      </c>
      <c r="D96">
        <v>10</v>
      </c>
      <c r="E96">
        <v>24</v>
      </c>
      <c r="F96">
        <v>12</v>
      </c>
      <c r="G96">
        <v>21</v>
      </c>
      <c r="H96">
        <v>10</v>
      </c>
      <c r="I96" s="202">
        <v>23</v>
      </c>
      <c r="J96" s="165">
        <v>4</v>
      </c>
      <c r="K96" s="165">
        <v>24.066641133665261</v>
      </c>
      <c r="L96" s="179">
        <v>7.6913685648424828</v>
      </c>
      <c r="M96" s="165"/>
      <c r="N96" s="179"/>
      <c r="O96" s="202"/>
      <c r="P96" s="202"/>
      <c r="Q96" s="202"/>
      <c r="R96" s="165"/>
      <c r="S96" s="165"/>
      <c r="T96" s="165"/>
      <c r="U96" s="201"/>
      <c r="V96" s="166"/>
      <c r="W96" s="166"/>
      <c r="X96" s="179"/>
      <c r="Y96" s="179"/>
    </row>
    <row r="97" spans="1:25" ht="14.65" customHeight="1">
      <c r="A97" s="186" t="s">
        <v>60</v>
      </c>
      <c r="B97" s="186"/>
      <c r="C97">
        <v>22</v>
      </c>
      <c r="D97">
        <v>6</v>
      </c>
      <c r="E97">
        <v>21</v>
      </c>
      <c r="F97">
        <v>6</v>
      </c>
      <c r="G97">
        <v>20</v>
      </c>
      <c r="H97">
        <v>8</v>
      </c>
      <c r="I97" s="202">
        <v>20</v>
      </c>
      <c r="J97" s="165">
        <v>3</v>
      </c>
      <c r="K97" s="165">
        <v>20.75986742994878</v>
      </c>
      <c r="L97" s="179">
        <v>5.1304675716440427</v>
      </c>
      <c r="M97" s="165"/>
      <c r="N97" s="179"/>
      <c r="O97" s="202"/>
      <c r="P97" s="202"/>
      <c r="Q97" s="202"/>
      <c r="R97" s="165"/>
      <c r="S97" s="165"/>
      <c r="T97" s="165"/>
      <c r="U97" s="201"/>
      <c r="V97" s="166"/>
      <c r="W97" s="166"/>
      <c r="X97" s="179"/>
      <c r="Y97" s="179"/>
    </row>
    <row r="98" spans="1:25" ht="14.65" customHeight="1">
      <c r="A98" s="186" t="s">
        <v>61</v>
      </c>
      <c r="B98" s="186"/>
      <c r="C98">
        <v>17</v>
      </c>
      <c r="D98">
        <v>3</v>
      </c>
      <c r="E98">
        <v>14</v>
      </c>
      <c r="F98">
        <v>3</v>
      </c>
      <c r="G98">
        <v>16</v>
      </c>
      <c r="H98">
        <v>3</v>
      </c>
      <c r="I98" s="202">
        <v>18</v>
      </c>
      <c r="J98" s="165">
        <v>2</v>
      </c>
      <c r="K98" s="165">
        <v>15.927528393726339</v>
      </c>
      <c r="L98" s="179">
        <v>2.6180457895032907</v>
      </c>
      <c r="M98" s="165"/>
      <c r="N98" s="179"/>
      <c r="O98" s="202"/>
      <c r="P98" s="202"/>
      <c r="Q98" s="202"/>
      <c r="R98" s="165"/>
      <c r="S98" s="165"/>
      <c r="T98" s="165"/>
      <c r="U98" s="201"/>
      <c r="V98" s="166"/>
      <c r="W98" s="166"/>
      <c r="X98" s="179"/>
      <c r="Y98" s="179"/>
    </row>
    <row r="99" spans="1:25" ht="14.65" customHeight="1">
      <c r="A99" s="186" t="s">
        <v>62</v>
      </c>
      <c r="B99" s="186"/>
      <c r="C99">
        <v>29</v>
      </c>
      <c r="D99">
        <v>17</v>
      </c>
      <c r="E99">
        <v>21</v>
      </c>
      <c r="F99">
        <v>11</v>
      </c>
      <c r="G99">
        <v>22</v>
      </c>
      <c r="H99">
        <v>12</v>
      </c>
      <c r="I99" s="202">
        <v>27</v>
      </c>
      <c r="J99" s="165">
        <v>4</v>
      </c>
      <c r="K99" s="165">
        <v>24.989942528735632</v>
      </c>
      <c r="L99" s="179">
        <v>8.432047477744808</v>
      </c>
      <c r="M99" s="165"/>
      <c r="N99" s="179"/>
      <c r="O99" s="202"/>
      <c r="P99" s="202"/>
      <c r="Q99" s="202"/>
      <c r="R99" s="165"/>
      <c r="S99" s="165"/>
      <c r="T99" s="165"/>
      <c r="U99" s="201"/>
      <c r="V99" s="166"/>
      <c r="W99" s="166"/>
      <c r="X99" s="179"/>
      <c r="Y99" s="179"/>
    </row>
    <row r="100" spans="1:25" ht="14.65" customHeight="1">
      <c r="A100" s="186" t="s">
        <v>63</v>
      </c>
      <c r="B100" s="186"/>
      <c r="C100">
        <v>15</v>
      </c>
      <c r="D100">
        <v>9</v>
      </c>
      <c r="E100">
        <v>13</v>
      </c>
      <c r="F100">
        <v>12</v>
      </c>
      <c r="G100">
        <v>11</v>
      </c>
      <c r="H100">
        <v>7</v>
      </c>
      <c r="I100" s="202">
        <v>11</v>
      </c>
      <c r="J100" s="165">
        <v>3</v>
      </c>
      <c r="K100" s="165">
        <v>12.509273570324575</v>
      </c>
      <c r="L100" s="179">
        <v>7.0106124713879447</v>
      </c>
      <c r="M100" s="165"/>
      <c r="N100" s="179"/>
      <c r="O100" s="202"/>
      <c r="P100" s="202"/>
      <c r="Q100" s="202"/>
      <c r="R100" s="165"/>
      <c r="S100" s="165"/>
      <c r="T100" s="165"/>
      <c r="U100" s="201"/>
      <c r="V100" s="166"/>
      <c r="W100" s="166"/>
      <c r="X100" s="179"/>
      <c r="Y100" s="179"/>
    </row>
    <row r="101" spans="1:25" ht="14.65" customHeight="1">
      <c r="A101" s="186" t="s">
        <v>204</v>
      </c>
      <c r="B101" s="186"/>
      <c r="C101">
        <v>23</v>
      </c>
      <c r="D101">
        <v>7</v>
      </c>
      <c r="E101">
        <v>27</v>
      </c>
      <c r="F101">
        <v>7</v>
      </c>
      <c r="G101">
        <v>22</v>
      </c>
      <c r="H101">
        <v>8</v>
      </c>
      <c r="I101" s="202">
        <v>22</v>
      </c>
      <c r="J101" s="165">
        <v>3</v>
      </c>
      <c r="K101" s="165">
        <v>23.343868795481697</v>
      </c>
      <c r="L101" s="179">
        <v>5.7496231786970355</v>
      </c>
      <c r="M101" s="165"/>
      <c r="N101" s="179"/>
      <c r="O101" s="202"/>
      <c r="P101" s="202"/>
      <c r="Q101" s="202"/>
      <c r="R101" s="165"/>
      <c r="S101" s="165"/>
      <c r="T101" s="165"/>
      <c r="U101" s="201"/>
      <c r="V101" s="166"/>
      <c r="W101" s="166"/>
      <c r="X101" s="179"/>
      <c r="Y101" s="179"/>
    </row>
    <row r="102" spans="1:25" ht="14.65" customHeight="1">
      <c r="A102" s="186" t="s">
        <v>64</v>
      </c>
      <c r="B102" s="186"/>
      <c r="C102">
        <v>29</v>
      </c>
      <c r="D102">
        <v>10</v>
      </c>
      <c r="E102">
        <v>27</v>
      </c>
      <c r="F102">
        <v>8</v>
      </c>
      <c r="G102">
        <v>19</v>
      </c>
      <c r="H102">
        <v>8</v>
      </c>
      <c r="I102" s="202">
        <v>23</v>
      </c>
      <c r="J102" s="165">
        <v>3</v>
      </c>
      <c r="K102" s="165">
        <v>24.452247191011235</v>
      </c>
      <c r="L102" s="179">
        <v>6.0389410022216738</v>
      </c>
      <c r="M102" s="165"/>
      <c r="N102" s="179"/>
      <c r="O102" s="202"/>
      <c r="P102" s="202"/>
      <c r="Q102" s="202"/>
      <c r="R102" s="165"/>
      <c r="S102" s="165"/>
      <c r="T102" s="165"/>
      <c r="U102" s="201"/>
      <c r="V102" s="166"/>
      <c r="W102" s="166"/>
      <c r="X102" s="179"/>
      <c r="Y102" s="179"/>
    </row>
    <row r="103" spans="1:25" ht="14.65" customHeight="1">
      <c r="A103" s="186" t="s">
        <v>347</v>
      </c>
      <c r="B103" s="186"/>
      <c r="C103">
        <v>45</v>
      </c>
      <c r="D103">
        <v>8</v>
      </c>
      <c r="E103">
        <v>52</v>
      </c>
      <c r="F103">
        <v>15</v>
      </c>
      <c r="G103">
        <v>33</v>
      </c>
      <c r="H103">
        <v>19</v>
      </c>
      <c r="I103" s="202">
        <v>26</v>
      </c>
      <c r="J103" s="165">
        <v>3</v>
      </c>
      <c r="K103" s="165">
        <v>39.494529540481402</v>
      </c>
      <c r="L103" s="179">
        <v>9.2927053266859101</v>
      </c>
      <c r="M103" s="165"/>
      <c r="N103" s="179"/>
      <c r="O103" s="202"/>
      <c r="P103" s="202"/>
      <c r="Q103" s="202"/>
      <c r="R103" s="165"/>
      <c r="S103" s="165"/>
      <c r="T103" s="165"/>
      <c r="U103" s="201"/>
      <c r="V103" s="166"/>
      <c r="W103" s="166"/>
      <c r="X103" s="179"/>
      <c r="Y103" s="179"/>
    </row>
    <row r="104" spans="1:25" ht="14.65" customHeight="1">
      <c r="A104" s="186" t="s">
        <v>65</v>
      </c>
      <c r="B104" s="186"/>
      <c r="C104">
        <v>18</v>
      </c>
      <c r="D104">
        <v>7</v>
      </c>
      <c r="E104">
        <v>20</v>
      </c>
      <c r="F104">
        <v>7</v>
      </c>
      <c r="G104">
        <v>21</v>
      </c>
      <c r="H104">
        <v>10</v>
      </c>
      <c r="I104" s="202">
        <v>17</v>
      </c>
      <c r="J104" s="165">
        <v>4</v>
      </c>
      <c r="K104" s="165">
        <v>18.864208242950109</v>
      </c>
      <c r="L104" s="179">
        <v>5.9822073734509145</v>
      </c>
      <c r="M104" s="165"/>
      <c r="N104" s="179"/>
      <c r="O104" s="202"/>
      <c r="P104" s="202"/>
      <c r="Q104" s="202"/>
      <c r="R104" s="165"/>
      <c r="S104" s="165"/>
      <c r="T104" s="165"/>
      <c r="U104" s="201"/>
      <c r="V104" s="166"/>
      <c r="W104" s="166"/>
      <c r="X104" s="179"/>
      <c r="Y104" s="179"/>
    </row>
    <row r="105" spans="1:25" ht="14.65" customHeight="1">
      <c r="A105" s="186" t="s">
        <v>66</v>
      </c>
      <c r="B105" s="186"/>
      <c r="C105">
        <v>18</v>
      </c>
      <c r="D105">
        <v>19</v>
      </c>
      <c r="E105">
        <v>19</v>
      </c>
      <c r="F105">
        <v>16</v>
      </c>
      <c r="G105">
        <v>17</v>
      </c>
      <c r="H105">
        <v>10</v>
      </c>
      <c r="I105" s="202">
        <v>19</v>
      </c>
      <c r="J105" s="165">
        <v>5</v>
      </c>
      <c r="K105" s="165">
        <v>18.378428927680797</v>
      </c>
      <c r="L105" s="179">
        <v>10.970383275261325</v>
      </c>
      <c r="M105" s="165"/>
      <c r="N105" s="179"/>
      <c r="O105" s="202"/>
      <c r="P105" s="202"/>
      <c r="Q105" s="202"/>
      <c r="R105" s="165"/>
      <c r="S105" s="165"/>
      <c r="T105" s="165"/>
      <c r="U105" s="201"/>
      <c r="V105" s="166"/>
      <c r="W105" s="166"/>
      <c r="X105" s="179"/>
      <c r="Y105" s="179"/>
    </row>
    <row r="106" spans="1:25" ht="14.65" customHeight="1">
      <c r="A106" s="186" t="s">
        <v>67</v>
      </c>
      <c r="B106" s="186"/>
      <c r="C106">
        <v>20</v>
      </c>
      <c r="D106">
        <v>6</v>
      </c>
      <c r="E106">
        <v>20</v>
      </c>
      <c r="F106">
        <v>5</v>
      </c>
      <c r="G106">
        <v>20</v>
      </c>
      <c r="H106">
        <v>6</v>
      </c>
      <c r="I106" s="202">
        <v>18</v>
      </c>
      <c r="J106" s="165">
        <v>4</v>
      </c>
      <c r="K106" s="165">
        <v>19.794781382228489</v>
      </c>
      <c r="L106" s="179">
        <v>4.904138641459129</v>
      </c>
      <c r="M106" s="165"/>
      <c r="N106" s="179"/>
      <c r="O106" s="202"/>
      <c r="P106" s="202"/>
      <c r="Q106" s="202"/>
      <c r="R106" s="165"/>
      <c r="S106" s="165"/>
      <c r="T106" s="165"/>
      <c r="U106" s="201"/>
      <c r="V106" s="166"/>
      <c r="W106" s="166"/>
      <c r="X106" s="179"/>
      <c r="Y106" s="179"/>
    </row>
    <row r="107" spans="1:25" ht="14.65" customHeight="1">
      <c r="A107" s="186" t="s">
        <v>68</v>
      </c>
      <c r="B107" s="186"/>
      <c r="C107">
        <v>27</v>
      </c>
      <c r="D107">
        <v>9</v>
      </c>
      <c r="E107">
        <v>22</v>
      </c>
      <c r="F107">
        <v>8</v>
      </c>
      <c r="G107">
        <v>20</v>
      </c>
      <c r="H107">
        <v>7</v>
      </c>
      <c r="I107" s="202">
        <v>17</v>
      </c>
      <c r="J107" s="165">
        <v>3</v>
      </c>
      <c r="K107" s="165">
        <v>21.530874097834804</v>
      </c>
      <c r="L107" s="179">
        <v>5.6660818713450292</v>
      </c>
      <c r="M107" s="165"/>
      <c r="N107" s="179"/>
      <c r="O107" s="202"/>
      <c r="P107" s="202"/>
      <c r="Q107" s="202"/>
      <c r="R107" s="165"/>
      <c r="S107" s="165"/>
      <c r="T107" s="165"/>
      <c r="U107" s="201"/>
      <c r="V107" s="166"/>
      <c r="W107" s="166"/>
      <c r="X107" s="179"/>
      <c r="Y107" s="179"/>
    </row>
    <row r="108" spans="1:25" ht="14.65" customHeight="1">
      <c r="A108" s="186" t="s">
        <v>69</v>
      </c>
      <c r="B108" s="186"/>
      <c r="C108">
        <v>16</v>
      </c>
      <c r="D108">
        <v>6</v>
      </c>
      <c r="E108">
        <v>21</v>
      </c>
      <c r="F108">
        <v>7</v>
      </c>
      <c r="G108">
        <v>14</v>
      </c>
      <c r="H108">
        <v>6</v>
      </c>
      <c r="I108" s="202">
        <v>12</v>
      </c>
      <c r="J108" s="165">
        <v>2</v>
      </c>
      <c r="K108" s="165">
        <v>15.818694601128122</v>
      </c>
      <c r="L108" s="179">
        <v>4.6454097626511421</v>
      </c>
      <c r="M108" s="165"/>
      <c r="N108" s="179"/>
      <c r="O108" s="202"/>
      <c r="P108" s="202"/>
      <c r="Q108" s="202"/>
      <c r="R108" s="165"/>
      <c r="S108" s="165"/>
      <c r="T108" s="165"/>
      <c r="U108" s="201"/>
      <c r="V108" s="166"/>
      <c r="W108" s="166"/>
      <c r="X108" s="179"/>
      <c r="Y108" s="179"/>
    </row>
    <row r="109" spans="1:25" ht="14.65" customHeight="1">
      <c r="A109" s="186" t="s">
        <v>70</v>
      </c>
      <c r="B109" s="186"/>
      <c r="C109">
        <v>10</v>
      </c>
      <c r="D109">
        <v>11</v>
      </c>
      <c r="E109">
        <v>20</v>
      </c>
      <c r="F109">
        <v>9</v>
      </c>
      <c r="G109">
        <v>19</v>
      </c>
      <c r="H109">
        <v>9</v>
      </c>
      <c r="I109" s="202">
        <v>16</v>
      </c>
      <c r="J109" s="165">
        <v>3</v>
      </c>
      <c r="K109" s="165">
        <v>15.336300692383778</v>
      </c>
      <c r="L109" s="179">
        <v>6.4616651881890759</v>
      </c>
      <c r="M109" s="165"/>
      <c r="N109" s="179"/>
      <c r="O109" s="202"/>
      <c r="P109" s="202"/>
      <c r="Q109" s="202"/>
      <c r="R109" s="165"/>
      <c r="S109" s="165"/>
      <c r="T109" s="165"/>
      <c r="U109" s="201"/>
      <c r="V109" s="166"/>
      <c r="W109" s="166"/>
      <c r="X109" s="179"/>
      <c r="Y109" s="179"/>
    </row>
    <row r="110" spans="1:25" ht="14.65" customHeight="1">
      <c r="A110" s="186" t="s">
        <v>71</v>
      </c>
      <c r="B110" s="186"/>
      <c r="C110">
        <v>18</v>
      </c>
      <c r="D110">
        <v>10</v>
      </c>
      <c r="E110">
        <v>19</v>
      </c>
      <c r="F110">
        <v>20</v>
      </c>
      <c r="G110">
        <v>19</v>
      </c>
      <c r="H110">
        <v>23</v>
      </c>
      <c r="I110" s="202">
        <v>17</v>
      </c>
      <c r="J110" s="165">
        <v>6</v>
      </c>
      <c r="K110" s="165">
        <v>18.325224071702944</v>
      </c>
      <c r="L110" s="179">
        <v>13.082076195346458</v>
      </c>
      <c r="M110" s="165"/>
      <c r="N110" s="179"/>
      <c r="O110" s="202"/>
      <c r="P110" s="202"/>
      <c r="Q110" s="202"/>
      <c r="R110" s="165"/>
      <c r="S110" s="165"/>
      <c r="T110" s="165"/>
      <c r="U110" s="201"/>
      <c r="V110" s="166"/>
      <c r="W110" s="166"/>
      <c r="X110" s="179"/>
      <c r="Y110" s="179"/>
    </row>
    <row r="111" spans="1:25" ht="14.65" customHeight="1">
      <c r="A111" s="186" t="s">
        <v>232</v>
      </c>
      <c r="B111" s="186"/>
      <c r="C111">
        <v>27</v>
      </c>
      <c r="D111">
        <v>8</v>
      </c>
      <c r="E111">
        <v>27</v>
      </c>
      <c r="F111">
        <v>10</v>
      </c>
      <c r="G111">
        <v>30</v>
      </c>
      <c r="H111">
        <v>9</v>
      </c>
      <c r="I111" s="202">
        <v>26</v>
      </c>
      <c r="J111" s="165">
        <v>5</v>
      </c>
      <c r="K111" s="165">
        <v>27.31029740416022</v>
      </c>
      <c r="L111" s="179">
        <v>7.8523049677431009</v>
      </c>
      <c r="M111" s="165"/>
      <c r="N111" s="179"/>
      <c r="O111" s="202"/>
      <c r="P111" s="202"/>
      <c r="Q111" s="202"/>
      <c r="R111" s="165"/>
      <c r="S111" s="165"/>
      <c r="T111" s="165"/>
      <c r="U111" s="201"/>
      <c r="V111" s="166"/>
      <c r="W111" s="166"/>
      <c r="X111" s="179"/>
      <c r="Y111" s="179"/>
    </row>
    <row r="112" spans="1:25" ht="14.65" customHeight="1">
      <c r="A112" s="186" t="s">
        <v>72</v>
      </c>
      <c r="B112" s="186"/>
      <c r="C112">
        <v>14</v>
      </c>
      <c r="D112">
        <v>4</v>
      </c>
      <c r="E112">
        <v>11</v>
      </c>
      <c r="F112">
        <v>3</v>
      </c>
      <c r="G112">
        <v>10</v>
      </c>
      <c r="H112">
        <v>3</v>
      </c>
      <c r="I112" s="202">
        <v>12</v>
      </c>
      <c r="J112" s="165">
        <v>2</v>
      </c>
      <c r="K112" s="165">
        <v>11.959700093720713</v>
      </c>
      <c r="L112" s="179">
        <v>2.6425392560248553</v>
      </c>
      <c r="M112" s="165"/>
      <c r="N112" s="179"/>
      <c r="O112" s="202"/>
      <c r="P112" s="202"/>
      <c r="Q112" s="202"/>
      <c r="R112" s="165"/>
      <c r="S112" s="165"/>
      <c r="T112" s="165"/>
      <c r="U112" s="201"/>
      <c r="V112" s="166"/>
      <c r="W112" s="166"/>
      <c r="X112" s="179"/>
      <c r="Y112" s="179"/>
    </row>
    <row r="113" spans="1:25" ht="14.65" customHeight="1">
      <c r="A113" s="186" t="s">
        <v>73</v>
      </c>
      <c r="B113" s="186"/>
      <c r="C113">
        <v>16</v>
      </c>
      <c r="D113">
        <v>12</v>
      </c>
      <c r="E113">
        <v>17</v>
      </c>
      <c r="F113">
        <v>8</v>
      </c>
      <c r="G113">
        <v>21</v>
      </c>
      <c r="H113">
        <v>8</v>
      </c>
      <c r="I113" s="202">
        <v>19</v>
      </c>
      <c r="J113" s="165">
        <v>4</v>
      </c>
      <c r="K113" s="165">
        <v>17.859143155694881</v>
      </c>
      <c r="L113" s="179">
        <v>7.0889522368956888</v>
      </c>
      <c r="M113" s="165"/>
      <c r="N113" s="179"/>
      <c r="O113" s="202"/>
      <c r="P113" s="202"/>
      <c r="Q113" s="202"/>
      <c r="R113" s="165"/>
      <c r="S113" s="165"/>
      <c r="T113" s="165"/>
      <c r="U113" s="201"/>
      <c r="V113" s="166"/>
      <c r="W113" s="166"/>
      <c r="X113" s="179"/>
      <c r="Y113" s="179"/>
    </row>
    <row r="114" spans="1:25" ht="14.65" customHeight="1">
      <c r="A114" s="186" t="s">
        <v>74</v>
      </c>
      <c r="B114" s="186"/>
      <c r="C114">
        <v>15</v>
      </c>
      <c r="D114">
        <v>8</v>
      </c>
      <c r="E114">
        <v>14</v>
      </c>
      <c r="F114">
        <v>5</v>
      </c>
      <c r="G114">
        <v>15</v>
      </c>
      <c r="H114">
        <v>8</v>
      </c>
      <c r="I114" s="202">
        <v>23</v>
      </c>
      <c r="J114" s="165">
        <v>6</v>
      </c>
      <c r="K114" s="165">
        <v>16.417638114546374</v>
      </c>
      <c r="L114" s="179">
        <v>6.5646317618944163</v>
      </c>
      <c r="M114" s="165"/>
      <c r="N114" s="179"/>
      <c r="O114" s="202"/>
      <c r="P114" s="202"/>
      <c r="Q114" s="202"/>
      <c r="R114" s="165"/>
      <c r="S114" s="165"/>
      <c r="T114" s="165"/>
      <c r="U114" s="201"/>
      <c r="V114" s="166"/>
      <c r="W114" s="166"/>
      <c r="X114" s="179"/>
      <c r="Y114" s="179"/>
    </row>
    <row r="115" spans="1:25" ht="14.65" customHeight="1">
      <c r="A115" s="186" t="s">
        <v>75</v>
      </c>
      <c r="B115" s="186"/>
      <c r="C115">
        <v>29</v>
      </c>
      <c r="D115">
        <v>10</v>
      </c>
      <c r="E115">
        <v>27</v>
      </c>
      <c r="F115">
        <v>10</v>
      </c>
      <c r="G115">
        <v>18</v>
      </c>
      <c r="H115">
        <v>8</v>
      </c>
      <c r="I115" s="202">
        <v>16</v>
      </c>
      <c r="J115" s="165">
        <v>2</v>
      </c>
      <c r="K115" s="165">
        <v>22.52095347943099</v>
      </c>
      <c r="L115" s="179">
        <v>4.8138569604086845</v>
      </c>
      <c r="M115" s="165"/>
      <c r="N115" s="179"/>
      <c r="O115" s="202"/>
      <c r="P115" s="202"/>
      <c r="Q115" s="202"/>
      <c r="R115" s="165"/>
      <c r="S115" s="165"/>
      <c r="T115" s="165"/>
      <c r="U115" s="201"/>
      <c r="V115" s="166"/>
      <c r="W115" s="166"/>
      <c r="X115" s="179"/>
      <c r="Y115" s="179"/>
    </row>
    <row r="116" spans="1:25" ht="14.65" customHeight="1">
      <c r="A116" s="186" t="s">
        <v>76</v>
      </c>
      <c r="B116" s="186"/>
      <c r="C116">
        <v>25</v>
      </c>
      <c r="D116">
        <v>14</v>
      </c>
      <c r="E116">
        <v>29</v>
      </c>
      <c r="F116">
        <v>15</v>
      </c>
      <c r="G116">
        <v>29</v>
      </c>
      <c r="H116">
        <v>17</v>
      </c>
      <c r="I116" s="202">
        <v>29</v>
      </c>
      <c r="J116" s="165">
        <v>6</v>
      </c>
      <c r="K116" s="165">
        <v>28.022016512384287</v>
      </c>
      <c r="L116" s="179">
        <v>10.808453548759378</v>
      </c>
      <c r="M116" s="165"/>
      <c r="N116" s="179"/>
      <c r="O116" s="202"/>
      <c r="P116" s="202"/>
      <c r="Q116" s="202"/>
      <c r="R116" s="165"/>
      <c r="S116" s="165"/>
      <c r="T116" s="165"/>
      <c r="U116" s="202"/>
      <c r="V116" s="204"/>
      <c r="W116" s="204"/>
      <c r="X116" s="179"/>
      <c r="Y116" s="179"/>
    </row>
    <row r="117" spans="1:25" ht="14.65" customHeight="1">
      <c r="A117" s="186" t="s">
        <v>205</v>
      </c>
      <c r="B117" s="186"/>
      <c r="C117">
        <v>44</v>
      </c>
      <c r="D117">
        <v>25</v>
      </c>
      <c r="E117">
        <v>43</v>
      </c>
      <c r="F117">
        <v>39</v>
      </c>
      <c r="G117">
        <v>34</v>
      </c>
      <c r="H117">
        <v>54</v>
      </c>
      <c r="I117" s="202">
        <v>30</v>
      </c>
      <c r="J117" s="165">
        <v>22</v>
      </c>
      <c r="K117" s="165">
        <v>38.168829532568978</v>
      </c>
      <c r="L117" s="179">
        <v>31.326320562853844</v>
      </c>
      <c r="M117" s="165"/>
      <c r="N117" s="179"/>
      <c r="O117" s="202"/>
      <c r="P117" s="202"/>
      <c r="Q117" s="202"/>
      <c r="R117" s="165"/>
      <c r="S117" s="165"/>
      <c r="T117" s="165"/>
      <c r="U117" s="201"/>
      <c r="V117" s="166"/>
      <c r="W117" s="166"/>
      <c r="X117" s="179"/>
      <c r="Y117" s="179"/>
    </row>
    <row r="118" spans="1:25" ht="14.65" customHeight="1">
      <c r="A118" s="186" t="s">
        <v>77</v>
      </c>
      <c r="B118" s="186"/>
      <c r="C118">
        <v>19</v>
      </c>
      <c r="D118">
        <v>7</v>
      </c>
      <c r="E118">
        <v>18</v>
      </c>
      <c r="F118">
        <v>6</v>
      </c>
      <c r="G118">
        <v>21</v>
      </c>
      <c r="H118">
        <v>6</v>
      </c>
      <c r="I118" s="202">
        <v>20</v>
      </c>
      <c r="J118" s="165">
        <v>4</v>
      </c>
      <c r="K118" s="165">
        <v>19.586610486891384</v>
      </c>
      <c r="L118" s="179">
        <v>5.157262484107151</v>
      </c>
      <c r="M118" s="165"/>
      <c r="N118" s="179"/>
      <c r="O118" s="202"/>
      <c r="P118" s="202"/>
      <c r="Q118" s="202"/>
      <c r="R118" s="165"/>
      <c r="S118" s="165"/>
      <c r="T118" s="165"/>
      <c r="U118" s="201"/>
      <c r="V118" s="166"/>
      <c r="W118" s="166"/>
      <c r="X118" s="179"/>
      <c r="Y118" s="179"/>
    </row>
    <row r="119" spans="1:25" ht="14.65" customHeight="1">
      <c r="A119" s="186" t="s">
        <v>206</v>
      </c>
      <c r="B119" s="186"/>
      <c r="C119">
        <v>19</v>
      </c>
      <c r="D119">
        <v>14</v>
      </c>
      <c r="E119">
        <v>21</v>
      </c>
      <c r="F119">
        <v>15</v>
      </c>
      <c r="G119">
        <v>19</v>
      </c>
      <c r="H119">
        <v>18</v>
      </c>
      <c r="I119" s="202">
        <v>21</v>
      </c>
      <c r="J119" s="165">
        <v>7</v>
      </c>
      <c r="K119" s="165">
        <v>19.951310462390794</v>
      </c>
      <c r="L119" s="179">
        <v>11.995953403955848</v>
      </c>
      <c r="M119" s="165"/>
      <c r="N119" s="179"/>
      <c r="O119" s="202"/>
      <c r="P119" s="202"/>
      <c r="Q119" s="202"/>
      <c r="R119" s="165"/>
      <c r="S119" s="165"/>
      <c r="T119" s="165"/>
      <c r="U119" s="201"/>
      <c r="V119" s="166"/>
      <c r="W119" s="166"/>
      <c r="X119" s="179"/>
      <c r="Y119" s="179"/>
    </row>
    <row r="120" spans="1:25" ht="14.65" customHeight="1">
      <c r="A120" s="186" t="s">
        <v>269</v>
      </c>
      <c r="B120" s="186"/>
      <c r="C120">
        <v>15</v>
      </c>
      <c r="D120">
        <v>3</v>
      </c>
      <c r="E120">
        <v>15</v>
      </c>
      <c r="F120">
        <v>3</v>
      </c>
      <c r="G120">
        <v>14</v>
      </c>
      <c r="H120">
        <v>3</v>
      </c>
      <c r="I120" s="201">
        <v>15</v>
      </c>
      <c r="J120" s="199">
        <v>2</v>
      </c>
      <c r="K120" s="199">
        <v>14.778051029818629</v>
      </c>
      <c r="L120" s="179" t="s">
        <v>3</v>
      </c>
      <c r="M120" s="199"/>
      <c r="N120" s="179"/>
      <c r="O120" s="201"/>
      <c r="P120" s="201"/>
      <c r="Q120" s="201"/>
      <c r="R120" s="199"/>
      <c r="S120" s="199"/>
      <c r="T120" s="199"/>
      <c r="U120" s="201"/>
      <c r="V120" s="166"/>
      <c r="W120" s="166"/>
      <c r="X120" s="179"/>
      <c r="Y120" s="179"/>
    </row>
    <row r="121" spans="1:25" ht="14.65" customHeight="1">
      <c r="A121" s="186" t="s">
        <v>78</v>
      </c>
      <c r="B121" s="186"/>
      <c r="C121">
        <v>33</v>
      </c>
      <c r="D121">
        <v>17</v>
      </c>
      <c r="E121">
        <v>25</v>
      </c>
      <c r="F121">
        <v>21</v>
      </c>
      <c r="G121">
        <v>19</v>
      </c>
      <c r="H121">
        <v>12</v>
      </c>
      <c r="I121" s="202">
        <v>24</v>
      </c>
      <c r="J121" s="165">
        <v>6</v>
      </c>
      <c r="K121" s="165">
        <v>25.827480916030535</v>
      </c>
      <c r="L121" s="179">
        <v>13.285353535353535</v>
      </c>
      <c r="M121" s="165"/>
      <c r="N121" s="179"/>
      <c r="O121" s="202"/>
      <c r="P121" s="202"/>
      <c r="Q121" s="202"/>
      <c r="R121" s="165"/>
      <c r="S121" s="165"/>
      <c r="T121" s="165"/>
      <c r="U121" s="201"/>
      <c r="V121" s="166"/>
      <c r="W121" s="166"/>
      <c r="X121" s="179"/>
      <c r="Y121" s="179"/>
    </row>
    <row r="122" spans="1:25" ht="14.65" customHeight="1">
      <c r="A122" s="186" t="s">
        <v>339</v>
      </c>
      <c r="B122" s="186"/>
      <c r="C122">
        <v>27</v>
      </c>
      <c r="D122">
        <v>21</v>
      </c>
      <c r="E122">
        <v>29</v>
      </c>
      <c r="F122">
        <v>30</v>
      </c>
      <c r="G122">
        <v>33</v>
      </c>
      <c r="H122">
        <v>24</v>
      </c>
      <c r="I122" s="202">
        <v>36</v>
      </c>
      <c r="J122" s="165">
        <v>8</v>
      </c>
      <c r="K122" s="165">
        <v>30.799538638985005</v>
      </c>
      <c r="L122" s="179">
        <v>18.349785974739735</v>
      </c>
      <c r="M122" s="165"/>
      <c r="N122" s="179"/>
      <c r="O122" s="202"/>
      <c r="P122" s="202"/>
      <c r="Q122" s="202"/>
      <c r="R122" s="165"/>
      <c r="S122" s="165"/>
      <c r="T122" s="165"/>
      <c r="U122" s="201"/>
      <c r="V122" s="166"/>
      <c r="W122" s="166"/>
      <c r="X122" s="179"/>
      <c r="Y122" s="179"/>
    </row>
    <row r="123" spans="1:25" ht="14.65" customHeight="1">
      <c r="A123" s="186" t="s">
        <v>79</v>
      </c>
      <c r="B123" s="186"/>
      <c r="C123">
        <v>24</v>
      </c>
      <c r="D123">
        <v>14</v>
      </c>
      <c r="E123">
        <v>17</v>
      </c>
      <c r="F123">
        <v>9</v>
      </c>
      <c r="G123">
        <v>17</v>
      </c>
      <c r="H123">
        <v>9</v>
      </c>
      <c r="I123" s="202">
        <v>17</v>
      </c>
      <c r="J123" s="165">
        <v>3</v>
      </c>
      <c r="K123" s="165">
        <v>18.828125</v>
      </c>
      <c r="L123" s="179">
        <v>6.950458190148912</v>
      </c>
      <c r="M123" s="165"/>
      <c r="N123" s="179"/>
      <c r="O123" s="202"/>
      <c r="P123" s="202"/>
      <c r="Q123" s="202"/>
      <c r="R123" s="165"/>
      <c r="S123" s="165"/>
      <c r="T123" s="165"/>
      <c r="U123" s="201"/>
      <c r="V123" s="166"/>
      <c r="W123" s="166"/>
      <c r="X123" s="179"/>
      <c r="Y123" s="179"/>
    </row>
    <row r="124" spans="1:25" ht="14.65" customHeight="1">
      <c r="A124" s="186" t="s">
        <v>207</v>
      </c>
      <c r="B124" s="186"/>
      <c r="C124">
        <v>46</v>
      </c>
      <c r="D124">
        <v>13</v>
      </c>
      <c r="E124">
        <v>46</v>
      </c>
      <c r="F124">
        <v>15</v>
      </c>
      <c r="G124">
        <v>33</v>
      </c>
      <c r="H124">
        <v>19</v>
      </c>
      <c r="I124" s="202">
        <v>29</v>
      </c>
      <c r="J124" s="165">
        <v>11</v>
      </c>
      <c r="K124" s="165">
        <v>38.279747739171825</v>
      </c>
      <c r="L124" s="179">
        <v>13.737300468764362</v>
      </c>
      <c r="M124" s="165"/>
      <c r="N124" s="179"/>
      <c r="O124" s="202"/>
      <c r="P124" s="202"/>
      <c r="Q124" s="202"/>
      <c r="R124" s="165"/>
      <c r="S124" s="165"/>
      <c r="T124" s="165"/>
      <c r="U124" s="201"/>
      <c r="V124" s="166"/>
      <c r="W124" s="166"/>
      <c r="X124" s="179"/>
      <c r="Y124" s="179"/>
    </row>
    <row r="125" spans="1:25" ht="14.65" customHeight="1">
      <c r="A125" s="186" t="s">
        <v>80</v>
      </c>
      <c r="B125" s="186"/>
      <c r="C125">
        <v>20</v>
      </c>
      <c r="D125">
        <v>15</v>
      </c>
      <c r="E125">
        <v>22</v>
      </c>
      <c r="F125">
        <v>11</v>
      </c>
      <c r="G125">
        <v>20</v>
      </c>
      <c r="H125">
        <v>13</v>
      </c>
      <c r="I125" s="202">
        <v>26</v>
      </c>
      <c r="J125" s="165">
        <v>6</v>
      </c>
      <c r="K125" s="165">
        <v>22.128278688524592</v>
      </c>
      <c r="L125" s="179">
        <v>9.896448206018519</v>
      </c>
      <c r="M125" s="165"/>
      <c r="N125" s="179"/>
      <c r="O125" s="202"/>
      <c r="P125" s="202"/>
      <c r="Q125" s="202"/>
      <c r="R125" s="165"/>
      <c r="S125" s="165"/>
      <c r="T125" s="165"/>
      <c r="U125" s="201"/>
      <c r="V125" s="166"/>
      <c r="W125" s="166"/>
      <c r="X125" s="179"/>
      <c r="Y125" s="179"/>
    </row>
    <row r="126" spans="1:25" ht="14.65" customHeight="1">
      <c r="A126" s="186" t="s">
        <v>81</v>
      </c>
      <c r="B126" s="186"/>
      <c r="C126">
        <v>26</v>
      </c>
      <c r="D126">
        <v>7</v>
      </c>
      <c r="E126">
        <v>26</v>
      </c>
      <c r="F126">
        <v>7</v>
      </c>
      <c r="G126">
        <v>27</v>
      </c>
      <c r="H126">
        <v>7</v>
      </c>
      <c r="I126" s="202">
        <v>28</v>
      </c>
      <c r="J126" s="165">
        <v>4</v>
      </c>
      <c r="K126" s="165">
        <v>26.715576592082616</v>
      </c>
      <c r="L126" s="179">
        <v>5.7191469732453335</v>
      </c>
      <c r="M126" s="165"/>
      <c r="N126" s="179"/>
      <c r="O126" s="202"/>
      <c r="P126" s="202"/>
      <c r="Q126" s="202"/>
      <c r="R126" s="165"/>
      <c r="S126" s="165"/>
      <c r="T126" s="165"/>
      <c r="U126" s="201"/>
      <c r="V126" s="166"/>
      <c r="W126" s="166"/>
      <c r="X126" s="179"/>
      <c r="Y126" s="179"/>
    </row>
    <row r="127" spans="1:25" ht="14.65" customHeight="1">
      <c r="A127" s="186" t="s">
        <v>208</v>
      </c>
      <c r="B127" s="186"/>
      <c r="C127">
        <v>21</v>
      </c>
      <c r="D127">
        <v>9</v>
      </c>
      <c r="E127">
        <v>20</v>
      </c>
      <c r="F127">
        <v>8</v>
      </c>
      <c r="G127">
        <v>21</v>
      </c>
      <c r="H127">
        <v>11</v>
      </c>
      <c r="I127" s="202">
        <v>20</v>
      </c>
      <c r="J127" s="165">
        <v>4</v>
      </c>
      <c r="K127" s="165">
        <v>20.544677020031511</v>
      </c>
      <c r="L127" s="179">
        <v>7.2833021603720161</v>
      </c>
      <c r="M127" s="165"/>
      <c r="N127" s="179"/>
      <c r="O127" s="202"/>
      <c r="P127" s="202"/>
      <c r="Q127" s="202"/>
      <c r="R127" s="165"/>
      <c r="S127" s="165"/>
      <c r="T127" s="165"/>
      <c r="U127" s="201"/>
      <c r="V127" s="166"/>
      <c r="W127" s="166"/>
      <c r="X127" s="179"/>
      <c r="Y127" s="179"/>
    </row>
    <row r="128" spans="1:25" ht="14.65" customHeight="1">
      <c r="A128" s="186" t="s">
        <v>82</v>
      </c>
      <c r="B128" s="186"/>
      <c r="C128">
        <v>21</v>
      </c>
      <c r="D128">
        <v>8</v>
      </c>
      <c r="E128">
        <v>20</v>
      </c>
      <c r="F128">
        <v>14</v>
      </c>
      <c r="G128">
        <v>20</v>
      </c>
      <c r="H128">
        <v>11</v>
      </c>
      <c r="I128" s="202">
        <v>20</v>
      </c>
      <c r="J128" s="165">
        <v>3</v>
      </c>
      <c r="K128" s="165">
        <v>20.39801699716714</v>
      </c>
      <c r="L128" s="179">
        <v>6.9974772502027207</v>
      </c>
      <c r="M128" s="165"/>
      <c r="N128" s="179"/>
      <c r="O128" s="202"/>
      <c r="P128" s="202"/>
      <c r="Q128" s="202"/>
      <c r="R128" s="165"/>
      <c r="S128" s="165"/>
      <c r="T128" s="165"/>
      <c r="U128" s="202"/>
      <c r="V128" s="204"/>
      <c r="W128" s="204"/>
      <c r="X128" s="179"/>
      <c r="Y128" s="179"/>
    </row>
    <row r="129" spans="1:25" ht="14.65" customHeight="1">
      <c r="A129" s="186" t="s">
        <v>270</v>
      </c>
      <c r="B129" s="186"/>
      <c r="C129">
        <v>19</v>
      </c>
      <c r="D129">
        <v>11</v>
      </c>
      <c r="E129">
        <v>19</v>
      </c>
      <c r="F129">
        <v>9</v>
      </c>
      <c r="G129">
        <v>21</v>
      </c>
      <c r="H129">
        <v>10</v>
      </c>
      <c r="I129" s="202">
        <v>21</v>
      </c>
      <c r="J129" s="165">
        <v>5</v>
      </c>
      <c r="K129" s="165">
        <v>20.160720353380903</v>
      </c>
      <c r="L129" s="179">
        <v>7.4503470500743676</v>
      </c>
      <c r="M129" s="165"/>
      <c r="N129" s="179"/>
      <c r="O129" s="202"/>
      <c r="P129" s="202"/>
      <c r="Q129" s="202"/>
      <c r="R129" s="165"/>
      <c r="S129" s="165"/>
      <c r="T129" s="165"/>
      <c r="U129" s="201"/>
      <c r="V129" s="166"/>
      <c r="W129" s="166"/>
      <c r="X129" s="179"/>
      <c r="Y129" s="179"/>
    </row>
    <row r="130" spans="1:25" ht="14.65" customHeight="1">
      <c r="A130" s="186" t="s">
        <v>83</v>
      </c>
      <c r="B130" s="186"/>
      <c r="C130">
        <v>13</v>
      </c>
      <c r="D130">
        <v>5</v>
      </c>
      <c r="E130">
        <v>12</v>
      </c>
      <c r="F130">
        <v>4</v>
      </c>
      <c r="G130">
        <v>10</v>
      </c>
      <c r="H130">
        <v>5</v>
      </c>
      <c r="I130" s="202">
        <v>11</v>
      </c>
      <c r="J130" s="165" t="s">
        <v>3</v>
      </c>
      <c r="K130" s="165">
        <v>11.572357723577236</v>
      </c>
      <c r="L130" s="179" t="s">
        <v>3</v>
      </c>
      <c r="M130" s="165"/>
      <c r="N130" s="179"/>
      <c r="O130" s="202"/>
      <c r="P130" s="202"/>
      <c r="Q130" s="202"/>
      <c r="R130" s="165"/>
      <c r="S130" s="165"/>
      <c r="T130" s="165"/>
      <c r="U130" s="201"/>
      <c r="V130" s="166"/>
      <c r="W130" s="166"/>
      <c r="X130" s="179"/>
      <c r="Y130" s="179"/>
    </row>
    <row r="131" spans="1:25" ht="14.65" customHeight="1">
      <c r="A131" s="186" t="s">
        <v>84</v>
      </c>
      <c r="B131" s="186"/>
      <c r="C131">
        <v>14</v>
      </c>
      <c r="D131">
        <v>8</v>
      </c>
      <c r="E131">
        <v>16</v>
      </c>
      <c r="F131">
        <v>8</v>
      </c>
      <c r="G131">
        <v>16</v>
      </c>
      <c r="H131">
        <v>7</v>
      </c>
      <c r="I131" s="202">
        <v>15</v>
      </c>
      <c r="J131" s="165">
        <v>3</v>
      </c>
      <c r="K131" s="165">
        <v>15.080126515550869</v>
      </c>
      <c r="L131" s="179">
        <v>5.7146600617416903</v>
      </c>
      <c r="M131" s="165"/>
      <c r="N131" s="179"/>
      <c r="O131" s="202"/>
      <c r="P131" s="202"/>
      <c r="Q131" s="202"/>
      <c r="R131" s="165"/>
      <c r="S131" s="165"/>
      <c r="T131" s="165"/>
      <c r="U131" s="201"/>
      <c r="V131" s="166"/>
      <c r="W131" s="166"/>
      <c r="X131" s="179"/>
      <c r="Y131" s="179"/>
    </row>
    <row r="132" spans="1:25" ht="14.65" customHeight="1">
      <c r="A132" s="186" t="s">
        <v>209</v>
      </c>
      <c r="B132" s="186"/>
      <c r="C132">
        <v>41</v>
      </c>
      <c r="D132">
        <v>19</v>
      </c>
      <c r="E132">
        <v>29</v>
      </c>
      <c r="F132">
        <v>13</v>
      </c>
      <c r="G132">
        <v>21</v>
      </c>
      <c r="H132">
        <v>15</v>
      </c>
      <c r="I132" s="202">
        <v>17</v>
      </c>
      <c r="J132" s="165">
        <v>5</v>
      </c>
      <c r="K132" s="165">
        <v>26.912046908315563</v>
      </c>
      <c r="L132" s="179">
        <v>10.648190935635395</v>
      </c>
      <c r="M132" s="165"/>
      <c r="N132" s="179"/>
      <c r="O132" s="202"/>
      <c r="P132" s="202"/>
      <c r="Q132" s="202"/>
      <c r="R132" s="165"/>
      <c r="S132" s="165"/>
      <c r="T132" s="165"/>
      <c r="U132" s="201"/>
      <c r="V132" s="166"/>
      <c r="W132" s="166"/>
      <c r="X132" s="179"/>
      <c r="Y132" s="179"/>
    </row>
    <row r="133" spans="1:25" ht="14.65" customHeight="1">
      <c r="A133" s="186" t="s">
        <v>826</v>
      </c>
      <c r="B133" s="186"/>
      <c r="C133">
        <v>11</v>
      </c>
      <c r="D133">
        <v>12</v>
      </c>
      <c r="E133">
        <v>13</v>
      </c>
      <c r="F133">
        <v>14</v>
      </c>
      <c r="G133">
        <v>11</v>
      </c>
      <c r="H133">
        <v>8</v>
      </c>
      <c r="I133" s="202">
        <v>13</v>
      </c>
      <c r="J133" s="165">
        <v>5</v>
      </c>
      <c r="K133" s="165">
        <v>12.187860291624279</v>
      </c>
      <c r="L133" s="179">
        <v>9.3734238178633973</v>
      </c>
      <c r="M133" s="165"/>
      <c r="N133" s="179"/>
      <c r="O133" s="202"/>
      <c r="P133" s="202"/>
      <c r="Q133" s="202"/>
      <c r="R133" s="165"/>
      <c r="S133" s="165"/>
      <c r="T133" s="165"/>
      <c r="U133" s="201"/>
      <c r="V133" s="166"/>
      <c r="W133" s="166"/>
      <c r="X133" s="179"/>
      <c r="Y133" s="179"/>
    </row>
    <row r="134" spans="1:25" ht="14.65" customHeight="1">
      <c r="A134" s="186" t="s">
        <v>85</v>
      </c>
      <c r="B134" s="186"/>
      <c r="C134">
        <v>15</v>
      </c>
      <c r="D134">
        <v>7</v>
      </c>
      <c r="E134">
        <v>18</v>
      </c>
      <c r="F134">
        <v>8</v>
      </c>
      <c r="G134">
        <v>16</v>
      </c>
      <c r="H134">
        <v>7</v>
      </c>
      <c r="I134" s="202">
        <v>19</v>
      </c>
      <c r="J134" s="165">
        <v>3</v>
      </c>
      <c r="K134" s="165">
        <v>16.98149290561382</v>
      </c>
      <c r="L134" s="179">
        <v>5.6297994009258421</v>
      </c>
      <c r="M134" s="165"/>
      <c r="N134" s="179"/>
      <c r="O134" s="202"/>
      <c r="P134" s="202"/>
      <c r="Q134" s="202"/>
      <c r="R134" s="165"/>
      <c r="S134" s="165"/>
      <c r="T134" s="165"/>
      <c r="U134" s="201"/>
      <c r="V134" s="166"/>
      <c r="W134" s="166"/>
      <c r="X134" s="179"/>
      <c r="Y134" s="179"/>
    </row>
    <row r="135" spans="1:25" ht="14.65" customHeight="1">
      <c r="A135" s="186" t="s">
        <v>86</v>
      </c>
      <c r="B135" s="186"/>
      <c r="C135">
        <v>21</v>
      </c>
      <c r="D135">
        <v>8</v>
      </c>
      <c r="E135">
        <v>17</v>
      </c>
      <c r="F135">
        <v>7</v>
      </c>
      <c r="G135">
        <v>17</v>
      </c>
      <c r="H135">
        <v>8</v>
      </c>
      <c r="I135" s="202">
        <v>16</v>
      </c>
      <c r="J135" s="165">
        <v>3</v>
      </c>
      <c r="K135" s="165">
        <v>17.821253071253071</v>
      </c>
      <c r="L135" s="179">
        <v>5.3362110311750603</v>
      </c>
      <c r="M135" s="165"/>
      <c r="N135" s="179"/>
      <c r="O135" s="202"/>
      <c r="P135" s="202"/>
      <c r="Q135" s="202"/>
      <c r="R135" s="165"/>
      <c r="S135" s="165"/>
      <c r="T135" s="165"/>
      <c r="U135" s="201"/>
      <c r="V135" s="166"/>
      <c r="W135" s="166"/>
      <c r="X135" s="179"/>
      <c r="Y135" s="179"/>
    </row>
    <row r="136" spans="1:25" ht="14.65" customHeight="1">
      <c r="A136" s="186" t="s">
        <v>210</v>
      </c>
      <c r="B136" s="186"/>
      <c r="C136">
        <v>12</v>
      </c>
      <c r="D136">
        <v>7</v>
      </c>
      <c r="E136">
        <v>9</v>
      </c>
      <c r="F136">
        <v>7</v>
      </c>
      <c r="G136">
        <v>10</v>
      </c>
      <c r="H136">
        <v>9</v>
      </c>
      <c r="I136" s="202">
        <v>10</v>
      </c>
      <c r="J136" s="165">
        <v>5</v>
      </c>
      <c r="K136" s="165">
        <v>10.140207972270364</v>
      </c>
      <c r="L136" s="179">
        <v>6.6297319763653926</v>
      </c>
      <c r="M136" s="165"/>
      <c r="N136" s="179"/>
      <c r="O136" s="202"/>
      <c r="P136" s="202"/>
      <c r="Q136" s="202"/>
      <c r="R136" s="165"/>
      <c r="S136" s="165"/>
      <c r="T136" s="165"/>
      <c r="U136" s="201"/>
      <c r="V136" s="166"/>
      <c r="W136" s="166"/>
      <c r="X136" s="179"/>
      <c r="Y136" s="179"/>
    </row>
    <row r="137" spans="1:25" ht="14.65" customHeight="1">
      <c r="A137" s="186" t="s">
        <v>348</v>
      </c>
      <c r="B137" s="186"/>
      <c r="C137">
        <v>21</v>
      </c>
      <c r="D137">
        <v>13</v>
      </c>
      <c r="E137">
        <v>18</v>
      </c>
      <c r="F137">
        <v>10</v>
      </c>
      <c r="G137">
        <v>16</v>
      </c>
      <c r="H137">
        <v>9</v>
      </c>
      <c r="I137" s="202">
        <v>18</v>
      </c>
      <c r="J137" s="165">
        <v>4</v>
      </c>
      <c r="K137" s="165">
        <v>18.025948103792416</v>
      </c>
      <c r="L137" s="179">
        <v>7.216631782321687</v>
      </c>
      <c r="M137" s="165"/>
      <c r="N137" s="179"/>
      <c r="O137" s="202"/>
      <c r="P137" s="202"/>
      <c r="Q137" s="202"/>
      <c r="R137" s="165"/>
      <c r="S137" s="165"/>
      <c r="T137" s="165"/>
      <c r="U137" s="201"/>
      <c r="V137" s="166"/>
      <c r="W137" s="166"/>
      <c r="X137" s="179"/>
      <c r="Y137" s="179"/>
    </row>
    <row r="138" spans="1:25" ht="14.65" customHeight="1">
      <c r="A138" s="186" t="s">
        <v>87</v>
      </c>
      <c r="B138" s="186"/>
      <c r="C138">
        <v>18</v>
      </c>
      <c r="D138">
        <v>15</v>
      </c>
      <c r="E138">
        <v>16</v>
      </c>
      <c r="F138">
        <v>9</v>
      </c>
      <c r="G138">
        <v>15</v>
      </c>
      <c r="H138">
        <v>12</v>
      </c>
      <c r="I138" s="202">
        <v>16</v>
      </c>
      <c r="J138" s="165">
        <v>5</v>
      </c>
      <c r="K138" s="165">
        <v>16.367454068241472</v>
      </c>
      <c r="L138" s="179">
        <v>8.7661691542288551</v>
      </c>
      <c r="M138" s="165"/>
      <c r="N138" s="179"/>
      <c r="O138" s="202"/>
      <c r="P138" s="202"/>
      <c r="Q138" s="202"/>
      <c r="R138" s="165"/>
      <c r="S138" s="165"/>
      <c r="T138" s="165"/>
      <c r="U138" s="201"/>
      <c r="V138" s="166"/>
      <c r="W138" s="166"/>
      <c r="X138" s="179"/>
      <c r="Y138" s="179"/>
    </row>
    <row r="139" spans="1:25" ht="14.65" customHeight="1">
      <c r="A139" s="186" t="s">
        <v>211</v>
      </c>
      <c r="B139" s="186"/>
      <c r="C139">
        <v>18</v>
      </c>
      <c r="D139">
        <v>7</v>
      </c>
      <c r="E139">
        <v>23</v>
      </c>
      <c r="F139">
        <v>7</v>
      </c>
      <c r="G139">
        <v>20</v>
      </c>
      <c r="H139">
        <v>8</v>
      </c>
      <c r="I139" s="202">
        <v>19</v>
      </c>
      <c r="J139" s="165">
        <v>4</v>
      </c>
      <c r="K139" s="165">
        <v>20.125297923050731</v>
      </c>
      <c r="L139" s="179">
        <v>5.7546704217796556</v>
      </c>
      <c r="M139" s="165"/>
      <c r="N139" s="179"/>
      <c r="O139" s="202"/>
      <c r="P139" s="202"/>
      <c r="Q139" s="202"/>
      <c r="R139" s="165"/>
      <c r="S139" s="165"/>
      <c r="T139" s="165"/>
      <c r="U139" s="201"/>
      <c r="V139" s="166"/>
      <c r="W139" s="166"/>
      <c r="X139" s="179"/>
      <c r="Y139" s="179"/>
    </row>
    <row r="140" spans="1:25" ht="14.65" customHeight="1">
      <c r="A140" s="186" t="s">
        <v>88</v>
      </c>
      <c r="B140" s="186"/>
      <c r="C140">
        <v>27</v>
      </c>
      <c r="D140">
        <v>9</v>
      </c>
      <c r="E140">
        <v>23</v>
      </c>
      <c r="F140">
        <v>6</v>
      </c>
      <c r="G140">
        <v>24</v>
      </c>
      <c r="H140">
        <v>8</v>
      </c>
      <c r="I140" s="202">
        <v>25</v>
      </c>
      <c r="J140" s="165">
        <v>3</v>
      </c>
      <c r="K140" s="165">
        <v>24.843976777939041</v>
      </c>
      <c r="L140" s="179">
        <v>5.777402186421174</v>
      </c>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19</v>
      </c>
      <c r="F141">
        <v>7</v>
      </c>
      <c r="G141">
        <v>15</v>
      </c>
      <c r="H141">
        <v>5</v>
      </c>
      <c r="I141" s="202">
        <v>17</v>
      </c>
      <c r="J141" s="165">
        <v>3</v>
      </c>
      <c r="K141" s="165">
        <v>19.201480263157894</v>
      </c>
      <c r="L141" s="179">
        <v>5.5407377985204311</v>
      </c>
      <c r="M141" s="165"/>
      <c r="N141" s="179"/>
      <c r="O141" s="202"/>
      <c r="P141" s="202"/>
      <c r="Q141" s="202"/>
      <c r="R141" s="165"/>
      <c r="S141" s="165"/>
      <c r="T141" s="165"/>
      <c r="U141" s="201"/>
      <c r="V141" s="166"/>
      <c r="W141" s="166"/>
      <c r="X141" s="179"/>
      <c r="Y141" s="179"/>
    </row>
    <row r="142" spans="1:25" ht="14.65" customHeight="1">
      <c r="A142" s="186" t="s">
        <v>90</v>
      </c>
      <c r="B142" s="186"/>
      <c r="C142">
        <v>23</v>
      </c>
      <c r="D142">
        <v>8</v>
      </c>
      <c r="E142">
        <v>21</v>
      </c>
      <c r="F142">
        <v>7</v>
      </c>
      <c r="G142">
        <v>20</v>
      </c>
      <c r="H142">
        <v>8</v>
      </c>
      <c r="I142" s="202">
        <v>21</v>
      </c>
      <c r="J142" s="165">
        <v>4</v>
      </c>
      <c r="K142" s="165">
        <v>21.376541961577352</v>
      </c>
      <c r="L142" s="179">
        <v>6.6065132659319783</v>
      </c>
      <c r="M142" s="165"/>
      <c r="N142" s="179"/>
      <c r="O142" s="202"/>
      <c r="P142" s="202"/>
      <c r="Q142" s="202"/>
      <c r="R142" s="165"/>
      <c r="S142" s="165"/>
      <c r="T142" s="165"/>
      <c r="U142" s="201"/>
      <c r="V142" s="166"/>
      <c r="W142" s="166"/>
      <c r="X142" s="179"/>
      <c r="Y142" s="179"/>
    </row>
    <row r="143" spans="1:25" ht="14.65" customHeight="1">
      <c r="A143" s="186" t="s">
        <v>819</v>
      </c>
      <c r="B143" s="186"/>
      <c r="C143">
        <v>22</v>
      </c>
      <c r="D143">
        <v>10</v>
      </c>
      <c r="E143">
        <v>24</v>
      </c>
      <c r="F143">
        <v>10</v>
      </c>
      <c r="G143">
        <v>21</v>
      </c>
      <c r="H143">
        <v>10</v>
      </c>
      <c r="I143" s="202">
        <v>19</v>
      </c>
      <c r="J143" s="165">
        <v>4</v>
      </c>
      <c r="K143" s="165">
        <v>21.550568521843207</v>
      </c>
      <c r="L143" s="179">
        <v>7.3797090117009692</v>
      </c>
      <c r="M143" s="165"/>
      <c r="N143" s="179"/>
      <c r="O143" s="202"/>
      <c r="P143" s="202"/>
      <c r="Q143" s="202"/>
      <c r="R143" s="165"/>
      <c r="S143" s="165"/>
      <c r="T143" s="165"/>
      <c r="U143" s="201"/>
      <c r="V143" s="166"/>
      <c r="W143" s="166"/>
      <c r="X143" s="179"/>
      <c r="Y143" s="179"/>
    </row>
    <row r="144" spans="1:25" ht="14.65" customHeight="1">
      <c r="A144" s="186" t="s">
        <v>2</v>
      </c>
      <c r="B144" s="186"/>
      <c r="C144" t="s">
        <v>3</v>
      </c>
      <c r="D144" t="s">
        <v>3</v>
      </c>
      <c r="E144" t="s">
        <v>3</v>
      </c>
      <c r="F144" t="s">
        <v>3</v>
      </c>
      <c r="G144" t="s">
        <v>3</v>
      </c>
      <c r="H144" t="s">
        <v>3</v>
      </c>
      <c r="I144" s="202" t="s">
        <v>3</v>
      </c>
      <c r="J144" s="165" t="s">
        <v>3</v>
      </c>
      <c r="K144" s="165" t="s">
        <v>3</v>
      </c>
      <c r="L144" s="179" t="s">
        <v>3</v>
      </c>
      <c r="M144" s="165"/>
      <c r="N144" s="179"/>
      <c r="O144" s="202"/>
      <c r="P144" s="202"/>
      <c r="Q144" s="202"/>
      <c r="R144" s="165"/>
      <c r="S144" s="165"/>
      <c r="T144" s="165"/>
      <c r="U144" s="201"/>
      <c r="V144" s="166"/>
      <c r="W144" s="166"/>
      <c r="X144" s="179"/>
      <c r="Y144" s="179"/>
    </row>
    <row r="145" spans="1:25" ht="14.65" customHeight="1">
      <c r="A145" s="186" t="s">
        <v>212</v>
      </c>
      <c r="B145" s="186"/>
      <c r="C145">
        <v>18</v>
      </c>
      <c r="D145">
        <v>5</v>
      </c>
      <c r="E145">
        <v>18</v>
      </c>
      <c r="F145">
        <v>4</v>
      </c>
      <c r="G145">
        <v>17</v>
      </c>
      <c r="H145">
        <v>5</v>
      </c>
      <c r="I145" s="202">
        <v>18</v>
      </c>
      <c r="J145" s="165">
        <v>2</v>
      </c>
      <c r="K145" s="165">
        <v>17.727399944024629</v>
      </c>
      <c r="L145" s="179">
        <v>3.7133059133775381</v>
      </c>
      <c r="M145" s="165"/>
      <c r="N145" s="179"/>
      <c r="O145" s="202"/>
      <c r="P145" s="202"/>
      <c r="Q145" s="202"/>
      <c r="R145" s="165"/>
      <c r="S145" s="165"/>
      <c r="T145" s="165"/>
      <c r="U145" s="201"/>
      <c r="V145" s="166"/>
      <c r="W145" s="166"/>
      <c r="X145" s="179"/>
      <c r="Y145" s="179"/>
    </row>
    <row r="146" spans="1:25" ht="14.65" customHeight="1">
      <c r="A146" s="186" t="s">
        <v>340</v>
      </c>
      <c r="B146" s="186"/>
      <c r="C146">
        <v>18</v>
      </c>
      <c r="D146">
        <v>7</v>
      </c>
      <c r="E146">
        <v>18</v>
      </c>
      <c r="F146">
        <v>5</v>
      </c>
      <c r="G146">
        <v>17</v>
      </c>
      <c r="H146">
        <v>4</v>
      </c>
      <c r="I146" s="202">
        <v>15</v>
      </c>
      <c r="J146" s="165">
        <v>3</v>
      </c>
      <c r="K146" s="165">
        <v>16.960571710202071</v>
      </c>
      <c r="L146" s="179">
        <v>4.3992960132515151</v>
      </c>
      <c r="M146" s="165"/>
      <c r="N146" s="179"/>
      <c r="O146" s="202"/>
      <c r="P146" s="202"/>
      <c r="Q146" s="202"/>
      <c r="R146" s="165"/>
      <c r="S146" s="165"/>
      <c r="T146" s="165"/>
      <c r="U146" s="201"/>
      <c r="V146" s="166"/>
      <c r="W146" s="166"/>
      <c r="X146" s="179"/>
      <c r="Y146" s="179"/>
    </row>
    <row r="147" spans="1:25" ht="14.65" customHeight="1">
      <c r="A147" s="186" t="s">
        <v>91</v>
      </c>
      <c r="B147" s="186"/>
      <c r="C147">
        <v>17</v>
      </c>
      <c r="D147">
        <v>9</v>
      </c>
      <c r="E147">
        <v>16</v>
      </c>
      <c r="F147">
        <v>8</v>
      </c>
      <c r="G147">
        <v>12</v>
      </c>
      <c r="H147">
        <v>7</v>
      </c>
      <c r="I147" s="202">
        <v>15</v>
      </c>
      <c r="J147" s="165">
        <v>3</v>
      </c>
      <c r="K147" s="165">
        <v>15.020774845592364</v>
      </c>
      <c r="L147" s="179">
        <v>6.1096268491940826</v>
      </c>
      <c r="M147" s="165"/>
      <c r="N147" s="179"/>
      <c r="O147" s="202"/>
      <c r="P147" s="202"/>
      <c r="Q147" s="202"/>
      <c r="R147" s="165"/>
      <c r="S147" s="165"/>
      <c r="T147" s="165"/>
      <c r="U147" s="201"/>
      <c r="V147" s="166"/>
      <c r="W147" s="166"/>
      <c r="X147" s="179"/>
      <c r="Y147" s="179"/>
    </row>
    <row r="148" spans="1:25" ht="14.65" customHeight="1">
      <c r="A148" s="186" t="s">
        <v>381</v>
      </c>
      <c r="B148" s="186"/>
      <c r="C148">
        <v>24</v>
      </c>
      <c r="D148">
        <v>14</v>
      </c>
      <c r="E148">
        <v>18</v>
      </c>
      <c r="F148">
        <v>17</v>
      </c>
      <c r="G148">
        <v>20</v>
      </c>
      <c r="H148">
        <v>11</v>
      </c>
      <c r="I148" s="202">
        <v>19</v>
      </c>
      <c r="J148" s="165">
        <v>6</v>
      </c>
      <c r="K148" s="165">
        <v>20.263094521372668</v>
      </c>
      <c r="L148" s="179">
        <v>10.861514105525421</v>
      </c>
      <c r="M148" s="165"/>
      <c r="N148" s="179"/>
      <c r="O148" s="202"/>
      <c r="P148" s="202"/>
      <c r="Q148" s="202"/>
      <c r="R148" s="165"/>
      <c r="S148" s="165"/>
      <c r="T148" s="165"/>
      <c r="U148" s="202"/>
      <c r="V148" s="204"/>
      <c r="W148" s="204"/>
      <c r="X148" s="179"/>
      <c r="Y148" s="179"/>
    </row>
    <row r="149" spans="1:25" ht="14.65" customHeight="1">
      <c r="A149" s="186" t="s">
        <v>827</v>
      </c>
      <c r="B149" s="186"/>
      <c r="C149">
        <v>29</v>
      </c>
      <c r="D149">
        <v>20</v>
      </c>
      <c r="E149">
        <v>26</v>
      </c>
      <c r="F149">
        <v>19</v>
      </c>
      <c r="G149">
        <v>24</v>
      </c>
      <c r="H149">
        <v>16</v>
      </c>
      <c r="I149" s="202">
        <v>24</v>
      </c>
      <c r="J149" s="165">
        <v>6</v>
      </c>
      <c r="K149" s="165">
        <v>25.673504128010894</v>
      </c>
      <c r="L149" s="179">
        <v>12.63815230863824</v>
      </c>
      <c r="M149" s="165"/>
      <c r="N149" s="179"/>
      <c r="O149" s="202"/>
      <c r="P149" s="202"/>
      <c r="Q149" s="202"/>
      <c r="R149" s="165"/>
      <c r="S149" s="165"/>
      <c r="T149" s="165"/>
      <c r="U149" s="202"/>
      <c r="V149" s="204"/>
      <c r="W149" s="204"/>
      <c r="X149" s="179"/>
      <c r="Y149" s="179"/>
    </row>
    <row r="150" spans="1:25" ht="14.65" customHeight="1">
      <c r="A150" s="186" t="s">
        <v>400</v>
      </c>
      <c r="B150" s="186"/>
      <c r="C150">
        <v>30</v>
      </c>
      <c r="D150">
        <v>9</v>
      </c>
      <c r="E150">
        <v>28</v>
      </c>
      <c r="F150">
        <v>5</v>
      </c>
      <c r="G150">
        <v>24</v>
      </c>
      <c r="H150">
        <v>8</v>
      </c>
      <c r="I150" s="202">
        <v>26</v>
      </c>
      <c r="J150" s="165">
        <v>4</v>
      </c>
      <c r="K150" s="165">
        <v>27.078389830508474</v>
      </c>
      <c r="L150" s="179">
        <v>5.7674943566591423</v>
      </c>
      <c r="M150" s="165"/>
      <c r="N150" s="179"/>
      <c r="O150" s="202"/>
      <c r="P150" s="202"/>
      <c r="Q150" s="202"/>
      <c r="R150" s="165"/>
      <c r="S150" s="165"/>
      <c r="T150" s="165"/>
      <c r="U150" s="201"/>
      <c r="V150" s="166"/>
      <c r="W150" s="166"/>
      <c r="X150" s="179"/>
      <c r="Y150" s="179"/>
    </row>
    <row r="151" spans="1:25" ht="14.65" customHeight="1">
      <c r="A151" s="186" t="s">
        <v>233</v>
      </c>
      <c r="B151" s="186"/>
      <c r="C151">
        <v>23</v>
      </c>
      <c r="D151">
        <v>8</v>
      </c>
      <c r="E151">
        <v>21</v>
      </c>
      <c r="F151">
        <v>8</v>
      </c>
      <c r="G151">
        <v>22</v>
      </c>
      <c r="H151">
        <v>11</v>
      </c>
      <c r="I151" s="201">
        <v>26</v>
      </c>
      <c r="J151" s="199">
        <v>5</v>
      </c>
      <c r="K151" s="199">
        <v>23.128555389221557</v>
      </c>
      <c r="L151" s="179">
        <v>7.0875616253789389</v>
      </c>
      <c r="M151" s="199"/>
      <c r="N151" s="179"/>
      <c r="O151" s="201"/>
      <c r="P151" s="201"/>
      <c r="Q151" s="201"/>
      <c r="R151" s="199"/>
      <c r="S151" s="199"/>
      <c r="T151" s="199"/>
      <c r="U151" s="201"/>
      <c r="V151" s="166"/>
      <c r="W151" s="166"/>
      <c r="X151" s="179"/>
      <c r="Y151" s="179"/>
    </row>
    <row r="152" spans="1:25" ht="14.65" customHeight="1">
      <c r="A152" s="186" t="s">
        <v>234</v>
      </c>
      <c r="B152" s="186"/>
      <c r="C152">
        <v>28</v>
      </c>
      <c r="D152">
        <v>6</v>
      </c>
      <c r="E152">
        <v>28</v>
      </c>
      <c r="F152">
        <v>7</v>
      </c>
      <c r="G152">
        <v>31</v>
      </c>
      <c r="H152">
        <v>8</v>
      </c>
      <c r="I152" s="202">
        <v>37</v>
      </c>
      <c r="J152" s="165">
        <v>3</v>
      </c>
      <c r="K152" s="165">
        <v>31.026433026433025</v>
      </c>
      <c r="L152" s="179">
        <v>4.8188200572382538</v>
      </c>
      <c r="M152" s="165"/>
      <c r="N152" s="179"/>
      <c r="O152" s="202"/>
      <c r="P152" s="202"/>
      <c r="Q152" s="202"/>
      <c r="R152" s="165"/>
      <c r="S152" s="165"/>
      <c r="T152" s="165"/>
      <c r="U152" s="201"/>
      <c r="V152" s="166"/>
      <c r="W152" s="166"/>
      <c r="X152" s="179"/>
      <c r="Y152" s="179"/>
    </row>
    <row r="153" spans="1:25" ht="14.65" customHeight="1">
      <c r="A153" s="186" t="s">
        <v>213</v>
      </c>
      <c r="B153" s="186"/>
      <c r="C153">
        <v>26</v>
      </c>
      <c r="D153">
        <v>10</v>
      </c>
      <c r="E153">
        <v>26</v>
      </c>
      <c r="F153">
        <v>10</v>
      </c>
      <c r="G153">
        <v>26</v>
      </c>
      <c r="H153">
        <v>12</v>
      </c>
      <c r="I153" s="202">
        <v>22</v>
      </c>
      <c r="J153" s="165">
        <v>5</v>
      </c>
      <c r="K153" s="165">
        <v>25.097488372093022</v>
      </c>
      <c r="L153" s="179">
        <v>8.1208931703981211</v>
      </c>
      <c r="M153" s="165"/>
      <c r="N153" s="179"/>
      <c r="O153" s="202"/>
      <c r="P153" s="202"/>
      <c r="Q153" s="202"/>
      <c r="R153" s="165"/>
      <c r="S153" s="165"/>
      <c r="T153" s="165"/>
      <c r="U153" s="201"/>
      <c r="V153" s="166"/>
      <c r="W153" s="166"/>
      <c r="X153" s="179"/>
      <c r="Y153" s="179"/>
    </row>
    <row r="154" spans="1:25" ht="14.65" customHeight="1">
      <c r="A154" s="186" t="s">
        <v>92</v>
      </c>
      <c r="B154" s="186"/>
      <c r="C154">
        <v>28</v>
      </c>
      <c r="D154">
        <v>14</v>
      </c>
      <c r="E154">
        <v>21</v>
      </c>
      <c r="F154">
        <v>12</v>
      </c>
      <c r="G154">
        <v>17</v>
      </c>
      <c r="H154">
        <v>10</v>
      </c>
      <c r="I154" s="202">
        <v>18</v>
      </c>
      <c r="J154" s="165">
        <v>4</v>
      </c>
      <c r="K154" s="165">
        <v>20.890525610980916</v>
      </c>
      <c r="L154" s="179">
        <v>9.1441911740864441</v>
      </c>
      <c r="M154" s="165"/>
      <c r="N154" s="179"/>
      <c r="O154" s="202"/>
      <c r="P154" s="202"/>
      <c r="Q154" s="202"/>
      <c r="R154" s="165"/>
      <c r="S154" s="165"/>
      <c r="T154" s="165"/>
      <c r="U154" s="201"/>
      <c r="V154" s="166"/>
      <c r="W154" s="166"/>
      <c r="X154" s="179"/>
      <c r="Y154" s="179"/>
    </row>
    <row r="155" spans="1:25" ht="14.65" customHeight="1">
      <c r="A155" s="186" t="s">
        <v>235</v>
      </c>
      <c r="B155" s="186"/>
      <c r="C155">
        <v>32</v>
      </c>
      <c r="D155">
        <v>18</v>
      </c>
      <c r="E155">
        <v>26</v>
      </c>
      <c r="F155">
        <v>19</v>
      </c>
      <c r="G155">
        <v>30</v>
      </c>
      <c r="H155">
        <v>18</v>
      </c>
      <c r="I155" s="202">
        <v>30</v>
      </c>
      <c r="J155" s="165">
        <v>7</v>
      </c>
      <c r="K155" s="165">
        <v>29.533082118038564</v>
      </c>
      <c r="L155" s="179">
        <v>12.599985981635943</v>
      </c>
      <c r="M155" s="165"/>
      <c r="N155" s="179"/>
      <c r="O155" s="202"/>
      <c r="P155" s="202"/>
      <c r="Q155" s="202"/>
      <c r="R155" s="165"/>
      <c r="S155" s="165"/>
      <c r="T155" s="165"/>
      <c r="U155" s="201"/>
      <c r="V155" s="166"/>
      <c r="W155" s="166"/>
      <c r="X155" s="179"/>
      <c r="Y155" s="179"/>
    </row>
    <row r="156" spans="1:25" ht="14.65" customHeight="1">
      <c r="A156" s="186" t="s">
        <v>272</v>
      </c>
      <c r="B156" s="186"/>
      <c r="C156">
        <v>21</v>
      </c>
      <c r="D156">
        <v>18</v>
      </c>
      <c r="E156">
        <v>23</v>
      </c>
      <c r="F156">
        <v>18</v>
      </c>
      <c r="G156">
        <v>22</v>
      </c>
      <c r="H156">
        <v>19</v>
      </c>
      <c r="I156" s="202">
        <v>22</v>
      </c>
      <c r="J156" s="165">
        <v>7</v>
      </c>
      <c r="K156" s="165">
        <v>21.880040020010004</v>
      </c>
      <c r="L156" s="179">
        <v>13.158652043494563</v>
      </c>
      <c r="M156" s="165"/>
      <c r="N156" s="179"/>
      <c r="O156" s="202"/>
      <c r="P156" s="202"/>
      <c r="Q156" s="202"/>
      <c r="R156" s="165"/>
      <c r="S156" s="165"/>
      <c r="T156" s="165"/>
      <c r="U156" s="201"/>
      <c r="V156" s="166"/>
      <c r="W156" s="166"/>
      <c r="X156" s="179"/>
      <c r="Y156" s="179"/>
    </row>
    <row r="157" spans="1:25" ht="14.65" customHeight="1">
      <c r="A157" s="186" t="s">
        <v>93</v>
      </c>
      <c r="B157" s="186"/>
      <c r="C157">
        <v>19</v>
      </c>
      <c r="D157">
        <v>7</v>
      </c>
      <c r="E157">
        <v>22</v>
      </c>
      <c r="F157">
        <v>7</v>
      </c>
      <c r="G157">
        <v>19</v>
      </c>
      <c r="H157">
        <v>7</v>
      </c>
      <c r="I157" s="202">
        <v>19</v>
      </c>
      <c r="J157" s="165">
        <v>3</v>
      </c>
      <c r="K157" s="165">
        <v>19.539809714571859</v>
      </c>
      <c r="L157" s="179">
        <v>5.341253584596477</v>
      </c>
      <c r="M157" s="165"/>
      <c r="N157" s="179"/>
      <c r="O157" s="202"/>
      <c r="P157" s="202"/>
      <c r="Q157" s="202"/>
      <c r="R157" s="165"/>
      <c r="S157" s="165"/>
      <c r="T157" s="165"/>
      <c r="U157" s="201"/>
      <c r="V157" s="166"/>
      <c r="W157" s="166"/>
      <c r="X157" s="179"/>
      <c r="Y157" s="179"/>
    </row>
    <row r="158" spans="1:25" ht="14.65" customHeight="1">
      <c r="A158" s="186" t="s">
        <v>214</v>
      </c>
      <c r="B158" s="186"/>
      <c r="C158">
        <v>16</v>
      </c>
      <c r="D158">
        <v>5</v>
      </c>
      <c r="E158">
        <v>14</v>
      </c>
      <c r="F158">
        <v>7</v>
      </c>
      <c r="G158">
        <v>14</v>
      </c>
      <c r="H158">
        <v>9</v>
      </c>
      <c r="I158" s="202">
        <v>12</v>
      </c>
      <c r="J158" s="165">
        <v>4</v>
      </c>
      <c r="K158" s="165">
        <v>13.915693084938427</v>
      </c>
      <c r="L158" s="179">
        <v>5.8029969018112491</v>
      </c>
      <c r="M158" s="165"/>
      <c r="N158" s="179"/>
      <c r="O158" s="202"/>
      <c r="P158" s="202"/>
      <c r="Q158" s="202"/>
      <c r="R158" s="165"/>
      <c r="S158" s="165"/>
      <c r="T158" s="165"/>
      <c r="U158" s="201"/>
      <c r="V158" s="166"/>
      <c r="W158" s="166"/>
      <c r="X158" s="179"/>
      <c r="Y158" s="179"/>
    </row>
    <row r="159" spans="1:25" ht="14.65" customHeight="1">
      <c r="A159" s="186" t="s">
        <v>94</v>
      </c>
      <c r="B159" s="186"/>
      <c r="C159">
        <v>27</v>
      </c>
      <c r="D159">
        <v>9</v>
      </c>
      <c r="E159">
        <v>24</v>
      </c>
      <c r="F159">
        <v>11</v>
      </c>
      <c r="G159">
        <v>24</v>
      </c>
      <c r="H159">
        <v>10</v>
      </c>
      <c r="I159" s="202">
        <v>25</v>
      </c>
      <c r="J159" s="165">
        <v>4</v>
      </c>
      <c r="K159" s="165">
        <v>25.165384615384614</v>
      </c>
      <c r="L159" s="179">
        <v>7.5318864562118124</v>
      </c>
      <c r="M159" s="165"/>
      <c r="N159" s="179"/>
      <c r="O159" s="202"/>
      <c r="P159" s="202"/>
      <c r="Q159" s="202"/>
      <c r="R159" s="165"/>
      <c r="S159" s="165"/>
      <c r="T159" s="165"/>
      <c r="U159" s="201"/>
      <c r="V159" s="166"/>
      <c r="W159" s="166"/>
      <c r="X159" s="179"/>
      <c r="Y159" s="179"/>
    </row>
    <row r="160" spans="1:25" ht="14.65" customHeight="1">
      <c r="A160" s="186" t="s">
        <v>95</v>
      </c>
      <c r="B160" s="186"/>
      <c r="C160">
        <v>16</v>
      </c>
      <c r="D160">
        <v>14</v>
      </c>
      <c r="E160">
        <v>25</v>
      </c>
      <c r="F160">
        <v>14</v>
      </c>
      <c r="G160">
        <v>25</v>
      </c>
      <c r="H160">
        <v>23</v>
      </c>
      <c r="I160" s="202">
        <v>31</v>
      </c>
      <c r="J160" s="165">
        <v>7</v>
      </c>
      <c r="K160" s="165">
        <v>24.179508196721311</v>
      </c>
      <c r="L160" s="179">
        <v>12.6431380605776</v>
      </c>
      <c r="M160" s="165"/>
      <c r="N160" s="179"/>
      <c r="O160" s="202"/>
      <c r="P160" s="202"/>
      <c r="Q160" s="202"/>
      <c r="R160" s="165"/>
      <c r="S160" s="165"/>
      <c r="T160" s="165"/>
      <c r="U160" s="202"/>
      <c r="V160" s="204"/>
      <c r="W160" s="204"/>
      <c r="X160" s="179"/>
      <c r="Y160" s="179"/>
    </row>
    <row r="161" spans="1:25" ht="14.65" customHeight="1">
      <c r="A161" s="186" t="s">
        <v>236</v>
      </c>
      <c r="B161" s="186"/>
      <c r="C161">
        <v>27</v>
      </c>
      <c r="D161">
        <v>12</v>
      </c>
      <c r="E161">
        <v>24</v>
      </c>
      <c r="F161">
        <v>10</v>
      </c>
      <c r="G161">
        <v>23</v>
      </c>
      <c r="H161">
        <v>11</v>
      </c>
      <c r="I161" s="202">
        <v>23</v>
      </c>
      <c r="J161" s="165">
        <v>7</v>
      </c>
      <c r="K161" s="165">
        <v>24.18714566376649</v>
      </c>
      <c r="L161" s="179">
        <v>9.7140704613493529</v>
      </c>
      <c r="M161" s="165"/>
      <c r="N161" s="179"/>
      <c r="O161" s="202"/>
      <c r="P161" s="202"/>
      <c r="Q161" s="202"/>
      <c r="R161" s="165"/>
      <c r="S161" s="165"/>
      <c r="T161" s="165"/>
      <c r="U161" s="201"/>
      <c r="V161" s="166"/>
      <c r="W161" s="166"/>
      <c r="X161" s="179"/>
      <c r="Y161" s="179"/>
    </row>
    <row r="162" spans="1:25" ht="14.65" customHeight="1">
      <c r="A162" s="186" t="s">
        <v>818</v>
      </c>
      <c r="B162" s="186"/>
      <c r="C162" t="s">
        <v>3</v>
      </c>
      <c r="D162" t="s">
        <v>3</v>
      </c>
      <c r="E162" t="s">
        <v>3</v>
      </c>
      <c r="F162" t="s">
        <v>3</v>
      </c>
      <c r="G162" t="s">
        <v>3</v>
      </c>
      <c r="H162" t="s">
        <v>3</v>
      </c>
      <c r="I162" s="202" t="s">
        <v>3</v>
      </c>
      <c r="J162" s="165" t="s">
        <v>3</v>
      </c>
      <c r="K162" s="165" t="s">
        <v>3</v>
      </c>
      <c r="L162" s="179" t="s">
        <v>3</v>
      </c>
      <c r="M162" s="165"/>
      <c r="N162" s="179"/>
      <c r="O162" s="202"/>
      <c r="P162" s="202"/>
      <c r="Q162" s="202"/>
      <c r="R162" s="165"/>
      <c r="S162" s="165"/>
      <c r="T162" s="165"/>
      <c r="U162" s="201"/>
      <c r="V162" s="166"/>
      <c r="W162" s="166"/>
      <c r="X162" s="179"/>
      <c r="Y162" s="179"/>
    </row>
    <row r="163" spans="1:25" ht="14.65" customHeight="1">
      <c r="A163" s="186" t="s">
        <v>273</v>
      </c>
      <c r="B163" s="186"/>
      <c r="C163">
        <v>23</v>
      </c>
      <c r="D163">
        <v>17</v>
      </c>
      <c r="E163">
        <v>22</v>
      </c>
      <c r="F163">
        <v>20</v>
      </c>
      <c r="G163">
        <v>19</v>
      </c>
      <c r="H163">
        <v>18</v>
      </c>
      <c r="I163" s="202">
        <v>23</v>
      </c>
      <c r="J163" s="165">
        <v>6</v>
      </c>
      <c r="K163" s="165">
        <v>21.738749570594297</v>
      </c>
      <c r="L163" s="179">
        <v>13.025457811893922</v>
      </c>
      <c r="M163" s="165"/>
      <c r="N163" s="179"/>
      <c r="O163" s="202"/>
      <c r="P163" s="202"/>
      <c r="Q163" s="202"/>
      <c r="R163" s="165"/>
      <c r="S163" s="165"/>
      <c r="T163" s="165"/>
      <c r="U163" s="202"/>
      <c r="V163" s="166"/>
      <c r="W163" s="166"/>
      <c r="X163" s="179"/>
      <c r="Y163" s="179"/>
    </row>
    <row r="164" spans="1:25" ht="14.65" customHeight="1">
      <c r="A164" s="186" t="s">
        <v>96</v>
      </c>
      <c r="B164" s="186"/>
      <c r="C164">
        <v>18</v>
      </c>
      <c r="D164">
        <v>10</v>
      </c>
      <c r="E164">
        <v>13</v>
      </c>
      <c r="F164">
        <v>7</v>
      </c>
      <c r="G164">
        <v>14</v>
      </c>
      <c r="H164">
        <v>10</v>
      </c>
      <c r="I164" s="202">
        <v>14</v>
      </c>
      <c r="J164" s="165">
        <v>4</v>
      </c>
      <c r="K164" s="165">
        <v>14.689123071132856</v>
      </c>
      <c r="L164" s="179">
        <v>6.6760875010436669</v>
      </c>
      <c r="M164" s="165"/>
      <c r="N164" s="179"/>
      <c r="O164" s="202"/>
      <c r="P164" s="202"/>
      <c r="Q164" s="202"/>
      <c r="R164" s="165"/>
      <c r="S164" s="165"/>
      <c r="T164" s="165"/>
      <c r="U164" s="202"/>
      <c r="V164" s="204"/>
      <c r="W164" s="204"/>
      <c r="X164" s="179"/>
      <c r="Y164" s="179"/>
    </row>
    <row r="165" spans="1:25" ht="14.65" customHeight="1">
      <c r="A165" s="187" t="s">
        <v>97</v>
      </c>
      <c r="B165" s="186"/>
      <c r="C165">
        <v>11</v>
      </c>
      <c r="D165">
        <v>12</v>
      </c>
      <c r="E165">
        <v>17</v>
      </c>
      <c r="F165">
        <v>12</v>
      </c>
      <c r="G165">
        <v>15</v>
      </c>
      <c r="H165">
        <v>10</v>
      </c>
      <c r="I165" s="202">
        <v>14</v>
      </c>
      <c r="J165" s="165">
        <v>3</v>
      </c>
      <c r="K165" s="165">
        <v>14.201248049921997</v>
      </c>
      <c r="L165" s="179">
        <v>7.8483732351135664</v>
      </c>
      <c r="M165" s="165"/>
      <c r="N165" s="179"/>
      <c r="O165" s="202"/>
      <c r="P165" s="202"/>
      <c r="Q165" s="202"/>
      <c r="R165" s="165"/>
      <c r="S165" s="165"/>
      <c r="T165" s="165"/>
      <c r="U165" s="201"/>
      <c r="V165" s="166"/>
      <c r="W165" s="166"/>
      <c r="X165" s="179"/>
      <c r="Y165" s="179"/>
    </row>
    <row r="166" spans="1:25" ht="14.65" customHeight="1">
      <c r="A166" s="186" t="s">
        <v>98</v>
      </c>
      <c r="B166" s="186"/>
      <c r="C166">
        <v>22</v>
      </c>
      <c r="D166">
        <v>9</v>
      </c>
      <c r="E166">
        <v>19</v>
      </c>
      <c r="F166">
        <v>7</v>
      </c>
      <c r="G166">
        <v>18</v>
      </c>
      <c r="H166">
        <v>9</v>
      </c>
      <c r="I166" s="202">
        <v>19</v>
      </c>
      <c r="J166" s="165">
        <v>4</v>
      </c>
      <c r="K166" s="165">
        <v>19.370912220309812</v>
      </c>
      <c r="L166" s="179">
        <v>6.2759835079883182</v>
      </c>
      <c r="M166" s="165"/>
      <c r="N166" s="179"/>
      <c r="O166" s="202"/>
      <c r="P166" s="202"/>
      <c r="Q166" s="202"/>
      <c r="R166" s="165"/>
      <c r="S166" s="165"/>
      <c r="T166" s="165"/>
      <c r="U166" s="201"/>
      <c r="V166" s="166"/>
      <c r="W166" s="166"/>
      <c r="X166" s="179"/>
      <c r="Y166" s="179"/>
    </row>
    <row r="167" spans="1:25" ht="14.65" customHeight="1">
      <c r="A167" s="186" t="s">
        <v>237</v>
      </c>
      <c r="B167" s="186"/>
      <c r="C167">
        <v>28</v>
      </c>
      <c r="D167">
        <v>15</v>
      </c>
      <c r="E167">
        <v>27</v>
      </c>
      <c r="F167">
        <v>14</v>
      </c>
      <c r="G167">
        <v>29</v>
      </c>
      <c r="H167">
        <v>17</v>
      </c>
      <c r="I167" s="202">
        <v>30</v>
      </c>
      <c r="J167" s="165">
        <v>5</v>
      </c>
      <c r="K167" s="165">
        <v>28.415308929327125</v>
      </c>
      <c r="L167" s="179">
        <v>10.180175832606368</v>
      </c>
      <c r="M167" s="165"/>
      <c r="N167" s="179"/>
      <c r="O167" s="202"/>
      <c r="P167" s="202"/>
      <c r="Q167" s="202"/>
      <c r="R167" s="165"/>
      <c r="S167" s="165"/>
      <c r="T167" s="165"/>
      <c r="U167" s="201"/>
      <c r="V167" s="166"/>
      <c r="W167" s="166"/>
      <c r="X167" s="179"/>
      <c r="Y167" s="179"/>
    </row>
    <row r="168" spans="1:25" ht="14.65" customHeight="1">
      <c r="A168" s="186" t="s">
        <v>99</v>
      </c>
      <c r="B168" s="186"/>
      <c r="C168">
        <v>29</v>
      </c>
      <c r="D168">
        <v>12</v>
      </c>
      <c r="E168">
        <v>29</v>
      </c>
      <c r="F168">
        <v>15</v>
      </c>
      <c r="G168">
        <v>29</v>
      </c>
      <c r="H168">
        <v>17</v>
      </c>
      <c r="I168" s="202">
        <v>25</v>
      </c>
      <c r="J168" s="165">
        <v>5</v>
      </c>
      <c r="K168" s="165">
        <v>27.841279420639712</v>
      </c>
      <c r="L168" s="179">
        <v>10.439509519606608</v>
      </c>
      <c r="M168" s="165"/>
      <c r="N168" s="179"/>
      <c r="O168" s="202"/>
      <c r="P168" s="202"/>
      <c r="Q168" s="202"/>
      <c r="R168" s="165"/>
      <c r="S168" s="165"/>
      <c r="T168" s="165"/>
      <c r="U168" s="201"/>
      <c r="V168" s="166"/>
      <c r="W168" s="166"/>
      <c r="X168" s="179"/>
      <c r="Y168" s="179"/>
    </row>
    <row r="169" spans="1:25" ht="14.65" customHeight="1">
      <c r="A169" s="186" t="s">
        <v>274</v>
      </c>
      <c r="B169" s="186"/>
      <c r="C169">
        <v>33</v>
      </c>
      <c r="D169">
        <v>13</v>
      </c>
      <c r="E169">
        <v>28</v>
      </c>
      <c r="F169">
        <v>15</v>
      </c>
      <c r="G169">
        <v>30</v>
      </c>
      <c r="H169">
        <v>17</v>
      </c>
      <c r="I169" s="202">
        <v>34</v>
      </c>
      <c r="J169" s="165">
        <v>6</v>
      </c>
      <c r="K169" s="165">
        <v>31.146839546191249</v>
      </c>
      <c r="L169" s="179">
        <v>11.269644475605794</v>
      </c>
      <c r="M169" s="165"/>
      <c r="N169" s="179"/>
      <c r="O169" s="202"/>
      <c r="P169" s="202"/>
      <c r="Q169" s="202"/>
      <c r="R169" s="165"/>
      <c r="S169" s="165"/>
      <c r="T169" s="165"/>
      <c r="U169" s="201"/>
      <c r="V169" s="166"/>
      <c r="W169" s="166"/>
      <c r="X169" s="179"/>
      <c r="Y169" s="179"/>
    </row>
    <row r="170" spans="1:25" ht="14.65" customHeight="1">
      <c r="A170" s="186" t="s">
        <v>100</v>
      </c>
      <c r="B170" s="186"/>
      <c r="C170">
        <v>16</v>
      </c>
      <c r="D170">
        <v>14</v>
      </c>
      <c r="E170">
        <v>14</v>
      </c>
      <c r="F170">
        <v>10</v>
      </c>
      <c r="G170">
        <v>12</v>
      </c>
      <c r="H170">
        <v>10</v>
      </c>
      <c r="I170" s="202">
        <v>12</v>
      </c>
      <c r="J170" s="165">
        <v>5</v>
      </c>
      <c r="K170" s="165">
        <v>13.605042016806722</v>
      </c>
      <c r="L170" s="179">
        <v>7.9435675373655537</v>
      </c>
      <c r="M170" s="165"/>
      <c r="N170" s="179"/>
      <c r="O170" s="202"/>
      <c r="P170" s="202"/>
      <c r="Q170" s="202"/>
      <c r="R170" s="165"/>
      <c r="S170" s="165"/>
      <c r="T170" s="165"/>
      <c r="U170" s="201"/>
      <c r="V170" s="166"/>
      <c r="W170" s="166"/>
      <c r="X170" s="179"/>
      <c r="Y170" s="179"/>
    </row>
    <row r="171" spans="1:25" ht="14.65" customHeight="1">
      <c r="A171" s="186" t="s">
        <v>101</v>
      </c>
      <c r="B171" s="186"/>
      <c r="C171">
        <v>16</v>
      </c>
      <c r="D171">
        <v>10</v>
      </c>
      <c r="E171">
        <v>20</v>
      </c>
      <c r="F171">
        <v>9</v>
      </c>
      <c r="G171">
        <v>16</v>
      </c>
      <c r="H171">
        <v>10</v>
      </c>
      <c r="I171" s="202">
        <v>23</v>
      </c>
      <c r="J171" s="165">
        <v>5</v>
      </c>
      <c r="K171" s="165">
        <v>18.797587834294703</v>
      </c>
      <c r="L171" s="179">
        <v>7.6510906543926351</v>
      </c>
      <c r="M171" s="165"/>
      <c r="N171" s="179"/>
      <c r="O171" s="202"/>
      <c r="P171" s="202"/>
      <c r="Q171" s="202"/>
      <c r="R171" s="165"/>
      <c r="S171" s="165"/>
      <c r="T171" s="165"/>
      <c r="U171" s="201"/>
      <c r="V171" s="166"/>
      <c r="W171" s="166"/>
      <c r="X171" s="179"/>
      <c r="Y171" s="179"/>
    </row>
    <row r="172" spans="1:25" ht="14.65" customHeight="1">
      <c r="A172" s="186" t="s">
        <v>215</v>
      </c>
      <c r="B172" s="186"/>
      <c r="C172">
        <v>26</v>
      </c>
      <c r="D172">
        <v>11</v>
      </c>
      <c r="E172">
        <v>34</v>
      </c>
      <c r="F172">
        <v>11</v>
      </c>
      <c r="G172">
        <v>28</v>
      </c>
      <c r="H172">
        <v>12</v>
      </c>
      <c r="I172" s="202">
        <v>36</v>
      </c>
      <c r="J172" s="165">
        <v>6</v>
      </c>
      <c r="K172" s="165">
        <v>30.588248001728235</v>
      </c>
      <c r="L172" s="179">
        <v>8.8082515330776392</v>
      </c>
      <c r="M172" s="165"/>
      <c r="N172" s="179"/>
      <c r="O172" s="202"/>
      <c r="P172" s="202"/>
      <c r="Q172" s="202"/>
      <c r="R172" s="165"/>
      <c r="S172" s="165"/>
      <c r="T172" s="165"/>
      <c r="U172" s="201"/>
      <c r="V172" s="166"/>
      <c r="W172" s="166"/>
      <c r="X172" s="179"/>
      <c r="Y172" s="179"/>
    </row>
    <row r="173" spans="1:25" ht="14.65" customHeight="1">
      <c r="A173" s="186" t="s">
        <v>102</v>
      </c>
      <c r="B173" s="186"/>
      <c r="C173">
        <v>23</v>
      </c>
      <c r="D173">
        <v>10</v>
      </c>
      <c r="E173">
        <v>18</v>
      </c>
      <c r="F173">
        <v>10</v>
      </c>
      <c r="G173">
        <v>17</v>
      </c>
      <c r="H173">
        <v>7</v>
      </c>
      <c r="I173" s="202">
        <v>17</v>
      </c>
      <c r="J173" s="165">
        <v>3</v>
      </c>
      <c r="K173" s="165">
        <v>18.684210526315791</v>
      </c>
      <c r="L173" s="179">
        <v>6.7234507897934384</v>
      </c>
      <c r="M173" s="165"/>
      <c r="N173" s="179"/>
      <c r="O173" s="202"/>
      <c r="P173" s="202"/>
      <c r="Q173" s="202"/>
      <c r="R173" s="165"/>
      <c r="S173" s="165"/>
      <c r="T173" s="165"/>
      <c r="U173" s="201"/>
      <c r="V173" s="166"/>
      <c r="W173" s="166"/>
      <c r="X173" s="179"/>
      <c r="Y173" s="179"/>
    </row>
    <row r="174" spans="1:25" ht="14.65" customHeight="1">
      <c r="A174" s="186" t="s">
        <v>103</v>
      </c>
      <c r="B174" s="186"/>
      <c r="C174">
        <v>28</v>
      </c>
      <c r="D174">
        <v>11</v>
      </c>
      <c r="E174">
        <v>23</v>
      </c>
      <c r="F174">
        <v>8</v>
      </c>
      <c r="G174">
        <v>24</v>
      </c>
      <c r="H174">
        <v>9</v>
      </c>
      <c r="I174" s="202">
        <v>23</v>
      </c>
      <c r="J174" s="165">
        <v>5</v>
      </c>
      <c r="K174" s="165">
        <v>24.344927536231886</v>
      </c>
      <c r="L174" s="179">
        <v>7.2477904808238058</v>
      </c>
      <c r="M174" s="165"/>
      <c r="N174" s="179"/>
      <c r="O174" s="202"/>
      <c r="P174" s="202"/>
      <c r="Q174" s="202"/>
      <c r="R174" s="165"/>
      <c r="S174" s="165"/>
      <c r="T174" s="165"/>
      <c r="U174" s="201"/>
      <c r="V174" s="166"/>
      <c r="W174" s="166"/>
      <c r="X174" s="179"/>
      <c r="Y174" s="179"/>
    </row>
    <row r="175" spans="1:25" ht="14.65" customHeight="1">
      <c r="A175" s="186" t="s">
        <v>104</v>
      </c>
      <c r="B175" s="186"/>
      <c r="C175">
        <v>17</v>
      </c>
      <c r="D175">
        <v>11</v>
      </c>
      <c r="E175">
        <v>16</v>
      </c>
      <c r="F175">
        <v>9</v>
      </c>
      <c r="G175">
        <v>16</v>
      </c>
      <c r="H175">
        <v>11</v>
      </c>
      <c r="I175" s="202">
        <v>17</v>
      </c>
      <c r="J175" s="165">
        <v>5</v>
      </c>
      <c r="K175" s="165">
        <v>16.485229415461973</v>
      </c>
      <c r="L175" s="179">
        <v>7.8779915736437474</v>
      </c>
      <c r="M175" s="165"/>
      <c r="N175" s="179"/>
      <c r="O175" s="202"/>
      <c r="P175" s="202"/>
      <c r="Q175" s="202"/>
      <c r="R175" s="165"/>
      <c r="S175" s="165"/>
      <c r="T175" s="165"/>
      <c r="U175" s="201"/>
      <c r="V175" s="166"/>
      <c r="W175" s="166"/>
      <c r="X175" s="179"/>
      <c r="Y175" s="179"/>
    </row>
    <row r="176" spans="1:25" ht="14.65" customHeight="1">
      <c r="A176" s="186" t="s">
        <v>275</v>
      </c>
      <c r="B176" s="186"/>
      <c r="C176">
        <v>20</v>
      </c>
      <c r="D176">
        <v>5</v>
      </c>
      <c r="E176">
        <v>23</v>
      </c>
      <c r="F176">
        <v>6</v>
      </c>
      <c r="G176">
        <v>25</v>
      </c>
      <c r="H176">
        <v>8</v>
      </c>
      <c r="I176" s="202">
        <v>16</v>
      </c>
      <c r="J176" s="165">
        <v>3</v>
      </c>
      <c r="K176" s="165">
        <v>21.061842808768489</v>
      </c>
      <c r="L176" s="179">
        <v>4.6533180933719773</v>
      </c>
      <c r="M176" s="165"/>
      <c r="N176" s="179"/>
      <c r="O176" s="202"/>
      <c r="P176" s="202"/>
      <c r="Q176" s="202"/>
      <c r="R176" s="165"/>
      <c r="S176" s="165"/>
      <c r="T176" s="165"/>
      <c r="U176" s="201"/>
      <c r="V176" s="166"/>
      <c r="W176" s="166"/>
      <c r="X176" s="179"/>
      <c r="Y176" s="179"/>
    </row>
    <row r="177" spans="1:25" ht="14.65" customHeight="1">
      <c r="A177" s="186" t="s">
        <v>276</v>
      </c>
      <c r="B177" s="186"/>
      <c r="C177">
        <v>21</v>
      </c>
      <c r="D177">
        <v>7</v>
      </c>
      <c r="E177">
        <v>24</v>
      </c>
      <c r="F177">
        <v>7</v>
      </c>
      <c r="G177">
        <v>20</v>
      </c>
      <c r="H177">
        <v>6</v>
      </c>
      <c r="I177" s="202">
        <v>15</v>
      </c>
      <c r="J177" s="165">
        <v>3</v>
      </c>
      <c r="K177" s="165">
        <v>19.920873929731325</v>
      </c>
      <c r="L177" s="179">
        <v>5.0834355276037035</v>
      </c>
      <c r="M177" s="165"/>
      <c r="N177" s="179"/>
      <c r="O177" s="202"/>
      <c r="P177" s="202"/>
      <c r="Q177" s="202"/>
      <c r="R177" s="165"/>
      <c r="S177" s="165"/>
      <c r="T177" s="165"/>
      <c r="U177" s="201"/>
      <c r="V177" s="166"/>
      <c r="W177" s="166"/>
      <c r="X177" s="179"/>
      <c r="Y177" s="179"/>
    </row>
    <row r="178" spans="1:25" ht="14.65" customHeight="1">
      <c r="A178" s="186" t="s">
        <v>105</v>
      </c>
      <c r="B178" s="186"/>
      <c r="C178">
        <v>24</v>
      </c>
      <c r="D178">
        <v>7</v>
      </c>
      <c r="E178">
        <v>19</v>
      </c>
      <c r="F178">
        <v>5</v>
      </c>
      <c r="G178">
        <v>20</v>
      </c>
      <c r="H178">
        <v>7</v>
      </c>
      <c r="I178" s="202">
        <v>22</v>
      </c>
      <c r="J178" s="165">
        <v>3</v>
      </c>
      <c r="K178" s="165">
        <v>21.31285988483685</v>
      </c>
      <c r="L178" s="179">
        <v>4.9530446169675431</v>
      </c>
      <c r="M178" s="165"/>
      <c r="N178" s="179"/>
      <c r="O178" s="202"/>
      <c r="P178" s="202"/>
      <c r="Q178" s="202"/>
      <c r="R178" s="165"/>
      <c r="S178" s="165"/>
      <c r="T178" s="165"/>
      <c r="U178" s="201"/>
      <c r="V178" s="166"/>
      <c r="W178" s="166"/>
      <c r="X178" s="179"/>
      <c r="Y178" s="179"/>
    </row>
    <row r="179" spans="1:25" ht="14.65" customHeight="1">
      <c r="A179" s="186" t="s">
        <v>106</v>
      </c>
      <c r="B179" s="186"/>
      <c r="C179">
        <v>18</v>
      </c>
      <c r="D179">
        <v>5</v>
      </c>
      <c r="E179">
        <v>17</v>
      </c>
      <c r="F179">
        <v>5</v>
      </c>
      <c r="G179">
        <v>20</v>
      </c>
      <c r="H179">
        <v>5</v>
      </c>
      <c r="I179" s="202">
        <v>18</v>
      </c>
      <c r="J179" s="165">
        <v>3</v>
      </c>
      <c r="K179" s="165">
        <v>18.022094926350245</v>
      </c>
      <c r="L179" s="179">
        <v>4.0396610336502929</v>
      </c>
      <c r="M179" s="165"/>
      <c r="N179" s="179"/>
      <c r="O179" s="202"/>
      <c r="P179" s="202"/>
      <c r="Q179" s="202"/>
      <c r="R179" s="165"/>
      <c r="S179" s="165"/>
      <c r="T179" s="165"/>
      <c r="U179" s="201"/>
      <c r="V179" s="166"/>
      <c r="W179" s="166"/>
      <c r="X179" s="179"/>
      <c r="Y179" s="179"/>
    </row>
    <row r="180" spans="1:25" ht="14.65" customHeight="1">
      <c r="A180" s="186" t="s">
        <v>349</v>
      </c>
      <c r="B180" s="186"/>
      <c r="C180">
        <v>41</v>
      </c>
      <c r="D180">
        <v>8</v>
      </c>
      <c r="E180">
        <v>40</v>
      </c>
      <c r="F180">
        <v>12</v>
      </c>
      <c r="G180">
        <v>34</v>
      </c>
      <c r="H180">
        <v>12</v>
      </c>
      <c r="I180" s="202">
        <v>24</v>
      </c>
      <c r="J180" s="165">
        <v>4</v>
      </c>
      <c r="K180" s="165">
        <v>34.340938441670254</v>
      </c>
      <c r="L180" s="179">
        <v>7.3292522955837338</v>
      </c>
      <c r="M180" s="165"/>
      <c r="N180" s="179"/>
      <c r="O180" s="202"/>
      <c r="P180" s="202"/>
      <c r="Q180" s="202"/>
      <c r="R180" s="165"/>
      <c r="S180" s="165"/>
      <c r="T180" s="165"/>
      <c r="U180" s="201"/>
      <c r="V180" s="166"/>
      <c r="W180" s="166"/>
      <c r="X180" s="179"/>
      <c r="Y180" s="179"/>
    </row>
    <row r="181" spans="1:25" ht="14.65" customHeight="1">
      <c r="A181" s="186" t="s">
        <v>238</v>
      </c>
      <c r="B181" s="186"/>
      <c r="C181">
        <v>26</v>
      </c>
      <c r="D181">
        <v>8</v>
      </c>
      <c r="E181">
        <v>30</v>
      </c>
      <c r="F181">
        <v>9</v>
      </c>
      <c r="G181">
        <v>33</v>
      </c>
      <c r="H181">
        <v>10</v>
      </c>
      <c r="I181" s="202">
        <v>37</v>
      </c>
      <c r="J181" s="165">
        <v>5</v>
      </c>
      <c r="K181" s="165">
        <v>31.773990027475325</v>
      </c>
      <c r="L181" s="179">
        <v>6.8791563074808479</v>
      </c>
      <c r="M181" s="165"/>
      <c r="N181" s="179"/>
      <c r="O181" s="202"/>
      <c r="P181" s="202"/>
      <c r="Q181" s="202"/>
      <c r="R181" s="165"/>
      <c r="S181" s="165"/>
      <c r="T181" s="165"/>
      <c r="U181" s="201"/>
      <c r="V181" s="166"/>
      <c r="W181" s="166"/>
      <c r="X181" s="179"/>
      <c r="Y181" s="179"/>
    </row>
    <row r="182" spans="1:25" ht="14.65" customHeight="1">
      <c r="A182" s="186" t="s">
        <v>107</v>
      </c>
      <c r="B182" s="186"/>
      <c r="C182">
        <v>29</v>
      </c>
      <c r="D182">
        <v>11</v>
      </c>
      <c r="E182">
        <v>38</v>
      </c>
      <c r="F182">
        <v>16</v>
      </c>
      <c r="G182">
        <v>34</v>
      </c>
      <c r="H182">
        <v>11</v>
      </c>
      <c r="I182" s="202">
        <v>28</v>
      </c>
      <c r="J182" s="165">
        <v>4</v>
      </c>
      <c r="K182" s="165">
        <v>31.952973183054802</v>
      </c>
      <c r="L182" s="179">
        <v>8.98118369006691</v>
      </c>
      <c r="M182" s="165"/>
      <c r="N182" s="179"/>
      <c r="O182" s="202"/>
      <c r="P182" s="202"/>
      <c r="Q182" s="202"/>
      <c r="R182" s="165"/>
      <c r="S182" s="165"/>
      <c r="T182" s="165"/>
      <c r="U182" s="201"/>
      <c r="V182" s="166"/>
      <c r="W182" s="166"/>
      <c r="X182" s="179"/>
      <c r="Y182" s="179"/>
    </row>
    <row r="183" spans="1:25" ht="14.65" customHeight="1">
      <c r="A183" s="186" t="s">
        <v>216</v>
      </c>
      <c r="B183" s="186"/>
      <c r="C183">
        <v>33</v>
      </c>
      <c r="D183">
        <v>11</v>
      </c>
      <c r="E183">
        <v>29</v>
      </c>
      <c r="F183">
        <v>8</v>
      </c>
      <c r="G183">
        <v>29</v>
      </c>
      <c r="H183">
        <v>8</v>
      </c>
      <c r="I183" s="202">
        <v>30</v>
      </c>
      <c r="J183" s="165">
        <v>5</v>
      </c>
      <c r="K183" s="165">
        <v>30.053167082294266</v>
      </c>
      <c r="L183" s="179">
        <v>7.5361547314103277</v>
      </c>
      <c r="M183" s="165"/>
      <c r="N183" s="179"/>
      <c r="O183" s="202"/>
      <c r="P183" s="202"/>
      <c r="Q183" s="202"/>
      <c r="R183" s="165"/>
      <c r="S183" s="165"/>
      <c r="T183" s="165"/>
      <c r="U183" s="201"/>
      <c r="V183" s="166"/>
      <c r="W183" s="166"/>
      <c r="X183" s="179"/>
      <c r="Y183" s="179"/>
    </row>
    <row r="184" spans="1:25" ht="14.65" customHeight="1">
      <c r="A184" s="186" t="s">
        <v>108</v>
      </c>
      <c r="B184" s="186"/>
      <c r="C184">
        <v>17</v>
      </c>
      <c r="D184">
        <v>5</v>
      </c>
      <c r="E184">
        <v>13</v>
      </c>
      <c r="F184">
        <v>6</v>
      </c>
      <c r="G184">
        <v>13</v>
      </c>
      <c r="H184">
        <v>9</v>
      </c>
      <c r="I184" s="202">
        <v>13</v>
      </c>
      <c r="J184" s="165">
        <v>3</v>
      </c>
      <c r="K184" s="165">
        <v>14.05104305370617</v>
      </c>
      <c r="L184" s="179">
        <v>5.0284566454636757</v>
      </c>
      <c r="M184" s="165"/>
      <c r="N184" s="179"/>
      <c r="O184" s="202"/>
      <c r="P184" s="202"/>
      <c r="Q184" s="202"/>
      <c r="R184" s="165"/>
      <c r="S184" s="165"/>
      <c r="T184" s="165"/>
      <c r="U184" s="201"/>
      <c r="V184" s="166"/>
      <c r="W184" s="166"/>
      <c r="X184" s="179"/>
      <c r="Y184" s="179"/>
    </row>
    <row r="185" spans="1:25" ht="14.65" customHeight="1">
      <c r="A185" s="186" t="s">
        <v>109</v>
      </c>
      <c r="B185" s="186"/>
      <c r="C185">
        <v>23</v>
      </c>
      <c r="D185">
        <v>11</v>
      </c>
      <c r="E185">
        <v>24</v>
      </c>
      <c r="F185">
        <v>11</v>
      </c>
      <c r="G185">
        <v>19</v>
      </c>
      <c r="H185">
        <v>12</v>
      </c>
      <c r="I185" s="202">
        <v>20</v>
      </c>
      <c r="J185" s="165">
        <v>3</v>
      </c>
      <c r="K185" s="165">
        <v>21.505859375</v>
      </c>
      <c r="L185" s="179">
        <v>7.9104083031430532</v>
      </c>
      <c r="M185" s="165"/>
      <c r="N185" s="179"/>
      <c r="O185" s="202"/>
      <c r="P185" s="202"/>
      <c r="Q185" s="202"/>
      <c r="R185" s="165"/>
      <c r="S185" s="165"/>
      <c r="T185" s="165"/>
      <c r="U185" s="201"/>
      <c r="V185" s="166"/>
      <c r="W185" s="166"/>
      <c r="X185" s="179"/>
      <c r="Y185" s="179"/>
    </row>
    <row r="186" spans="1:25" ht="14.65" customHeight="1">
      <c r="A186" s="186" t="s">
        <v>110</v>
      </c>
      <c r="B186" s="186"/>
      <c r="C186">
        <v>22</v>
      </c>
      <c r="D186">
        <v>10</v>
      </c>
      <c r="E186">
        <v>22</v>
      </c>
      <c r="F186">
        <v>12</v>
      </c>
      <c r="G186">
        <v>20</v>
      </c>
      <c r="H186">
        <v>11</v>
      </c>
      <c r="I186" s="202">
        <v>21</v>
      </c>
      <c r="J186" s="165">
        <v>3</v>
      </c>
      <c r="K186" s="165">
        <v>21.313432835820894</v>
      </c>
      <c r="L186" s="179">
        <v>7.0662689664116201</v>
      </c>
      <c r="M186" s="165"/>
      <c r="N186" s="179"/>
      <c r="O186" s="202"/>
      <c r="P186" s="202"/>
      <c r="Q186" s="202"/>
      <c r="R186" s="165"/>
      <c r="S186" s="165"/>
      <c r="T186" s="165"/>
      <c r="U186" s="201"/>
      <c r="V186" s="166"/>
      <c r="W186" s="166"/>
      <c r="X186" s="179"/>
      <c r="Y186" s="179"/>
    </row>
    <row r="187" spans="1:25" ht="14.65" customHeight="1">
      <c r="A187" s="186" t="s">
        <v>277</v>
      </c>
      <c r="B187" s="186"/>
      <c r="C187">
        <v>32</v>
      </c>
      <c r="D187">
        <v>20</v>
      </c>
      <c r="E187">
        <v>31</v>
      </c>
      <c r="F187">
        <v>15</v>
      </c>
      <c r="G187">
        <v>28</v>
      </c>
      <c r="H187">
        <v>15</v>
      </c>
      <c r="I187" s="202">
        <v>34</v>
      </c>
      <c r="J187" s="165">
        <v>7</v>
      </c>
      <c r="K187" s="165">
        <v>31.157499083241657</v>
      </c>
      <c r="L187" s="179">
        <v>12.03570506070059</v>
      </c>
      <c r="M187" s="165"/>
      <c r="N187" s="179"/>
      <c r="O187" s="202"/>
      <c r="P187" s="202"/>
      <c r="Q187" s="202"/>
      <c r="R187" s="165"/>
      <c r="S187" s="165"/>
      <c r="T187" s="165"/>
      <c r="U187" s="201"/>
      <c r="V187" s="166"/>
      <c r="W187" s="166"/>
      <c r="X187" s="179"/>
      <c r="Y187" s="179"/>
    </row>
    <row r="188" spans="1:25" ht="14.65" customHeight="1">
      <c r="A188" s="186" t="s">
        <v>111</v>
      </c>
      <c r="B188" s="186"/>
      <c r="C188">
        <v>25</v>
      </c>
      <c r="D188">
        <v>12</v>
      </c>
      <c r="E188">
        <v>28</v>
      </c>
      <c r="F188">
        <v>10</v>
      </c>
      <c r="G188">
        <v>17</v>
      </c>
      <c r="H188">
        <v>7</v>
      </c>
      <c r="I188" s="202">
        <v>19</v>
      </c>
      <c r="J188" s="165">
        <v>3</v>
      </c>
      <c r="K188" s="165">
        <v>22.720518358531319</v>
      </c>
      <c r="L188" s="179">
        <v>6.8188577811910909</v>
      </c>
      <c r="M188" s="165"/>
      <c r="N188" s="179"/>
      <c r="O188" s="202"/>
      <c r="P188" s="202"/>
      <c r="Q188" s="202"/>
      <c r="R188" s="165"/>
      <c r="S188" s="165"/>
      <c r="T188" s="165"/>
      <c r="U188" s="201"/>
      <c r="V188" s="166"/>
      <c r="W188" s="166"/>
      <c r="X188" s="179"/>
      <c r="Y188" s="179"/>
    </row>
    <row r="189" spans="1:25" ht="14.65" customHeight="1">
      <c r="A189" s="186" t="s">
        <v>112</v>
      </c>
      <c r="B189" s="186"/>
      <c r="C189">
        <v>13</v>
      </c>
      <c r="D189">
        <v>8</v>
      </c>
      <c r="E189">
        <v>11</v>
      </c>
      <c r="F189">
        <v>7</v>
      </c>
      <c r="G189">
        <v>12</v>
      </c>
      <c r="H189">
        <v>6</v>
      </c>
      <c r="I189" s="202">
        <v>10</v>
      </c>
      <c r="J189" s="165">
        <v>2</v>
      </c>
      <c r="K189" s="165">
        <v>11.515073765234124</v>
      </c>
      <c r="L189" s="179">
        <v>4.9679826270950498</v>
      </c>
      <c r="M189" s="165"/>
      <c r="N189" s="179"/>
      <c r="O189" s="202"/>
      <c r="P189" s="202"/>
      <c r="Q189" s="202"/>
      <c r="R189" s="165"/>
      <c r="S189" s="165"/>
      <c r="T189" s="165"/>
      <c r="U189" s="201"/>
      <c r="V189" s="166"/>
      <c r="W189" s="166"/>
      <c r="X189" s="179"/>
      <c r="Y189" s="179"/>
    </row>
    <row r="190" spans="1:25" ht="14.65" customHeight="1">
      <c r="A190" s="186" t="s">
        <v>278</v>
      </c>
      <c r="B190" s="186"/>
      <c r="C190">
        <v>40</v>
      </c>
      <c r="D190">
        <v>24</v>
      </c>
      <c r="E190">
        <v>37</v>
      </c>
      <c r="F190" t="s">
        <v>3</v>
      </c>
      <c r="G190">
        <v>34</v>
      </c>
      <c r="H190">
        <v>21</v>
      </c>
      <c r="I190" s="202">
        <v>36</v>
      </c>
      <c r="J190" s="165">
        <v>6</v>
      </c>
      <c r="K190" s="165">
        <v>37.026943984873554</v>
      </c>
      <c r="L190" s="179" t="s">
        <v>3</v>
      </c>
      <c r="M190" s="165"/>
      <c r="N190" s="179"/>
      <c r="O190" s="202"/>
      <c r="P190" s="202"/>
      <c r="Q190" s="202"/>
      <c r="R190" s="165"/>
      <c r="S190" s="165"/>
      <c r="T190" s="165"/>
      <c r="U190" s="201"/>
      <c r="V190" s="166"/>
      <c r="W190" s="166"/>
      <c r="X190" s="179"/>
      <c r="Y190" s="179"/>
    </row>
    <row r="191" spans="1:25" ht="14.65" customHeight="1">
      <c r="A191" s="186" t="s">
        <v>113</v>
      </c>
      <c r="B191" s="186"/>
      <c r="C191" t="s">
        <v>3</v>
      </c>
      <c r="D191" t="s">
        <v>3</v>
      </c>
      <c r="E191">
        <v>21</v>
      </c>
      <c r="F191">
        <v>20</v>
      </c>
      <c r="G191">
        <v>20</v>
      </c>
      <c r="H191">
        <v>30</v>
      </c>
      <c r="I191" s="202">
        <v>18</v>
      </c>
      <c r="J191" s="165">
        <v>5</v>
      </c>
      <c r="K191" s="165" t="s">
        <v>3</v>
      </c>
      <c r="L191" s="179" t="s">
        <v>3</v>
      </c>
      <c r="M191" s="165"/>
      <c r="N191" s="179"/>
      <c r="O191" s="202"/>
      <c r="P191" s="202"/>
      <c r="Q191" s="202"/>
      <c r="R191" s="165"/>
      <c r="S191" s="165"/>
      <c r="T191" s="165"/>
      <c r="U191" s="201"/>
      <c r="V191" s="166"/>
      <c r="W191" s="166"/>
      <c r="X191" s="179"/>
      <c r="Y191" s="179"/>
    </row>
    <row r="192" spans="1:25" ht="14.65" customHeight="1">
      <c r="A192" s="186" t="s">
        <v>279</v>
      </c>
      <c r="B192" s="186"/>
      <c r="C192">
        <v>21</v>
      </c>
      <c r="D192">
        <v>7</v>
      </c>
      <c r="E192">
        <v>21</v>
      </c>
      <c r="F192">
        <v>7</v>
      </c>
      <c r="G192">
        <v>20</v>
      </c>
      <c r="H192">
        <v>8</v>
      </c>
      <c r="I192" s="202">
        <v>21</v>
      </c>
      <c r="J192" s="165">
        <v>3</v>
      </c>
      <c r="K192" s="165">
        <v>20.484228684080829</v>
      </c>
      <c r="L192" s="179">
        <v>5.1375173050299958</v>
      </c>
      <c r="M192" s="165"/>
      <c r="N192" s="179"/>
      <c r="O192" s="202"/>
      <c r="P192" s="202"/>
      <c r="Q192" s="202"/>
      <c r="R192" s="165"/>
      <c r="S192" s="165"/>
      <c r="T192" s="165"/>
      <c r="U192" s="201"/>
      <c r="V192" s="166"/>
      <c r="W192" s="166"/>
      <c r="X192" s="179"/>
      <c r="Y192" s="179"/>
    </row>
    <row r="193" spans="1:196" ht="14.65" customHeight="1">
      <c r="A193" s="186" t="s">
        <v>239</v>
      </c>
      <c r="B193" s="186"/>
      <c r="C193">
        <v>22</v>
      </c>
      <c r="D193">
        <v>19</v>
      </c>
      <c r="E193">
        <v>27</v>
      </c>
      <c r="F193">
        <v>18</v>
      </c>
      <c r="G193">
        <v>20</v>
      </c>
      <c r="H193">
        <v>9</v>
      </c>
      <c r="I193" s="202">
        <v>25</v>
      </c>
      <c r="J193" s="165">
        <v>4</v>
      </c>
      <c r="K193" s="165">
        <v>23.679027355623099</v>
      </c>
      <c r="L193" s="179">
        <v>9.8923141814447355</v>
      </c>
      <c r="M193" s="165"/>
      <c r="N193" s="179"/>
      <c r="O193" s="202"/>
      <c r="P193" s="202"/>
      <c r="Q193" s="202"/>
      <c r="R193" s="165"/>
      <c r="S193" s="165"/>
      <c r="T193" s="165"/>
      <c r="U193" s="201"/>
      <c r="V193" s="166"/>
      <c r="W193" s="166"/>
      <c r="X193" s="179"/>
      <c r="Y193" s="179"/>
    </row>
    <row r="194" spans="1:196" ht="14.65" customHeight="1">
      <c r="A194" s="186" t="s">
        <v>114</v>
      </c>
      <c r="B194" s="186"/>
      <c r="C194">
        <v>19</v>
      </c>
      <c r="D194">
        <v>7</v>
      </c>
      <c r="E194">
        <v>17</v>
      </c>
      <c r="F194">
        <v>7</v>
      </c>
      <c r="G194">
        <v>19</v>
      </c>
      <c r="H194">
        <v>6</v>
      </c>
      <c r="I194" s="202">
        <v>22</v>
      </c>
      <c r="J194" s="165">
        <v>3</v>
      </c>
      <c r="K194" s="165">
        <v>19.290640394088669</v>
      </c>
      <c r="L194" s="179">
        <v>5.3113094690346925</v>
      </c>
      <c r="M194" s="165"/>
      <c r="N194" s="179"/>
      <c r="O194" s="202"/>
      <c r="P194" s="202"/>
      <c r="Q194" s="202"/>
      <c r="R194" s="165"/>
      <c r="S194" s="165"/>
      <c r="T194" s="165"/>
      <c r="U194" s="201"/>
      <c r="V194" s="166"/>
      <c r="W194" s="166"/>
      <c r="X194" s="179"/>
      <c r="Y194" s="179"/>
    </row>
    <row r="195" spans="1:196" ht="14.65" customHeight="1">
      <c r="A195" s="186" t="s">
        <v>115</v>
      </c>
      <c r="B195" s="186"/>
      <c r="C195">
        <v>23</v>
      </c>
      <c r="D195">
        <v>14</v>
      </c>
      <c r="E195">
        <v>19</v>
      </c>
      <c r="F195">
        <v>10</v>
      </c>
      <c r="G195">
        <v>16</v>
      </c>
      <c r="H195">
        <v>9</v>
      </c>
      <c r="I195" s="202">
        <v>18</v>
      </c>
      <c r="J195" s="165">
        <v>3</v>
      </c>
      <c r="K195" s="165">
        <v>18.900338983050847</v>
      </c>
      <c r="L195" s="179">
        <v>7.1450692109173382</v>
      </c>
      <c r="M195" s="165"/>
      <c r="N195" s="179"/>
      <c r="O195" s="202"/>
      <c r="P195" s="202"/>
      <c r="Q195" s="202"/>
      <c r="R195" s="165"/>
      <c r="S195" s="165"/>
      <c r="T195" s="165"/>
      <c r="U195" s="201"/>
      <c r="V195" s="166"/>
      <c r="W195" s="166"/>
      <c r="X195" s="179"/>
      <c r="Y195" s="179"/>
    </row>
    <row r="196" spans="1:196" ht="14.65" customHeight="1">
      <c r="A196" s="186" t="s">
        <v>116</v>
      </c>
      <c r="B196" s="186"/>
      <c r="C196">
        <v>28</v>
      </c>
      <c r="D196">
        <v>13</v>
      </c>
      <c r="E196">
        <v>28</v>
      </c>
      <c r="F196">
        <v>9</v>
      </c>
      <c r="G196">
        <v>25</v>
      </c>
      <c r="H196">
        <v>13</v>
      </c>
      <c r="I196" s="202">
        <v>24</v>
      </c>
      <c r="J196" s="165">
        <v>5</v>
      </c>
      <c r="K196" s="165">
        <v>26.378275290215587</v>
      </c>
      <c r="L196" s="179">
        <v>8.5021167029981353</v>
      </c>
      <c r="M196" s="165"/>
      <c r="N196" s="179"/>
      <c r="O196" s="202"/>
      <c r="P196" s="202"/>
      <c r="Q196" s="202"/>
      <c r="R196" s="165"/>
      <c r="S196" s="165"/>
      <c r="T196" s="199"/>
      <c r="U196" s="201"/>
      <c r="V196" s="166"/>
      <c r="W196" s="166"/>
      <c r="X196" s="179"/>
      <c r="Y196" s="179"/>
    </row>
    <row r="197" spans="1:196" ht="14.65" customHeight="1">
      <c r="A197" s="186" t="s">
        <v>323</v>
      </c>
      <c r="B197" s="186"/>
      <c r="C197">
        <v>20</v>
      </c>
      <c r="D197">
        <v>11</v>
      </c>
      <c r="E197">
        <v>20</v>
      </c>
      <c r="F197">
        <v>10</v>
      </c>
      <c r="G197">
        <v>16</v>
      </c>
      <c r="H197">
        <v>8</v>
      </c>
      <c r="I197" s="202">
        <v>15</v>
      </c>
      <c r="J197" s="165">
        <v>3</v>
      </c>
      <c r="K197" s="165">
        <v>17.588345323741006</v>
      </c>
      <c r="L197" s="179">
        <v>6.2896981916703423</v>
      </c>
      <c r="M197" s="165"/>
      <c r="N197" s="179"/>
      <c r="O197" s="202"/>
      <c r="P197" s="202"/>
      <c r="Q197" s="202"/>
      <c r="R197" s="165"/>
      <c r="S197" s="165"/>
      <c r="T197" s="165"/>
      <c r="U197" s="201"/>
      <c r="V197" s="166"/>
      <c r="W197" s="166"/>
      <c r="X197" s="179"/>
      <c r="Y197" s="179"/>
    </row>
    <row r="198" spans="1:196" ht="14.65" customHeight="1">
      <c r="A198" s="186" t="s">
        <v>117</v>
      </c>
      <c r="B198" s="186"/>
      <c r="C198">
        <v>42</v>
      </c>
      <c r="D198">
        <v>16</v>
      </c>
      <c r="E198">
        <v>32</v>
      </c>
      <c r="F198">
        <v>25</v>
      </c>
      <c r="G198">
        <v>20</v>
      </c>
      <c r="H198">
        <v>12</v>
      </c>
      <c r="I198" s="202">
        <v>22</v>
      </c>
      <c r="J198" s="165">
        <v>7</v>
      </c>
      <c r="K198" s="165">
        <v>28.942553969996339</v>
      </c>
      <c r="L198" s="179">
        <v>13.44885164494103</v>
      </c>
      <c r="M198" s="165"/>
      <c r="N198" s="179"/>
      <c r="O198" s="202"/>
      <c r="P198" s="202"/>
      <c r="Q198" s="202"/>
      <c r="R198" s="165"/>
      <c r="S198" s="165"/>
      <c r="T198" s="165"/>
      <c r="U198" s="202"/>
      <c r="V198" s="204"/>
      <c r="W198" s="204"/>
      <c r="X198" s="179"/>
      <c r="Y198" s="179"/>
    </row>
    <row r="199" spans="1:196" ht="14.65" customHeight="1">
      <c r="A199" s="186" t="s">
        <v>280</v>
      </c>
      <c r="B199" s="186"/>
      <c r="C199">
        <v>50</v>
      </c>
      <c r="D199">
        <v>26</v>
      </c>
      <c r="E199">
        <v>44</v>
      </c>
      <c r="F199">
        <v>25</v>
      </c>
      <c r="G199">
        <v>35</v>
      </c>
      <c r="H199">
        <v>17</v>
      </c>
      <c r="I199" s="201">
        <v>34</v>
      </c>
      <c r="J199" s="199">
        <v>7</v>
      </c>
      <c r="K199" s="199">
        <v>40.626253710984514</v>
      </c>
      <c r="L199" s="179">
        <v>15.352243080645559</v>
      </c>
      <c r="M199" s="199"/>
      <c r="N199" s="179"/>
      <c r="O199" s="201"/>
      <c r="P199" s="201"/>
      <c r="Q199" s="201"/>
      <c r="R199" s="199"/>
      <c r="S199" s="199"/>
      <c r="T199" s="199"/>
      <c r="U199" s="201"/>
      <c r="V199" s="166"/>
      <c r="W199" s="166"/>
      <c r="X199" s="179"/>
      <c r="Y199" s="179"/>
    </row>
    <row r="200" spans="1:196" ht="14.65" customHeight="1">
      <c r="A200" s="186" t="s">
        <v>350</v>
      </c>
      <c r="B200" s="186"/>
      <c r="C200">
        <v>18</v>
      </c>
      <c r="D200">
        <v>11</v>
      </c>
      <c r="E200">
        <v>16</v>
      </c>
      <c r="F200">
        <v>12</v>
      </c>
      <c r="G200">
        <v>14</v>
      </c>
      <c r="H200">
        <v>9</v>
      </c>
      <c r="I200" s="202">
        <v>18</v>
      </c>
      <c r="J200" s="165">
        <v>4</v>
      </c>
      <c r="K200" s="165">
        <v>16.63574351978172</v>
      </c>
      <c r="L200" s="179">
        <v>7.3195143849787252</v>
      </c>
      <c r="M200" s="165"/>
      <c r="N200" s="179"/>
      <c r="O200" s="202"/>
      <c r="P200" s="202"/>
      <c r="Q200" s="202"/>
      <c r="R200" s="165"/>
      <c r="S200" s="165"/>
      <c r="T200" s="165"/>
      <c r="U200" s="202"/>
      <c r="V200" s="204"/>
      <c r="W200" s="204"/>
      <c r="X200" s="179"/>
      <c r="Y200" s="179"/>
    </row>
    <row r="201" spans="1:196" ht="14.65" customHeight="1">
      <c r="A201" s="186" t="s">
        <v>351</v>
      </c>
      <c r="B201" s="186"/>
      <c r="C201">
        <v>14</v>
      </c>
      <c r="D201">
        <v>7</v>
      </c>
      <c r="E201">
        <v>15</v>
      </c>
      <c r="F201">
        <v>7</v>
      </c>
      <c r="G201">
        <v>14</v>
      </c>
      <c r="H201">
        <v>8</v>
      </c>
      <c r="I201" s="202">
        <v>14</v>
      </c>
      <c r="J201" s="165">
        <v>3</v>
      </c>
      <c r="K201" s="165">
        <v>14.244034707158351</v>
      </c>
      <c r="L201" s="179">
        <v>5.5815371525808279</v>
      </c>
      <c r="M201" s="165"/>
      <c r="N201" s="179"/>
      <c r="O201" s="202"/>
      <c r="P201" s="202"/>
      <c r="Q201" s="202"/>
      <c r="R201" s="165"/>
      <c r="S201" s="165"/>
      <c r="T201" s="165"/>
      <c r="U201" s="201"/>
      <c r="V201" s="166"/>
      <c r="W201" s="166"/>
      <c r="X201" s="179"/>
      <c r="Y201" s="179"/>
    </row>
    <row r="202" spans="1:196" ht="14.65" customHeight="1">
      <c r="A202" s="186" t="s">
        <v>240</v>
      </c>
      <c r="B202" s="186"/>
      <c r="C202">
        <v>28</v>
      </c>
      <c r="D202">
        <v>7</v>
      </c>
      <c r="E202">
        <v>24</v>
      </c>
      <c r="F202">
        <v>7</v>
      </c>
      <c r="G202">
        <v>30</v>
      </c>
      <c r="H202">
        <v>10</v>
      </c>
      <c r="I202" s="202">
        <v>29</v>
      </c>
      <c r="J202" s="165">
        <v>5</v>
      </c>
      <c r="K202" s="165">
        <v>27.769850595937552</v>
      </c>
      <c r="L202" s="179">
        <v>6.8471926616505288</v>
      </c>
      <c r="M202" s="165"/>
      <c r="N202" s="179"/>
      <c r="O202" s="202"/>
      <c r="P202" s="202"/>
      <c r="Q202" s="202"/>
      <c r="R202" s="165"/>
      <c r="S202" s="165"/>
      <c r="T202" s="165"/>
      <c r="U202" s="201"/>
      <c r="V202" s="166"/>
      <c r="W202" s="166"/>
      <c r="X202" s="179"/>
      <c r="Y202" s="179"/>
    </row>
    <row r="203" spans="1:196" ht="14.65" customHeight="1">
      <c r="A203" s="186" t="s">
        <v>118</v>
      </c>
      <c r="B203" s="186"/>
      <c r="C203">
        <v>24</v>
      </c>
      <c r="D203">
        <v>14</v>
      </c>
      <c r="E203">
        <v>18</v>
      </c>
      <c r="F203">
        <v>10</v>
      </c>
      <c r="G203">
        <v>14</v>
      </c>
      <c r="H203">
        <v>9</v>
      </c>
      <c r="I203" s="202">
        <v>13</v>
      </c>
      <c r="J203" s="165">
        <v>4</v>
      </c>
      <c r="K203" s="165">
        <v>17.977641653905053</v>
      </c>
      <c r="L203" s="179">
        <v>8.1518984120521178</v>
      </c>
      <c r="M203" s="165"/>
      <c r="N203" s="179"/>
      <c r="O203" s="202"/>
      <c r="P203" s="202"/>
      <c r="Q203" s="202"/>
      <c r="R203" s="165"/>
      <c r="S203" s="165"/>
      <c r="T203" s="165"/>
      <c r="U203" s="201"/>
      <c r="V203" s="166"/>
      <c r="W203" s="166"/>
      <c r="X203" s="179"/>
      <c r="Y203" s="179"/>
    </row>
    <row r="204" spans="1:196" ht="14.65" customHeight="1">
      <c r="A204" s="186" t="s">
        <v>119</v>
      </c>
      <c r="B204" s="186"/>
      <c r="C204">
        <v>18</v>
      </c>
      <c r="D204">
        <v>8</v>
      </c>
      <c r="E204">
        <v>27</v>
      </c>
      <c r="F204">
        <v>8</v>
      </c>
      <c r="G204">
        <v>30</v>
      </c>
      <c r="H204">
        <v>11</v>
      </c>
      <c r="I204" s="202">
        <v>24</v>
      </c>
      <c r="J204" s="165">
        <v>4</v>
      </c>
      <c r="K204" s="165">
        <v>25.066330814441645</v>
      </c>
      <c r="L204" s="179">
        <v>6.87052</v>
      </c>
      <c r="M204" s="165"/>
      <c r="N204" s="179"/>
      <c r="O204" s="202"/>
      <c r="P204" s="202"/>
      <c r="Q204" s="202"/>
      <c r="R204" s="165"/>
      <c r="S204" s="165"/>
      <c r="T204" s="165"/>
      <c r="U204" s="201"/>
      <c r="V204" s="166"/>
      <c r="W204" s="166"/>
      <c r="X204" s="179"/>
      <c r="Y204" s="179"/>
    </row>
    <row r="205" spans="1:196" ht="14.65" customHeight="1">
      <c r="A205" s="186" t="s">
        <v>281</v>
      </c>
      <c r="B205" s="186"/>
      <c r="C205">
        <v>38</v>
      </c>
      <c r="D205">
        <v>28</v>
      </c>
      <c r="E205">
        <v>32</v>
      </c>
      <c r="F205">
        <v>37</v>
      </c>
      <c r="G205">
        <v>27</v>
      </c>
      <c r="H205">
        <v>40</v>
      </c>
      <c r="I205" s="202">
        <v>34</v>
      </c>
      <c r="J205" s="165">
        <v>12</v>
      </c>
      <c r="K205" s="165">
        <v>32.726662299377658</v>
      </c>
      <c r="L205" s="179">
        <v>22.69448711814038</v>
      </c>
      <c r="M205" s="165"/>
      <c r="N205" s="179"/>
      <c r="O205" s="202"/>
      <c r="P205" s="202"/>
      <c r="Q205" s="202"/>
      <c r="R205" s="165"/>
      <c r="S205" s="165"/>
      <c r="T205" s="165"/>
      <c r="U205" s="202"/>
      <c r="V205" s="204"/>
      <c r="W205" s="204"/>
      <c r="X205" s="179"/>
      <c r="Y205" s="179"/>
    </row>
    <row r="206" spans="1:196" ht="14.65" customHeight="1">
      <c r="A206" s="186" t="s">
        <v>282</v>
      </c>
      <c r="B206" s="186"/>
      <c r="C206">
        <v>14</v>
      </c>
      <c r="D206">
        <v>11</v>
      </c>
      <c r="E206">
        <v>12</v>
      </c>
      <c r="F206">
        <v>9</v>
      </c>
      <c r="G206">
        <v>10</v>
      </c>
      <c r="H206">
        <v>9</v>
      </c>
      <c r="I206" s="202">
        <v>17</v>
      </c>
      <c r="J206" s="165">
        <v>5</v>
      </c>
      <c r="K206" s="165">
        <v>13.210231067183118</v>
      </c>
      <c r="L206" s="179">
        <v>7.5532974790982506</v>
      </c>
      <c r="M206" s="165"/>
      <c r="N206" s="179"/>
      <c r="O206" s="202"/>
      <c r="P206" s="202"/>
      <c r="Q206" s="202"/>
      <c r="R206" s="165"/>
      <c r="S206" s="165"/>
      <c r="T206" s="165"/>
      <c r="U206" s="201"/>
      <c r="V206" s="166"/>
      <c r="W206" s="166"/>
      <c r="X206" s="179"/>
      <c r="Y206" s="179"/>
    </row>
    <row r="207" spans="1:196" ht="14.65" customHeight="1">
      <c r="A207" s="226" t="s">
        <v>283</v>
      </c>
      <c r="B207" s="226"/>
      <c r="C207">
        <v>20</v>
      </c>
      <c r="D207">
        <v>15</v>
      </c>
      <c r="E207">
        <v>20</v>
      </c>
      <c r="F207">
        <v>17</v>
      </c>
      <c r="G207">
        <v>23</v>
      </c>
      <c r="H207">
        <v>16</v>
      </c>
      <c r="I207" s="202">
        <v>20</v>
      </c>
      <c r="J207" s="165">
        <v>4</v>
      </c>
      <c r="K207" s="165">
        <v>20.732318104906938</v>
      </c>
      <c r="L207" s="179">
        <v>10.787436662234521</v>
      </c>
      <c r="M207" s="165"/>
      <c r="N207" s="179"/>
      <c r="O207" s="202"/>
      <c r="P207" s="202"/>
      <c r="Q207" s="202"/>
      <c r="R207" s="165"/>
      <c r="S207" s="165"/>
      <c r="T207" s="165"/>
      <c r="U207" s="201"/>
      <c r="V207" s="166"/>
      <c r="W207" s="166"/>
      <c r="X207" s="179"/>
      <c r="Y207" s="179"/>
    </row>
    <row r="208" spans="1:196" s="230" customFormat="1" ht="11.25" customHeight="1">
      <c r="A208" s="227" t="s">
        <v>284</v>
      </c>
      <c r="B208" s="227"/>
      <c r="C208">
        <v>31</v>
      </c>
      <c r="D208">
        <v>14</v>
      </c>
      <c r="E208">
        <v>30</v>
      </c>
      <c r="F208">
        <v>12</v>
      </c>
      <c r="G208">
        <v>27</v>
      </c>
      <c r="H208">
        <v>11</v>
      </c>
      <c r="I208" s="228">
        <v>29</v>
      </c>
      <c r="J208" s="228">
        <v>5</v>
      </c>
      <c r="K208" s="228">
        <v>29.316905444126075</v>
      </c>
      <c r="L208" s="228">
        <v>9.3762941993656792</v>
      </c>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20</v>
      </c>
      <c r="D209">
        <v>16</v>
      </c>
      <c r="E209">
        <v>22</v>
      </c>
      <c r="F209">
        <v>12</v>
      </c>
      <c r="G209">
        <v>15</v>
      </c>
      <c r="H209">
        <v>12</v>
      </c>
      <c r="I209" s="202">
        <v>16</v>
      </c>
      <c r="J209" s="165">
        <v>4</v>
      </c>
      <c r="K209" s="165">
        <v>18.213059386434001</v>
      </c>
      <c r="L209" s="179">
        <v>9.2943856742289057</v>
      </c>
      <c r="M209" s="165"/>
      <c r="N209" s="179"/>
      <c r="O209" s="202"/>
      <c r="P209" s="202"/>
      <c r="Q209" s="202"/>
      <c r="R209" s="165"/>
      <c r="S209" s="165"/>
      <c r="T209" s="165"/>
      <c r="U209" s="201"/>
      <c r="V209" s="166"/>
      <c r="W209" s="166"/>
      <c r="X209" s="179"/>
      <c r="Y209" s="179"/>
    </row>
    <row r="210" spans="1:25" ht="14.65" customHeight="1">
      <c r="A210" s="197" t="s">
        <v>121</v>
      </c>
      <c r="B210" s="247"/>
      <c r="C210">
        <v>29</v>
      </c>
      <c r="D210">
        <v>10</v>
      </c>
      <c r="E210">
        <v>19</v>
      </c>
      <c r="F210">
        <v>9</v>
      </c>
      <c r="G210">
        <v>21</v>
      </c>
      <c r="H210">
        <v>9</v>
      </c>
      <c r="I210" s="202">
        <v>29</v>
      </c>
      <c r="J210" s="165">
        <v>5</v>
      </c>
      <c r="K210" s="165">
        <v>24.586764705882352</v>
      </c>
      <c r="L210" s="179">
        <v>7.2417544265709983</v>
      </c>
      <c r="M210" s="165"/>
      <c r="N210" s="179"/>
      <c r="O210" s="202"/>
      <c r="P210" s="202"/>
      <c r="Q210" s="202"/>
      <c r="R210" s="165"/>
      <c r="S210" s="165"/>
      <c r="T210" s="165"/>
      <c r="U210" s="201"/>
      <c r="V210" s="166"/>
      <c r="W210" s="166"/>
      <c r="X210" s="179"/>
      <c r="Y210" s="179"/>
    </row>
    <row r="211" spans="1:25" ht="14.65" customHeight="1">
      <c r="A211" s="163" t="s">
        <v>285</v>
      </c>
      <c r="B211" s="247"/>
      <c r="C211">
        <v>21</v>
      </c>
      <c r="D211">
        <v>16</v>
      </c>
      <c r="E211">
        <v>18</v>
      </c>
      <c r="F211">
        <v>17</v>
      </c>
      <c r="G211">
        <v>15</v>
      </c>
      <c r="H211">
        <v>14</v>
      </c>
      <c r="I211" s="202">
        <v>16</v>
      </c>
      <c r="J211" s="165">
        <v>6</v>
      </c>
      <c r="K211" s="165">
        <v>17.339617834394904</v>
      </c>
      <c r="L211" s="179">
        <v>11.990735682915638</v>
      </c>
      <c r="M211" s="165"/>
      <c r="N211" s="179"/>
      <c r="O211" s="202"/>
      <c r="P211" s="202"/>
      <c r="Q211" s="202"/>
      <c r="R211" s="165"/>
      <c r="S211" s="165"/>
      <c r="T211" s="165"/>
      <c r="U211" s="201"/>
      <c r="V211" s="166"/>
      <c r="W211" s="166"/>
      <c r="X211" s="179"/>
      <c r="Y211" s="179"/>
    </row>
    <row r="212" spans="1:25" ht="14.65" customHeight="1">
      <c r="A212" s="163" t="s">
        <v>217</v>
      </c>
      <c r="B212" s="247"/>
      <c r="C212">
        <v>27</v>
      </c>
      <c r="D212">
        <v>5</v>
      </c>
      <c r="E212">
        <v>28</v>
      </c>
      <c r="F212">
        <v>5</v>
      </c>
      <c r="G212">
        <v>26</v>
      </c>
      <c r="H212">
        <v>6</v>
      </c>
      <c r="I212" s="202">
        <v>27</v>
      </c>
      <c r="J212" s="165">
        <v>3</v>
      </c>
      <c r="K212" s="165">
        <v>26.919437340153454</v>
      </c>
      <c r="L212" s="179">
        <v>4.5181465418854145</v>
      </c>
      <c r="M212" s="165"/>
      <c r="N212" s="179"/>
      <c r="O212" s="202"/>
      <c r="P212" s="202"/>
      <c r="Q212" s="202"/>
      <c r="R212" s="165"/>
      <c r="S212" s="165"/>
      <c r="T212" s="165"/>
      <c r="U212" s="202"/>
      <c r="V212" s="204"/>
      <c r="W212" s="204"/>
      <c r="X212" s="179"/>
      <c r="Y212" s="179"/>
    </row>
    <row r="213" spans="1:25" ht="14.65" customHeight="1">
      <c r="A213" s="163" t="s">
        <v>817</v>
      </c>
      <c r="B213" s="247"/>
      <c r="C213">
        <v>26</v>
      </c>
      <c r="D213">
        <v>11</v>
      </c>
      <c r="E213">
        <v>25</v>
      </c>
      <c r="F213">
        <v>9</v>
      </c>
      <c r="G213">
        <v>27</v>
      </c>
      <c r="H213">
        <v>13</v>
      </c>
      <c r="I213" s="202">
        <v>21</v>
      </c>
      <c r="J213" s="165">
        <v>4</v>
      </c>
      <c r="K213" s="165">
        <v>24.365638766519822</v>
      </c>
      <c r="L213" s="179">
        <v>7.9200881466017163</v>
      </c>
      <c r="M213" s="165"/>
      <c r="N213" s="179"/>
      <c r="O213" s="202"/>
      <c r="P213" s="202"/>
      <c r="Q213" s="202"/>
      <c r="R213" s="165"/>
      <c r="S213" s="165"/>
      <c r="T213" s="165"/>
      <c r="U213" s="201"/>
      <c r="V213" s="166"/>
      <c r="W213" s="166"/>
      <c r="X213" s="179"/>
      <c r="Y213" s="179"/>
    </row>
    <row r="214" spans="1:25" ht="14.65" customHeight="1">
      <c r="A214" s="163" t="s">
        <v>122</v>
      </c>
      <c r="B214" s="247"/>
      <c r="C214">
        <v>11</v>
      </c>
      <c r="D214">
        <v>6</v>
      </c>
      <c r="E214">
        <v>18</v>
      </c>
      <c r="F214">
        <v>6</v>
      </c>
      <c r="G214">
        <v>14</v>
      </c>
      <c r="H214">
        <v>7</v>
      </c>
      <c r="I214" s="202">
        <v>16</v>
      </c>
      <c r="J214" s="165">
        <v>3</v>
      </c>
      <c r="K214" s="165">
        <v>14.181267662494953</v>
      </c>
      <c r="L214" s="179">
        <v>4.591202399345633</v>
      </c>
      <c r="M214" s="165"/>
      <c r="N214" s="179"/>
      <c r="O214" s="202"/>
      <c r="P214" s="202"/>
      <c r="Q214" s="202"/>
      <c r="R214" s="165"/>
      <c r="S214" s="165"/>
      <c r="T214" s="165"/>
      <c r="U214" s="201"/>
      <c r="V214" s="166"/>
      <c r="W214" s="166"/>
      <c r="X214" s="179"/>
      <c r="Y214" s="179"/>
    </row>
    <row r="215" spans="1:25" ht="14.65" customHeight="1">
      <c r="A215" s="163" t="s">
        <v>352</v>
      </c>
      <c r="B215" s="247"/>
      <c r="C215">
        <v>27</v>
      </c>
      <c r="D215">
        <v>7</v>
      </c>
      <c r="E215">
        <v>20</v>
      </c>
      <c r="F215">
        <v>6</v>
      </c>
      <c r="G215">
        <v>20</v>
      </c>
      <c r="H215">
        <v>8</v>
      </c>
      <c r="I215" s="202">
        <v>21</v>
      </c>
      <c r="J215" s="165">
        <v>3</v>
      </c>
      <c r="K215" s="165">
        <v>21.866634799235182</v>
      </c>
      <c r="L215" s="179">
        <v>5.4934971404363484</v>
      </c>
      <c r="M215" s="165"/>
      <c r="N215" s="179"/>
      <c r="O215" s="202"/>
      <c r="P215" s="202"/>
      <c r="Q215" s="202"/>
      <c r="R215" s="165"/>
      <c r="S215" s="165"/>
      <c r="T215" s="165"/>
      <c r="U215" s="202"/>
      <c r="V215" s="204"/>
      <c r="W215" s="204"/>
      <c r="X215" s="179"/>
      <c r="Y215" s="179"/>
    </row>
    <row r="216" spans="1:25" ht="14.65" customHeight="1">
      <c r="A216" s="163" t="s">
        <v>123</v>
      </c>
      <c r="B216" s="247"/>
      <c r="C216">
        <v>24</v>
      </c>
      <c r="D216">
        <v>8</v>
      </c>
      <c r="E216">
        <v>20</v>
      </c>
      <c r="F216">
        <v>7</v>
      </c>
      <c r="G216">
        <v>24</v>
      </c>
      <c r="H216">
        <v>9</v>
      </c>
      <c r="I216" s="202">
        <v>24</v>
      </c>
      <c r="J216" s="165">
        <v>6</v>
      </c>
      <c r="K216" s="165">
        <v>22.92412746585736</v>
      </c>
      <c r="L216" s="179">
        <v>6.8634482758620692</v>
      </c>
      <c r="M216" s="165"/>
      <c r="N216" s="179"/>
      <c r="O216" s="202"/>
      <c r="P216" s="202"/>
      <c r="Q216" s="202"/>
      <c r="R216" s="165"/>
      <c r="S216" s="165"/>
      <c r="T216" s="165"/>
      <c r="U216" s="201"/>
      <c r="V216" s="166"/>
      <c r="W216" s="166"/>
      <c r="X216" s="179"/>
      <c r="Y216" s="179"/>
    </row>
    <row r="217" spans="1:25" ht="14.65" customHeight="1">
      <c r="A217" s="163" t="s">
        <v>401</v>
      </c>
      <c r="B217" s="247"/>
      <c r="C217">
        <v>19</v>
      </c>
      <c r="D217">
        <v>8</v>
      </c>
      <c r="E217">
        <v>19</v>
      </c>
      <c r="F217">
        <v>9</v>
      </c>
      <c r="G217">
        <v>19</v>
      </c>
      <c r="H217">
        <v>7</v>
      </c>
      <c r="I217" s="202">
        <v>17</v>
      </c>
      <c r="J217" s="165">
        <v>4</v>
      </c>
      <c r="K217" s="165">
        <v>18.747147589252851</v>
      </c>
      <c r="L217" s="179">
        <v>6.7920499716070415</v>
      </c>
      <c r="M217" s="165"/>
      <c r="N217" s="179"/>
      <c r="O217" s="202"/>
      <c r="P217" s="202"/>
      <c r="Q217" s="202"/>
      <c r="R217" s="165"/>
      <c r="S217" s="165"/>
      <c r="T217" s="165"/>
      <c r="U217" s="201"/>
      <c r="V217" s="166"/>
      <c r="W217" s="166"/>
      <c r="X217" s="179"/>
      <c r="Y217" s="179"/>
    </row>
    <row r="218" spans="1:25" ht="14.65" customHeight="1">
      <c r="A218" s="163" t="s">
        <v>124</v>
      </c>
      <c r="B218" s="247"/>
      <c r="C218">
        <v>36</v>
      </c>
      <c r="D218">
        <v>20</v>
      </c>
      <c r="E218">
        <v>40</v>
      </c>
      <c r="F218">
        <v>21</v>
      </c>
      <c r="G218">
        <v>24</v>
      </c>
      <c r="H218">
        <v>13</v>
      </c>
      <c r="I218" s="202">
        <v>45</v>
      </c>
      <c r="J218" s="165" t="s">
        <v>3</v>
      </c>
      <c r="K218" s="165">
        <v>36.59110473457676</v>
      </c>
      <c r="L218" s="179" t="s">
        <v>3</v>
      </c>
      <c r="M218" s="165"/>
      <c r="N218" s="179"/>
      <c r="O218" s="202"/>
      <c r="P218" s="202"/>
      <c r="Q218" s="202"/>
      <c r="R218" s="165"/>
      <c r="S218" s="165"/>
      <c r="T218" s="165"/>
      <c r="U218" s="201"/>
      <c r="V218" s="166"/>
      <c r="W218" s="166"/>
      <c r="X218" s="179"/>
      <c r="Y218" s="179"/>
    </row>
    <row r="219" spans="1:25" ht="14.65" customHeight="1">
      <c r="A219" s="163" t="s">
        <v>241</v>
      </c>
      <c r="B219" s="247"/>
      <c r="C219">
        <v>23</v>
      </c>
      <c r="D219">
        <v>21</v>
      </c>
      <c r="E219">
        <v>27</v>
      </c>
      <c r="F219">
        <v>20</v>
      </c>
      <c r="G219">
        <v>27</v>
      </c>
      <c r="H219">
        <v>22</v>
      </c>
      <c r="I219" s="202">
        <v>27</v>
      </c>
      <c r="J219" s="165">
        <v>6</v>
      </c>
      <c r="K219" s="165">
        <v>25.897063322116857</v>
      </c>
      <c r="L219" s="179">
        <v>14.027802255111766</v>
      </c>
      <c r="M219" s="165"/>
      <c r="N219" s="179"/>
      <c r="O219" s="202"/>
      <c r="P219" s="202"/>
      <c r="Q219" s="202"/>
      <c r="R219" s="165"/>
      <c r="S219" s="165"/>
      <c r="T219" s="165"/>
      <c r="U219" s="201"/>
      <c r="V219" s="166"/>
      <c r="W219" s="166"/>
      <c r="X219" s="179"/>
      <c r="Y219" s="179"/>
    </row>
    <row r="220" spans="1:25" ht="14.65" customHeight="1">
      <c r="A220" s="163" t="s">
        <v>125</v>
      </c>
      <c r="B220" s="247"/>
      <c r="C220">
        <v>21</v>
      </c>
      <c r="D220">
        <v>13</v>
      </c>
      <c r="E220">
        <v>25</v>
      </c>
      <c r="F220">
        <v>14</v>
      </c>
      <c r="G220">
        <v>23</v>
      </c>
      <c r="H220">
        <v>14</v>
      </c>
      <c r="I220" s="202">
        <v>18</v>
      </c>
      <c r="J220" s="165">
        <v>3</v>
      </c>
      <c r="K220" s="165">
        <v>21.558394160583941</v>
      </c>
      <c r="L220" s="179">
        <v>9.253033472803347</v>
      </c>
      <c r="M220" s="165"/>
      <c r="N220" s="179"/>
      <c r="O220" s="202"/>
      <c r="P220" s="202"/>
      <c r="Q220" s="202"/>
      <c r="R220" s="165"/>
      <c r="S220" s="165"/>
      <c r="T220" s="165"/>
      <c r="U220" s="202"/>
      <c r="V220" s="204"/>
      <c r="W220" s="204"/>
      <c r="X220" s="179"/>
      <c r="Y220" s="179"/>
    </row>
    <row r="221" spans="1:25" ht="14.65" customHeight="1">
      <c r="A221" s="163" t="s">
        <v>126</v>
      </c>
      <c r="B221" s="247"/>
      <c r="C221">
        <v>25</v>
      </c>
      <c r="D221">
        <v>6</v>
      </c>
      <c r="E221">
        <v>26</v>
      </c>
      <c r="F221">
        <v>9</v>
      </c>
      <c r="G221">
        <v>30</v>
      </c>
      <c r="H221">
        <v>12</v>
      </c>
      <c r="I221" s="202">
        <v>24</v>
      </c>
      <c r="J221" s="165">
        <v>4</v>
      </c>
      <c r="K221" s="165">
        <v>26.411111111111111</v>
      </c>
      <c r="L221" s="179">
        <v>6.3330967741935487</v>
      </c>
      <c r="M221" s="165"/>
      <c r="N221" s="179"/>
      <c r="O221" s="202"/>
      <c r="P221" s="202"/>
      <c r="Q221" s="202"/>
      <c r="R221" s="165"/>
      <c r="S221" s="165"/>
      <c r="T221" s="165"/>
      <c r="U221" s="201"/>
      <c r="V221" s="166"/>
      <c r="W221" s="166"/>
      <c r="X221" s="179"/>
      <c r="Y221" s="179"/>
    </row>
    <row r="222" spans="1:25" ht="14.65" customHeight="1">
      <c r="A222" s="163" t="s">
        <v>127</v>
      </c>
      <c r="B222" s="247"/>
      <c r="C222">
        <v>20</v>
      </c>
      <c r="D222">
        <v>12</v>
      </c>
      <c r="E222">
        <v>21</v>
      </c>
      <c r="F222">
        <v>16</v>
      </c>
      <c r="G222">
        <v>24</v>
      </c>
      <c r="H222">
        <v>17</v>
      </c>
      <c r="I222" s="202">
        <v>31</v>
      </c>
      <c r="J222" s="165">
        <v>7</v>
      </c>
      <c r="K222" s="165">
        <v>24.436742934051143</v>
      </c>
      <c r="L222" s="179">
        <v>11.180386673151752</v>
      </c>
      <c r="M222" s="165"/>
      <c r="N222" s="179"/>
      <c r="O222" s="202"/>
      <c r="P222" s="202"/>
      <c r="Q222" s="202"/>
      <c r="R222" s="165"/>
      <c r="S222" s="165"/>
      <c r="T222" s="165"/>
      <c r="U222" s="201"/>
      <c r="V222" s="166"/>
      <c r="W222" s="166"/>
      <c r="X222" s="179"/>
      <c r="Y222" s="179"/>
    </row>
    <row r="223" spans="1:25" ht="14.65" customHeight="1">
      <c r="A223" s="163" t="s">
        <v>242</v>
      </c>
      <c r="B223" s="247"/>
      <c r="C223">
        <v>19</v>
      </c>
      <c r="D223">
        <v>8</v>
      </c>
      <c r="E223">
        <v>19</v>
      </c>
      <c r="F223">
        <v>9</v>
      </c>
      <c r="G223">
        <v>21</v>
      </c>
      <c r="H223">
        <v>10</v>
      </c>
      <c r="I223" s="202">
        <v>21</v>
      </c>
      <c r="J223" s="165">
        <v>4</v>
      </c>
      <c r="K223" s="165">
        <v>20.40758541427228</v>
      </c>
      <c r="L223" s="179">
        <v>6.6859978740733581</v>
      </c>
      <c r="M223" s="165"/>
      <c r="N223" s="179"/>
      <c r="O223" s="202"/>
      <c r="P223" s="202"/>
      <c r="Q223" s="202"/>
      <c r="R223" s="165"/>
      <c r="S223" s="165"/>
      <c r="T223" s="165"/>
      <c r="U223" s="201"/>
      <c r="V223" s="166"/>
      <c r="W223" s="166"/>
      <c r="X223" s="179"/>
      <c r="Y223" s="179"/>
    </row>
    <row r="224" spans="1:25" ht="14.65" customHeight="1">
      <c r="A224" s="163" t="s">
        <v>128</v>
      </c>
      <c r="B224" s="247"/>
      <c r="C224">
        <v>22</v>
      </c>
      <c r="D224">
        <v>11</v>
      </c>
      <c r="E224">
        <v>23</v>
      </c>
      <c r="F224">
        <v>11</v>
      </c>
      <c r="G224">
        <v>23</v>
      </c>
      <c r="H224">
        <v>13</v>
      </c>
      <c r="I224" s="202">
        <v>23</v>
      </c>
      <c r="J224" s="165">
        <v>5</v>
      </c>
      <c r="K224" s="165">
        <v>22.514661274014156</v>
      </c>
      <c r="L224" s="179">
        <v>8.8856982927511901</v>
      </c>
      <c r="M224" s="165"/>
      <c r="N224" s="179"/>
      <c r="O224" s="202"/>
      <c r="P224" s="202"/>
      <c r="Q224" s="202"/>
      <c r="R224" s="165"/>
      <c r="S224" s="165"/>
      <c r="T224" s="165"/>
      <c r="U224" s="201"/>
      <c r="V224" s="166"/>
      <c r="W224" s="166"/>
      <c r="X224" s="179"/>
      <c r="Y224" s="179"/>
    </row>
    <row r="225" spans="1:25" ht="14.65" customHeight="1">
      <c r="A225" s="163" t="s">
        <v>129</v>
      </c>
      <c r="B225" s="247"/>
      <c r="C225">
        <v>15</v>
      </c>
      <c r="D225">
        <v>3</v>
      </c>
      <c r="E225">
        <v>16</v>
      </c>
      <c r="F225">
        <v>4</v>
      </c>
      <c r="G225">
        <v>17</v>
      </c>
      <c r="H225">
        <v>4</v>
      </c>
      <c r="I225" s="202">
        <v>17</v>
      </c>
      <c r="J225" s="165">
        <v>2</v>
      </c>
      <c r="K225" s="165">
        <v>16.664435146443516</v>
      </c>
      <c r="L225" s="179">
        <v>2.9632132610774624</v>
      </c>
      <c r="M225" s="165"/>
      <c r="N225" s="179"/>
      <c r="O225" s="202"/>
      <c r="P225" s="202"/>
      <c r="Q225" s="202"/>
      <c r="R225" s="165"/>
      <c r="S225" s="165"/>
      <c r="T225" s="165"/>
      <c r="U225" s="201"/>
      <c r="V225" s="166"/>
      <c r="W225" s="166"/>
      <c r="X225" s="179"/>
      <c r="Y225" s="179"/>
    </row>
    <row r="226" spans="1:25" ht="14.65" customHeight="1">
      <c r="A226" s="163" t="s">
        <v>130</v>
      </c>
      <c r="B226" s="247"/>
      <c r="C226">
        <v>12</v>
      </c>
      <c r="D226">
        <v>4</v>
      </c>
      <c r="E226">
        <v>12</v>
      </c>
      <c r="F226">
        <v>4</v>
      </c>
      <c r="G226">
        <v>12</v>
      </c>
      <c r="H226">
        <v>5</v>
      </c>
      <c r="I226" s="202">
        <v>13</v>
      </c>
      <c r="J226" s="165">
        <v>2</v>
      </c>
      <c r="K226" s="165">
        <v>12.278296988577363</v>
      </c>
      <c r="L226" s="179">
        <v>3.466943866943867</v>
      </c>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v>4</v>
      </c>
      <c r="H227">
        <v>2</v>
      </c>
      <c r="I227" s="202">
        <v>4</v>
      </c>
      <c r="J227" s="165">
        <v>1</v>
      </c>
      <c r="K227" s="165">
        <v>4.9037656903765692</v>
      </c>
      <c r="L227" s="179">
        <v>1.4250348135540771</v>
      </c>
      <c r="M227" s="165"/>
      <c r="N227" s="179"/>
      <c r="O227" s="202"/>
      <c r="P227" s="202"/>
      <c r="Q227" s="202"/>
      <c r="R227" s="165"/>
      <c r="S227" s="165"/>
      <c r="T227" s="165"/>
      <c r="U227" s="202"/>
      <c r="V227" s="204"/>
      <c r="W227" s="204"/>
      <c r="X227" s="179"/>
      <c r="Y227" s="179"/>
    </row>
    <row r="228" spans="1:25" ht="14.65" customHeight="1">
      <c r="A228" s="163" t="s">
        <v>286</v>
      </c>
      <c r="B228" s="247"/>
      <c r="C228">
        <v>21</v>
      </c>
      <c r="D228">
        <v>8</v>
      </c>
      <c r="E228">
        <v>20</v>
      </c>
      <c r="F228">
        <v>9</v>
      </c>
      <c r="G228">
        <v>17</v>
      </c>
      <c r="H228">
        <v>9</v>
      </c>
      <c r="I228" s="202">
        <v>18</v>
      </c>
      <c r="J228" s="165">
        <v>3</v>
      </c>
      <c r="K228" s="165">
        <v>19.134564643799472</v>
      </c>
      <c r="L228" s="179">
        <v>5.6495946213169868</v>
      </c>
      <c r="M228" s="165"/>
      <c r="N228" s="179"/>
      <c r="O228" s="202"/>
      <c r="P228" s="202"/>
      <c r="Q228" s="202"/>
      <c r="R228" s="165"/>
      <c r="S228" s="165"/>
      <c r="T228" s="165"/>
      <c r="U228" s="201"/>
      <c r="V228" s="166"/>
      <c r="W228" s="166"/>
      <c r="X228" s="179"/>
      <c r="Y228" s="179"/>
    </row>
    <row r="229" spans="1:25" ht="14.65" customHeight="1">
      <c r="A229" s="163" t="s">
        <v>132</v>
      </c>
      <c r="B229" s="247"/>
      <c r="C229">
        <v>58</v>
      </c>
      <c r="D229">
        <v>11</v>
      </c>
      <c r="E229">
        <v>68</v>
      </c>
      <c r="F229">
        <v>19</v>
      </c>
      <c r="G229">
        <v>67</v>
      </c>
      <c r="H229">
        <v>16</v>
      </c>
      <c r="I229" s="202">
        <v>60</v>
      </c>
      <c r="J229" s="165">
        <v>10</v>
      </c>
      <c r="K229" s="165">
        <v>64.129761904761907</v>
      </c>
      <c r="L229" s="179">
        <v>13.754559009060673</v>
      </c>
      <c r="M229" s="165"/>
      <c r="N229" s="179"/>
      <c r="O229" s="202"/>
      <c r="P229" s="202"/>
      <c r="Q229" s="202"/>
      <c r="R229" s="165"/>
      <c r="S229" s="165"/>
      <c r="T229" s="165"/>
      <c r="U229" s="202"/>
      <c r="V229" s="204"/>
      <c r="W229" s="204"/>
      <c r="X229" s="179"/>
      <c r="Y229" s="179"/>
    </row>
    <row r="230" spans="1:25" ht="14.65" customHeight="1">
      <c r="A230" s="163" t="s">
        <v>243</v>
      </c>
      <c r="B230" s="247"/>
      <c r="C230">
        <v>30</v>
      </c>
      <c r="D230">
        <v>12</v>
      </c>
      <c r="E230">
        <v>24</v>
      </c>
      <c r="F230">
        <v>10</v>
      </c>
      <c r="G230">
        <v>21</v>
      </c>
      <c r="H230">
        <v>9</v>
      </c>
      <c r="I230" s="202">
        <v>24</v>
      </c>
      <c r="J230" s="165">
        <v>6</v>
      </c>
      <c r="K230" s="165">
        <v>25.09900276342665</v>
      </c>
      <c r="L230" s="179">
        <v>8.1890497505762969</v>
      </c>
      <c r="M230" s="165"/>
      <c r="N230" s="179"/>
      <c r="O230" s="202"/>
      <c r="P230" s="202"/>
      <c r="Q230" s="202"/>
      <c r="R230" s="165"/>
      <c r="S230" s="165"/>
      <c r="T230" s="165"/>
      <c r="U230" s="201"/>
      <c r="V230" s="166"/>
      <c r="W230" s="166"/>
      <c r="X230" s="179"/>
      <c r="Y230" s="179"/>
    </row>
    <row r="231" spans="1:25" ht="14.65" customHeight="1">
      <c r="A231" s="163" t="s">
        <v>244</v>
      </c>
      <c r="B231" s="247"/>
      <c r="C231">
        <v>24</v>
      </c>
      <c r="D231">
        <v>9</v>
      </c>
      <c r="E231">
        <v>22</v>
      </c>
      <c r="F231">
        <v>8</v>
      </c>
      <c r="G231">
        <v>23</v>
      </c>
      <c r="H231">
        <v>10</v>
      </c>
      <c r="I231" s="202">
        <v>25</v>
      </c>
      <c r="J231" s="165">
        <v>4</v>
      </c>
      <c r="K231" s="165">
        <v>23.633976366023635</v>
      </c>
      <c r="L231" s="179">
        <v>7.102816459009528</v>
      </c>
      <c r="M231" s="165"/>
      <c r="N231" s="179"/>
      <c r="O231" s="202"/>
      <c r="P231" s="202"/>
      <c r="Q231" s="202"/>
      <c r="R231" s="165"/>
      <c r="S231" s="165"/>
      <c r="T231" s="165"/>
      <c r="U231" s="202"/>
      <c r="V231" s="166"/>
      <c r="W231" s="166"/>
      <c r="X231" s="179"/>
      <c r="Y231" s="179"/>
    </row>
    <row r="232" spans="1:25" ht="14.65" customHeight="1">
      <c r="A232" s="163" t="s">
        <v>133</v>
      </c>
      <c r="B232" s="247"/>
      <c r="C232">
        <v>17</v>
      </c>
      <c r="D232">
        <v>6</v>
      </c>
      <c r="E232">
        <v>20</v>
      </c>
      <c r="F232">
        <v>8</v>
      </c>
      <c r="G232">
        <v>17</v>
      </c>
      <c r="H232">
        <v>9</v>
      </c>
      <c r="I232" s="202">
        <v>19</v>
      </c>
      <c r="J232" s="165">
        <v>4</v>
      </c>
      <c r="K232" s="165">
        <v>18.211183819155266</v>
      </c>
      <c r="L232" s="179">
        <v>6.3579752736116744</v>
      </c>
      <c r="M232" s="165"/>
      <c r="N232" s="179"/>
      <c r="O232" s="202"/>
      <c r="P232" s="202"/>
      <c r="Q232" s="202"/>
      <c r="R232" s="165"/>
      <c r="S232" s="165"/>
      <c r="T232" s="165"/>
      <c r="U232" s="201"/>
      <c r="V232" s="166"/>
      <c r="W232" s="166"/>
      <c r="X232" s="179"/>
      <c r="Y232" s="179"/>
    </row>
    <row r="233" spans="1:25" ht="14.65" customHeight="1">
      <c r="A233" s="163" t="s">
        <v>134</v>
      </c>
      <c r="B233" s="246"/>
      <c r="C233">
        <v>9</v>
      </c>
      <c r="D233">
        <v>7</v>
      </c>
      <c r="E233">
        <v>10</v>
      </c>
      <c r="F233">
        <v>6</v>
      </c>
      <c r="G233">
        <v>8</v>
      </c>
      <c r="H233">
        <v>6</v>
      </c>
      <c r="I233" s="201">
        <v>9</v>
      </c>
      <c r="J233" s="199">
        <v>3</v>
      </c>
      <c r="K233" s="199">
        <v>9.0952189634391321</v>
      </c>
      <c r="L233" s="179">
        <v>4.5784836987975046</v>
      </c>
      <c r="M233" s="199"/>
      <c r="N233" s="179"/>
      <c r="O233" s="201"/>
      <c r="P233" s="201"/>
      <c r="Q233" s="201"/>
      <c r="R233" s="199"/>
      <c r="S233" s="199"/>
      <c r="T233" s="199"/>
      <c r="U233" s="201"/>
      <c r="V233" s="166"/>
      <c r="W233" s="166"/>
      <c r="X233" s="179"/>
      <c r="Y233" s="179"/>
    </row>
    <row r="234" spans="1:25" ht="14.65" customHeight="1">
      <c r="A234" s="163" t="s">
        <v>245</v>
      </c>
      <c r="B234" s="247"/>
      <c r="C234">
        <v>22</v>
      </c>
      <c r="D234">
        <v>27</v>
      </c>
      <c r="E234">
        <v>20</v>
      </c>
      <c r="F234">
        <v>27</v>
      </c>
      <c r="G234">
        <v>27</v>
      </c>
      <c r="H234">
        <v>26</v>
      </c>
      <c r="I234" s="202">
        <v>29</v>
      </c>
      <c r="J234" s="165">
        <v>7</v>
      </c>
      <c r="K234" s="165">
        <v>24.575194537081149</v>
      </c>
      <c r="L234" s="179">
        <v>17.044834346991038</v>
      </c>
      <c r="M234" s="165"/>
      <c r="N234" s="179"/>
      <c r="O234" s="202"/>
      <c r="P234" s="202"/>
      <c r="Q234" s="202"/>
      <c r="R234" s="165"/>
      <c r="S234" s="165"/>
      <c r="T234" s="165"/>
      <c r="U234" s="202"/>
      <c r="V234" s="204"/>
      <c r="W234" s="204"/>
      <c r="X234" s="179"/>
      <c r="Y234" s="179"/>
    </row>
    <row r="235" spans="1:25" ht="14.65" customHeight="1">
      <c r="A235" s="163" t="s">
        <v>135</v>
      </c>
      <c r="B235" s="247"/>
      <c r="C235">
        <v>25</v>
      </c>
      <c r="D235">
        <v>7</v>
      </c>
      <c r="E235">
        <v>20</v>
      </c>
      <c r="F235">
        <v>6</v>
      </c>
      <c r="G235">
        <v>23</v>
      </c>
      <c r="H235">
        <v>7</v>
      </c>
      <c r="I235" s="202">
        <v>21</v>
      </c>
      <c r="J235" s="165">
        <v>3</v>
      </c>
      <c r="K235" s="165">
        <v>22.105439892545334</v>
      </c>
      <c r="L235" s="179">
        <v>5.166774089590719</v>
      </c>
      <c r="M235" s="165"/>
      <c r="N235" s="179"/>
      <c r="O235" s="202"/>
      <c r="P235" s="202"/>
      <c r="Q235" s="202"/>
      <c r="R235" s="165"/>
      <c r="S235" s="165"/>
      <c r="T235" s="165"/>
      <c r="U235" s="201"/>
      <c r="V235" s="166"/>
      <c r="W235" s="166"/>
      <c r="X235" s="179"/>
      <c r="Y235" s="179"/>
    </row>
    <row r="236" spans="1:25" ht="14.65" customHeight="1">
      <c r="A236" s="163" t="s">
        <v>136</v>
      </c>
      <c r="B236" s="247"/>
      <c r="C236">
        <v>29</v>
      </c>
      <c r="D236">
        <v>17</v>
      </c>
      <c r="E236">
        <v>26</v>
      </c>
      <c r="F236">
        <v>14</v>
      </c>
      <c r="G236">
        <v>28</v>
      </c>
      <c r="H236">
        <v>13</v>
      </c>
      <c r="I236" s="202">
        <v>31</v>
      </c>
      <c r="J236" s="165">
        <v>5</v>
      </c>
      <c r="K236" s="165">
        <v>28.421494542401344</v>
      </c>
      <c r="L236" s="179">
        <v>9.710198431010614</v>
      </c>
      <c r="M236" s="165"/>
      <c r="N236" s="179"/>
      <c r="O236" s="202"/>
      <c r="P236" s="202"/>
      <c r="Q236" s="202"/>
      <c r="R236" s="165"/>
      <c r="S236" s="165"/>
      <c r="T236" s="165"/>
      <c r="U236" s="201"/>
      <c r="V236" s="166"/>
      <c r="W236" s="166"/>
      <c r="X236" s="179"/>
      <c r="Y236" s="179"/>
    </row>
    <row r="237" spans="1:25" ht="14.65" customHeight="1">
      <c r="A237" s="163" t="s">
        <v>246</v>
      </c>
      <c r="B237" s="247"/>
      <c r="C237">
        <v>23</v>
      </c>
      <c r="D237">
        <v>19</v>
      </c>
      <c r="E237">
        <v>20</v>
      </c>
      <c r="F237">
        <v>15</v>
      </c>
      <c r="G237">
        <v>21</v>
      </c>
      <c r="H237">
        <v>15</v>
      </c>
      <c r="I237" s="202">
        <v>21</v>
      </c>
      <c r="J237" s="165">
        <v>4</v>
      </c>
      <c r="K237" s="165">
        <v>21.319092410425792</v>
      </c>
      <c r="L237" s="179">
        <v>10.227885144486502</v>
      </c>
      <c r="M237" s="165"/>
      <c r="N237" s="179"/>
      <c r="O237" s="202"/>
      <c r="P237" s="202"/>
      <c r="Q237" s="202"/>
      <c r="R237" s="165"/>
      <c r="S237" s="165"/>
      <c r="T237" s="165"/>
      <c r="U237" s="201"/>
      <c r="V237" s="166"/>
      <c r="W237" s="166"/>
      <c r="X237" s="179"/>
      <c r="Y237" s="179"/>
    </row>
    <row r="238" spans="1:25" ht="14.65" customHeight="1">
      <c r="A238" s="163" t="s">
        <v>137</v>
      </c>
      <c r="B238" s="247"/>
      <c r="C238">
        <v>12</v>
      </c>
      <c r="D238">
        <v>5</v>
      </c>
      <c r="E238">
        <v>11</v>
      </c>
      <c r="F238">
        <v>4</v>
      </c>
      <c r="G238">
        <v>13</v>
      </c>
      <c r="H238">
        <v>6</v>
      </c>
      <c r="I238" s="202">
        <v>14</v>
      </c>
      <c r="J238" s="165">
        <v>3</v>
      </c>
      <c r="K238" s="165">
        <v>12.222265778126225</v>
      </c>
      <c r="L238" s="179">
        <v>4.3933456361267913</v>
      </c>
      <c r="M238" s="165"/>
      <c r="N238" s="179"/>
      <c r="O238" s="202"/>
      <c r="P238" s="202"/>
      <c r="Q238" s="202"/>
      <c r="R238" s="165"/>
      <c r="S238" s="165"/>
      <c r="T238" s="165"/>
      <c r="U238" s="202"/>
      <c r="V238" s="204"/>
      <c r="W238" s="204"/>
      <c r="X238" s="179"/>
      <c r="Y238" s="179"/>
    </row>
    <row r="239" spans="1:25" ht="14.65" customHeight="1">
      <c r="A239" s="49" t="s">
        <v>326</v>
      </c>
      <c r="B239" s="247"/>
      <c r="C239">
        <v>40</v>
      </c>
      <c r="D239">
        <v>15</v>
      </c>
      <c r="E239">
        <v>41</v>
      </c>
      <c r="F239">
        <v>13</v>
      </c>
      <c r="G239">
        <v>39</v>
      </c>
      <c r="H239">
        <v>12</v>
      </c>
      <c r="I239" s="202">
        <v>36</v>
      </c>
      <c r="J239" s="165">
        <v>4</v>
      </c>
      <c r="K239" s="165">
        <v>39.024232295801127</v>
      </c>
      <c r="L239" s="179">
        <v>8.7791826597426059</v>
      </c>
      <c r="M239" s="165"/>
      <c r="N239" s="179"/>
      <c r="O239" s="202"/>
      <c r="P239" s="202"/>
      <c r="Q239" s="202"/>
      <c r="R239" s="165"/>
      <c r="S239" s="165"/>
      <c r="T239" s="165"/>
      <c r="U239" s="201"/>
      <c r="V239" s="166"/>
      <c r="W239" s="166"/>
      <c r="X239" s="179"/>
      <c r="Y239" s="179"/>
    </row>
    <row r="240" spans="1:25" ht="14.65" customHeight="1">
      <c r="A240" s="49" t="s">
        <v>287</v>
      </c>
      <c r="B240" s="247"/>
      <c r="C240">
        <v>23</v>
      </c>
      <c r="D240">
        <v>11</v>
      </c>
      <c r="E240">
        <v>21</v>
      </c>
      <c r="F240">
        <v>11</v>
      </c>
      <c r="G240">
        <v>18</v>
      </c>
      <c r="H240">
        <v>11</v>
      </c>
      <c r="I240" s="202">
        <v>19</v>
      </c>
      <c r="J240" s="165">
        <v>4</v>
      </c>
      <c r="K240" s="165">
        <v>20.42526864213611</v>
      </c>
      <c r="L240" s="179">
        <v>8.5039151427213362</v>
      </c>
      <c r="M240" s="165"/>
      <c r="N240" s="179"/>
      <c r="O240" s="202"/>
      <c r="P240" s="202"/>
      <c r="Q240" s="202"/>
      <c r="R240" s="165"/>
      <c r="S240" s="165"/>
      <c r="T240" s="165"/>
      <c r="U240" s="201"/>
      <c r="V240" s="166"/>
      <c r="W240" s="166"/>
      <c r="X240" s="179"/>
      <c r="Y240" s="179"/>
    </row>
    <row r="241" spans="1:25" ht="14.65" customHeight="1">
      <c r="A241" s="163" t="s">
        <v>247</v>
      </c>
      <c r="B241" s="247"/>
      <c r="C241">
        <v>28</v>
      </c>
      <c r="D241">
        <v>9</v>
      </c>
      <c r="E241">
        <v>33</v>
      </c>
      <c r="F241">
        <v>15</v>
      </c>
      <c r="G241">
        <v>24</v>
      </c>
      <c r="H241">
        <v>10</v>
      </c>
      <c r="I241" s="202">
        <v>22</v>
      </c>
      <c r="J241" s="165">
        <v>5</v>
      </c>
      <c r="K241" s="165">
        <v>26.990979381443299</v>
      </c>
      <c r="L241" s="179">
        <v>8.7330109744246123</v>
      </c>
      <c r="M241" s="165"/>
      <c r="N241" s="179"/>
      <c r="O241" s="202"/>
      <c r="P241" s="202"/>
      <c r="Q241" s="202"/>
      <c r="R241" s="165"/>
      <c r="S241" s="165"/>
      <c r="T241" s="165"/>
      <c r="U241" s="201"/>
      <c r="V241" s="166"/>
      <c r="W241" s="166"/>
      <c r="X241" s="179"/>
      <c r="Y241" s="179"/>
    </row>
    <row r="242" spans="1:25" ht="14.65" customHeight="1">
      <c r="A242" s="163" t="s">
        <v>138</v>
      </c>
      <c r="B242" s="247"/>
      <c r="C242">
        <v>13</v>
      </c>
      <c r="D242">
        <v>7</v>
      </c>
      <c r="E242">
        <v>19</v>
      </c>
      <c r="F242">
        <v>11</v>
      </c>
      <c r="G242">
        <v>18</v>
      </c>
      <c r="H242">
        <v>11</v>
      </c>
      <c r="I242" s="202">
        <v>18</v>
      </c>
      <c r="J242" s="165">
        <v>4</v>
      </c>
      <c r="K242" s="165">
        <v>17.046875</v>
      </c>
      <c r="L242" s="179">
        <v>6.9685308705318967</v>
      </c>
      <c r="M242" s="165"/>
      <c r="N242" s="179"/>
      <c r="O242" s="202"/>
      <c r="P242" s="202"/>
      <c r="Q242" s="202"/>
      <c r="R242" s="165"/>
      <c r="S242" s="165"/>
      <c r="T242" s="165"/>
      <c r="U242" s="201"/>
      <c r="V242" s="166"/>
      <c r="W242" s="166"/>
      <c r="X242" s="179"/>
      <c r="Y242" s="179"/>
    </row>
    <row r="243" spans="1:25" ht="14.65" customHeight="1">
      <c r="A243" s="163" t="s">
        <v>139</v>
      </c>
      <c r="B243" s="247"/>
      <c r="C243">
        <v>13</v>
      </c>
      <c r="D243">
        <v>11</v>
      </c>
      <c r="E243">
        <v>13</v>
      </c>
      <c r="F243">
        <v>10</v>
      </c>
      <c r="G243">
        <v>13</v>
      </c>
      <c r="H243">
        <v>11</v>
      </c>
      <c r="I243" s="202">
        <v>13</v>
      </c>
      <c r="J243" s="165">
        <v>5</v>
      </c>
      <c r="K243" s="165">
        <v>13.012174875484227</v>
      </c>
      <c r="L243" s="179">
        <v>7.7518356265811068</v>
      </c>
      <c r="M243" s="165"/>
      <c r="N243" s="179"/>
      <c r="O243" s="202"/>
      <c r="P243" s="202"/>
      <c r="Q243" s="202"/>
      <c r="R243" s="165"/>
      <c r="S243" s="165"/>
      <c r="T243" s="165"/>
      <c r="U243" s="201"/>
      <c r="V243" s="166"/>
      <c r="W243" s="166"/>
      <c r="X243" s="179"/>
      <c r="Y243" s="179"/>
    </row>
    <row r="244" spans="1:25" ht="14.65" customHeight="1">
      <c r="A244" s="163" t="s">
        <v>140</v>
      </c>
      <c r="B244" s="247"/>
      <c r="C244">
        <v>18</v>
      </c>
      <c r="D244">
        <v>15</v>
      </c>
      <c r="E244">
        <v>16</v>
      </c>
      <c r="F244">
        <v>17</v>
      </c>
      <c r="G244">
        <v>11</v>
      </c>
      <c r="H244">
        <v>15</v>
      </c>
      <c r="I244" s="202">
        <v>16</v>
      </c>
      <c r="J244" s="165">
        <v>4</v>
      </c>
      <c r="K244" s="165">
        <v>15.393894266567386</v>
      </c>
      <c r="L244" s="179">
        <v>10.725261108160737</v>
      </c>
      <c r="M244" s="165"/>
      <c r="N244" s="179"/>
      <c r="O244" s="202"/>
      <c r="P244" s="202"/>
      <c r="Q244" s="202"/>
      <c r="R244" s="165"/>
      <c r="S244" s="165"/>
      <c r="T244" s="165"/>
      <c r="U244" s="201"/>
      <c r="V244" s="166"/>
      <c r="W244" s="166"/>
      <c r="X244" s="179"/>
      <c r="Y244" s="179"/>
    </row>
    <row r="245" spans="1:25" ht="14.65" customHeight="1">
      <c r="A245" s="163" t="s">
        <v>288</v>
      </c>
      <c r="B245" s="247"/>
      <c r="C245">
        <v>35</v>
      </c>
      <c r="D245">
        <v>11</v>
      </c>
      <c r="E245">
        <v>30</v>
      </c>
      <c r="F245">
        <v>10</v>
      </c>
      <c r="G245">
        <v>33</v>
      </c>
      <c r="H245">
        <v>13</v>
      </c>
      <c r="I245" s="202">
        <v>34</v>
      </c>
      <c r="J245" s="165">
        <v>6</v>
      </c>
      <c r="K245" s="165">
        <v>32.959018603397141</v>
      </c>
      <c r="L245" s="179">
        <v>9.1667596668526663</v>
      </c>
      <c r="M245" s="165"/>
      <c r="N245" s="179"/>
      <c r="O245" s="202"/>
      <c r="P245" s="202"/>
      <c r="Q245" s="202"/>
      <c r="R245" s="165"/>
      <c r="S245" s="165"/>
      <c r="T245" s="165"/>
      <c r="U245" s="201"/>
      <c r="V245" s="166"/>
      <c r="W245" s="166"/>
      <c r="X245" s="179"/>
      <c r="Y245" s="179"/>
    </row>
    <row r="246" spans="1:25" ht="14.65" customHeight="1">
      <c r="A246" s="163" t="s">
        <v>141</v>
      </c>
      <c r="B246" s="247"/>
      <c r="C246">
        <v>35</v>
      </c>
      <c r="D246">
        <v>14</v>
      </c>
      <c r="E246">
        <v>33</v>
      </c>
      <c r="F246">
        <v>11</v>
      </c>
      <c r="G246">
        <v>25</v>
      </c>
      <c r="H246">
        <v>7</v>
      </c>
      <c r="I246" s="202">
        <v>28</v>
      </c>
      <c r="J246" s="165">
        <v>4</v>
      </c>
      <c r="K246" s="165">
        <v>29.857879234167893</v>
      </c>
      <c r="L246" s="179">
        <v>7.1255790866975515</v>
      </c>
      <c r="M246" s="165"/>
      <c r="N246" s="179"/>
      <c r="O246" s="202"/>
      <c r="P246" s="202"/>
      <c r="Q246" s="202"/>
      <c r="R246" s="165"/>
      <c r="S246" s="165"/>
      <c r="T246" s="165"/>
      <c r="U246" s="201"/>
      <c r="V246" s="166"/>
      <c r="W246" s="166"/>
      <c r="X246" s="179"/>
      <c r="Y246" s="179"/>
    </row>
    <row r="247" spans="1:25" ht="14.65" customHeight="1">
      <c r="A247" s="163" t="s">
        <v>142</v>
      </c>
      <c r="B247" s="247"/>
      <c r="C247">
        <v>19</v>
      </c>
      <c r="D247">
        <v>20</v>
      </c>
      <c r="E247">
        <v>18</v>
      </c>
      <c r="F247">
        <v>16</v>
      </c>
      <c r="G247">
        <v>22</v>
      </c>
      <c r="H247">
        <v>13</v>
      </c>
      <c r="I247" s="202">
        <v>31</v>
      </c>
      <c r="J247" s="165">
        <v>6</v>
      </c>
      <c r="K247" s="165">
        <v>22.707301173402868</v>
      </c>
      <c r="L247" s="179">
        <v>11.597382545401073</v>
      </c>
      <c r="M247" s="165"/>
      <c r="N247" s="179"/>
      <c r="O247" s="202"/>
      <c r="P247" s="202"/>
      <c r="Q247" s="202"/>
      <c r="R247" s="165"/>
      <c r="S247" s="165"/>
      <c r="T247" s="165"/>
      <c r="U247" s="201"/>
      <c r="V247" s="166"/>
      <c r="W247" s="166"/>
      <c r="X247" s="179"/>
      <c r="Y247" s="179"/>
    </row>
    <row r="248" spans="1:25" ht="14.65" customHeight="1">
      <c r="A248" s="163" t="s">
        <v>143</v>
      </c>
      <c r="B248" s="247"/>
      <c r="C248">
        <v>16</v>
      </c>
      <c r="D248">
        <v>5</v>
      </c>
      <c r="E248">
        <v>13</v>
      </c>
      <c r="F248">
        <v>5</v>
      </c>
      <c r="G248">
        <v>13</v>
      </c>
      <c r="H248">
        <v>4</v>
      </c>
      <c r="I248" s="202">
        <v>9</v>
      </c>
      <c r="J248" s="165">
        <v>2</v>
      </c>
      <c r="K248" s="165">
        <v>12.333714285714287</v>
      </c>
      <c r="L248" s="179">
        <v>3.8215256477394579</v>
      </c>
      <c r="M248" s="165"/>
      <c r="N248" s="179"/>
      <c r="O248" s="202"/>
      <c r="P248" s="202"/>
      <c r="Q248" s="202"/>
      <c r="R248" s="165"/>
      <c r="S248" s="165"/>
      <c r="T248" s="165"/>
      <c r="U248" s="201"/>
      <c r="V248" s="166"/>
      <c r="W248" s="166"/>
      <c r="X248" s="179"/>
      <c r="Y248" s="179"/>
    </row>
    <row r="249" spans="1:25" ht="14.65" customHeight="1">
      <c r="A249" s="163" t="s">
        <v>144</v>
      </c>
      <c r="B249" s="247"/>
      <c r="C249">
        <v>31</v>
      </c>
      <c r="D249">
        <v>14</v>
      </c>
      <c r="E249">
        <v>28</v>
      </c>
      <c r="F249">
        <v>9</v>
      </c>
      <c r="G249">
        <v>24</v>
      </c>
      <c r="H249">
        <v>14</v>
      </c>
      <c r="I249" s="202">
        <v>26</v>
      </c>
      <c r="J249" s="165">
        <v>7</v>
      </c>
      <c r="K249" s="165">
        <v>27.280149812734081</v>
      </c>
      <c r="L249" s="179">
        <v>9.7799246317231923</v>
      </c>
      <c r="M249" s="165"/>
      <c r="N249" s="179"/>
      <c r="O249" s="202"/>
      <c r="P249" s="202"/>
      <c r="Q249" s="202"/>
      <c r="R249" s="165"/>
      <c r="S249" s="165"/>
      <c r="T249" s="165"/>
      <c r="U249" s="201"/>
      <c r="V249" s="166"/>
      <c r="W249" s="166"/>
      <c r="X249" s="179"/>
      <c r="Y249" s="179"/>
    </row>
    <row r="250" spans="1:25" ht="14.65" customHeight="1">
      <c r="A250" s="163" t="s">
        <v>145</v>
      </c>
      <c r="B250" s="247"/>
      <c r="C250">
        <v>11</v>
      </c>
      <c r="D250">
        <v>6</v>
      </c>
      <c r="E250">
        <v>13</v>
      </c>
      <c r="F250">
        <v>5</v>
      </c>
      <c r="G250">
        <v>13</v>
      </c>
      <c r="H250">
        <v>6</v>
      </c>
      <c r="I250" s="202">
        <v>13</v>
      </c>
      <c r="J250" s="165">
        <v>2</v>
      </c>
      <c r="K250" s="165">
        <v>12.097546728971963</v>
      </c>
      <c r="L250" s="179">
        <v>4.0574549581500925</v>
      </c>
      <c r="M250" s="165"/>
      <c r="N250" s="179"/>
      <c r="O250" s="202"/>
      <c r="P250" s="202"/>
      <c r="Q250" s="202"/>
      <c r="R250" s="165"/>
      <c r="S250" s="165"/>
      <c r="T250" s="165"/>
      <c r="U250" s="201"/>
      <c r="V250" s="166"/>
      <c r="W250" s="166"/>
      <c r="X250" s="179"/>
      <c r="Y250" s="179"/>
    </row>
    <row r="251" spans="1:25" ht="14.65" customHeight="1">
      <c r="A251" s="163" t="s">
        <v>146</v>
      </c>
      <c r="B251" s="247"/>
      <c r="C251">
        <v>8</v>
      </c>
      <c r="D251">
        <v>5</v>
      </c>
      <c r="E251">
        <v>9</v>
      </c>
      <c r="F251">
        <v>4</v>
      </c>
      <c r="G251">
        <v>10</v>
      </c>
      <c r="H251">
        <v>3</v>
      </c>
      <c r="I251" s="202">
        <v>10</v>
      </c>
      <c r="J251" s="165">
        <v>2</v>
      </c>
      <c r="K251" s="165">
        <v>9.1985018726591754</v>
      </c>
      <c r="L251" s="179">
        <v>2.9200943149069949</v>
      </c>
      <c r="M251" s="165"/>
      <c r="N251" s="179"/>
      <c r="O251" s="202"/>
      <c r="P251" s="202"/>
      <c r="Q251" s="202"/>
      <c r="R251" s="165"/>
      <c r="S251" s="165"/>
      <c r="T251" s="165"/>
      <c r="U251" s="201"/>
      <c r="V251" s="166"/>
      <c r="W251" s="166"/>
      <c r="X251" s="179"/>
      <c r="Y251" s="179"/>
    </row>
    <row r="252" spans="1:25" ht="14.65" customHeight="1">
      <c r="A252" s="163" t="s">
        <v>147</v>
      </c>
      <c r="B252" s="247"/>
      <c r="C252">
        <v>10</v>
      </c>
      <c r="D252">
        <v>7</v>
      </c>
      <c r="E252">
        <v>13</v>
      </c>
      <c r="F252" t="s">
        <v>3</v>
      </c>
      <c r="G252">
        <v>16</v>
      </c>
      <c r="H252">
        <v>6</v>
      </c>
      <c r="I252" s="202">
        <v>15</v>
      </c>
      <c r="J252" s="165">
        <v>3</v>
      </c>
      <c r="K252" s="165">
        <v>13.491472868217054</v>
      </c>
      <c r="L252" s="179" t="s">
        <v>3</v>
      </c>
      <c r="M252" s="165"/>
      <c r="N252" s="179"/>
      <c r="O252" s="202"/>
      <c r="P252" s="202"/>
      <c r="Q252" s="202"/>
      <c r="R252" s="165"/>
      <c r="S252" s="165"/>
      <c r="T252" s="165"/>
      <c r="U252" s="201"/>
      <c r="V252" s="166"/>
      <c r="W252" s="166"/>
      <c r="X252" s="179"/>
      <c r="Y252" s="179"/>
    </row>
    <row r="253" spans="1:25" ht="14.65" customHeight="1">
      <c r="A253" s="163" t="s">
        <v>148</v>
      </c>
      <c r="B253" s="247"/>
      <c r="C253">
        <v>25</v>
      </c>
      <c r="D253">
        <v>13</v>
      </c>
      <c r="E253">
        <v>23</v>
      </c>
      <c r="F253">
        <v>13</v>
      </c>
      <c r="G253">
        <v>22</v>
      </c>
      <c r="H253">
        <v>11</v>
      </c>
      <c r="I253" s="202">
        <v>22</v>
      </c>
      <c r="J253" s="165">
        <v>5</v>
      </c>
      <c r="K253" s="165">
        <v>22.914007571660356</v>
      </c>
      <c r="L253" s="179">
        <v>8.818432374294165</v>
      </c>
      <c r="M253" s="165"/>
      <c r="N253" s="179"/>
      <c r="O253" s="202"/>
      <c r="P253" s="202"/>
      <c r="Q253" s="202"/>
      <c r="R253" s="165"/>
      <c r="S253" s="165"/>
      <c r="T253" s="165"/>
      <c r="U253" s="201"/>
      <c r="V253" s="166"/>
      <c r="W253" s="166"/>
      <c r="X253" s="179"/>
      <c r="Y253" s="179"/>
    </row>
    <row r="254" spans="1:25" ht="14.65" customHeight="1">
      <c r="A254" s="163" t="s">
        <v>149</v>
      </c>
      <c r="B254" s="247"/>
      <c r="C254">
        <v>51</v>
      </c>
      <c r="D254">
        <v>9</v>
      </c>
      <c r="E254">
        <v>41</v>
      </c>
      <c r="F254">
        <v>8</v>
      </c>
      <c r="G254">
        <v>32</v>
      </c>
      <c r="H254">
        <v>8</v>
      </c>
      <c r="I254" s="202">
        <v>30</v>
      </c>
      <c r="J254" s="165">
        <v>3</v>
      </c>
      <c r="K254" s="165">
        <v>38.981154651510622</v>
      </c>
      <c r="L254" s="179">
        <v>6.2872034079821031</v>
      </c>
      <c r="M254" s="165"/>
      <c r="N254" s="179"/>
      <c r="O254" s="202"/>
      <c r="P254" s="202"/>
      <c r="Q254" s="202"/>
      <c r="R254" s="165"/>
      <c r="S254" s="165"/>
      <c r="T254" s="165"/>
      <c r="U254" s="201"/>
      <c r="V254" s="166"/>
      <c r="W254" s="166"/>
      <c r="X254" s="179"/>
      <c r="Y254" s="179"/>
    </row>
    <row r="255" spans="1:25" ht="14.65" customHeight="1">
      <c r="A255" s="163" t="s">
        <v>150</v>
      </c>
      <c r="B255" s="247"/>
      <c r="C255">
        <v>14</v>
      </c>
      <c r="D255">
        <v>5</v>
      </c>
      <c r="E255">
        <v>18</v>
      </c>
      <c r="F255">
        <v>7</v>
      </c>
      <c r="G255">
        <v>13</v>
      </c>
      <c r="H255">
        <v>4</v>
      </c>
      <c r="I255" s="202">
        <v>14</v>
      </c>
      <c r="J255" s="165">
        <v>2</v>
      </c>
      <c r="K255" s="165">
        <v>14.250598563447726</v>
      </c>
      <c r="L255" s="179">
        <v>3.8480672500516779</v>
      </c>
      <c r="M255" s="165"/>
      <c r="N255" s="179"/>
      <c r="O255" s="202"/>
      <c r="P255" s="202"/>
      <c r="Q255" s="202"/>
      <c r="R255" s="165"/>
      <c r="S255" s="165"/>
      <c r="T255" s="165"/>
      <c r="U255" s="201"/>
      <c r="V255" s="166"/>
      <c r="W255" s="166"/>
      <c r="X255" s="179"/>
      <c r="Y255" s="179"/>
    </row>
    <row r="256" spans="1:25" ht="14.65" customHeight="1">
      <c r="A256" s="163" t="s">
        <v>248</v>
      </c>
      <c r="B256" s="247"/>
      <c r="C256">
        <v>29</v>
      </c>
      <c r="D256">
        <v>16</v>
      </c>
      <c r="E256">
        <v>24</v>
      </c>
      <c r="F256">
        <v>18</v>
      </c>
      <c r="G256">
        <v>22</v>
      </c>
      <c r="H256">
        <v>14</v>
      </c>
      <c r="I256" s="202">
        <v>19</v>
      </c>
      <c r="J256" s="165">
        <v>4</v>
      </c>
      <c r="K256" s="165">
        <v>23.435298852887904</v>
      </c>
      <c r="L256" s="179">
        <v>10.235200132799369</v>
      </c>
      <c r="M256" s="165"/>
      <c r="N256" s="179"/>
      <c r="O256" s="202"/>
      <c r="P256" s="202"/>
      <c r="Q256" s="202"/>
      <c r="R256" s="165"/>
      <c r="S256" s="165"/>
      <c r="T256" s="165"/>
      <c r="U256" s="201"/>
      <c r="V256" s="166"/>
      <c r="W256" s="166"/>
      <c r="X256" s="179"/>
      <c r="Y256" s="179"/>
    </row>
    <row r="257" spans="1:25" ht="14.65" customHeight="1">
      <c r="A257" s="163" t="s">
        <v>289</v>
      </c>
      <c r="B257" s="247"/>
      <c r="C257">
        <v>15</v>
      </c>
      <c r="D257">
        <v>14</v>
      </c>
      <c r="E257">
        <v>14</v>
      </c>
      <c r="F257">
        <v>7</v>
      </c>
      <c r="G257">
        <v>15</v>
      </c>
      <c r="H257">
        <v>10</v>
      </c>
      <c r="I257" s="202">
        <v>15</v>
      </c>
      <c r="J257" s="165">
        <v>4</v>
      </c>
      <c r="K257" s="165">
        <v>14.731398908558498</v>
      </c>
      <c r="L257" s="179">
        <v>7.577879049456687</v>
      </c>
      <c r="M257" s="165"/>
      <c r="N257" s="179"/>
      <c r="O257" s="202"/>
      <c r="P257" s="202"/>
      <c r="Q257" s="202"/>
      <c r="R257" s="165"/>
      <c r="S257" s="165"/>
      <c r="T257" s="165"/>
      <c r="U257" s="201"/>
      <c r="V257" s="166"/>
      <c r="W257" s="166"/>
      <c r="X257" s="179"/>
      <c r="Y257" s="179"/>
    </row>
    <row r="258" spans="1:25" ht="14.65" customHeight="1">
      <c r="A258" s="163" t="s">
        <v>290</v>
      </c>
      <c r="B258" s="247"/>
      <c r="C258">
        <v>26</v>
      </c>
      <c r="D258">
        <v>11</v>
      </c>
      <c r="E258">
        <v>16</v>
      </c>
      <c r="F258">
        <v>9</v>
      </c>
      <c r="G258">
        <v>17</v>
      </c>
      <c r="H258">
        <v>11</v>
      </c>
      <c r="I258" s="202">
        <v>26</v>
      </c>
      <c r="J258" s="165">
        <v>5</v>
      </c>
      <c r="K258" s="165">
        <v>21.172611464968153</v>
      </c>
      <c r="L258" s="179">
        <v>8.1378844321233643</v>
      </c>
      <c r="M258" s="165"/>
      <c r="N258" s="179"/>
      <c r="O258" s="202"/>
      <c r="P258" s="202"/>
      <c r="Q258" s="202"/>
      <c r="R258" s="165"/>
      <c r="S258" s="165"/>
      <c r="T258" s="165"/>
      <c r="U258" s="201"/>
      <c r="V258" s="166"/>
      <c r="W258" s="166"/>
      <c r="X258" s="179"/>
      <c r="Y258" s="179"/>
    </row>
    <row r="259" spans="1:25" ht="14.65" customHeight="1">
      <c r="A259" s="163" t="s">
        <v>218</v>
      </c>
      <c r="B259" s="247"/>
      <c r="C259">
        <v>28</v>
      </c>
      <c r="D259">
        <v>9</v>
      </c>
      <c r="E259">
        <v>24</v>
      </c>
      <c r="F259">
        <v>11</v>
      </c>
      <c r="G259">
        <v>16</v>
      </c>
      <c r="H259">
        <v>11</v>
      </c>
      <c r="I259" s="202">
        <v>17</v>
      </c>
      <c r="J259" s="165">
        <v>4</v>
      </c>
      <c r="K259" s="165">
        <v>21.56841607565012</v>
      </c>
      <c r="L259" s="179">
        <v>7.9492104923292342</v>
      </c>
      <c r="M259" s="165"/>
      <c r="N259" s="179"/>
      <c r="O259" s="202"/>
      <c r="P259" s="202"/>
      <c r="Q259" s="202"/>
      <c r="R259" s="165"/>
      <c r="S259" s="165"/>
      <c r="T259" s="165"/>
      <c r="U259" s="201"/>
      <c r="V259" s="166"/>
      <c r="W259" s="166"/>
      <c r="X259" s="179"/>
      <c r="Y259" s="179"/>
    </row>
    <row r="260" spans="1:25" ht="14.65" customHeight="1">
      <c r="A260" s="163" t="s">
        <v>151</v>
      </c>
      <c r="B260" s="247"/>
      <c r="C260">
        <v>28</v>
      </c>
      <c r="D260">
        <v>13</v>
      </c>
      <c r="E260">
        <v>28</v>
      </c>
      <c r="F260">
        <v>10</v>
      </c>
      <c r="G260">
        <v>27</v>
      </c>
      <c r="H260">
        <v>15</v>
      </c>
      <c r="I260" s="202">
        <v>24</v>
      </c>
      <c r="J260" s="165">
        <v>6</v>
      </c>
      <c r="K260" s="165">
        <v>26.499375000000001</v>
      </c>
      <c r="L260" s="179">
        <v>9.8204052098408106</v>
      </c>
      <c r="M260" s="165"/>
      <c r="N260" s="179"/>
      <c r="O260" s="202"/>
      <c r="P260" s="202"/>
      <c r="Q260" s="202"/>
      <c r="R260" s="165"/>
      <c r="S260" s="165"/>
      <c r="T260" s="165"/>
      <c r="U260" s="201"/>
      <c r="V260" s="166"/>
      <c r="W260" s="166"/>
      <c r="X260" s="179"/>
      <c r="Y260" s="179"/>
    </row>
    <row r="261" spans="1:25" ht="14.65" customHeight="1">
      <c r="A261" s="49" t="s">
        <v>152</v>
      </c>
      <c r="B261" s="247"/>
      <c r="C261">
        <v>43</v>
      </c>
      <c r="D261">
        <v>25</v>
      </c>
      <c r="E261">
        <v>39</v>
      </c>
      <c r="F261">
        <v>16</v>
      </c>
      <c r="G261">
        <v>43</v>
      </c>
      <c r="H261">
        <v>15</v>
      </c>
      <c r="I261" s="202">
        <v>30</v>
      </c>
      <c r="J261" s="165">
        <v>4</v>
      </c>
      <c r="K261" s="165">
        <v>38.936898395721926</v>
      </c>
      <c r="L261" s="179">
        <v>11.189828639683926</v>
      </c>
      <c r="M261" s="165"/>
      <c r="N261" s="179"/>
      <c r="O261" s="202"/>
      <c r="P261" s="202"/>
      <c r="Q261" s="202"/>
      <c r="R261" s="165"/>
      <c r="S261" s="165"/>
      <c r="T261" s="165"/>
      <c r="U261" s="201"/>
      <c r="V261" s="166"/>
      <c r="W261" s="166"/>
      <c r="X261" s="179"/>
      <c r="Y261" s="179"/>
    </row>
    <row r="262" spans="1:25" ht="14.65" customHeight="1">
      <c r="A262" s="163" t="s">
        <v>153</v>
      </c>
      <c r="B262" s="247"/>
      <c r="C262">
        <v>15</v>
      </c>
      <c r="D262">
        <v>6</v>
      </c>
      <c r="E262">
        <v>17</v>
      </c>
      <c r="F262">
        <v>7</v>
      </c>
      <c r="G262">
        <v>12</v>
      </c>
      <c r="H262">
        <v>5</v>
      </c>
      <c r="I262" s="202">
        <v>10</v>
      </c>
      <c r="J262" s="165">
        <v>2</v>
      </c>
      <c r="K262" s="165">
        <v>13.322951605174893</v>
      </c>
      <c r="L262" s="179">
        <v>4.329063375168551</v>
      </c>
      <c r="M262" s="165"/>
      <c r="N262" s="179"/>
      <c r="O262" s="202"/>
      <c r="P262" s="202"/>
      <c r="Q262" s="202"/>
      <c r="R262" s="165"/>
      <c r="S262" s="165"/>
      <c r="T262" s="165"/>
      <c r="U262" s="201"/>
      <c r="V262" s="166"/>
      <c r="W262" s="166"/>
      <c r="X262" s="179"/>
      <c r="Y262" s="179"/>
    </row>
    <row r="263" spans="1:25" ht="14.65" customHeight="1">
      <c r="A263" s="163" t="s">
        <v>249</v>
      </c>
      <c r="B263" s="247"/>
      <c r="C263">
        <v>25</v>
      </c>
      <c r="D263">
        <v>11</v>
      </c>
      <c r="E263">
        <v>27</v>
      </c>
      <c r="F263">
        <v>11</v>
      </c>
      <c r="G263">
        <v>28</v>
      </c>
      <c r="H263">
        <v>13</v>
      </c>
      <c r="I263" s="202">
        <v>25</v>
      </c>
      <c r="J263" s="165">
        <v>4</v>
      </c>
      <c r="K263" s="165">
        <v>26.455897126783203</v>
      </c>
      <c r="L263" s="179">
        <v>8.3501127836854945</v>
      </c>
      <c r="M263" s="165"/>
      <c r="N263" s="179"/>
      <c r="O263" s="202"/>
      <c r="P263" s="202"/>
      <c r="Q263" s="202"/>
      <c r="R263" s="165"/>
      <c r="S263" s="165"/>
      <c r="T263" s="165"/>
      <c r="U263" s="201"/>
      <c r="V263" s="166"/>
      <c r="W263" s="166"/>
      <c r="X263" s="179"/>
      <c r="Y263" s="179"/>
    </row>
    <row r="264" spans="1:25" ht="14.65" customHeight="1">
      <c r="A264" s="49" t="s">
        <v>154</v>
      </c>
      <c r="B264" s="247"/>
      <c r="C264">
        <v>19</v>
      </c>
      <c r="D264">
        <v>19</v>
      </c>
      <c r="E264">
        <v>15</v>
      </c>
      <c r="F264">
        <v>7</v>
      </c>
      <c r="G264">
        <v>11</v>
      </c>
      <c r="H264">
        <v>5</v>
      </c>
      <c r="I264" s="202">
        <v>16</v>
      </c>
      <c r="J264" s="165">
        <v>3</v>
      </c>
      <c r="K264" s="165">
        <v>15.502944640753828</v>
      </c>
      <c r="L264" s="179">
        <v>7.8723311966841774</v>
      </c>
      <c r="M264" s="165"/>
      <c r="N264" s="179"/>
      <c r="O264" s="202"/>
      <c r="P264" s="202"/>
      <c r="Q264" s="202"/>
      <c r="R264" s="165"/>
      <c r="S264" s="165"/>
      <c r="T264" s="165"/>
      <c r="U264" s="202"/>
      <c r="V264" s="204"/>
      <c r="W264" s="204"/>
      <c r="X264" s="179"/>
      <c r="Y264" s="179"/>
    </row>
    <row r="265" spans="1:25" ht="14.65" customHeight="1">
      <c r="A265" s="163" t="s">
        <v>155</v>
      </c>
      <c r="B265" s="247"/>
      <c r="C265">
        <v>26</v>
      </c>
      <c r="D265">
        <v>8</v>
      </c>
      <c r="E265">
        <v>17</v>
      </c>
      <c r="F265">
        <v>9</v>
      </c>
      <c r="G265">
        <v>19</v>
      </c>
      <c r="H265">
        <v>9</v>
      </c>
      <c r="I265" s="202">
        <v>20</v>
      </c>
      <c r="J265" s="165">
        <v>3</v>
      </c>
      <c r="K265" s="165">
        <v>20.307045215562567</v>
      </c>
      <c r="L265" s="179">
        <v>5.8687818253035644</v>
      </c>
      <c r="M265" s="165"/>
      <c r="N265" s="179"/>
      <c r="O265" s="202"/>
      <c r="P265" s="202"/>
      <c r="Q265" s="202"/>
      <c r="R265" s="165"/>
      <c r="S265" s="165"/>
      <c r="T265" s="165"/>
      <c r="U265" s="202"/>
      <c r="V265" s="204"/>
      <c r="W265" s="204"/>
      <c r="X265" s="179"/>
      <c r="Y265" s="179"/>
    </row>
    <row r="266" spans="1:25" ht="14.65" customHeight="1">
      <c r="A266" s="49" t="s">
        <v>156</v>
      </c>
      <c r="B266" s="247"/>
      <c r="C266">
        <v>44</v>
      </c>
      <c r="D266">
        <v>23</v>
      </c>
      <c r="E266">
        <v>33</v>
      </c>
      <c r="F266">
        <v>24</v>
      </c>
      <c r="G266">
        <v>26</v>
      </c>
      <c r="H266">
        <v>13</v>
      </c>
      <c r="I266" s="202">
        <v>18</v>
      </c>
      <c r="J266" s="165">
        <v>2</v>
      </c>
      <c r="K266" s="165">
        <v>30.031190926275993</v>
      </c>
      <c r="L266" s="179">
        <v>10.908317143121472</v>
      </c>
      <c r="M266" s="165"/>
      <c r="N266" s="179"/>
      <c r="O266" s="202"/>
      <c r="P266" s="202"/>
      <c r="Q266" s="202"/>
      <c r="R266" s="165"/>
      <c r="S266" s="165"/>
      <c r="T266" s="165"/>
      <c r="U266" s="201"/>
      <c r="V266" s="166"/>
      <c r="W266" s="166"/>
      <c r="X266" s="179"/>
      <c r="Y266" s="179"/>
    </row>
    <row r="267" spans="1:25" ht="14.65" customHeight="1">
      <c r="A267" s="163" t="s">
        <v>250</v>
      </c>
      <c r="B267" s="247"/>
      <c r="C267">
        <v>14</v>
      </c>
      <c r="D267">
        <v>15</v>
      </c>
      <c r="E267">
        <v>25</v>
      </c>
      <c r="F267">
        <v>12</v>
      </c>
      <c r="G267">
        <v>19</v>
      </c>
      <c r="H267">
        <v>11</v>
      </c>
      <c r="I267" s="202">
        <v>17</v>
      </c>
      <c r="J267" s="165">
        <v>3</v>
      </c>
      <c r="K267" s="165">
        <v>18.143794423182065</v>
      </c>
      <c r="L267" s="179">
        <v>7.9645177693655009</v>
      </c>
      <c r="M267" s="165"/>
      <c r="N267" s="179"/>
      <c r="O267" s="202"/>
      <c r="P267" s="202"/>
      <c r="Q267" s="202"/>
      <c r="R267" s="165"/>
      <c r="S267" s="165"/>
      <c r="T267" s="165"/>
      <c r="U267" s="201"/>
      <c r="V267" s="166"/>
      <c r="W267" s="166"/>
      <c r="X267" s="179"/>
      <c r="Y267" s="179"/>
    </row>
    <row r="268" spans="1:25" ht="14.65" customHeight="1">
      <c r="A268" s="163" t="s">
        <v>291</v>
      </c>
      <c r="B268" s="247"/>
      <c r="C268">
        <v>17</v>
      </c>
      <c r="D268">
        <v>9</v>
      </c>
      <c r="E268">
        <v>18</v>
      </c>
      <c r="F268">
        <v>10</v>
      </c>
      <c r="G268">
        <v>17</v>
      </c>
      <c r="H268">
        <v>10</v>
      </c>
      <c r="I268" s="202">
        <v>23</v>
      </c>
      <c r="J268" s="165">
        <v>4</v>
      </c>
      <c r="K268" s="165">
        <v>18.901736309864528</v>
      </c>
      <c r="L268" s="179">
        <v>6.8886995936230075</v>
      </c>
      <c r="M268" s="165"/>
      <c r="N268" s="179"/>
      <c r="O268" s="202"/>
      <c r="P268" s="202"/>
      <c r="Q268" s="202"/>
      <c r="R268" s="165"/>
      <c r="S268" s="165"/>
      <c r="T268" s="165"/>
      <c r="U268" s="201"/>
      <c r="V268" s="166"/>
      <c r="W268" s="166"/>
      <c r="X268" s="179"/>
      <c r="Y268" s="179"/>
    </row>
    <row r="269" spans="1:25" ht="14.65" customHeight="1">
      <c r="A269" s="163" t="s">
        <v>292</v>
      </c>
      <c r="B269" s="247"/>
      <c r="C269">
        <v>15</v>
      </c>
      <c r="D269">
        <v>11</v>
      </c>
      <c r="E269">
        <v>15</v>
      </c>
      <c r="F269">
        <v>15</v>
      </c>
      <c r="G269">
        <v>15</v>
      </c>
      <c r="H269">
        <v>16</v>
      </c>
      <c r="I269" s="202">
        <v>15</v>
      </c>
      <c r="J269" s="165">
        <v>4</v>
      </c>
      <c r="K269" s="165">
        <v>14.998013902681231</v>
      </c>
      <c r="L269" s="179">
        <v>9.5512518483246041</v>
      </c>
      <c r="M269" s="165"/>
      <c r="N269" s="179"/>
      <c r="O269" s="202"/>
      <c r="P269" s="202"/>
      <c r="Q269" s="202"/>
      <c r="R269" s="165"/>
      <c r="S269" s="165"/>
      <c r="T269" s="165"/>
      <c r="U269" s="202"/>
      <c r="V269" s="204"/>
      <c r="W269" s="204"/>
      <c r="X269" s="179"/>
      <c r="Y269" s="179"/>
    </row>
    <row r="270" spans="1:25" ht="14.65" customHeight="1">
      <c r="A270" s="49" t="s">
        <v>157</v>
      </c>
      <c r="B270" s="247"/>
      <c r="C270">
        <v>22</v>
      </c>
      <c r="D270">
        <v>15</v>
      </c>
      <c r="E270">
        <v>17</v>
      </c>
      <c r="F270">
        <v>10</v>
      </c>
      <c r="G270">
        <v>14</v>
      </c>
      <c r="H270">
        <v>6</v>
      </c>
      <c r="I270" s="202">
        <v>28</v>
      </c>
      <c r="J270" s="165">
        <v>4</v>
      </c>
      <c r="K270" s="165">
        <v>20.817204301075268</v>
      </c>
      <c r="L270" s="179">
        <v>7.0145889241278363</v>
      </c>
      <c r="M270" s="165"/>
      <c r="N270" s="179"/>
      <c r="O270" s="202"/>
      <c r="P270" s="202"/>
      <c r="Q270" s="202"/>
      <c r="R270" s="165"/>
      <c r="S270" s="165"/>
      <c r="T270" s="165"/>
      <c r="U270" s="201"/>
      <c r="V270" s="166"/>
      <c r="W270" s="166"/>
      <c r="X270" s="179"/>
      <c r="Y270" s="179"/>
    </row>
    <row r="271" spans="1:25" ht="14.65" customHeight="1">
      <c r="A271" s="49" t="s">
        <v>158</v>
      </c>
      <c r="B271" s="247"/>
      <c r="C271">
        <v>17</v>
      </c>
      <c r="D271">
        <v>13</v>
      </c>
      <c r="E271">
        <v>14</v>
      </c>
      <c r="F271">
        <v>6</v>
      </c>
      <c r="G271">
        <v>13</v>
      </c>
      <c r="H271">
        <v>7</v>
      </c>
      <c r="I271" s="202">
        <v>17</v>
      </c>
      <c r="J271" s="165">
        <v>3</v>
      </c>
      <c r="K271" s="165">
        <v>15.25083426028921</v>
      </c>
      <c r="L271" s="179">
        <v>6.2665420172431698</v>
      </c>
      <c r="M271" s="165"/>
      <c r="N271" s="179"/>
      <c r="O271" s="202"/>
      <c r="P271" s="202"/>
      <c r="Q271" s="202"/>
      <c r="R271" s="165"/>
      <c r="S271" s="165"/>
      <c r="T271" s="165"/>
      <c r="U271" s="202"/>
      <c r="V271" s="204"/>
      <c r="W271" s="204"/>
      <c r="X271" s="179"/>
      <c r="Y271" s="179"/>
    </row>
    <row r="272" spans="1:25" ht="14.65" customHeight="1">
      <c r="A272" s="163" t="s">
        <v>159</v>
      </c>
      <c r="B272" s="247"/>
      <c r="C272">
        <v>35</v>
      </c>
      <c r="D272">
        <v>14</v>
      </c>
      <c r="E272">
        <v>36</v>
      </c>
      <c r="F272">
        <v>9</v>
      </c>
      <c r="G272">
        <v>35</v>
      </c>
      <c r="H272">
        <v>10</v>
      </c>
      <c r="I272" s="202">
        <v>23</v>
      </c>
      <c r="J272" s="165">
        <v>3</v>
      </c>
      <c r="K272" s="165">
        <v>32.110120942075113</v>
      </c>
      <c r="L272" s="179">
        <v>8.0159323687205326</v>
      </c>
      <c r="M272" s="165"/>
      <c r="N272" s="179"/>
      <c r="O272" s="202"/>
      <c r="P272" s="202"/>
      <c r="Q272" s="202"/>
      <c r="R272" s="165"/>
      <c r="S272" s="165"/>
      <c r="T272" s="165"/>
      <c r="U272" s="201"/>
      <c r="V272" s="166"/>
      <c r="W272" s="166"/>
      <c r="X272" s="179"/>
      <c r="Y272" s="179"/>
    </row>
    <row r="273" spans="1:25" ht="14.65" customHeight="1">
      <c r="A273" s="163" t="s">
        <v>251</v>
      </c>
      <c r="B273" s="247"/>
      <c r="C273">
        <v>11</v>
      </c>
      <c r="D273">
        <v>13</v>
      </c>
      <c r="E273">
        <v>23</v>
      </c>
      <c r="F273">
        <v>10</v>
      </c>
      <c r="G273">
        <v>20</v>
      </c>
      <c r="H273">
        <v>10</v>
      </c>
      <c r="I273" s="202">
        <v>22</v>
      </c>
      <c r="J273" s="165">
        <v>4</v>
      </c>
      <c r="K273" s="165">
        <v>17.951325040562466</v>
      </c>
      <c r="L273" s="179">
        <v>7.8425277662049977</v>
      </c>
      <c r="M273" s="165"/>
      <c r="N273" s="179"/>
      <c r="O273" s="202"/>
      <c r="P273" s="202"/>
      <c r="Q273" s="202"/>
      <c r="R273" s="165"/>
      <c r="S273" s="165"/>
      <c r="T273" s="165"/>
      <c r="U273" s="201"/>
      <c r="V273" s="166"/>
      <c r="W273" s="166"/>
      <c r="X273" s="179"/>
      <c r="Y273" s="179"/>
    </row>
    <row r="274" spans="1:25" ht="14.65" customHeight="1">
      <c r="A274" s="163" t="s">
        <v>160</v>
      </c>
      <c r="B274" s="247"/>
      <c r="C274">
        <v>24</v>
      </c>
      <c r="D274">
        <v>10</v>
      </c>
      <c r="E274">
        <v>31</v>
      </c>
      <c r="F274">
        <v>13</v>
      </c>
      <c r="G274">
        <v>22</v>
      </c>
      <c r="H274">
        <v>8</v>
      </c>
      <c r="I274" s="202">
        <v>28</v>
      </c>
      <c r="J274" s="165">
        <v>5</v>
      </c>
      <c r="K274" s="165">
        <v>26.435438265786992</v>
      </c>
      <c r="L274" s="179">
        <v>8.1869023471457556</v>
      </c>
      <c r="M274" s="165"/>
      <c r="N274" s="179"/>
      <c r="O274" s="202"/>
      <c r="P274" s="202"/>
      <c r="Q274" s="202"/>
      <c r="R274" s="165"/>
      <c r="S274" s="165"/>
      <c r="T274" s="165"/>
      <c r="U274" s="201"/>
      <c r="V274" s="166"/>
      <c r="W274" s="166"/>
      <c r="X274" s="179"/>
      <c r="Y274" s="179"/>
    </row>
    <row r="275" spans="1:25" ht="14.65" customHeight="1">
      <c r="A275" s="163" t="s">
        <v>219</v>
      </c>
      <c r="B275" s="247"/>
      <c r="C275">
        <v>18</v>
      </c>
      <c r="D275">
        <v>7</v>
      </c>
      <c r="E275">
        <v>16</v>
      </c>
      <c r="F275">
        <v>8</v>
      </c>
      <c r="G275">
        <v>16</v>
      </c>
      <c r="H275">
        <v>9</v>
      </c>
      <c r="I275" s="202">
        <v>17</v>
      </c>
      <c r="J275" s="165">
        <v>4</v>
      </c>
      <c r="K275" s="165">
        <v>16.663941605839415</v>
      </c>
      <c r="L275" s="179">
        <v>6.0541734638390432</v>
      </c>
      <c r="M275" s="165"/>
      <c r="N275" s="179"/>
      <c r="O275" s="202"/>
      <c r="P275" s="202"/>
      <c r="Q275" s="202"/>
      <c r="R275" s="165"/>
      <c r="S275" s="165"/>
      <c r="T275" s="165"/>
      <c r="U275" s="201"/>
      <c r="V275" s="166"/>
      <c r="W275" s="166"/>
      <c r="X275" s="179"/>
      <c r="Y275" s="179"/>
    </row>
    <row r="276" spans="1:25" ht="14.65" customHeight="1">
      <c r="A276" s="163" t="s">
        <v>161</v>
      </c>
      <c r="B276" s="247"/>
      <c r="C276">
        <v>23</v>
      </c>
      <c r="D276">
        <v>12</v>
      </c>
      <c r="E276">
        <v>17</v>
      </c>
      <c r="F276">
        <v>8</v>
      </c>
      <c r="G276">
        <v>18</v>
      </c>
      <c r="H276">
        <v>7</v>
      </c>
      <c r="I276" s="202">
        <v>16</v>
      </c>
      <c r="J276" s="165">
        <v>3</v>
      </c>
      <c r="K276" s="165">
        <v>18.74064346684176</v>
      </c>
      <c r="L276" s="179">
        <v>6.3791605084244756</v>
      </c>
      <c r="M276" s="165"/>
      <c r="N276" s="179"/>
      <c r="O276" s="202"/>
      <c r="P276" s="202"/>
      <c r="Q276" s="202"/>
      <c r="R276" s="165"/>
      <c r="S276" s="165"/>
      <c r="T276" s="165"/>
      <c r="U276" s="201"/>
      <c r="V276" s="166"/>
      <c r="W276" s="166"/>
      <c r="X276" s="179"/>
      <c r="Y276" s="179"/>
    </row>
    <row r="277" spans="1:25" ht="14.65" customHeight="1">
      <c r="A277" s="163" t="s">
        <v>293</v>
      </c>
      <c r="B277" s="247"/>
      <c r="C277">
        <v>16</v>
      </c>
      <c r="D277">
        <v>7</v>
      </c>
      <c r="E277">
        <v>16</v>
      </c>
      <c r="F277">
        <v>6</v>
      </c>
      <c r="G277">
        <v>16</v>
      </c>
      <c r="H277">
        <v>7</v>
      </c>
      <c r="I277" s="202">
        <v>17</v>
      </c>
      <c r="J277" s="165">
        <v>3</v>
      </c>
      <c r="K277" s="165">
        <v>16.08532240826505</v>
      </c>
      <c r="L277" s="179">
        <v>5.0300970146458406</v>
      </c>
      <c r="M277" s="165"/>
      <c r="N277" s="179"/>
      <c r="O277" s="202"/>
      <c r="P277" s="202"/>
      <c r="Q277" s="202"/>
      <c r="R277" s="165"/>
      <c r="S277" s="165"/>
      <c r="T277" s="165"/>
      <c r="U277" s="201"/>
      <c r="V277" s="166"/>
      <c r="W277" s="166"/>
      <c r="X277" s="179"/>
      <c r="Y277" s="179"/>
    </row>
    <row r="278" spans="1:25" ht="14.65" customHeight="1">
      <c r="A278" s="49" t="s">
        <v>252</v>
      </c>
      <c r="B278" s="247"/>
      <c r="C278">
        <v>33</v>
      </c>
      <c r="D278">
        <v>24</v>
      </c>
      <c r="E278">
        <v>26</v>
      </c>
      <c r="F278">
        <v>20</v>
      </c>
      <c r="G278">
        <v>18</v>
      </c>
      <c r="H278">
        <v>18</v>
      </c>
      <c r="I278" s="202">
        <v>20</v>
      </c>
      <c r="J278" s="165">
        <v>13</v>
      </c>
      <c r="K278" s="165">
        <v>24.40480935299588</v>
      </c>
      <c r="L278" s="179">
        <v>18.375019153174318</v>
      </c>
      <c r="M278" s="165"/>
      <c r="N278" s="179"/>
      <c r="O278" s="202"/>
      <c r="P278" s="202"/>
      <c r="Q278" s="202"/>
      <c r="R278" s="165"/>
      <c r="S278" s="165"/>
      <c r="T278" s="165"/>
      <c r="U278" s="201"/>
      <c r="V278" s="166"/>
      <c r="W278" s="166"/>
      <c r="X278" s="179"/>
      <c r="Y278" s="179"/>
    </row>
    <row r="279" spans="1:25" ht="14.65" customHeight="1">
      <c r="A279" s="163" t="s">
        <v>162</v>
      </c>
      <c r="B279" s="247"/>
      <c r="C279">
        <v>32</v>
      </c>
      <c r="D279">
        <v>13</v>
      </c>
      <c r="E279">
        <v>36</v>
      </c>
      <c r="F279">
        <v>16</v>
      </c>
      <c r="G279">
        <v>31</v>
      </c>
      <c r="H279">
        <v>17</v>
      </c>
      <c r="I279" s="202">
        <v>27</v>
      </c>
      <c r="J279" s="165">
        <v>5</v>
      </c>
      <c r="K279" s="165">
        <v>31.525656324582339</v>
      </c>
      <c r="L279" s="179">
        <v>10.22347475575596</v>
      </c>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20</v>
      </c>
      <c r="F280">
        <v>8</v>
      </c>
      <c r="G280">
        <v>18</v>
      </c>
      <c r="H280">
        <v>8</v>
      </c>
      <c r="I280" s="202">
        <v>18</v>
      </c>
      <c r="J280" s="165">
        <v>4</v>
      </c>
      <c r="K280" s="165">
        <v>19.482320942883046</v>
      </c>
      <c r="L280" s="179">
        <v>6.5627851401260049</v>
      </c>
      <c r="M280" s="165"/>
      <c r="N280" s="179"/>
      <c r="O280" s="202"/>
      <c r="P280" s="202"/>
      <c r="Q280" s="202"/>
      <c r="R280" s="165"/>
      <c r="S280" s="165"/>
      <c r="T280" s="165"/>
      <c r="U280" s="202"/>
      <c r="V280" s="204"/>
      <c r="W280" s="204"/>
      <c r="X280" s="179"/>
      <c r="Y280" s="179"/>
    </row>
    <row r="281" spans="1:25" ht="14.65" customHeight="1">
      <c r="A281" s="49" t="s">
        <v>164</v>
      </c>
      <c r="B281" s="247"/>
      <c r="C281">
        <v>10</v>
      </c>
      <c r="D281">
        <v>6</v>
      </c>
      <c r="E281">
        <v>14</v>
      </c>
      <c r="F281">
        <v>6</v>
      </c>
      <c r="G281">
        <v>17</v>
      </c>
      <c r="H281">
        <v>6</v>
      </c>
      <c r="I281" s="202">
        <v>15</v>
      </c>
      <c r="J281" s="165">
        <v>3</v>
      </c>
      <c r="K281" s="165">
        <v>13.447718631178708</v>
      </c>
      <c r="L281" s="179">
        <v>4.2906208198914157</v>
      </c>
      <c r="M281" s="165"/>
      <c r="N281" s="179"/>
      <c r="O281" s="202"/>
      <c r="P281" s="202"/>
      <c r="Q281" s="202"/>
      <c r="R281" s="165"/>
      <c r="S281" s="165"/>
      <c r="T281" s="165"/>
      <c r="U281" s="201"/>
      <c r="V281" s="166"/>
      <c r="W281" s="166"/>
      <c r="X281" s="179"/>
      <c r="Y281" s="179"/>
    </row>
    <row r="282" spans="1:25" ht="14.65" customHeight="1">
      <c r="A282" s="163" t="s">
        <v>165</v>
      </c>
      <c r="B282" s="247"/>
      <c r="C282">
        <v>16</v>
      </c>
      <c r="D282">
        <v>8</v>
      </c>
      <c r="E282">
        <v>20</v>
      </c>
      <c r="F282">
        <v>8</v>
      </c>
      <c r="G282">
        <v>16</v>
      </c>
      <c r="H282">
        <v>8</v>
      </c>
      <c r="I282" s="202">
        <v>16</v>
      </c>
      <c r="J282" s="165">
        <v>3</v>
      </c>
      <c r="K282" s="165">
        <v>17.154825462012319</v>
      </c>
      <c r="L282" s="179">
        <v>5.1312144486936404</v>
      </c>
      <c r="M282" s="165"/>
      <c r="N282" s="179"/>
      <c r="O282" s="202"/>
      <c r="P282" s="202"/>
      <c r="Q282" s="202"/>
      <c r="R282" s="165"/>
      <c r="S282" s="165"/>
      <c r="T282" s="165"/>
      <c r="U282" s="201"/>
      <c r="V282" s="166"/>
      <c r="W282" s="166"/>
      <c r="X282" s="179"/>
      <c r="Y282" s="179"/>
    </row>
    <row r="283" spans="1:25" ht="14.65" customHeight="1">
      <c r="A283" s="163" t="s">
        <v>823</v>
      </c>
      <c r="B283" s="247"/>
      <c r="C283">
        <v>14</v>
      </c>
      <c r="D283">
        <v>9</v>
      </c>
      <c r="E283">
        <v>11</v>
      </c>
      <c r="F283">
        <v>7</v>
      </c>
      <c r="G283">
        <v>11</v>
      </c>
      <c r="H283">
        <v>6</v>
      </c>
      <c r="I283" s="202">
        <v>12</v>
      </c>
      <c r="J283" s="165">
        <v>3</v>
      </c>
      <c r="K283" s="165">
        <v>12.149090233939845</v>
      </c>
      <c r="L283" s="179">
        <v>5.6698552333774606</v>
      </c>
      <c r="M283" s="165"/>
      <c r="N283" s="179"/>
      <c r="O283" s="202"/>
      <c r="P283" s="202"/>
      <c r="Q283" s="202"/>
      <c r="R283" s="165"/>
      <c r="S283" s="165"/>
      <c r="T283" s="165"/>
      <c r="U283" s="201"/>
      <c r="V283" s="166"/>
      <c r="W283" s="166"/>
      <c r="X283" s="179"/>
      <c r="Y283" s="179"/>
    </row>
    <row r="284" spans="1:25" ht="14.65" customHeight="1">
      <c r="A284" s="163" t="s">
        <v>166</v>
      </c>
      <c r="B284" s="247"/>
      <c r="C284">
        <v>7</v>
      </c>
      <c r="D284">
        <v>5</v>
      </c>
      <c r="E284">
        <v>5</v>
      </c>
      <c r="F284">
        <v>3</v>
      </c>
      <c r="G284">
        <v>6</v>
      </c>
      <c r="H284">
        <v>2</v>
      </c>
      <c r="I284" s="202">
        <v>5</v>
      </c>
      <c r="J284" s="165">
        <v>2</v>
      </c>
      <c r="K284" s="165">
        <v>5.9123249299719891</v>
      </c>
      <c r="L284" s="179">
        <v>2.7058096415327566</v>
      </c>
      <c r="M284" s="165"/>
      <c r="N284" s="179"/>
      <c r="O284" s="202"/>
      <c r="P284" s="202"/>
      <c r="Q284" s="202"/>
      <c r="R284" s="165"/>
      <c r="S284" s="165"/>
      <c r="T284" s="165"/>
      <c r="U284" s="201"/>
      <c r="V284" s="166"/>
      <c r="W284" s="166"/>
      <c r="X284" s="179"/>
      <c r="Y284" s="179"/>
    </row>
    <row r="285" spans="1:25" ht="14.65" customHeight="1">
      <c r="A285" s="163" t="s">
        <v>167</v>
      </c>
      <c r="B285" s="247"/>
      <c r="C285">
        <v>20</v>
      </c>
      <c r="D285">
        <v>9</v>
      </c>
      <c r="E285">
        <v>19</v>
      </c>
      <c r="F285">
        <v>9</v>
      </c>
      <c r="G285">
        <v>20</v>
      </c>
      <c r="H285">
        <v>12</v>
      </c>
      <c r="I285" s="202">
        <v>19</v>
      </c>
      <c r="J285" s="165">
        <v>4</v>
      </c>
      <c r="K285" s="165">
        <v>19.286880466472304</v>
      </c>
      <c r="L285" s="179">
        <v>7.1096578424191694</v>
      </c>
      <c r="M285" s="165"/>
      <c r="N285" s="179"/>
      <c r="O285" s="202"/>
      <c r="P285" s="202"/>
      <c r="Q285" s="202"/>
      <c r="R285" s="165"/>
      <c r="S285" s="165"/>
      <c r="T285" s="165"/>
      <c r="U285" s="201"/>
      <c r="V285" s="166"/>
      <c r="W285" s="166"/>
      <c r="X285" s="179"/>
      <c r="Y285" s="179"/>
    </row>
    <row r="286" spans="1:25" ht="14.65" customHeight="1">
      <c r="A286" s="163" t="s">
        <v>168</v>
      </c>
      <c r="B286" s="247"/>
      <c r="C286">
        <v>28</v>
      </c>
      <c r="D286">
        <v>20</v>
      </c>
      <c r="E286">
        <v>28</v>
      </c>
      <c r="F286">
        <v>14</v>
      </c>
      <c r="G286">
        <v>25</v>
      </c>
      <c r="H286">
        <v>18</v>
      </c>
      <c r="I286" s="202">
        <v>27</v>
      </c>
      <c r="J286" s="165">
        <v>7</v>
      </c>
      <c r="K286" s="165">
        <v>26.928947368421053</v>
      </c>
      <c r="L286" s="179">
        <v>12.835946924004825</v>
      </c>
      <c r="M286" s="165"/>
      <c r="N286" s="179"/>
      <c r="O286" s="202"/>
      <c r="P286" s="202"/>
      <c r="Q286" s="202"/>
      <c r="R286" s="165"/>
      <c r="S286" s="165"/>
      <c r="T286" s="165"/>
      <c r="U286" s="201"/>
      <c r="V286" s="166"/>
      <c r="W286" s="166"/>
      <c r="X286" s="179"/>
      <c r="Y286" s="179"/>
    </row>
    <row r="287" spans="1:25" ht="14.65" customHeight="1">
      <c r="A287" s="163" t="s">
        <v>169</v>
      </c>
      <c r="B287" s="247"/>
      <c r="C287">
        <v>11</v>
      </c>
      <c r="D287">
        <v>7</v>
      </c>
      <c r="E287">
        <v>16</v>
      </c>
      <c r="F287">
        <v>8</v>
      </c>
      <c r="G287">
        <v>18</v>
      </c>
      <c r="H287">
        <v>8</v>
      </c>
      <c r="I287" s="202">
        <v>17</v>
      </c>
      <c r="J287" s="165">
        <v>3</v>
      </c>
      <c r="K287" s="165">
        <v>15.402348117778606</v>
      </c>
      <c r="L287" s="179">
        <v>5.5931467476608843</v>
      </c>
      <c r="M287" s="165"/>
      <c r="N287" s="179"/>
      <c r="O287" s="202"/>
      <c r="P287" s="202"/>
      <c r="Q287" s="202"/>
      <c r="R287" s="165"/>
      <c r="S287" s="165"/>
      <c r="T287" s="165"/>
      <c r="U287" s="201"/>
      <c r="V287" s="166"/>
      <c r="W287" s="166"/>
      <c r="X287" s="179"/>
      <c r="Y287" s="179"/>
    </row>
    <row r="288" spans="1:25" ht="14.65" customHeight="1">
      <c r="A288" s="163" t="s">
        <v>170</v>
      </c>
      <c r="B288" s="247"/>
      <c r="C288">
        <v>21</v>
      </c>
      <c r="D288">
        <v>19</v>
      </c>
      <c r="E288">
        <v>18</v>
      </c>
      <c r="F288">
        <v>22</v>
      </c>
      <c r="G288">
        <v>20</v>
      </c>
      <c r="H288">
        <v>15</v>
      </c>
      <c r="I288" s="202">
        <v>17</v>
      </c>
      <c r="J288" s="165">
        <v>6</v>
      </c>
      <c r="K288" s="165">
        <v>18.850642927794262</v>
      </c>
      <c r="L288" s="179">
        <v>12.737129253050293</v>
      </c>
      <c r="M288" s="165"/>
      <c r="N288" s="179"/>
      <c r="O288" s="202"/>
      <c r="P288" s="202"/>
      <c r="Q288" s="202"/>
      <c r="R288" s="165"/>
      <c r="S288" s="165"/>
      <c r="T288" s="165"/>
      <c r="U288" s="201"/>
      <c r="V288" s="166"/>
      <c r="W288" s="166"/>
      <c r="X288" s="179"/>
      <c r="Y288" s="179"/>
    </row>
    <row r="289" spans="1:25" ht="14.65" customHeight="1">
      <c r="A289" s="163" t="s">
        <v>294</v>
      </c>
      <c r="B289" s="247"/>
      <c r="C289">
        <v>28</v>
      </c>
      <c r="D289">
        <v>9</v>
      </c>
      <c r="E289">
        <v>23</v>
      </c>
      <c r="F289">
        <v>8</v>
      </c>
      <c r="G289">
        <v>31</v>
      </c>
      <c r="H289">
        <v>11</v>
      </c>
      <c r="I289" s="202">
        <v>37</v>
      </c>
      <c r="J289" s="165">
        <v>6</v>
      </c>
      <c r="K289" s="165">
        <v>30.048022598870055</v>
      </c>
      <c r="L289" s="179">
        <v>7.7226100515773064</v>
      </c>
      <c r="M289" s="165"/>
      <c r="N289" s="179"/>
      <c r="O289" s="202"/>
      <c r="P289" s="202"/>
      <c r="Q289" s="202"/>
      <c r="R289" s="165"/>
      <c r="S289" s="165"/>
      <c r="T289" s="165"/>
      <c r="U289" s="201"/>
      <c r="V289" s="166"/>
      <c r="W289" s="166"/>
      <c r="X289" s="179"/>
      <c r="Y289" s="179"/>
    </row>
    <row r="290" spans="1:25" ht="14.65" customHeight="1">
      <c r="A290" s="163" t="s">
        <v>353</v>
      </c>
      <c r="B290" s="247"/>
      <c r="C290">
        <v>36</v>
      </c>
      <c r="D290">
        <v>11</v>
      </c>
      <c r="E290">
        <v>43</v>
      </c>
      <c r="F290">
        <v>13</v>
      </c>
      <c r="G290">
        <v>35</v>
      </c>
      <c r="H290">
        <v>14</v>
      </c>
      <c r="I290" s="202">
        <v>32</v>
      </c>
      <c r="J290" s="165">
        <v>4</v>
      </c>
      <c r="K290" s="165">
        <v>36.443985849056602</v>
      </c>
      <c r="L290" s="179">
        <v>8.6149565689467966</v>
      </c>
      <c r="M290" s="165"/>
      <c r="N290" s="179"/>
      <c r="O290" s="202"/>
      <c r="P290" s="202"/>
      <c r="Q290" s="202"/>
      <c r="R290" s="165"/>
      <c r="S290" s="165"/>
      <c r="T290" s="165"/>
      <c r="U290" s="202"/>
      <c r="V290" s="204"/>
      <c r="W290" s="204"/>
      <c r="X290" s="179"/>
      <c r="Y290" s="179"/>
    </row>
    <row r="291" spans="1:25" ht="14.65" customHeight="1">
      <c r="A291" s="163" t="s">
        <v>295</v>
      </c>
      <c r="B291" s="247"/>
      <c r="C291">
        <v>18</v>
      </c>
      <c r="D291">
        <v>10</v>
      </c>
      <c r="E291">
        <v>23</v>
      </c>
      <c r="F291">
        <v>8</v>
      </c>
      <c r="G291">
        <v>21</v>
      </c>
      <c r="H291">
        <v>9</v>
      </c>
      <c r="I291" s="202">
        <v>31</v>
      </c>
      <c r="J291" s="165">
        <v>6</v>
      </c>
      <c r="K291" s="165">
        <v>22.925659472422062</v>
      </c>
      <c r="L291" s="179">
        <v>7.5616932837453508</v>
      </c>
      <c r="M291" s="165"/>
      <c r="N291" s="179"/>
      <c r="O291" s="202"/>
      <c r="P291" s="202"/>
      <c r="Q291" s="202"/>
      <c r="R291" s="165"/>
      <c r="S291" s="165"/>
      <c r="T291" s="165"/>
      <c r="U291" s="202"/>
      <c r="V291" s="204"/>
      <c r="W291" s="204"/>
      <c r="X291" s="179"/>
      <c r="Y291" s="179"/>
    </row>
    <row r="292" spans="1:25" ht="14.65" customHeight="1">
      <c r="A292" s="163" t="s">
        <v>171</v>
      </c>
      <c r="B292" s="247"/>
      <c r="C292">
        <v>15</v>
      </c>
      <c r="D292">
        <v>5</v>
      </c>
      <c r="E292">
        <v>15</v>
      </c>
      <c r="F292">
        <v>6</v>
      </c>
      <c r="G292">
        <v>15</v>
      </c>
      <c r="H292">
        <v>7</v>
      </c>
      <c r="I292" s="202">
        <v>16</v>
      </c>
      <c r="J292" s="165">
        <v>3</v>
      </c>
      <c r="K292" s="165">
        <v>15.472691807542263</v>
      </c>
      <c r="L292" s="179">
        <v>4.7284090053459833</v>
      </c>
      <c r="M292" s="165"/>
      <c r="N292" s="179"/>
      <c r="O292" s="202"/>
      <c r="P292" s="202"/>
      <c r="Q292" s="202"/>
      <c r="R292" s="165"/>
      <c r="S292" s="165"/>
      <c r="T292" s="165"/>
      <c r="U292" s="201"/>
      <c r="V292" s="166"/>
      <c r="W292" s="166"/>
      <c r="X292" s="179"/>
      <c r="Y292" s="179"/>
    </row>
    <row r="293" spans="1:25" ht="14.65" customHeight="1">
      <c r="A293" s="49" t="s">
        <v>220</v>
      </c>
      <c r="B293" s="247"/>
      <c r="C293">
        <v>25</v>
      </c>
      <c r="D293">
        <v>6</v>
      </c>
      <c r="E293">
        <v>24</v>
      </c>
      <c r="F293">
        <v>4</v>
      </c>
      <c r="G293">
        <v>22</v>
      </c>
      <c r="H293">
        <v>5</v>
      </c>
      <c r="I293" s="202">
        <v>25</v>
      </c>
      <c r="J293" s="165">
        <v>3</v>
      </c>
      <c r="K293" s="165">
        <v>23.932583017606419</v>
      </c>
      <c r="L293" s="179">
        <v>4.2553011822105464</v>
      </c>
      <c r="M293" s="165"/>
      <c r="N293" s="179"/>
      <c r="O293" s="202"/>
      <c r="P293" s="202"/>
      <c r="Q293" s="202"/>
      <c r="R293" s="165"/>
      <c r="S293" s="165"/>
      <c r="T293" s="165"/>
      <c r="U293" s="201"/>
      <c r="V293" s="166"/>
      <c r="W293" s="166"/>
      <c r="X293" s="179"/>
      <c r="Y293" s="179"/>
    </row>
    <row r="294" spans="1:25" ht="14.65" customHeight="1">
      <c r="A294" s="163" t="s">
        <v>253</v>
      </c>
      <c r="B294" s="247"/>
      <c r="C294">
        <v>13</v>
      </c>
      <c r="D294">
        <v>10</v>
      </c>
      <c r="E294">
        <v>22</v>
      </c>
      <c r="F294">
        <v>13</v>
      </c>
      <c r="G294">
        <v>15</v>
      </c>
      <c r="H294">
        <v>15</v>
      </c>
      <c r="I294" s="202">
        <v>15</v>
      </c>
      <c r="J294" s="165">
        <v>5</v>
      </c>
      <c r="K294" s="165">
        <v>16.119587109768378</v>
      </c>
      <c r="L294" s="179">
        <v>8.9460182061238775</v>
      </c>
      <c r="M294" s="165"/>
      <c r="N294" s="179"/>
      <c r="O294" s="202"/>
      <c r="P294" s="202"/>
      <c r="Q294" s="202"/>
      <c r="R294" s="165"/>
      <c r="S294" s="165"/>
      <c r="T294" s="165"/>
      <c r="U294" s="201"/>
      <c r="V294" s="166"/>
      <c r="W294" s="166"/>
      <c r="X294" s="179"/>
      <c r="Y294" s="179"/>
    </row>
    <row r="295" spans="1:25" ht="14.65" customHeight="1">
      <c r="A295" s="163" t="s">
        <v>172</v>
      </c>
      <c r="B295" s="247"/>
      <c r="C295">
        <v>20</v>
      </c>
      <c r="D295">
        <v>10</v>
      </c>
      <c r="E295">
        <v>13</v>
      </c>
      <c r="F295">
        <v>6</v>
      </c>
      <c r="G295">
        <v>15</v>
      </c>
      <c r="H295">
        <v>9</v>
      </c>
      <c r="I295" s="202">
        <v>15</v>
      </c>
      <c r="J295" s="165">
        <v>3</v>
      </c>
      <c r="K295" s="165">
        <v>15.765674477517416</v>
      </c>
      <c r="L295" s="179">
        <v>6.0892448512585808</v>
      </c>
      <c r="M295" s="165"/>
      <c r="N295" s="179"/>
      <c r="O295" s="202"/>
      <c r="P295" s="202"/>
      <c r="Q295" s="202"/>
      <c r="R295" s="165"/>
      <c r="S295" s="165"/>
      <c r="T295" s="165"/>
      <c r="U295" s="201"/>
      <c r="V295" s="166"/>
      <c r="W295" s="166"/>
      <c r="X295" s="179"/>
      <c r="Y295" s="179"/>
    </row>
    <row r="296" spans="1:25" ht="14.65" customHeight="1">
      <c r="A296" s="49" t="s">
        <v>173</v>
      </c>
      <c r="B296" s="247"/>
      <c r="C296">
        <v>21</v>
      </c>
      <c r="D296">
        <v>7</v>
      </c>
      <c r="E296">
        <v>25</v>
      </c>
      <c r="F296">
        <v>7</v>
      </c>
      <c r="G296">
        <v>20</v>
      </c>
      <c r="H296">
        <v>6</v>
      </c>
      <c r="I296" s="202">
        <v>21</v>
      </c>
      <c r="J296" s="165">
        <v>4</v>
      </c>
      <c r="K296" s="165">
        <v>21.62785388127854</v>
      </c>
      <c r="L296" s="179">
        <v>5.3466486120514558</v>
      </c>
      <c r="M296" s="165"/>
      <c r="N296" s="179"/>
      <c r="O296" s="202"/>
      <c r="P296" s="202"/>
      <c r="Q296" s="202"/>
      <c r="R296" s="165"/>
      <c r="S296" s="165"/>
      <c r="T296" s="165"/>
      <c r="U296" s="201"/>
      <c r="V296" s="166"/>
      <c r="W296" s="166"/>
      <c r="X296" s="179"/>
      <c r="Y296" s="179"/>
    </row>
    <row r="297" spans="1:25" ht="14.65" customHeight="1">
      <c r="A297" s="163" t="s">
        <v>174</v>
      </c>
      <c r="B297" s="247"/>
      <c r="C297">
        <v>11</v>
      </c>
      <c r="D297">
        <v>7</v>
      </c>
      <c r="E297">
        <v>12</v>
      </c>
      <c r="F297">
        <v>6</v>
      </c>
      <c r="G297">
        <v>14</v>
      </c>
      <c r="H297">
        <v>8</v>
      </c>
      <c r="I297" s="202">
        <v>16</v>
      </c>
      <c r="J297" s="165">
        <v>4</v>
      </c>
      <c r="K297" s="165">
        <v>13.084697508896797</v>
      </c>
      <c r="L297" s="179">
        <v>5.4202515810688716</v>
      </c>
      <c r="M297" s="165"/>
      <c r="N297" s="179"/>
      <c r="O297" s="202"/>
      <c r="P297" s="202"/>
      <c r="Q297" s="202"/>
      <c r="R297" s="165"/>
      <c r="S297" s="165"/>
      <c r="T297" s="165"/>
      <c r="U297" s="201"/>
      <c r="V297" s="166"/>
      <c r="W297" s="166"/>
      <c r="X297" s="179"/>
      <c r="Y297" s="179"/>
    </row>
    <row r="298" spans="1:25" ht="14.65" customHeight="1">
      <c r="A298" s="49" t="s">
        <v>254</v>
      </c>
      <c r="B298" s="247"/>
      <c r="C298">
        <v>26</v>
      </c>
      <c r="D298">
        <v>14</v>
      </c>
      <c r="E298">
        <v>23</v>
      </c>
      <c r="F298">
        <v>12</v>
      </c>
      <c r="G298">
        <v>24</v>
      </c>
      <c r="H298">
        <v>14</v>
      </c>
      <c r="I298" s="202">
        <v>26</v>
      </c>
      <c r="J298" s="165">
        <v>6</v>
      </c>
      <c r="K298" s="165">
        <v>24.659432933478737</v>
      </c>
      <c r="L298" s="179">
        <v>10.156373761306055</v>
      </c>
      <c r="M298" s="165"/>
      <c r="N298" s="179"/>
      <c r="O298" s="202"/>
      <c r="P298" s="202"/>
      <c r="Q298" s="202"/>
      <c r="R298" s="165"/>
      <c r="S298" s="165"/>
      <c r="T298" s="165"/>
      <c r="U298" s="201"/>
      <c r="V298" s="166"/>
      <c r="W298" s="166"/>
      <c r="X298" s="179"/>
      <c r="Y298" s="179"/>
    </row>
    <row r="299" spans="1:25" ht="14.65" customHeight="1">
      <c r="A299" s="163" t="s">
        <v>255</v>
      </c>
      <c r="B299" s="247"/>
      <c r="C299">
        <v>35</v>
      </c>
      <c r="D299">
        <v>10</v>
      </c>
      <c r="E299">
        <v>34</v>
      </c>
      <c r="F299">
        <v>11</v>
      </c>
      <c r="G299">
        <v>29</v>
      </c>
      <c r="H299">
        <v>11</v>
      </c>
      <c r="I299" s="202">
        <v>31</v>
      </c>
      <c r="J299" s="165">
        <v>4</v>
      </c>
      <c r="K299" s="165">
        <v>32.414830736163353</v>
      </c>
      <c r="L299" s="179">
        <v>7.7379226114472877</v>
      </c>
      <c r="M299" s="165"/>
      <c r="N299" s="179"/>
      <c r="O299" s="202"/>
      <c r="P299" s="202"/>
      <c r="Q299" s="202"/>
      <c r="R299" s="165"/>
      <c r="S299" s="165"/>
      <c r="T299" s="165"/>
      <c r="U299" s="202"/>
      <c r="V299" s="204"/>
      <c r="W299" s="204"/>
      <c r="X299" s="179"/>
      <c r="Y299" s="179"/>
    </row>
    <row r="300" spans="1:25" ht="14.65" customHeight="1">
      <c r="A300" s="163" t="s">
        <v>221</v>
      </c>
      <c r="B300" s="247"/>
      <c r="C300">
        <v>49</v>
      </c>
      <c r="D300">
        <v>21</v>
      </c>
      <c r="E300">
        <v>36</v>
      </c>
      <c r="F300">
        <v>23</v>
      </c>
      <c r="G300">
        <v>24</v>
      </c>
      <c r="H300">
        <v>15</v>
      </c>
      <c r="I300" s="202">
        <v>23</v>
      </c>
      <c r="J300" s="165">
        <v>5</v>
      </c>
      <c r="K300" s="165">
        <v>33.510034033564139</v>
      </c>
      <c r="L300" s="179">
        <v>13.420374220374221</v>
      </c>
      <c r="M300" s="165"/>
      <c r="N300" s="179"/>
      <c r="O300" s="202"/>
      <c r="P300" s="202"/>
      <c r="Q300" s="202"/>
      <c r="R300" s="165"/>
      <c r="S300" s="165"/>
      <c r="T300" s="165"/>
      <c r="U300" s="201"/>
      <c r="V300" s="166"/>
      <c r="W300" s="166"/>
      <c r="X300" s="179"/>
      <c r="Y300" s="179"/>
    </row>
    <row r="301" spans="1:25" ht="14.65" customHeight="1">
      <c r="A301" s="163" t="s">
        <v>222</v>
      </c>
      <c r="B301" s="246"/>
      <c r="C301">
        <v>24</v>
      </c>
      <c r="D301">
        <v>16</v>
      </c>
      <c r="E301">
        <v>22</v>
      </c>
      <c r="F301">
        <v>13</v>
      </c>
      <c r="G301">
        <v>24</v>
      </c>
      <c r="H301">
        <v>15</v>
      </c>
      <c r="I301" s="201">
        <v>25</v>
      </c>
      <c r="J301" s="199">
        <v>6</v>
      </c>
      <c r="K301" s="199">
        <v>23.897027275513331</v>
      </c>
      <c r="L301" s="179">
        <v>10.915796857802881</v>
      </c>
      <c r="M301" s="199"/>
      <c r="N301" s="179"/>
      <c r="O301" s="201"/>
      <c r="P301" s="201"/>
      <c r="Q301" s="201"/>
      <c r="R301" s="199"/>
      <c r="S301" s="199"/>
      <c r="T301" s="199"/>
      <c r="U301" s="201"/>
      <c r="V301" s="166"/>
      <c r="W301" s="166"/>
      <c r="X301" s="179"/>
      <c r="Y301" s="179"/>
    </row>
    <row r="302" spans="1:25" ht="14.65" customHeight="1">
      <c r="A302" s="49" t="s">
        <v>296</v>
      </c>
      <c r="B302" s="247"/>
      <c r="C302">
        <v>29</v>
      </c>
      <c r="D302">
        <v>12</v>
      </c>
      <c r="E302">
        <v>31</v>
      </c>
      <c r="F302">
        <v>13</v>
      </c>
      <c r="G302">
        <v>23</v>
      </c>
      <c r="H302">
        <v>11</v>
      </c>
      <c r="I302" s="202">
        <v>22</v>
      </c>
      <c r="J302" s="165">
        <v>4</v>
      </c>
      <c r="K302" s="165">
        <v>26.247660187185026</v>
      </c>
      <c r="L302" s="179">
        <v>8.2189057496867601</v>
      </c>
      <c r="M302" s="165"/>
      <c r="N302" s="179"/>
      <c r="O302" s="202"/>
      <c r="P302" s="202"/>
      <c r="Q302" s="202"/>
      <c r="R302" s="165"/>
      <c r="S302" s="165"/>
      <c r="T302" s="165"/>
      <c r="U302" s="201"/>
      <c r="V302" s="166"/>
      <c r="W302" s="166"/>
      <c r="X302" s="179"/>
      <c r="Y302" s="179"/>
    </row>
    <row r="303" spans="1:25" ht="14.65" customHeight="1">
      <c r="A303" s="49" t="s">
        <v>175</v>
      </c>
      <c r="B303" s="247"/>
      <c r="C303">
        <v>25</v>
      </c>
      <c r="D303">
        <v>10</v>
      </c>
      <c r="E303">
        <v>23</v>
      </c>
      <c r="F303">
        <v>6</v>
      </c>
      <c r="G303">
        <v>21</v>
      </c>
      <c r="H303">
        <v>5</v>
      </c>
      <c r="I303" s="202">
        <v>26</v>
      </c>
      <c r="J303" s="165">
        <v>7</v>
      </c>
      <c r="K303" s="165">
        <v>23.514594594594595</v>
      </c>
      <c r="L303" s="179">
        <v>6.8947734922047275</v>
      </c>
      <c r="M303" s="165"/>
      <c r="N303" s="179"/>
      <c r="O303" s="202"/>
      <c r="P303" s="202"/>
      <c r="Q303" s="202"/>
      <c r="R303" s="165"/>
      <c r="S303" s="165"/>
      <c r="T303" s="165"/>
      <c r="U303" s="201"/>
      <c r="V303" s="166"/>
      <c r="W303" s="166"/>
      <c r="X303" s="179"/>
      <c r="Y303" s="179"/>
    </row>
    <row r="304" spans="1:25" ht="14.65" customHeight="1">
      <c r="A304" s="49" t="s">
        <v>176</v>
      </c>
      <c r="B304" s="247"/>
      <c r="C304">
        <v>20</v>
      </c>
      <c r="D304">
        <v>63</v>
      </c>
      <c r="E304">
        <v>16</v>
      </c>
      <c r="F304">
        <v>24</v>
      </c>
      <c r="G304">
        <v>17</v>
      </c>
      <c r="H304">
        <v>15</v>
      </c>
      <c r="I304" s="202">
        <v>15</v>
      </c>
      <c r="J304" s="165">
        <v>7</v>
      </c>
      <c r="K304" s="165">
        <v>16.860522022838499</v>
      </c>
      <c r="L304" s="179">
        <v>23.356147855654271</v>
      </c>
      <c r="M304" s="165"/>
      <c r="N304" s="179"/>
      <c r="O304" s="202"/>
      <c r="P304" s="202"/>
      <c r="Q304" s="202"/>
      <c r="R304" s="165"/>
      <c r="S304" s="165"/>
      <c r="T304" s="165"/>
      <c r="U304" s="202"/>
      <c r="V304" s="204"/>
      <c r="W304" s="204"/>
      <c r="X304" s="179"/>
      <c r="Y304" s="179"/>
    </row>
    <row r="305" spans="1:25" ht="14.65" customHeight="1">
      <c r="A305" s="163" t="s">
        <v>177</v>
      </c>
      <c r="B305" s="247"/>
      <c r="C305">
        <v>35</v>
      </c>
      <c r="D305">
        <v>29</v>
      </c>
      <c r="E305">
        <v>36</v>
      </c>
      <c r="F305">
        <v>24</v>
      </c>
      <c r="G305">
        <v>32</v>
      </c>
      <c r="H305">
        <v>14</v>
      </c>
      <c r="I305" s="202">
        <v>26</v>
      </c>
      <c r="J305" s="165">
        <v>5</v>
      </c>
      <c r="K305" s="165">
        <v>32.060634920634918</v>
      </c>
      <c r="L305" s="179">
        <v>15.789827754306142</v>
      </c>
      <c r="M305" s="165"/>
      <c r="N305" s="179"/>
      <c r="O305" s="202"/>
      <c r="P305" s="202"/>
      <c r="Q305" s="202"/>
      <c r="R305" s="165"/>
      <c r="S305" s="165"/>
      <c r="T305" s="165"/>
      <c r="U305" s="201"/>
      <c r="V305" s="166"/>
      <c r="W305" s="166"/>
      <c r="X305" s="179"/>
      <c r="Y305" s="179"/>
    </row>
    <row r="306" spans="1:25" ht="14.65" customHeight="1">
      <c r="A306" s="163" t="s">
        <v>178</v>
      </c>
      <c r="B306" s="247"/>
      <c r="C306">
        <v>18</v>
      </c>
      <c r="D306">
        <v>9</v>
      </c>
      <c r="E306">
        <v>12</v>
      </c>
      <c r="F306">
        <v>7</v>
      </c>
      <c r="G306">
        <v>19</v>
      </c>
      <c r="H306">
        <v>8</v>
      </c>
      <c r="I306" s="202">
        <v>20</v>
      </c>
      <c r="J306" s="165">
        <v>3</v>
      </c>
      <c r="K306" s="165">
        <v>16.56515373352855</v>
      </c>
      <c r="L306" s="179">
        <v>5.8577297001232367</v>
      </c>
      <c r="M306" s="165"/>
      <c r="N306" s="179"/>
      <c r="O306" s="202"/>
      <c r="P306" s="202"/>
      <c r="Q306" s="202"/>
      <c r="R306" s="165"/>
      <c r="S306" s="165"/>
      <c r="T306" s="165"/>
      <c r="U306" s="201"/>
      <c r="V306" s="166"/>
      <c r="W306" s="166"/>
      <c r="X306" s="179"/>
      <c r="Y306" s="179"/>
    </row>
    <row r="307" spans="1:25" ht="14.65" customHeight="1">
      <c r="A307" s="49" t="s">
        <v>179</v>
      </c>
      <c r="B307" s="247"/>
      <c r="C307">
        <v>34</v>
      </c>
      <c r="D307">
        <v>18</v>
      </c>
      <c r="E307">
        <v>27</v>
      </c>
      <c r="F307">
        <v>19</v>
      </c>
      <c r="G307">
        <v>18</v>
      </c>
      <c r="H307">
        <v>13</v>
      </c>
      <c r="I307" s="202">
        <v>22</v>
      </c>
      <c r="J307" s="165">
        <v>7</v>
      </c>
      <c r="K307" s="165">
        <v>25.149829738933029</v>
      </c>
      <c r="L307" s="179">
        <v>12.403643223486412</v>
      </c>
      <c r="M307" s="165"/>
      <c r="N307" s="179"/>
      <c r="O307" s="202"/>
      <c r="P307" s="202"/>
      <c r="Q307" s="202"/>
      <c r="R307" s="165"/>
      <c r="S307" s="165"/>
      <c r="T307" s="165"/>
      <c r="U307" s="202"/>
      <c r="V307" s="204"/>
      <c r="W307" s="204"/>
      <c r="X307" s="179"/>
      <c r="Y307" s="179"/>
    </row>
    <row r="308" spans="1:25" ht="14.65" customHeight="1">
      <c r="A308" s="163" t="s">
        <v>180</v>
      </c>
      <c r="B308" s="247"/>
      <c r="C308">
        <v>25</v>
      </c>
      <c r="D308">
        <v>14</v>
      </c>
      <c r="E308">
        <v>21</v>
      </c>
      <c r="F308">
        <v>15</v>
      </c>
      <c r="G308">
        <v>22</v>
      </c>
      <c r="H308">
        <v>15</v>
      </c>
      <c r="I308" s="202">
        <v>20</v>
      </c>
      <c r="J308" s="165">
        <v>5</v>
      </c>
      <c r="K308" s="165">
        <v>21.737664875427456</v>
      </c>
      <c r="L308" s="179">
        <v>10.687137585661571</v>
      </c>
      <c r="M308" s="165"/>
      <c r="N308" s="179"/>
      <c r="O308" s="202"/>
      <c r="P308" s="202"/>
      <c r="Q308" s="202"/>
      <c r="R308" s="165"/>
      <c r="S308" s="165"/>
      <c r="T308" s="165"/>
      <c r="U308" s="201"/>
      <c r="V308" s="166"/>
      <c r="W308" s="166"/>
      <c r="X308" s="179"/>
      <c r="Y308" s="179"/>
    </row>
    <row r="309" spans="1:25" ht="14.65" customHeight="1">
      <c r="A309" s="163" t="s">
        <v>181</v>
      </c>
      <c r="B309" s="247"/>
      <c r="C309">
        <v>12</v>
      </c>
      <c r="D309">
        <v>8</v>
      </c>
      <c r="E309">
        <v>11</v>
      </c>
      <c r="F309">
        <v>6</v>
      </c>
      <c r="G309">
        <v>14</v>
      </c>
      <c r="H309">
        <v>7</v>
      </c>
      <c r="I309" s="202">
        <v>22</v>
      </c>
      <c r="J309" s="165">
        <v>4</v>
      </c>
      <c r="K309" s="165">
        <v>14.546108861898336</v>
      </c>
      <c r="L309" s="179">
        <v>5.7996616723054615</v>
      </c>
      <c r="M309" s="165"/>
      <c r="N309" s="179"/>
      <c r="O309" s="202"/>
      <c r="P309" s="202"/>
      <c r="Q309" s="202"/>
      <c r="R309" s="165"/>
      <c r="S309" s="165"/>
      <c r="T309" s="165"/>
      <c r="U309" s="201"/>
      <c r="V309" s="166"/>
      <c r="W309" s="166"/>
      <c r="X309" s="179"/>
      <c r="Y309" s="179"/>
    </row>
    <row r="310" spans="1:25" ht="14.65" customHeight="1">
      <c r="A310" s="163" t="s">
        <v>297</v>
      </c>
      <c r="B310" s="247"/>
      <c r="C310">
        <v>19</v>
      </c>
      <c r="D310">
        <v>7</v>
      </c>
      <c r="E310">
        <v>19</v>
      </c>
      <c r="F310">
        <v>7</v>
      </c>
      <c r="G310">
        <v>18</v>
      </c>
      <c r="H310">
        <v>9</v>
      </c>
      <c r="I310" s="202">
        <v>20</v>
      </c>
      <c r="J310" s="165">
        <v>6</v>
      </c>
      <c r="K310" s="165">
        <v>19.242205151378219</v>
      </c>
      <c r="L310" s="179">
        <v>7.0596062352531623</v>
      </c>
      <c r="M310" s="165"/>
      <c r="N310" s="179"/>
      <c r="O310" s="202"/>
      <c r="P310" s="202"/>
      <c r="Q310" s="202"/>
      <c r="R310" s="165"/>
      <c r="S310" s="165"/>
      <c r="T310" s="165"/>
      <c r="U310" s="201"/>
      <c r="V310" s="166"/>
      <c r="W310" s="166"/>
      <c r="X310" s="179"/>
      <c r="Y310" s="179"/>
    </row>
    <row r="311" spans="1:25" ht="14.65" customHeight="1">
      <c r="A311" s="163" t="s">
        <v>182</v>
      </c>
      <c r="B311" s="247"/>
      <c r="C311">
        <v>29</v>
      </c>
      <c r="D311">
        <v>10</v>
      </c>
      <c r="E311">
        <v>26</v>
      </c>
      <c r="F311">
        <v>13</v>
      </c>
      <c r="G311">
        <v>35</v>
      </c>
      <c r="H311">
        <v>16</v>
      </c>
      <c r="I311" s="202">
        <v>22</v>
      </c>
      <c r="J311" s="165">
        <v>5</v>
      </c>
      <c r="K311" s="165">
        <v>28.14327485380117</v>
      </c>
      <c r="L311" s="179">
        <v>9.1597659765976598</v>
      </c>
      <c r="M311" s="165"/>
      <c r="N311" s="179"/>
      <c r="O311" s="202"/>
      <c r="P311" s="202"/>
      <c r="Q311" s="202"/>
      <c r="R311" s="165"/>
      <c r="S311" s="165"/>
      <c r="T311" s="165"/>
      <c r="U311" s="201"/>
      <c r="V311" s="166"/>
      <c r="W311" s="166"/>
      <c r="X311" s="179"/>
      <c r="Y311" s="179"/>
    </row>
    <row r="312" spans="1:25" ht="14.65" customHeight="1">
      <c r="A312" s="163" t="s">
        <v>183</v>
      </c>
      <c r="B312" s="247"/>
      <c r="C312">
        <v>28</v>
      </c>
      <c r="D312">
        <v>12</v>
      </c>
      <c r="E312">
        <v>18</v>
      </c>
      <c r="F312">
        <v>8</v>
      </c>
      <c r="G312">
        <v>18</v>
      </c>
      <c r="H312">
        <v>9</v>
      </c>
      <c r="I312" s="202">
        <v>22</v>
      </c>
      <c r="J312" s="165">
        <v>4</v>
      </c>
      <c r="K312" s="165">
        <v>21.784513805522209</v>
      </c>
      <c r="L312" s="179">
        <v>7.3674714778455828</v>
      </c>
      <c r="M312" s="165"/>
      <c r="N312" s="179"/>
      <c r="O312" s="202"/>
      <c r="P312" s="202"/>
      <c r="Q312" s="202"/>
      <c r="R312" s="165"/>
      <c r="S312" s="165"/>
      <c r="T312" s="165"/>
      <c r="U312" s="201"/>
      <c r="V312" s="166"/>
      <c r="W312" s="166"/>
      <c r="X312" s="179"/>
      <c r="Y312" s="179"/>
    </row>
    <row r="313" spans="1:25" ht="14.65" customHeight="1">
      <c r="A313" s="163" t="s">
        <v>184</v>
      </c>
      <c r="B313" s="247"/>
      <c r="C313">
        <v>31</v>
      </c>
      <c r="D313">
        <v>10</v>
      </c>
      <c r="E313">
        <v>24</v>
      </c>
      <c r="F313">
        <v>9</v>
      </c>
      <c r="G313">
        <v>23</v>
      </c>
      <c r="H313">
        <v>10</v>
      </c>
      <c r="I313" s="202">
        <v>26</v>
      </c>
      <c r="J313" s="165">
        <v>4</v>
      </c>
      <c r="K313" s="165">
        <v>25.768822905620361</v>
      </c>
      <c r="L313" s="179">
        <v>6.8877251780477584</v>
      </c>
      <c r="M313" s="165"/>
      <c r="N313" s="179"/>
      <c r="O313" s="202"/>
      <c r="P313" s="202"/>
      <c r="Q313" s="202"/>
      <c r="R313" s="165"/>
      <c r="S313" s="165"/>
      <c r="T313" s="165"/>
      <c r="U313" s="201"/>
      <c r="V313" s="166"/>
      <c r="W313" s="166"/>
      <c r="X313" s="179"/>
      <c r="Y313" s="179"/>
    </row>
    <row r="314" spans="1:25" ht="14.65" customHeight="1">
      <c r="A314" s="163" t="s">
        <v>185</v>
      </c>
      <c r="B314" s="246"/>
      <c r="C314">
        <v>16</v>
      </c>
      <c r="D314">
        <v>7</v>
      </c>
      <c r="E314">
        <v>19</v>
      </c>
      <c r="F314">
        <v>6</v>
      </c>
      <c r="G314">
        <v>19</v>
      </c>
      <c r="H314">
        <v>7</v>
      </c>
      <c r="I314" s="202">
        <v>24</v>
      </c>
      <c r="J314" s="165">
        <v>4</v>
      </c>
      <c r="K314" s="165">
        <v>19.561829211385909</v>
      </c>
      <c r="L314" s="179">
        <v>5.1492880559769043</v>
      </c>
      <c r="M314" s="165"/>
      <c r="N314" s="179"/>
      <c r="O314" s="202"/>
      <c r="P314" s="202"/>
      <c r="Q314" s="202"/>
      <c r="R314" s="165"/>
      <c r="S314" s="165"/>
      <c r="T314" s="165"/>
      <c r="U314" s="201"/>
      <c r="V314" s="166"/>
      <c r="W314" s="166"/>
      <c r="X314" s="179"/>
      <c r="Y314" s="179"/>
    </row>
    <row r="315" spans="1:25" ht="14.65" customHeight="1">
      <c r="A315" s="163" t="s">
        <v>186</v>
      </c>
      <c r="B315" s="247"/>
      <c r="C315">
        <v>16</v>
      </c>
      <c r="D315">
        <v>5</v>
      </c>
      <c r="E315">
        <v>15</v>
      </c>
      <c r="F315">
        <v>5</v>
      </c>
      <c r="G315">
        <v>12</v>
      </c>
      <c r="H315">
        <v>4</v>
      </c>
      <c r="I315" s="202">
        <v>7</v>
      </c>
      <c r="J315" s="165">
        <v>3</v>
      </c>
      <c r="K315" s="165">
        <v>12.892686261107313</v>
      </c>
      <c r="L315" s="179">
        <v>3.9666061198826323</v>
      </c>
      <c r="M315" s="165"/>
      <c r="N315" s="179"/>
      <c r="O315" s="202"/>
      <c r="P315" s="202"/>
      <c r="Q315" s="202"/>
      <c r="R315" s="165"/>
      <c r="S315" s="165"/>
      <c r="T315" s="165"/>
      <c r="U315" s="201"/>
      <c r="V315" s="166"/>
      <c r="W315" s="166"/>
      <c r="X315" s="179"/>
      <c r="Y315" s="179"/>
    </row>
    <row r="316" spans="1:25" ht="14.65" customHeight="1">
      <c r="A316" s="163" t="s">
        <v>187</v>
      </c>
      <c r="B316" s="247"/>
      <c r="C316">
        <v>22</v>
      </c>
      <c r="D316">
        <v>8</v>
      </c>
      <c r="E316">
        <v>18</v>
      </c>
      <c r="F316">
        <v>6</v>
      </c>
      <c r="G316">
        <v>14</v>
      </c>
      <c r="H316">
        <v>6</v>
      </c>
      <c r="I316" s="202">
        <v>23</v>
      </c>
      <c r="J316" s="165">
        <v>4</v>
      </c>
      <c r="K316" s="165">
        <v>19.467265725288833</v>
      </c>
      <c r="L316" s="179">
        <v>5.8645399357219379</v>
      </c>
      <c r="M316" s="165"/>
      <c r="N316" s="179"/>
      <c r="O316" s="202"/>
      <c r="P316" s="202"/>
      <c r="Q316" s="202"/>
      <c r="R316" s="165"/>
      <c r="S316" s="165"/>
      <c r="T316" s="165"/>
      <c r="U316" s="201"/>
      <c r="V316" s="166"/>
      <c r="W316" s="166"/>
      <c r="X316" s="179"/>
      <c r="Y316" s="179"/>
    </row>
    <row r="317" spans="1:25" ht="14.65" customHeight="1">
      <c r="A317" s="163" t="s">
        <v>188</v>
      </c>
      <c r="B317" s="247"/>
      <c r="C317">
        <v>31</v>
      </c>
      <c r="D317">
        <v>18</v>
      </c>
      <c r="E317">
        <v>29</v>
      </c>
      <c r="F317">
        <v>19</v>
      </c>
      <c r="G317">
        <v>30</v>
      </c>
      <c r="H317">
        <v>15</v>
      </c>
      <c r="I317" s="202">
        <v>27</v>
      </c>
      <c r="J317" s="165">
        <v>9</v>
      </c>
      <c r="K317" s="165">
        <v>29.218602745339069</v>
      </c>
      <c r="L317" s="179" t="s">
        <v>3</v>
      </c>
      <c r="M317" s="165"/>
      <c r="N317" s="179"/>
      <c r="O317" s="202"/>
      <c r="P317" s="202"/>
      <c r="Q317" s="202"/>
      <c r="R317" s="165"/>
      <c r="S317" s="165"/>
      <c r="T317" s="165"/>
      <c r="U317" s="201"/>
      <c r="V317" s="166"/>
      <c r="W317" s="166"/>
      <c r="X317" s="179"/>
      <c r="Y317" s="179"/>
    </row>
    <row r="318" spans="1:25" ht="14.65" customHeight="1">
      <c r="A318" s="163" t="s">
        <v>354</v>
      </c>
      <c r="B318" s="247"/>
      <c r="C318">
        <v>28</v>
      </c>
      <c r="D318">
        <v>13</v>
      </c>
      <c r="E318">
        <v>18</v>
      </c>
      <c r="F318">
        <v>8</v>
      </c>
      <c r="G318">
        <v>18</v>
      </c>
      <c r="H318">
        <v>9</v>
      </c>
      <c r="I318" s="202">
        <v>25</v>
      </c>
      <c r="J318" s="165">
        <v>5</v>
      </c>
      <c r="K318" s="165">
        <v>22.498525073746311</v>
      </c>
      <c r="L318" s="179">
        <v>7.7816406052325284</v>
      </c>
      <c r="M318" s="165"/>
      <c r="N318" s="179"/>
      <c r="O318" s="202"/>
      <c r="P318" s="202"/>
      <c r="Q318" s="202"/>
      <c r="R318" s="165"/>
      <c r="S318" s="165"/>
      <c r="T318" s="165"/>
      <c r="U318" s="201"/>
      <c r="V318" s="166"/>
      <c r="W318" s="166"/>
      <c r="X318" s="179"/>
      <c r="Y318" s="179"/>
    </row>
    <row r="319" spans="1:25" ht="14.65" customHeight="1">
      <c r="A319" s="49" t="s">
        <v>256</v>
      </c>
      <c r="B319" s="247"/>
      <c r="C319">
        <v>35</v>
      </c>
      <c r="D319">
        <v>10</v>
      </c>
      <c r="E319">
        <v>39</v>
      </c>
      <c r="F319">
        <v>14</v>
      </c>
      <c r="G319">
        <v>37</v>
      </c>
      <c r="H319">
        <v>15</v>
      </c>
      <c r="I319" s="202">
        <v>38</v>
      </c>
      <c r="J319" s="165">
        <v>4</v>
      </c>
      <c r="K319" s="165">
        <v>37.372964837871116</v>
      </c>
      <c r="L319" s="179">
        <v>8.5561400189214751</v>
      </c>
      <c r="M319" s="165"/>
      <c r="N319" s="179"/>
      <c r="O319" s="202"/>
      <c r="P319" s="202"/>
      <c r="Q319" s="202"/>
      <c r="R319" s="165"/>
      <c r="S319" s="165"/>
      <c r="T319" s="165"/>
      <c r="U319" s="201"/>
      <c r="V319" s="166"/>
      <c r="W319" s="166"/>
      <c r="X319" s="179"/>
      <c r="Y319" s="179"/>
    </row>
    <row r="320" spans="1:25" ht="14.65" customHeight="1">
      <c r="A320" s="49" t="s">
        <v>298</v>
      </c>
      <c r="B320" s="247"/>
      <c r="C320">
        <v>33</v>
      </c>
      <c r="D320">
        <v>10</v>
      </c>
      <c r="E320">
        <v>27</v>
      </c>
      <c r="F320">
        <v>9</v>
      </c>
      <c r="G320">
        <v>23</v>
      </c>
      <c r="H320">
        <v>8</v>
      </c>
      <c r="I320" s="202">
        <v>27</v>
      </c>
      <c r="J320" s="165">
        <v>3</v>
      </c>
      <c r="K320" s="165">
        <v>27.571598414795243</v>
      </c>
      <c r="L320" s="179">
        <v>6.1195401941264311</v>
      </c>
      <c r="M320" s="165"/>
      <c r="N320" s="179"/>
      <c r="O320" s="202"/>
      <c r="P320" s="202"/>
      <c r="Q320" s="202"/>
      <c r="R320" s="165"/>
      <c r="S320" s="165"/>
      <c r="T320" s="165"/>
      <c r="U320" s="201"/>
      <c r="V320" s="166"/>
      <c r="W320" s="166"/>
      <c r="X320" s="179"/>
      <c r="Y320" s="179"/>
    </row>
    <row r="321" spans="1:25" ht="14.65" customHeight="1">
      <c r="A321" s="49" t="s">
        <v>189</v>
      </c>
      <c r="B321" s="247"/>
      <c r="C321">
        <v>19</v>
      </c>
      <c r="D321">
        <v>5</v>
      </c>
      <c r="E321">
        <v>18</v>
      </c>
      <c r="F321">
        <v>5</v>
      </c>
      <c r="G321">
        <v>16</v>
      </c>
      <c r="H321">
        <v>4</v>
      </c>
      <c r="I321" s="202">
        <v>20</v>
      </c>
      <c r="J321" s="165">
        <v>3</v>
      </c>
      <c r="K321" s="165">
        <v>18.230115361262904</v>
      </c>
      <c r="L321" s="179">
        <v>3.8476451374986831</v>
      </c>
      <c r="M321" s="165"/>
      <c r="N321" s="179"/>
      <c r="O321" s="202"/>
      <c r="P321" s="202"/>
      <c r="Q321" s="202"/>
      <c r="R321" s="165"/>
      <c r="S321" s="165"/>
      <c r="T321" s="165"/>
      <c r="U321" s="201"/>
      <c r="V321" s="166"/>
      <c r="W321" s="166"/>
      <c r="X321" s="179"/>
      <c r="Y321" s="179"/>
    </row>
    <row r="322" spans="1:25" ht="14.65" customHeight="1">
      <c r="A322" s="163" t="s">
        <v>824</v>
      </c>
      <c r="B322" s="247"/>
      <c r="C322">
        <v>24</v>
      </c>
      <c r="D322">
        <v>12</v>
      </c>
      <c r="E322">
        <v>20</v>
      </c>
      <c r="F322">
        <v>9</v>
      </c>
      <c r="G322">
        <v>21</v>
      </c>
      <c r="H322">
        <v>10</v>
      </c>
      <c r="I322" s="202">
        <v>25</v>
      </c>
      <c r="J322" s="165">
        <v>4</v>
      </c>
      <c r="K322" s="165">
        <v>22.586440677966102</v>
      </c>
      <c r="L322" s="179">
        <v>6.982468736911386</v>
      </c>
      <c r="M322" s="165"/>
      <c r="N322" s="179"/>
      <c r="O322" s="202"/>
      <c r="P322" s="202"/>
      <c r="Q322" s="202"/>
      <c r="R322" s="165"/>
      <c r="S322" s="165"/>
      <c r="T322" s="165"/>
      <c r="U322" s="202"/>
      <c r="V322" s="204"/>
      <c r="W322" s="204"/>
      <c r="X322" s="179"/>
      <c r="Y322" s="179"/>
    </row>
    <row r="323" spans="1:25" ht="14.65" customHeight="1">
      <c r="A323" s="163" t="s">
        <v>257</v>
      </c>
      <c r="B323" s="247"/>
      <c r="C323">
        <v>22</v>
      </c>
      <c r="D323">
        <v>11</v>
      </c>
      <c r="E323">
        <v>25</v>
      </c>
      <c r="F323">
        <v>19</v>
      </c>
      <c r="G323">
        <v>25</v>
      </c>
      <c r="H323">
        <v>22</v>
      </c>
      <c r="I323" s="202">
        <v>27</v>
      </c>
      <c r="J323" s="165">
        <v>8</v>
      </c>
      <c r="K323" s="165">
        <v>24.970001456239988</v>
      </c>
      <c r="L323" s="179">
        <v>12.882307711084531</v>
      </c>
      <c r="M323" s="165"/>
      <c r="N323" s="179"/>
      <c r="O323" s="202"/>
      <c r="P323" s="202"/>
      <c r="Q323" s="202"/>
      <c r="R323" s="165"/>
      <c r="S323" s="165"/>
      <c r="T323" s="165"/>
      <c r="U323" s="202"/>
      <c r="V323" s="204"/>
      <c r="W323" s="204"/>
      <c r="X323" s="179"/>
      <c r="Y323" s="179"/>
    </row>
    <row r="324" spans="1:25" ht="14.65" customHeight="1">
      <c r="A324" s="49" t="s">
        <v>190</v>
      </c>
      <c r="B324" s="247"/>
      <c r="C324">
        <v>24</v>
      </c>
      <c r="D324">
        <v>13</v>
      </c>
      <c r="E324">
        <v>21</v>
      </c>
      <c r="F324">
        <v>7</v>
      </c>
      <c r="G324">
        <v>20</v>
      </c>
      <c r="H324">
        <v>8</v>
      </c>
      <c r="I324" s="202">
        <v>22</v>
      </c>
      <c r="J324" s="165">
        <v>5</v>
      </c>
      <c r="K324" s="165">
        <v>21.727380248373745</v>
      </c>
      <c r="L324" s="179">
        <v>7.2132624070603883</v>
      </c>
      <c r="M324" s="165"/>
      <c r="N324" s="179"/>
      <c r="O324" s="202"/>
      <c r="P324" s="202"/>
      <c r="Q324" s="202"/>
      <c r="R324" s="165"/>
      <c r="S324" s="165"/>
      <c r="T324" s="165"/>
      <c r="U324" s="201"/>
      <c r="V324" s="166"/>
      <c r="W324" s="166"/>
      <c r="X324" s="179"/>
      <c r="Y324" s="179"/>
    </row>
    <row r="325" spans="1:25" ht="14.65" customHeight="1">
      <c r="A325" s="163" t="s">
        <v>299</v>
      </c>
      <c r="B325" s="247"/>
      <c r="C325">
        <v>26</v>
      </c>
      <c r="D325">
        <v>8</v>
      </c>
      <c r="E325">
        <v>32</v>
      </c>
      <c r="F325">
        <v>9</v>
      </c>
      <c r="G325">
        <v>36</v>
      </c>
      <c r="H325">
        <v>16</v>
      </c>
      <c r="I325" s="202">
        <v>31</v>
      </c>
      <c r="J325" s="165">
        <v>7</v>
      </c>
      <c r="K325" s="165">
        <v>31.252307692307692</v>
      </c>
      <c r="L325" s="179">
        <v>9.0156986928985319</v>
      </c>
      <c r="M325" s="165"/>
      <c r="N325" s="179"/>
      <c r="O325" s="202"/>
      <c r="P325" s="202"/>
      <c r="Q325" s="202"/>
      <c r="R325" s="165"/>
      <c r="S325" s="165"/>
      <c r="T325" s="165"/>
      <c r="U325" s="201"/>
      <c r="V325" s="166"/>
      <c r="W325" s="166"/>
      <c r="X325" s="179"/>
      <c r="Y325" s="179"/>
    </row>
    <row r="326" spans="1:25" ht="14.65" customHeight="1">
      <c r="A326" s="163" t="s">
        <v>258</v>
      </c>
      <c r="B326" s="247"/>
      <c r="C326">
        <v>27</v>
      </c>
      <c r="D326">
        <v>20</v>
      </c>
      <c r="E326">
        <v>21</v>
      </c>
      <c r="F326">
        <v>18</v>
      </c>
      <c r="G326">
        <v>17</v>
      </c>
      <c r="H326">
        <v>18</v>
      </c>
      <c r="I326" s="202">
        <v>13</v>
      </c>
      <c r="J326" s="165">
        <v>4</v>
      </c>
      <c r="K326" s="165">
        <v>19.216049382716051</v>
      </c>
      <c r="L326" s="179">
        <v>12.234299488226842</v>
      </c>
      <c r="M326" s="165"/>
      <c r="N326" s="179"/>
      <c r="O326" s="202"/>
      <c r="P326" s="202"/>
      <c r="Q326" s="202"/>
      <c r="R326" s="165"/>
      <c r="S326" s="165"/>
      <c r="T326" s="165"/>
      <c r="U326" s="201"/>
      <c r="V326" s="166"/>
      <c r="W326" s="166"/>
      <c r="X326" s="179"/>
      <c r="Y326" s="179"/>
    </row>
    <row r="327" spans="1:25" ht="14.65" customHeight="1">
      <c r="A327" s="163" t="s">
        <v>191</v>
      </c>
      <c r="B327" s="247"/>
      <c r="C327">
        <v>20</v>
      </c>
      <c r="D327">
        <v>9</v>
      </c>
      <c r="E327">
        <v>19</v>
      </c>
      <c r="F327">
        <v>8</v>
      </c>
      <c r="G327">
        <v>15</v>
      </c>
      <c r="H327">
        <v>9</v>
      </c>
      <c r="I327" s="202">
        <v>15</v>
      </c>
      <c r="J327" s="165">
        <v>5</v>
      </c>
      <c r="K327" s="165">
        <v>17.275945017182131</v>
      </c>
      <c r="L327" s="179">
        <v>6.9772429674448002</v>
      </c>
      <c r="M327" s="165"/>
      <c r="N327" s="179"/>
      <c r="O327" s="202"/>
      <c r="P327" s="202"/>
      <c r="Q327" s="202"/>
      <c r="R327" s="165"/>
      <c r="S327" s="165"/>
      <c r="T327" s="165"/>
      <c r="U327" s="202"/>
      <c r="V327" s="166"/>
      <c r="W327" s="166"/>
      <c r="X327" s="179"/>
      <c r="Y327" s="179"/>
    </row>
    <row r="328" spans="1:25" ht="14.65" customHeight="1">
      <c r="A328" s="49" t="s">
        <v>192</v>
      </c>
      <c r="B328" s="247"/>
      <c r="C328">
        <v>25</v>
      </c>
      <c r="D328">
        <v>12</v>
      </c>
      <c r="E328">
        <v>26</v>
      </c>
      <c r="F328">
        <v>12</v>
      </c>
      <c r="G328">
        <v>23</v>
      </c>
      <c r="H328">
        <v>14</v>
      </c>
      <c r="I328" s="202">
        <v>19</v>
      </c>
      <c r="J328" s="165">
        <v>4</v>
      </c>
      <c r="K328" s="165">
        <v>23.204412989175687</v>
      </c>
      <c r="L328" s="179">
        <v>8.8120669599959545</v>
      </c>
      <c r="M328" s="165"/>
      <c r="N328" s="179"/>
      <c r="O328" s="202"/>
      <c r="P328" s="202"/>
      <c r="Q328" s="202"/>
      <c r="R328" s="165"/>
      <c r="S328" s="165"/>
      <c r="T328" s="165"/>
      <c r="U328" s="201"/>
      <c r="V328" s="166"/>
      <c r="W328" s="166"/>
      <c r="X328" s="179"/>
      <c r="Y328" s="179"/>
    </row>
    <row r="329" spans="1:25" ht="14.65" customHeight="1">
      <c r="A329" s="163" t="s">
        <v>193</v>
      </c>
      <c r="B329" s="247"/>
      <c r="C329">
        <v>25</v>
      </c>
      <c r="D329">
        <v>10</v>
      </c>
      <c r="E329">
        <v>21</v>
      </c>
      <c r="F329">
        <v>8</v>
      </c>
      <c r="G329">
        <v>18</v>
      </c>
      <c r="H329">
        <v>9</v>
      </c>
      <c r="I329" s="202">
        <v>17</v>
      </c>
      <c r="J329" s="165">
        <v>4</v>
      </c>
      <c r="K329" s="165">
        <v>20.303770578863517</v>
      </c>
      <c r="L329" s="179">
        <v>6.5498787571194947</v>
      </c>
      <c r="M329" s="165"/>
      <c r="N329" s="179"/>
      <c r="O329" s="202"/>
      <c r="P329" s="202"/>
      <c r="Q329" s="202"/>
      <c r="R329" s="165"/>
      <c r="S329" s="165"/>
      <c r="T329" s="165"/>
      <c r="U329" s="202"/>
      <c r="V329" s="204"/>
      <c r="W329" s="204"/>
      <c r="X329" s="179"/>
      <c r="Y329" s="179"/>
    </row>
    <row r="330" spans="1:25" ht="14.65" customHeight="1">
      <c r="A330" s="163" t="s">
        <v>194</v>
      </c>
      <c r="B330" s="247"/>
      <c r="C330">
        <v>16</v>
      </c>
      <c r="D330">
        <v>12</v>
      </c>
      <c r="E330">
        <v>16</v>
      </c>
      <c r="F330">
        <v>10</v>
      </c>
      <c r="G330">
        <v>17</v>
      </c>
      <c r="H330">
        <v>13</v>
      </c>
      <c r="I330" s="202">
        <v>24</v>
      </c>
      <c r="J330" s="165">
        <v>7</v>
      </c>
      <c r="K330" s="165">
        <v>17.977191413237925</v>
      </c>
      <c r="L330" s="179">
        <v>9.6827120822622099</v>
      </c>
      <c r="M330" s="165"/>
      <c r="N330" s="179"/>
      <c r="O330" s="202"/>
      <c r="P330" s="202"/>
      <c r="Q330" s="202"/>
      <c r="R330" s="165"/>
      <c r="S330" s="165"/>
      <c r="T330" s="165"/>
      <c r="U330" s="202"/>
      <c r="V330" s="204"/>
      <c r="W330" s="204"/>
      <c r="X330" s="179"/>
      <c r="Y330" s="179"/>
    </row>
    <row r="331" spans="1:25" ht="14.65" customHeight="1">
      <c r="A331" s="163" t="s">
        <v>195</v>
      </c>
      <c r="B331" s="247"/>
      <c r="C331">
        <v>14</v>
      </c>
      <c r="D331">
        <v>3</v>
      </c>
      <c r="E331">
        <v>17</v>
      </c>
      <c r="F331">
        <v>3</v>
      </c>
      <c r="G331">
        <v>16</v>
      </c>
      <c r="H331">
        <v>3</v>
      </c>
      <c r="I331" s="202">
        <v>18</v>
      </c>
      <c r="J331" s="165">
        <v>2</v>
      </c>
      <c r="K331" s="165">
        <v>16.436132983377078</v>
      </c>
      <c r="L331" s="179">
        <v>2.8454072904329517</v>
      </c>
      <c r="M331" s="165"/>
      <c r="N331" s="179"/>
      <c r="O331" s="202"/>
      <c r="P331" s="202"/>
      <c r="Q331" s="202"/>
      <c r="R331" s="165"/>
      <c r="S331" s="165"/>
      <c r="T331" s="165"/>
      <c r="U331" s="202"/>
      <c r="V331" s="204"/>
      <c r="W331" s="204"/>
      <c r="X331" s="179"/>
      <c r="Y331" s="179"/>
    </row>
    <row r="332" spans="1:25" ht="14.65" customHeight="1">
      <c r="A332" s="49" t="s">
        <v>196</v>
      </c>
      <c r="B332" s="247"/>
      <c r="C332">
        <v>18</v>
      </c>
      <c r="D332">
        <v>6</v>
      </c>
      <c r="E332">
        <v>21</v>
      </c>
      <c r="F332">
        <v>6</v>
      </c>
      <c r="G332">
        <v>22</v>
      </c>
      <c r="H332">
        <v>6</v>
      </c>
      <c r="I332" s="202">
        <v>23</v>
      </c>
      <c r="J332" s="165">
        <v>3</v>
      </c>
      <c r="K332" s="165">
        <v>20.913682277318642</v>
      </c>
      <c r="L332" s="179">
        <v>4.7471072541165995</v>
      </c>
      <c r="M332" s="165"/>
      <c r="N332" s="179"/>
      <c r="O332" s="202"/>
      <c r="P332" s="202"/>
      <c r="Q332" s="202"/>
      <c r="R332" s="165"/>
      <c r="S332" s="165"/>
      <c r="T332" s="165"/>
      <c r="U332" s="201"/>
      <c r="V332" s="166"/>
      <c r="W332" s="166"/>
      <c r="X332" s="179"/>
      <c r="Y332" s="179"/>
    </row>
    <row r="333" spans="1:25" ht="14.65" customHeight="1">
      <c r="A333" s="163" t="s">
        <v>300</v>
      </c>
      <c r="B333" s="247"/>
      <c r="C333">
        <v>37</v>
      </c>
      <c r="D333">
        <v>11</v>
      </c>
      <c r="E333">
        <v>42</v>
      </c>
      <c r="F333">
        <v>15</v>
      </c>
      <c r="G333">
        <v>37</v>
      </c>
      <c r="H333">
        <v>14</v>
      </c>
      <c r="I333" s="202">
        <v>20</v>
      </c>
      <c r="J333" s="165">
        <v>4</v>
      </c>
      <c r="K333" s="165">
        <v>33.983560090702944</v>
      </c>
      <c r="L333" s="179">
        <v>9.3567520058971958</v>
      </c>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DF31B-EABD-4C29-80BF-7F073AC4F718}">
  <ds:schemaRefs>
    <ds:schemaRef ds:uri="http://purl.org/dc/terms/"/>
    <ds:schemaRef ds:uri="http://schemas.openxmlformats.org/package/2006/metadata/core-properties"/>
    <ds:schemaRef ds:uri="c0c43d4d-b7da-4a2b-8f97-25182fb94a41"/>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C1CCDE7-B665-4C73-A4BE-FF3F0DA6E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B9C065-EA21-4598-A07D-276945FFD3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2014-10-27T16:23:43Z</dcterms:created>
  <dcterms:modified xsi:type="dcterms:W3CDTF">2014-10-27T16:23:43Z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