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14" documentId="8_{70BE266D-E372-4EFC-B6A1-FC83B367BBF4}" xr6:coauthVersionLast="45" xr6:coauthVersionMax="45" xr10:uidLastSave="{FB5CE6DC-EC3C-4613-95E8-9E436A41AE59}"/>
  <workbookProtection workbookAlgorithmName="SHA-512" workbookHashValue="rbSigz15kEJdTNtmU1ma/FYe4F/DOH9cEluT0/0xKj9znFTkcI3DDGSSrL113LYsMu7GqI2qsBrqK+gzZ6qeGA==" workbookSaltValue="QRfYs6rK+HKdQRpT6ttATw==" workbookSpinCount="100000" lockStructure="1"/>
  <bookViews>
    <workbookView xWindow="30165" yWindow="1845" windowWidth="23565" windowHeight="18315"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8" i="16" l="1"/>
  <c r="I368" i="16" s="1"/>
  <c r="H367" i="16"/>
  <c r="I367" i="16" s="1"/>
  <c r="H366" i="16"/>
  <c r="I366" i="16" s="1"/>
  <c r="H365" i="16"/>
  <c r="I365" i="16" s="1"/>
  <c r="H364" i="16"/>
  <c r="I364" i="16" s="1"/>
  <c r="H363" i="16"/>
  <c r="I363" i="16" s="1"/>
  <c r="H361" i="16"/>
  <c r="I361" i="16" s="1"/>
  <c r="H360" i="16"/>
  <c r="I360" i="16" s="1"/>
  <c r="H359" i="16"/>
  <c r="I359" i="16" s="1"/>
  <c r="H358" i="16"/>
  <c r="I358" i="16" s="1"/>
  <c r="H357" i="16"/>
  <c r="I357" i="16" s="1"/>
  <c r="H356" i="16"/>
  <c r="I356" i="16" s="1"/>
  <c r="H355" i="16"/>
  <c r="I355" i="16" s="1"/>
  <c r="H354" i="16"/>
  <c r="I354" i="16" s="1"/>
  <c r="H353" i="16"/>
  <c r="I353" i="16" s="1"/>
  <c r="H352" i="16"/>
  <c r="I352" i="16" s="1"/>
  <c r="H351" i="16"/>
  <c r="I351" i="16" s="1"/>
  <c r="H349" i="16"/>
  <c r="I349" i="16" s="1"/>
  <c r="H348" i="16"/>
  <c r="I348" i="16" s="1"/>
  <c r="H347" i="16"/>
  <c r="I347" i="16" s="1"/>
  <c r="H346" i="16"/>
  <c r="I346" i="16" s="1"/>
  <c r="H345" i="16"/>
  <c r="I345" i="16" s="1"/>
  <c r="H344" i="16"/>
  <c r="I344" i="16" s="1"/>
  <c r="H343" i="16"/>
  <c r="I343" i="16" s="1"/>
  <c r="H342" i="16"/>
  <c r="I342" i="16" s="1"/>
  <c r="H341" i="16"/>
  <c r="I341" i="16" s="1"/>
  <c r="H340" i="16"/>
  <c r="I340" i="16" s="1"/>
  <c r="H339" i="16"/>
  <c r="I339" i="16" s="1"/>
  <c r="H338" i="16"/>
  <c r="I338" i="16" s="1"/>
  <c r="H337" i="16"/>
  <c r="I337" i="16" s="1"/>
  <c r="H336" i="16"/>
  <c r="I336" i="16" s="1"/>
  <c r="H334" i="16"/>
  <c r="I334" i="16" s="1"/>
  <c r="H333" i="16"/>
  <c r="I333" i="16" s="1"/>
  <c r="H332" i="16"/>
  <c r="I332" i="16" s="1"/>
  <c r="H331" i="16"/>
  <c r="I331" i="16" s="1"/>
  <c r="H330" i="16"/>
  <c r="I330" i="16" s="1"/>
  <c r="H329" i="16"/>
  <c r="I329" i="16" s="1"/>
  <c r="H328" i="16"/>
  <c r="I328" i="16" s="1"/>
  <c r="H327" i="16"/>
  <c r="I327" i="16" s="1"/>
  <c r="H326" i="16"/>
  <c r="I326" i="16" s="1"/>
  <c r="H325" i="16"/>
  <c r="I325" i="16" s="1"/>
  <c r="H324" i="16"/>
  <c r="I324" i="16" s="1"/>
  <c r="H323" i="16"/>
  <c r="I323" i="16" s="1"/>
  <c r="H322" i="16"/>
  <c r="I322" i="16" s="1"/>
  <c r="H321" i="16"/>
  <c r="I321" i="16" s="1"/>
  <c r="H320" i="16"/>
  <c r="I320" i="16" s="1"/>
  <c r="H319" i="16"/>
  <c r="I319" i="16" s="1"/>
  <c r="H318" i="16"/>
  <c r="I318" i="16" s="1"/>
  <c r="H317" i="16"/>
  <c r="I317" i="16" s="1"/>
  <c r="H316" i="16"/>
  <c r="I316" i="16" s="1"/>
  <c r="H315" i="16"/>
  <c r="I315" i="16" s="1"/>
  <c r="H314" i="16"/>
  <c r="I314" i="16" s="1"/>
  <c r="H313" i="16"/>
  <c r="I313" i="16" s="1"/>
  <c r="H312" i="16"/>
  <c r="I312" i="16" s="1"/>
  <c r="H311" i="16"/>
  <c r="I311" i="16" s="1"/>
  <c r="H310" i="16"/>
  <c r="I310" i="16" s="1"/>
  <c r="H309" i="16"/>
  <c r="I309" i="16" s="1"/>
  <c r="H308" i="16"/>
  <c r="I308" i="16" s="1"/>
  <c r="H307" i="16"/>
  <c r="I307" i="16" s="1"/>
  <c r="H306" i="16"/>
  <c r="I306" i="16" s="1"/>
  <c r="H305" i="16"/>
  <c r="I305" i="16" s="1"/>
  <c r="H303" i="16"/>
  <c r="I303" i="16" s="1"/>
  <c r="H302" i="16"/>
  <c r="I302" i="16" s="1"/>
  <c r="H300" i="16"/>
  <c r="I300" i="16" s="1"/>
  <c r="H299" i="16"/>
  <c r="I299" i="16" s="1"/>
  <c r="H298" i="16"/>
  <c r="I298" i="16" s="1"/>
  <c r="H297" i="16"/>
  <c r="I297" i="16" s="1"/>
  <c r="H296" i="16"/>
  <c r="I296" i="16" s="1"/>
  <c r="H295" i="16"/>
  <c r="I295" i="16" s="1"/>
  <c r="H294" i="16"/>
  <c r="I294" i="16" s="1"/>
  <c r="H292" i="16"/>
  <c r="I292" i="16" s="1"/>
  <c r="H291" i="16"/>
  <c r="I291" i="16" s="1"/>
  <c r="H290" i="16"/>
  <c r="I290" i="16" s="1"/>
  <c r="H289" i="16"/>
  <c r="I289" i="16" s="1"/>
  <c r="H288" i="16"/>
  <c r="I288" i="16" s="1"/>
  <c r="H287" i="16"/>
  <c r="I287" i="16" s="1"/>
  <c r="H286" i="16"/>
  <c r="I286" i="16" s="1"/>
  <c r="H285" i="16"/>
  <c r="I285" i="16" s="1"/>
  <c r="H284" i="16"/>
  <c r="I284" i="16" s="1"/>
  <c r="H283" i="16"/>
  <c r="I283" i="16" s="1"/>
  <c r="H282" i="16"/>
  <c r="I282" i="16" s="1"/>
  <c r="H281" i="16"/>
  <c r="I281" i="16" s="1"/>
  <c r="H280" i="16"/>
  <c r="I280" i="16" s="1"/>
  <c r="H279" i="16"/>
  <c r="I279" i="16" s="1"/>
  <c r="H278" i="16"/>
  <c r="I278" i="16" s="1"/>
  <c r="H277" i="16"/>
  <c r="I277" i="16" s="1"/>
  <c r="H276" i="16"/>
  <c r="I276" i="16" s="1"/>
  <c r="H275" i="16"/>
  <c r="I275" i="16" s="1"/>
  <c r="H274" i="16"/>
  <c r="I274" i="16" s="1"/>
  <c r="H273" i="16"/>
  <c r="I273" i="16" s="1"/>
  <c r="H272" i="16"/>
  <c r="I272" i="16" s="1"/>
  <c r="H271" i="16"/>
  <c r="I271" i="16" s="1"/>
  <c r="H270" i="16"/>
  <c r="I270" i="16" s="1"/>
  <c r="H269" i="16"/>
  <c r="I269" i="16" s="1"/>
  <c r="H267" i="16"/>
  <c r="I267" i="16" s="1"/>
  <c r="H266" i="16"/>
  <c r="I266" i="16" s="1"/>
  <c r="H265" i="16"/>
  <c r="I265" i="16" s="1"/>
  <c r="H264" i="16"/>
  <c r="I264" i="16" s="1"/>
  <c r="H263" i="16"/>
  <c r="I263" i="16" s="1"/>
  <c r="H262" i="16"/>
  <c r="I262" i="16" s="1"/>
  <c r="H261" i="16"/>
  <c r="I261" i="16" s="1"/>
  <c r="H260" i="16"/>
  <c r="I260" i="16" s="1"/>
  <c r="H259" i="16"/>
  <c r="I259" i="16" s="1"/>
  <c r="H258" i="16"/>
  <c r="I258" i="16" s="1"/>
  <c r="H257" i="16"/>
  <c r="I257" i="16" s="1"/>
  <c r="H256" i="16"/>
  <c r="I256" i="16" s="1"/>
  <c r="H255" i="16"/>
  <c r="I255" i="16" s="1"/>
  <c r="H254" i="16"/>
  <c r="I254" i="16" s="1"/>
  <c r="H253" i="16"/>
  <c r="I253" i="16" s="1"/>
  <c r="H252" i="16"/>
  <c r="I252" i="16" s="1"/>
  <c r="H251" i="16"/>
  <c r="I251" i="16" s="1"/>
  <c r="H250" i="16"/>
  <c r="I250" i="16" s="1"/>
  <c r="H249" i="16"/>
  <c r="I249" i="16" s="1"/>
  <c r="H248" i="16"/>
  <c r="I248" i="16" s="1"/>
  <c r="H247" i="16"/>
  <c r="I247" i="16" s="1"/>
  <c r="H246" i="16"/>
  <c r="I246" i="16" s="1"/>
  <c r="H245" i="16"/>
  <c r="I245" i="16" s="1"/>
  <c r="H244" i="16"/>
  <c r="I244" i="16" s="1"/>
  <c r="H243" i="16"/>
  <c r="I243" i="16" s="1"/>
  <c r="H242" i="16"/>
  <c r="I242" i="16" s="1"/>
  <c r="H241" i="16"/>
  <c r="I241" i="16" s="1"/>
  <c r="H240" i="16"/>
  <c r="I240" i="16" s="1"/>
  <c r="H239" i="16"/>
  <c r="I239" i="16" s="1"/>
  <c r="H238" i="16"/>
  <c r="I238" i="16" s="1"/>
  <c r="H237" i="16"/>
  <c r="I237" i="16" s="1"/>
  <c r="H236" i="16"/>
  <c r="I236" i="16" s="1"/>
  <c r="H235" i="16"/>
  <c r="I235" i="16" s="1"/>
  <c r="H234" i="16"/>
  <c r="I234" i="16" s="1"/>
  <c r="H233" i="16"/>
  <c r="I233" i="16" s="1"/>
  <c r="H232" i="16"/>
  <c r="I232" i="16" s="1"/>
  <c r="H231" i="16"/>
  <c r="I231" i="16" s="1"/>
  <c r="H230" i="16"/>
  <c r="I230" i="16" s="1"/>
  <c r="H228" i="16"/>
  <c r="I228" i="16" s="1"/>
  <c r="H227" i="16"/>
  <c r="I227" i="16" s="1"/>
  <c r="H226" i="16"/>
  <c r="I226" i="16" s="1"/>
  <c r="H225" i="16"/>
  <c r="I225" i="16" s="1"/>
  <c r="H223" i="16"/>
  <c r="I223" i="16" s="1"/>
  <c r="H222" i="16"/>
  <c r="I222" i="16" s="1"/>
  <c r="H221" i="16"/>
  <c r="I221" i="16" s="1"/>
  <c r="H219" i="16"/>
  <c r="I219" i="16" s="1"/>
  <c r="H217" i="16"/>
  <c r="I217" i="16" s="1"/>
  <c r="H216" i="16"/>
  <c r="I216" i="16" s="1"/>
  <c r="H215" i="16"/>
  <c r="I215" i="16" s="1"/>
  <c r="H214" i="16"/>
  <c r="I214" i="16" s="1"/>
  <c r="H213" i="16"/>
  <c r="I213" i="16" s="1"/>
  <c r="H212" i="16"/>
  <c r="I212" i="16" s="1"/>
  <c r="H211" i="16"/>
  <c r="I211" i="16" s="1"/>
  <c r="H210" i="16"/>
  <c r="I210" i="16" s="1"/>
  <c r="H209" i="16"/>
  <c r="I209" i="16" s="1"/>
  <c r="H208" i="16"/>
  <c r="I208" i="16" s="1"/>
  <c r="H207" i="16"/>
  <c r="I207" i="16" s="1"/>
  <c r="H206" i="16"/>
  <c r="I206" i="16" s="1"/>
  <c r="H204" i="16"/>
  <c r="I204" i="16" s="1"/>
  <c r="H203" i="16"/>
  <c r="I203" i="16" s="1"/>
  <c r="H202" i="16"/>
  <c r="I202" i="16" s="1"/>
  <c r="H201" i="16"/>
  <c r="I201" i="16" s="1"/>
  <c r="H200" i="16"/>
  <c r="I200" i="16" s="1"/>
  <c r="H199" i="16"/>
  <c r="I199" i="16" s="1"/>
  <c r="H198" i="16"/>
  <c r="I198" i="16" s="1"/>
  <c r="H197" i="16"/>
  <c r="I197" i="16" s="1"/>
  <c r="H196" i="16"/>
  <c r="I196" i="16" s="1"/>
  <c r="H195" i="16"/>
  <c r="I195" i="16" s="1"/>
  <c r="H194" i="16"/>
  <c r="I194" i="16" s="1"/>
  <c r="H193" i="16"/>
  <c r="I193" i="16" s="1"/>
  <c r="H192" i="16"/>
  <c r="I192" i="16" s="1"/>
  <c r="H191" i="16"/>
  <c r="I191" i="16" s="1"/>
  <c r="H190" i="16"/>
  <c r="I190" i="16" s="1"/>
  <c r="H189" i="16"/>
  <c r="I189" i="16" s="1"/>
  <c r="H188" i="16"/>
  <c r="I188" i="16" s="1"/>
  <c r="H187" i="16"/>
  <c r="I187" i="16" s="1"/>
  <c r="H186" i="16"/>
  <c r="I186" i="16" s="1"/>
  <c r="H185" i="16"/>
  <c r="I185" i="16" s="1"/>
  <c r="H184" i="16"/>
  <c r="I184" i="16" s="1"/>
  <c r="H183" i="16"/>
  <c r="I183" i="16" s="1"/>
  <c r="H181" i="16"/>
  <c r="I181" i="16" s="1"/>
  <c r="H180" i="16"/>
  <c r="I180" i="16" s="1"/>
  <c r="H179" i="16"/>
  <c r="I179" i="16" s="1"/>
  <c r="H178" i="16"/>
  <c r="I178" i="16" s="1"/>
  <c r="H176" i="16"/>
  <c r="I176" i="16" s="1"/>
  <c r="H175" i="16"/>
  <c r="I175" i="16" s="1"/>
  <c r="H174" i="16"/>
  <c r="I174" i="16" s="1"/>
  <c r="H172" i="16"/>
  <c r="I172" i="16" s="1"/>
  <c r="H171" i="16"/>
  <c r="I171" i="16" s="1"/>
  <c r="H170" i="16"/>
  <c r="I170" i="16" s="1"/>
  <c r="H169" i="16"/>
  <c r="I169" i="16" s="1"/>
  <c r="H168" i="16"/>
  <c r="I168" i="16" s="1"/>
  <c r="H167" i="16"/>
  <c r="I167" i="16" s="1"/>
  <c r="H166" i="16"/>
  <c r="I166" i="16" s="1"/>
  <c r="H164" i="16"/>
  <c r="I164" i="16" s="1"/>
  <c r="H163" i="16"/>
  <c r="I163" i="16" s="1"/>
  <c r="H162" i="16"/>
  <c r="I162" i="16" s="1"/>
  <c r="H161" i="16"/>
  <c r="I161" i="16" s="1"/>
  <c r="H160" i="16"/>
  <c r="I160" i="16" s="1"/>
  <c r="H159" i="16"/>
  <c r="I159" i="16" s="1"/>
  <c r="H158" i="16"/>
  <c r="I158" i="16" s="1"/>
  <c r="H157" i="16"/>
  <c r="I157" i="16" s="1"/>
  <c r="H156" i="16"/>
  <c r="I156" i="16" s="1"/>
  <c r="H155" i="16"/>
  <c r="I155" i="16" s="1"/>
  <c r="H154" i="16"/>
  <c r="I154" i="16" s="1"/>
  <c r="H153" i="16"/>
  <c r="I153" i="16" s="1"/>
  <c r="H152" i="16"/>
  <c r="I152" i="16" s="1"/>
  <c r="H150" i="16"/>
  <c r="I150" i="16" s="1"/>
  <c r="H149" i="16"/>
  <c r="I149" i="16" s="1"/>
  <c r="H148" i="16"/>
  <c r="I148" i="16" s="1"/>
  <c r="H147" i="16"/>
  <c r="I147" i="16" s="1"/>
  <c r="H146" i="16"/>
  <c r="I146" i="16" s="1"/>
  <c r="H145" i="16"/>
  <c r="I145" i="16" s="1"/>
  <c r="H144" i="16"/>
  <c r="I144" i="16" s="1"/>
  <c r="H143" i="16"/>
  <c r="I143" i="16" s="1"/>
  <c r="H142" i="16"/>
  <c r="I142" i="16" s="1"/>
  <c r="H141" i="16"/>
  <c r="I141" i="16" s="1"/>
  <c r="H140" i="16"/>
  <c r="I140" i="16" s="1"/>
  <c r="H138" i="16"/>
  <c r="I138" i="16" s="1"/>
  <c r="H137" i="16"/>
  <c r="I137" i="16" s="1"/>
  <c r="H136" i="16"/>
  <c r="I136" i="16" s="1"/>
  <c r="H135" i="16"/>
  <c r="I135" i="16" s="1"/>
  <c r="H134" i="16"/>
  <c r="I134" i="16" s="1"/>
  <c r="H133" i="16"/>
  <c r="I133" i="16" s="1"/>
  <c r="H132" i="16"/>
  <c r="I132" i="16" s="1"/>
  <c r="H131" i="16"/>
  <c r="I131" i="16" s="1"/>
  <c r="H130" i="16"/>
  <c r="I130" i="16" s="1"/>
  <c r="H128" i="16"/>
  <c r="I128" i="16" s="1"/>
  <c r="H127" i="16"/>
  <c r="I127" i="16" s="1"/>
  <c r="H126" i="16"/>
  <c r="I126" i="16" s="1"/>
  <c r="H125" i="16"/>
  <c r="I125" i="16" s="1"/>
  <c r="H124" i="16"/>
  <c r="I124" i="16" s="1"/>
  <c r="H123" i="16"/>
  <c r="I123" i="16" s="1"/>
  <c r="H122" i="16"/>
  <c r="I122" i="16" s="1"/>
  <c r="H121" i="16"/>
  <c r="I121" i="16" s="1"/>
  <c r="H120" i="16"/>
  <c r="I120" i="16" s="1"/>
  <c r="H118" i="16"/>
  <c r="I118" i="16" s="1"/>
  <c r="H117" i="16"/>
  <c r="I117" i="16" s="1"/>
  <c r="H116" i="16"/>
  <c r="I116" i="16" s="1"/>
  <c r="H115" i="16"/>
  <c r="I115" i="16" s="1"/>
  <c r="H114" i="16"/>
  <c r="I114" i="16" s="1"/>
  <c r="H113" i="16"/>
  <c r="I113" i="16" s="1"/>
  <c r="H112" i="16"/>
  <c r="I112" i="16" s="1"/>
  <c r="H111" i="16"/>
  <c r="I111" i="16" s="1"/>
  <c r="H109" i="16"/>
  <c r="I109" i="16" s="1"/>
  <c r="H108" i="16"/>
  <c r="I108" i="16" s="1"/>
  <c r="H107" i="16"/>
  <c r="I107" i="16" s="1"/>
  <c r="H106" i="16"/>
  <c r="I106" i="16" s="1"/>
  <c r="H105" i="16"/>
  <c r="I105" i="16" s="1"/>
  <c r="H104" i="16"/>
  <c r="I104" i="16" s="1"/>
  <c r="H103" i="16"/>
  <c r="I103" i="16" s="1"/>
  <c r="H102" i="16"/>
  <c r="I102" i="16" s="1"/>
  <c r="H101" i="16"/>
  <c r="I101" i="16" s="1"/>
  <c r="H100" i="16"/>
  <c r="I100" i="16" s="1"/>
  <c r="H99" i="16"/>
  <c r="I99" i="16" s="1"/>
  <c r="H98" i="16"/>
  <c r="I98" i="16" s="1"/>
  <c r="H97" i="16"/>
  <c r="I97" i="16" s="1"/>
  <c r="H96" i="16"/>
  <c r="I96" i="16" s="1"/>
  <c r="H95" i="16"/>
  <c r="I95" i="16" s="1"/>
  <c r="H93" i="16"/>
  <c r="I93" i="16" s="1"/>
  <c r="H91" i="16"/>
  <c r="I91" i="16" s="1"/>
  <c r="H89" i="16"/>
  <c r="I89" i="16" s="1"/>
  <c r="H88" i="16"/>
  <c r="I88" i="16" s="1"/>
  <c r="H87" i="16"/>
  <c r="I87" i="16" s="1"/>
  <c r="H86" i="16"/>
  <c r="I86" i="16" s="1"/>
  <c r="H85" i="16"/>
  <c r="I85" i="16" s="1"/>
  <c r="H83" i="16"/>
  <c r="I83" i="16" s="1"/>
  <c r="H82" i="16"/>
  <c r="I82" i="16" s="1"/>
  <c r="H81" i="16"/>
  <c r="I81" i="16" s="1"/>
  <c r="H80" i="16"/>
  <c r="I80" i="16" s="1"/>
  <c r="H79" i="16"/>
  <c r="I79" i="16" s="1"/>
  <c r="H78" i="16"/>
  <c r="I78" i="16" s="1"/>
  <c r="H77" i="16"/>
  <c r="I77" i="16" s="1"/>
  <c r="H76" i="16"/>
  <c r="I76" i="16" s="1"/>
  <c r="H75" i="16"/>
  <c r="I75" i="16" s="1"/>
  <c r="H74" i="16"/>
  <c r="I74" i="16" s="1"/>
  <c r="H73" i="16"/>
  <c r="I73" i="16" s="1"/>
  <c r="H72" i="16"/>
  <c r="I72" i="16" s="1"/>
  <c r="H71" i="16"/>
  <c r="I71" i="16" s="1"/>
  <c r="H70" i="16"/>
  <c r="I70" i="16" s="1"/>
  <c r="H69" i="16"/>
  <c r="I69" i="16" s="1"/>
  <c r="H68" i="16"/>
  <c r="I68" i="16" s="1"/>
  <c r="H67" i="16"/>
  <c r="I67" i="16" s="1"/>
  <c r="H66" i="16"/>
  <c r="I66" i="16" s="1"/>
  <c r="H65" i="16"/>
  <c r="I65" i="16" s="1"/>
  <c r="H64" i="16"/>
  <c r="I64" i="16" s="1"/>
  <c r="H63" i="16"/>
  <c r="I63" i="16" s="1"/>
  <c r="H62" i="16"/>
  <c r="I62" i="16" s="1"/>
  <c r="H61" i="16"/>
  <c r="I61" i="16" s="1"/>
  <c r="H60" i="16"/>
  <c r="I60" i="16" s="1"/>
  <c r="H59" i="16"/>
  <c r="I59" i="16" s="1"/>
  <c r="H58" i="16"/>
  <c r="I58" i="16" s="1"/>
  <c r="H57" i="16"/>
  <c r="I57" i="16" s="1"/>
  <c r="H55" i="16"/>
  <c r="I55" i="16" s="1"/>
  <c r="H54" i="16"/>
  <c r="I54" i="16" s="1"/>
  <c r="H53" i="16"/>
  <c r="I53" i="16" s="1"/>
  <c r="H52" i="16"/>
  <c r="I52" i="16" s="1"/>
  <c r="H50" i="16"/>
  <c r="I50" i="16" s="1"/>
  <c r="H49" i="16"/>
  <c r="I49" i="16" s="1"/>
  <c r="H48" i="16"/>
  <c r="I48" i="16" s="1"/>
  <c r="H47" i="16"/>
  <c r="I47" i="16" s="1"/>
  <c r="H46" i="16"/>
  <c r="I46" i="16" s="1"/>
  <c r="H45" i="16"/>
  <c r="I45" i="16" s="1"/>
  <c r="H44" i="16"/>
  <c r="I44" i="16" s="1"/>
  <c r="H43" i="16"/>
  <c r="I43" i="16" s="1"/>
  <c r="H42" i="16"/>
  <c r="I42" i="16" s="1"/>
  <c r="H41" i="16"/>
  <c r="I41" i="16" s="1"/>
  <c r="H40" i="16"/>
  <c r="I40" i="16" s="1"/>
  <c r="H39" i="16"/>
  <c r="I39" i="16" s="1"/>
  <c r="H38" i="16"/>
  <c r="I38" i="16" s="1"/>
  <c r="H37" i="16"/>
  <c r="I37" i="16" s="1"/>
  <c r="H36" i="16"/>
  <c r="I36" i="16" s="1"/>
  <c r="H35" i="16"/>
  <c r="I35" i="16" s="1"/>
  <c r="H34" i="16"/>
  <c r="I34" i="16" s="1"/>
  <c r="H33" i="16"/>
  <c r="I33" i="16" s="1"/>
  <c r="H32" i="16"/>
  <c r="I32" i="16" s="1"/>
  <c r="H31" i="16"/>
  <c r="I31" i="16" s="1"/>
  <c r="H30" i="16"/>
  <c r="I30" i="16" s="1"/>
  <c r="H29" i="16"/>
  <c r="I29" i="16" s="1"/>
  <c r="H28" i="16"/>
  <c r="I28" i="16" s="1"/>
  <c r="H27" i="16"/>
  <c r="I27" i="16" s="1"/>
  <c r="H26" i="16"/>
  <c r="I26" i="16" s="1"/>
  <c r="H25" i="16"/>
  <c r="I25" i="16" s="1"/>
  <c r="H24" i="16"/>
  <c r="I24" i="16" s="1"/>
  <c r="H23" i="16"/>
  <c r="I23" i="16" s="1"/>
  <c r="H22" i="16"/>
  <c r="I22" i="16" s="1"/>
  <c r="H21" i="16"/>
  <c r="I21" i="16" s="1"/>
  <c r="H20" i="16"/>
  <c r="I20" i="16" s="1"/>
  <c r="H19" i="16"/>
  <c r="I19" i="16" s="1"/>
  <c r="H18" i="16"/>
  <c r="I18" i="16" s="1"/>
  <c r="H17" i="16"/>
  <c r="I17" i="16" s="1"/>
  <c r="H16" i="16"/>
  <c r="I16" i="16" s="1"/>
  <c r="H15" i="16"/>
  <c r="I15" i="16" s="1"/>
  <c r="H14" i="16"/>
  <c r="I14" i="16" s="1"/>
  <c r="H13" i="16"/>
  <c r="I13" i="16" s="1"/>
  <c r="H12" i="16"/>
  <c r="I12" i="16" s="1"/>
  <c r="H11" i="16"/>
  <c r="I11" i="16" s="1"/>
  <c r="D364" i="16"/>
  <c r="E364" i="16"/>
  <c r="Y364" i="16"/>
  <c r="D365" i="16"/>
  <c r="E365" i="16"/>
  <c r="Y365" i="16"/>
  <c r="D366" i="16"/>
  <c r="E366" i="16"/>
  <c r="Y366" i="16"/>
  <c r="D367" i="16"/>
  <c r="E367" i="16"/>
  <c r="Y367" i="16"/>
  <c r="D368" i="16"/>
  <c r="E368" i="16"/>
  <c r="Y368" i="16"/>
  <c r="A368" i="16"/>
  <c r="A367" i="16"/>
  <c r="A366" i="16"/>
  <c r="A365" i="16"/>
  <c r="A364" i="16"/>
  <c r="B340" i="11"/>
  <c r="A340" i="11"/>
  <c r="B260" i="11"/>
  <c r="A260" i="11"/>
  <c r="B100" i="11"/>
  <c r="A100" i="11"/>
  <c r="B86" i="11"/>
  <c r="A86" i="11"/>
  <c r="B28" i="11"/>
  <c r="A28" i="11"/>
  <c r="J10" i="11"/>
  <c r="J11" i="11"/>
  <c r="J12" i="11"/>
  <c r="J19" i="11"/>
  <c r="J20" i="11"/>
  <c r="J25" i="11"/>
  <c r="J30" i="11"/>
  <c r="J33" i="11"/>
  <c r="J38" i="11"/>
  <c r="J42" i="11"/>
  <c r="J44" i="11"/>
  <c r="J45" i="11"/>
  <c r="J47" i="11"/>
  <c r="J48" i="11"/>
  <c r="J65" i="11"/>
  <c r="J71" i="11"/>
  <c r="J74" i="11"/>
  <c r="J75" i="11"/>
  <c r="J81" i="11"/>
  <c r="J83" i="11"/>
  <c r="J84" i="11"/>
  <c r="J85" i="11"/>
  <c r="J89" i="11"/>
  <c r="J90" i="11"/>
  <c r="J101" i="11"/>
  <c r="J106" i="11"/>
  <c r="J110" i="11"/>
  <c r="J117" i="11"/>
  <c r="J120" i="11"/>
  <c r="J124" i="11"/>
  <c r="J126" i="11"/>
  <c r="J129" i="11"/>
  <c r="J130" i="11"/>
  <c r="J132" i="11"/>
  <c r="J135" i="11"/>
  <c r="J140" i="11"/>
  <c r="J142" i="11"/>
  <c r="J145" i="11"/>
  <c r="J148" i="11"/>
  <c r="J154" i="11"/>
  <c r="J155" i="11"/>
  <c r="J156" i="11"/>
  <c r="J160" i="11"/>
  <c r="J161" i="11"/>
  <c r="J162" i="11"/>
  <c r="J163" i="11"/>
  <c r="J164" i="11"/>
  <c r="J166" i="11"/>
  <c r="J168" i="11"/>
  <c r="J170" i="11"/>
  <c r="J173" i="11"/>
  <c r="J174" i="11"/>
  <c r="J179" i="11"/>
  <c r="J184" i="11"/>
  <c r="J193" i="11"/>
  <c r="J195" i="11"/>
  <c r="J196" i="11"/>
  <c r="J206" i="11"/>
  <c r="J209" i="11"/>
  <c r="J211" i="11"/>
  <c r="J215" i="11"/>
  <c r="J218" i="11"/>
  <c r="J220" i="11"/>
  <c r="J229" i="11"/>
  <c r="J234" i="11"/>
  <c r="J236" i="11"/>
  <c r="J240" i="11"/>
  <c r="J247" i="11"/>
  <c r="J248" i="11"/>
  <c r="J251" i="11"/>
  <c r="J254" i="11"/>
  <c r="J258" i="11"/>
  <c r="J259" i="11"/>
  <c r="J275" i="11"/>
  <c r="J278" i="11"/>
  <c r="J282" i="11"/>
  <c r="J284" i="11"/>
  <c r="J287" i="11"/>
  <c r="J292" i="11"/>
  <c r="J294" i="11"/>
  <c r="J295" i="11"/>
  <c r="J297" i="11"/>
  <c r="J300" i="11"/>
  <c r="J315" i="11"/>
  <c r="J316" i="11"/>
  <c r="J320" i="11"/>
  <c r="J321" i="11"/>
  <c r="J322" i="11"/>
  <c r="J323" i="11"/>
  <c r="J326" i="11"/>
  <c r="J341" i="11"/>
  <c r="J342" i="11"/>
  <c r="J344" i="11"/>
  <c r="J348" i="11"/>
  <c r="J351" i="11"/>
  <c r="J353" i="11"/>
  <c r="B91" i="8" l="1"/>
  <c r="U90" i="8"/>
  <c r="E90" i="8"/>
  <c r="B90" i="8"/>
  <c r="B88" i="8"/>
  <c r="B38" i="8"/>
  <c r="Y363" i="16"/>
  <c r="Y362" i="16"/>
  <c r="Y361" i="16"/>
  <c r="Y360" i="16"/>
  <c r="Y359" i="16"/>
  <c r="Y358" i="16"/>
  <c r="Y357" i="16"/>
  <c r="Y356" i="16"/>
  <c r="Y355" i="16"/>
  <c r="Y354" i="16"/>
  <c r="Y353" i="16"/>
  <c r="Y352" i="16"/>
  <c r="Y351" i="16"/>
  <c r="Y350" i="16"/>
  <c r="Y349" i="16"/>
  <c r="Y348" i="16"/>
  <c r="Y347" i="16"/>
  <c r="Y346" i="16"/>
  <c r="Y345" i="16"/>
  <c r="Y344" i="16"/>
  <c r="Y343" i="16"/>
  <c r="Y342" i="16"/>
  <c r="Y341" i="16"/>
  <c r="Y340" i="16"/>
  <c r="Y339" i="16"/>
  <c r="Y338" i="16"/>
  <c r="Y337" i="16"/>
  <c r="Y336" i="16"/>
  <c r="Y335" i="16"/>
  <c r="Y334" i="16"/>
  <c r="Y333" i="16"/>
  <c r="Y332" i="16"/>
  <c r="Y331" i="16"/>
  <c r="Y330" i="16"/>
  <c r="Y329" i="16"/>
  <c r="Y328" i="16"/>
  <c r="Y327" i="16"/>
  <c r="Y326" i="16"/>
  <c r="Y325" i="16"/>
  <c r="Y324" i="16"/>
  <c r="Y323" i="16"/>
  <c r="Y322" i="16"/>
  <c r="Y321" i="16"/>
  <c r="Y320" i="16"/>
  <c r="Y319" i="16"/>
  <c r="Y318" i="16"/>
  <c r="Y317" i="16"/>
  <c r="Y316" i="16"/>
  <c r="Y315" i="16"/>
  <c r="Y314" i="16"/>
  <c r="Y313" i="16"/>
  <c r="Y312" i="16"/>
  <c r="Y311" i="16"/>
  <c r="Y310" i="16"/>
  <c r="Y309" i="16"/>
  <c r="Y308" i="16"/>
  <c r="Y307" i="16"/>
  <c r="Y306" i="16"/>
  <c r="Y305" i="16"/>
  <c r="Y304" i="16"/>
  <c r="Y303" i="16"/>
  <c r="Y302" i="16"/>
  <c r="Y301" i="16"/>
  <c r="Y300" i="16"/>
  <c r="Y299" i="16"/>
  <c r="Y298" i="16"/>
  <c r="Y297" i="16"/>
  <c r="Y296" i="16"/>
  <c r="Y295" i="16"/>
  <c r="Y294" i="16"/>
  <c r="Y293" i="16"/>
  <c r="Y292" i="16"/>
  <c r="Y291" i="16"/>
  <c r="Y290" i="16"/>
  <c r="Y289" i="16"/>
  <c r="Y288" i="16"/>
  <c r="Y287" i="16"/>
  <c r="Y286" i="16"/>
  <c r="Y285" i="16"/>
  <c r="Y284" i="16"/>
  <c r="Y283" i="16"/>
  <c r="Y282" i="16"/>
  <c r="Y281" i="16"/>
  <c r="Y280" i="16"/>
  <c r="Y279" i="16"/>
  <c r="Y278" i="16"/>
  <c r="Y277" i="16"/>
  <c r="Y276" i="16"/>
  <c r="Y275" i="16"/>
  <c r="Y274" i="16"/>
  <c r="Y273" i="16"/>
  <c r="Y272" i="16"/>
  <c r="Y271" i="16"/>
  <c r="Y270" i="16"/>
  <c r="Y269" i="16"/>
  <c r="Y268" i="16"/>
  <c r="Y267" i="16"/>
  <c r="Y266" i="16"/>
  <c r="Y265" i="16"/>
  <c r="Y264" i="16"/>
  <c r="Y263" i="16"/>
  <c r="Y262" i="16"/>
  <c r="Y261" i="16"/>
  <c r="Y260" i="16"/>
  <c r="Y259" i="16"/>
  <c r="Y258" i="16"/>
  <c r="Y257" i="16"/>
  <c r="Y256" i="16"/>
  <c r="Y255" i="16"/>
  <c r="Y254" i="16"/>
  <c r="Y253" i="16"/>
  <c r="Y252" i="16"/>
  <c r="Y251" i="16"/>
  <c r="Y250" i="16"/>
  <c r="Y249" i="16"/>
  <c r="Y248" i="16"/>
  <c r="Y247" i="16"/>
  <c r="Y246" i="16"/>
  <c r="Y245" i="16"/>
  <c r="Y244" i="16"/>
  <c r="Y243" i="16"/>
  <c r="Y242" i="16"/>
  <c r="Y241" i="16"/>
  <c r="Y240" i="16"/>
  <c r="Y239" i="16"/>
  <c r="Y238" i="16"/>
  <c r="Y237" i="16"/>
  <c r="Y236" i="16"/>
  <c r="Y235" i="16"/>
  <c r="Y234" i="16"/>
  <c r="Y233" i="16"/>
  <c r="Y232" i="16"/>
  <c r="Y231" i="16"/>
  <c r="Y230" i="16"/>
  <c r="Y229" i="16"/>
  <c r="Y228" i="16"/>
  <c r="Y227" i="16"/>
  <c r="Y226" i="16"/>
  <c r="Y225" i="16"/>
  <c r="Y224" i="16"/>
  <c r="Y223" i="16"/>
  <c r="Y222" i="16"/>
  <c r="Y221" i="16"/>
  <c r="Y220" i="16"/>
  <c r="Y219" i="16"/>
  <c r="Y218" i="16"/>
  <c r="Y217" i="16"/>
  <c r="Y216" i="16"/>
  <c r="Y215" i="16"/>
  <c r="Y214" i="16"/>
  <c r="Y213" i="16"/>
  <c r="Y212" i="16"/>
  <c r="Y211" i="16"/>
  <c r="Y210" i="16"/>
  <c r="Y209" i="16"/>
  <c r="Y208" i="16"/>
  <c r="Y207" i="16"/>
  <c r="Y206" i="16"/>
  <c r="Y205" i="16"/>
  <c r="Y204" i="16"/>
  <c r="Y203" i="16"/>
  <c r="Y202" i="16"/>
  <c r="Y201" i="16"/>
  <c r="Y200" i="16"/>
  <c r="Y199" i="16"/>
  <c r="Y198" i="16"/>
  <c r="Y197" i="16"/>
  <c r="Y196" i="16"/>
  <c r="Y195" i="16"/>
  <c r="Y194" i="16"/>
  <c r="Y193" i="16"/>
  <c r="Y192" i="16"/>
  <c r="Y191" i="16"/>
  <c r="Y190" i="16"/>
  <c r="Y189" i="16"/>
  <c r="Y188" i="16"/>
  <c r="Y187" i="16"/>
  <c r="Y186" i="16"/>
  <c r="Y185" i="16"/>
  <c r="Y184" i="16"/>
  <c r="Y183" i="16"/>
  <c r="Y182" i="16"/>
  <c r="Y181" i="16"/>
  <c r="Y180" i="16"/>
  <c r="Y179" i="16"/>
  <c r="Y178" i="16"/>
  <c r="Y177" i="16"/>
  <c r="Y176" i="16"/>
  <c r="Y175" i="16"/>
  <c r="Y174" i="16"/>
  <c r="Y173" i="16"/>
  <c r="Y172" i="16"/>
  <c r="Y171" i="16"/>
  <c r="Y170" i="16"/>
  <c r="Y169" i="16"/>
  <c r="Y168" i="16"/>
  <c r="Y167" i="16"/>
  <c r="Y166" i="16"/>
  <c r="Y165" i="16"/>
  <c r="Y164" i="16"/>
  <c r="Y163" i="16"/>
  <c r="Y162" i="16"/>
  <c r="Y161" i="16"/>
  <c r="Y160" i="16"/>
  <c r="Y159" i="16"/>
  <c r="Y158" i="16"/>
  <c r="Y157" i="16"/>
  <c r="Y156" i="16"/>
  <c r="Y155" i="16"/>
  <c r="Y154" i="16"/>
  <c r="Y153" i="16"/>
  <c r="Y152" i="16"/>
  <c r="Y151" i="16"/>
  <c r="Y150" i="16"/>
  <c r="Y149"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M1" i="1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A353" i="11"/>
  <c r="A352" i="11"/>
  <c r="A351" i="11"/>
  <c r="A350" i="11"/>
  <c r="A349" i="11"/>
  <c r="A348" i="11"/>
  <c r="A347" i="11"/>
  <c r="A346" i="11"/>
  <c r="A345" i="11"/>
  <c r="A344" i="11"/>
  <c r="A343" i="11"/>
  <c r="A342" i="11"/>
  <c r="A341"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99" i="11"/>
  <c r="A98" i="11"/>
  <c r="A97" i="11"/>
  <c r="A96" i="11"/>
  <c r="A95" i="11"/>
  <c r="A94" i="11"/>
  <c r="A93" i="11"/>
  <c r="A92" i="11"/>
  <c r="A91" i="11"/>
  <c r="A90" i="11"/>
  <c r="A89" i="11"/>
  <c r="A88" i="11"/>
  <c r="A87"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A357" i="16"/>
  <c r="E356" i="16"/>
  <c r="D356" i="16"/>
  <c r="A356" i="16"/>
  <c r="E355" i="16"/>
  <c r="D355" i="16"/>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A177" i="16"/>
  <c r="E176" i="16"/>
  <c r="D176" i="16"/>
  <c r="A176" i="16"/>
  <c r="E175" i="16"/>
  <c r="D175" i="16"/>
  <c r="A175" i="16"/>
  <c r="E174" i="16"/>
  <c r="D174" i="16"/>
  <c r="A174" i="16"/>
  <c r="E173" i="16"/>
  <c r="D173" i="16"/>
  <c r="A173" i="16"/>
  <c r="E172" i="16"/>
  <c r="D172" i="16"/>
  <c r="A172" i="16"/>
  <c r="E171" i="16"/>
  <c r="D171" i="16"/>
  <c r="A171" i="16"/>
  <c r="E170" i="16"/>
  <c r="D170" i="16"/>
  <c r="A170" i="16"/>
  <c r="E169" i="16"/>
  <c r="D169" i="16"/>
  <c r="A169" i="16"/>
  <c r="E168" i="16"/>
  <c r="D168" i="16"/>
  <c r="A168" i="16"/>
  <c r="E167" i="16"/>
  <c r="D167" i="16"/>
  <c r="A167" i="16"/>
  <c r="E166" i="16"/>
  <c r="D166" i="16"/>
  <c r="A166" i="16"/>
  <c r="E165" i="16"/>
  <c r="D165" i="16"/>
  <c r="A165" i="16"/>
  <c r="E164" i="16"/>
  <c r="D164" i="16"/>
  <c r="A164" i="16"/>
  <c r="E163" i="16"/>
  <c r="D163" i="16"/>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7" i="8"/>
  <c r="B113" i="8"/>
  <c r="B109" i="8"/>
  <c r="B60" i="8"/>
  <c r="D46" i="8"/>
  <c r="O42" i="8"/>
  <c r="K40" i="8"/>
  <c r="T38" i="8"/>
  <c r="B37" i="8"/>
  <c r="D48" i="8" s="1"/>
  <c r="B35" i="8"/>
  <c r="D47" i="8" s="1"/>
  <c r="B16" i="8"/>
  <c r="B11" i="8"/>
  <c r="B10" i="8"/>
  <c r="B9" i="8"/>
  <c r="J8" i="8"/>
  <c r="B8" i="8"/>
  <c r="B58" i="8"/>
  <c r="B1" i="8"/>
  <c r="AX10" i="16" l="1"/>
  <c r="B366" i="16"/>
  <c r="B368" i="16"/>
  <c r="B364" i="16"/>
  <c r="B365" i="16"/>
  <c r="B367" i="16"/>
  <c r="B18" i="16"/>
  <c r="B27" i="16"/>
  <c r="B35" i="16"/>
  <c r="B15" i="16"/>
  <c r="B21" i="16"/>
  <c r="B24" i="16"/>
  <c r="B31" i="16"/>
  <c r="B34" i="16"/>
  <c r="B3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8" i="16"/>
  <c r="B32" i="16"/>
  <c r="B13" i="16"/>
  <c r="B16" i="16"/>
  <c r="B19" i="16"/>
  <c r="B2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9" i="16"/>
  <c r="B33"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4" i="16"/>
  <c r="B17" i="16"/>
  <c r="B20" i="16"/>
  <c r="B23" i="16"/>
  <c r="B2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F20" i="16" s="1"/>
  <c r="AX22" i="16"/>
  <c r="F22" i="16" s="1"/>
  <c r="AX24" i="16"/>
  <c r="F24" i="16" s="1"/>
  <c r="AX26" i="16"/>
  <c r="F26" i="16" s="1"/>
  <c r="AX28" i="16"/>
  <c r="F28" i="16" s="1"/>
  <c r="AX30" i="16"/>
  <c r="F30" i="16" s="1"/>
  <c r="AX32" i="16"/>
  <c r="F32" i="16" s="1"/>
  <c r="AX34" i="16"/>
  <c r="F34" i="16" s="1"/>
  <c r="AX36" i="16"/>
  <c r="F36" i="16" s="1"/>
  <c r="AX38" i="16"/>
  <c r="F38" i="16" s="1"/>
  <c r="AX40" i="16"/>
  <c r="F40" i="16" s="1"/>
  <c r="AX42" i="16"/>
  <c r="F42" i="16" s="1"/>
  <c r="AX44" i="16"/>
  <c r="F44" i="16" s="1"/>
  <c r="AX46" i="16"/>
  <c r="F46" i="16" s="1"/>
  <c r="AX48" i="16"/>
  <c r="F48" i="16" s="1"/>
  <c r="AX50" i="16"/>
  <c r="F50" i="16" s="1"/>
  <c r="AX52" i="16"/>
  <c r="F52" i="16" s="1"/>
  <c r="AX54" i="16"/>
  <c r="F54" i="16" s="1"/>
  <c r="AX56" i="16"/>
  <c r="F56" i="16" s="1"/>
  <c r="AX58" i="16"/>
  <c r="F58" i="16" s="1"/>
  <c r="AX60" i="16"/>
  <c r="F60" i="16" s="1"/>
  <c r="AX62" i="16"/>
  <c r="F62" i="16" s="1"/>
  <c r="AX64" i="16"/>
  <c r="F64" i="16" s="1"/>
  <c r="AX66" i="16"/>
  <c r="F66" i="16" s="1"/>
  <c r="AX68" i="16"/>
  <c r="F68" i="16" s="1"/>
  <c r="AX70" i="16"/>
  <c r="F70" i="16" s="1"/>
  <c r="AX72" i="16"/>
  <c r="F72" i="16" s="1"/>
  <c r="AX74" i="16"/>
  <c r="F74" i="16" s="1"/>
  <c r="AX76" i="16"/>
  <c r="F76" i="16" s="1"/>
  <c r="AX78" i="16"/>
  <c r="F78" i="16" s="1"/>
  <c r="AX80" i="16"/>
  <c r="F80" i="16" s="1"/>
  <c r="AX82" i="16"/>
  <c r="F82" i="16" s="1"/>
  <c r="AX84" i="16"/>
  <c r="F84" i="16" s="1"/>
  <c r="AX86" i="16"/>
  <c r="F86" i="16" s="1"/>
  <c r="AX88" i="16"/>
  <c r="F88" i="16" s="1"/>
  <c r="AX90" i="16"/>
  <c r="F90" i="16" s="1"/>
  <c r="AX92" i="16"/>
  <c r="F92" i="16" s="1"/>
  <c r="AX94" i="16"/>
  <c r="H94" i="16" s="1"/>
  <c r="AX96" i="16"/>
  <c r="F96" i="16" s="1"/>
  <c r="AX98" i="16"/>
  <c r="F98" i="16" s="1"/>
  <c r="AX100" i="16"/>
  <c r="F100" i="16" s="1"/>
  <c r="AX102" i="16"/>
  <c r="F102" i="16" s="1"/>
  <c r="AX104" i="16"/>
  <c r="F104" i="16" s="1"/>
  <c r="AX106" i="16"/>
  <c r="F106" i="16" s="1"/>
  <c r="AX108" i="16"/>
  <c r="F108" i="16" s="1"/>
  <c r="AX110" i="16"/>
  <c r="H110" i="16" s="1"/>
  <c r="AX112" i="16"/>
  <c r="F112" i="16" s="1"/>
  <c r="AX114" i="16"/>
  <c r="F114" i="16" s="1"/>
  <c r="AX116" i="16"/>
  <c r="F116" i="16" s="1"/>
  <c r="AX118" i="16"/>
  <c r="F118" i="16" s="1"/>
  <c r="AX120" i="16"/>
  <c r="F120" i="16" s="1"/>
  <c r="AX122" i="16"/>
  <c r="F122" i="16" s="1"/>
  <c r="AX124" i="16"/>
  <c r="F124" i="16" s="1"/>
  <c r="AX126" i="16"/>
  <c r="F126" i="16" s="1"/>
  <c r="AX128" i="16"/>
  <c r="F128" i="16" s="1"/>
  <c r="AX130" i="16"/>
  <c r="F130" i="16" s="1"/>
  <c r="AX132" i="16"/>
  <c r="F132" i="16" s="1"/>
  <c r="AX134" i="16"/>
  <c r="F134" i="16" s="1"/>
  <c r="AX136" i="16"/>
  <c r="F136" i="16" s="1"/>
  <c r="AX138" i="16"/>
  <c r="F138" i="16" s="1"/>
  <c r="AX140" i="16"/>
  <c r="F140" i="16" s="1"/>
  <c r="AX142" i="16"/>
  <c r="F142" i="16" s="1"/>
  <c r="AX144" i="16"/>
  <c r="F144" i="16" s="1"/>
  <c r="AX146" i="16"/>
  <c r="F146" i="16" s="1"/>
  <c r="AX148" i="16"/>
  <c r="F148" i="16" s="1"/>
  <c r="AX150" i="16"/>
  <c r="F150" i="16" s="1"/>
  <c r="AX152" i="16"/>
  <c r="F152" i="16" s="1"/>
  <c r="AX154" i="16"/>
  <c r="F154" i="16" s="1"/>
  <c r="AX156" i="16"/>
  <c r="F156" i="16" s="1"/>
  <c r="AX158" i="16"/>
  <c r="F158" i="16" s="1"/>
  <c r="AX160" i="16"/>
  <c r="F160" i="16" s="1"/>
  <c r="AX162" i="16"/>
  <c r="F162" i="16" s="1"/>
  <c r="AX164" i="16"/>
  <c r="F164" i="16" s="1"/>
  <c r="AX166" i="16"/>
  <c r="F166" i="16" s="1"/>
  <c r="AX168" i="16"/>
  <c r="F168" i="16" s="1"/>
  <c r="AX170" i="16"/>
  <c r="F170" i="16" s="1"/>
  <c r="AX172" i="16"/>
  <c r="F172" i="16" s="1"/>
  <c r="AX174" i="16"/>
  <c r="F174" i="16" s="1"/>
  <c r="AX176" i="16"/>
  <c r="F176" i="16" s="1"/>
  <c r="AX178" i="16"/>
  <c r="F178" i="16" s="1"/>
  <c r="AX180" i="16"/>
  <c r="F180" i="16" s="1"/>
  <c r="AX13" i="16"/>
  <c r="F13" i="16" s="1"/>
  <c r="AX15" i="16"/>
  <c r="F15" i="16" s="1"/>
  <c r="AX17" i="16"/>
  <c r="F17" i="16" s="1"/>
  <c r="AX19" i="16"/>
  <c r="F19" i="16" s="1"/>
  <c r="AX21" i="16"/>
  <c r="F21" i="16" s="1"/>
  <c r="AX23" i="16"/>
  <c r="F23" i="16" s="1"/>
  <c r="AX25" i="16"/>
  <c r="F25" i="16" s="1"/>
  <c r="AX27" i="16"/>
  <c r="F27" i="16" s="1"/>
  <c r="AX29" i="16"/>
  <c r="F29" i="16" s="1"/>
  <c r="AX31" i="16"/>
  <c r="F31" i="16" s="1"/>
  <c r="AX33" i="16"/>
  <c r="F33" i="16" s="1"/>
  <c r="AX35" i="16"/>
  <c r="F35" i="16" s="1"/>
  <c r="AX37" i="16"/>
  <c r="F37" i="16" s="1"/>
  <c r="AX39" i="16"/>
  <c r="F39" i="16" s="1"/>
  <c r="AX41" i="16"/>
  <c r="F41" i="16" s="1"/>
  <c r="AX43" i="16"/>
  <c r="F43" i="16" s="1"/>
  <c r="AX45" i="16"/>
  <c r="F45" i="16" s="1"/>
  <c r="AX47" i="16"/>
  <c r="F47" i="16" s="1"/>
  <c r="AX49" i="16"/>
  <c r="F49" i="16" s="1"/>
  <c r="AX51" i="16"/>
  <c r="H51" i="16" s="1"/>
  <c r="AX53" i="16"/>
  <c r="F53" i="16" s="1"/>
  <c r="AX55" i="16"/>
  <c r="F55" i="16" s="1"/>
  <c r="AX57" i="16"/>
  <c r="F57" i="16" s="1"/>
  <c r="AX59" i="16"/>
  <c r="F59" i="16" s="1"/>
  <c r="AX61" i="16"/>
  <c r="F61" i="16" s="1"/>
  <c r="AX63" i="16"/>
  <c r="F63" i="16" s="1"/>
  <c r="AX65" i="16"/>
  <c r="F65" i="16" s="1"/>
  <c r="AX67" i="16"/>
  <c r="F67" i="16" s="1"/>
  <c r="AX69" i="16"/>
  <c r="F69" i="16" s="1"/>
  <c r="AX71" i="16"/>
  <c r="F71" i="16" s="1"/>
  <c r="AX73" i="16"/>
  <c r="F73" i="16" s="1"/>
  <c r="AX75" i="16"/>
  <c r="F75" i="16" s="1"/>
  <c r="AX77" i="16"/>
  <c r="F77" i="16" s="1"/>
  <c r="AX79" i="16"/>
  <c r="F79" i="16" s="1"/>
  <c r="AX81" i="16"/>
  <c r="F81" i="16" s="1"/>
  <c r="AX83" i="16"/>
  <c r="F83" i="16" s="1"/>
  <c r="AX85" i="16"/>
  <c r="F85" i="16" s="1"/>
  <c r="AX87" i="16"/>
  <c r="F87" i="16" s="1"/>
  <c r="AX89" i="16"/>
  <c r="F89" i="16" s="1"/>
  <c r="AX91" i="16"/>
  <c r="F91" i="16" s="1"/>
  <c r="AX93" i="16"/>
  <c r="F93" i="16" s="1"/>
  <c r="AX95" i="16"/>
  <c r="F95" i="16" s="1"/>
  <c r="AX97" i="16"/>
  <c r="F97" i="16" s="1"/>
  <c r="AX99" i="16"/>
  <c r="F99" i="16" s="1"/>
  <c r="AX101" i="16"/>
  <c r="F101" i="16" s="1"/>
  <c r="AX103" i="16"/>
  <c r="F103" i="16" s="1"/>
  <c r="AX105" i="16"/>
  <c r="F105" i="16" s="1"/>
  <c r="AX107" i="16"/>
  <c r="F107" i="16" s="1"/>
  <c r="AX109" i="16"/>
  <c r="F109" i="16" s="1"/>
  <c r="AX111" i="16"/>
  <c r="F111" i="16" s="1"/>
  <c r="AX113" i="16"/>
  <c r="F113" i="16" s="1"/>
  <c r="AX115" i="16"/>
  <c r="F115" i="16" s="1"/>
  <c r="AX117" i="16"/>
  <c r="F117" i="16" s="1"/>
  <c r="AX119" i="16"/>
  <c r="H119" i="16" s="1"/>
  <c r="AX121" i="16"/>
  <c r="F121" i="16" s="1"/>
  <c r="AX123" i="16"/>
  <c r="F123" i="16" s="1"/>
  <c r="AX125" i="16"/>
  <c r="F125" i="16" s="1"/>
  <c r="AX127" i="16"/>
  <c r="F127" i="16" s="1"/>
  <c r="AX129" i="16"/>
  <c r="H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F159" i="16" s="1"/>
  <c r="AX161" i="16"/>
  <c r="F161" i="16" s="1"/>
  <c r="AX163" i="16"/>
  <c r="F163" i="16" s="1"/>
  <c r="AX165" i="16"/>
  <c r="H165" i="16" s="1"/>
  <c r="AX167" i="16"/>
  <c r="F167" i="16" s="1"/>
  <c r="AX169" i="16"/>
  <c r="F169" i="16" s="1"/>
  <c r="AX171" i="16"/>
  <c r="F171" i="16" s="1"/>
  <c r="AX173" i="16"/>
  <c r="F173" i="16" s="1"/>
  <c r="AX175" i="16"/>
  <c r="F175" i="16" s="1"/>
  <c r="AX177" i="16"/>
  <c r="H177" i="16" s="1"/>
  <c r="AX179" i="16"/>
  <c r="F179" i="16" s="1"/>
  <c r="AX181" i="16"/>
  <c r="F181" i="16" s="1"/>
  <c r="AX182" i="16"/>
  <c r="F182" i="16" s="1"/>
  <c r="AX184" i="16"/>
  <c r="F184" i="16" s="1"/>
  <c r="AX186" i="16"/>
  <c r="F186" i="16" s="1"/>
  <c r="AX188" i="16"/>
  <c r="F188" i="16" s="1"/>
  <c r="AX190" i="16"/>
  <c r="F190" i="16" s="1"/>
  <c r="AX192" i="16"/>
  <c r="F192" i="16" s="1"/>
  <c r="AX194" i="16"/>
  <c r="F194" i="16" s="1"/>
  <c r="AX196" i="16"/>
  <c r="F196" i="16" s="1"/>
  <c r="AX198" i="16"/>
  <c r="F198" i="16" s="1"/>
  <c r="AX200" i="16"/>
  <c r="F200" i="16" s="1"/>
  <c r="AX202" i="16"/>
  <c r="F202" i="16" s="1"/>
  <c r="AX204" i="16"/>
  <c r="F204" i="16" s="1"/>
  <c r="AX206" i="16"/>
  <c r="F206" i="16" s="1"/>
  <c r="AX208" i="16"/>
  <c r="F208" i="16" s="1"/>
  <c r="AX210" i="16"/>
  <c r="F210" i="16" s="1"/>
  <c r="AX212" i="16"/>
  <c r="F212" i="16" s="1"/>
  <c r="AX214" i="16"/>
  <c r="F214" i="16" s="1"/>
  <c r="AX216" i="16"/>
  <c r="F216" i="16" s="1"/>
  <c r="AX218" i="16"/>
  <c r="F218" i="16" s="1"/>
  <c r="AX220" i="16"/>
  <c r="H220" i="16" s="1"/>
  <c r="AX222" i="16"/>
  <c r="F222" i="16" s="1"/>
  <c r="AX224" i="16"/>
  <c r="F224" i="16" s="1"/>
  <c r="AX226" i="16"/>
  <c r="F226" i="16" s="1"/>
  <c r="AX228" i="16"/>
  <c r="F228" i="16" s="1"/>
  <c r="AX230" i="16"/>
  <c r="F230" i="16" s="1"/>
  <c r="AX232" i="16"/>
  <c r="F232" i="16" s="1"/>
  <c r="AX234" i="16"/>
  <c r="F234" i="16" s="1"/>
  <c r="AX236" i="16"/>
  <c r="F236" i="16" s="1"/>
  <c r="AX238" i="16"/>
  <c r="F238" i="16" s="1"/>
  <c r="AX240" i="16"/>
  <c r="F240" i="16" s="1"/>
  <c r="AX242" i="16"/>
  <c r="F242" i="16" s="1"/>
  <c r="AX244" i="16"/>
  <c r="F244" i="16" s="1"/>
  <c r="AX246" i="16"/>
  <c r="F246" i="16" s="1"/>
  <c r="AX248" i="16"/>
  <c r="F248" i="16" s="1"/>
  <c r="AX250" i="16"/>
  <c r="F250" i="16" s="1"/>
  <c r="AX252" i="16"/>
  <c r="F252" i="16" s="1"/>
  <c r="AX254" i="16"/>
  <c r="F254" i="16" s="1"/>
  <c r="AX256" i="16"/>
  <c r="F256" i="16" s="1"/>
  <c r="AX258" i="16"/>
  <c r="F258" i="16" s="1"/>
  <c r="AX260" i="16"/>
  <c r="F260" i="16" s="1"/>
  <c r="AX262" i="16"/>
  <c r="F262" i="16" s="1"/>
  <c r="AX264" i="16"/>
  <c r="F264" i="16" s="1"/>
  <c r="AX266" i="16"/>
  <c r="F266" i="16" s="1"/>
  <c r="AX268" i="16"/>
  <c r="F268" i="16" s="1"/>
  <c r="AX270" i="16"/>
  <c r="F270" i="16" s="1"/>
  <c r="AX272" i="16"/>
  <c r="F272" i="16" s="1"/>
  <c r="AX274" i="16"/>
  <c r="F274" i="16" s="1"/>
  <c r="AX276" i="16"/>
  <c r="F276" i="16" s="1"/>
  <c r="AX278" i="16"/>
  <c r="F278" i="16" s="1"/>
  <c r="AX280" i="16"/>
  <c r="F280" i="16" s="1"/>
  <c r="AX282" i="16"/>
  <c r="F282" i="16" s="1"/>
  <c r="AX284" i="16"/>
  <c r="F284" i="16" s="1"/>
  <c r="AX286" i="16"/>
  <c r="F286" i="16" s="1"/>
  <c r="AX288" i="16"/>
  <c r="F288" i="16" s="1"/>
  <c r="AX290" i="16"/>
  <c r="F290" i="16" s="1"/>
  <c r="AX292" i="16"/>
  <c r="F292" i="16" s="1"/>
  <c r="AX294" i="16"/>
  <c r="F294" i="16" s="1"/>
  <c r="AX296" i="16"/>
  <c r="F296" i="16" s="1"/>
  <c r="AX298" i="16"/>
  <c r="F298" i="16" s="1"/>
  <c r="AX300" i="16"/>
  <c r="F300" i="16" s="1"/>
  <c r="AX302" i="16"/>
  <c r="F302" i="16" s="1"/>
  <c r="AX304" i="16"/>
  <c r="F304" i="16" s="1"/>
  <c r="AX306" i="16"/>
  <c r="F306" i="16" s="1"/>
  <c r="AX308" i="16"/>
  <c r="F308" i="16" s="1"/>
  <c r="AX310" i="16"/>
  <c r="F310" i="16" s="1"/>
  <c r="AX312" i="16"/>
  <c r="F312" i="16" s="1"/>
  <c r="AX314" i="16"/>
  <c r="F314" i="16" s="1"/>
  <c r="AX316" i="16"/>
  <c r="F316" i="16" s="1"/>
  <c r="AX318" i="16"/>
  <c r="F318" i="16" s="1"/>
  <c r="AX320" i="16"/>
  <c r="F320" i="16" s="1"/>
  <c r="AX322" i="16"/>
  <c r="F322" i="16" s="1"/>
  <c r="AX324" i="16"/>
  <c r="F324" i="16" s="1"/>
  <c r="AX326" i="16"/>
  <c r="F326" i="16" s="1"/>
  <c r="AX328" i="16"/>
  <c r="F328" i="16" s="1"/>
  <c r="AX330" i="16"/>
  <c r="F330" i="16" s="1"/>
  <c r="AX332" i="16"/>
  <c r="F332" i="16" s="1"/>
  <c r="AX334" i="16"/>
  <c r="F334" i="16" s="1"/>
  <c r="AX336" i="16"/>
  <c r="F336" i="16" s="1"/>
  <c r="AX338" i="16"/>
  <c r="F338" i="16" s="1"/>
  <c r="AX340" i="16"/>
  <c r="F340" i="16" s="1"/>
  <c r="AX342" i="16"/>
  <c r="F342" i="16" s="1"/>
  <c r="AX344" i="16"/>
  <c r="F344" i="16" s="1"/>
  <c r="AX346" i="16"/>
  <c r="F346" i="16" s="1"/>
  <c r="AX348" i="16"/>
  <c r="F348" i="16" s="1"/>
  <c r="AX350" i="16"/>
  <c r="F350" i="16" s="1"/>
  <c r="AX352" i="16"/>
  <c r="F352" i="16" s="1"/>
  <c r="AX183" i="16"/>
  <c r="F183" i="16" s="1"/>
  <c r="AX185" i="16"/>
  <c r="F185" i="16" s="1"/>
  <c r="AX187" i="16"/>
  <c r="F187" i="16" s="1"/>
  <c r="AX189" i="16"/>
  <c r="F189" i="16" s="1"/>
  <c r="AX191" i="16"/>
  <c r="F191" i="16" s="1"/>
  <c r="AX193" i="16"/>
  <c r="F193" i="16" s="1"/>
  <c r="AX195" i="16"/>
  <c r="F195" i="16" s="1"/>
  <c r="AX197" i="16"/>
  <c r="F197" i="16" s="1"/>
  <c r="AX199" i="16"/>
  <c r="F199" i="16" s="1"/>
  <c r="AX201" i="16"/>
  <c r="F201" i="16" s="1"/>
  <c r="AX203" i="16"/>
  <c r="F203" i="16" s="1"/>
  <c r="AX205" i="16"/>
  <c r="H205" i="16" s="1"/>
  <c r="AX207" i="16"/>
  <c r="F207" i="16" s="1"/>
  <c r="AX209" i="16"/>
  <c r="F209" i="16" s="1"/>
  <c r="AX211" i="16"/>
  <c r="F211" i="16" s="1"/>
  <c r="AX213" i="16"/>
  <c r="F213" i="16" s="1"/>
  <c r="AX215" i="16"/>
  <c r="F215" i="16" s="1"/>
  <c r="AX217" i="16"/>
  <c r="F217" i="16" s="1"/>
  <c r="AX219" i="16"/>
  <c r="F219" i="16" s="1"/>
  <c r="AX221" i="16"/>
  <c r="F221" i="16" s="1"/>
  <c r="AX223" i="16"/>
  <c r="F223" i="16" s="1"/>
  <c r="AX225" i="16"/>
  <c r="F225" i="16" s="1"/>
  <c r="AX227" i="16"/>
  <c r="F227" i="16" s="1"/>
  <c r="AX229" i="16"/>
  <c r="H229" i="16" s="1"/>
  <c r="AX231" i="16"/>
  <c r="F231" i="16" s="1"/>
  <c r="AX233" i="16"/>
  <c r="F233" i="16" s="1"/>
  <c r="AX235" i="16"/>
  <c r="F235" i="16" s="1"/>
  <c r="AX237" i="16"/>
  <c r="F237" i="16" s="1"/>
  <c r="AX239" i="16"/>
  <c r="F239" i="16" s="1"/>
  <c r="AX241" i="16"/>
  <c r="F241" i="16" s="1"/>
  <c r="AX243" i="16"/>
  <c r="F243" i="16" s="1"/>
  <c r="AX245" i="16"/>
  <c r="F245" i="16" s="1"/>
  <c r="AX247" i="16"/>
  <c r="F247" i="16" s="1"/>
  <c r="AX249" i="16"/>
  <c r="F249" i="16" s="1"/>
  <c r="AX251" i="16"/>
  <c r="F251" i="16" s="1"/>
  <c r="AX253" i="16"/>
  <c r="F253" i="16" s="1"/>
  <c r="AX255" i="16"/>
  <c r="F255" i="16" s="1"/>
  <c r="AX257" i="16"/>
  <c r="F257" i="16" s="1"/>
  <c r="AX259" i="16"/>
  <c r="F259" i="16" s="1"/>
  <c r="AX261" i="16"/>
  <c r="F261" i="16" s="1"/>
  <c r="AX263" i="16"/>
  <c r="F263" i="16" s="1"/>
  <c r="AX265" i="16"/>
  <c r="F265" i="16" s="1"/>
  <c r="AX267" i="16"/>
  <c r="F267" i="16" s="1"/>
  <c r="AX269" i="16"/>
  <c r="F269" i="16" s="1"/>
  <c r="AX271" i="16"/>
  <c r="F271" i="16" s="1"/>
  <c r="AX273" i="16"/>
  <c r="F273" i="16" s="1"/>
  <c r="AX275" i="16"/>
  <c r="F275" i="16" s="1"/>
  <c r="AX277" i="16"/>
  <c r="F277" i="16" s="1"/>
  <c r="AX279" i="16"/>
  <c r="F279" i="16" s="1"/>
  <c r="AX281" i="16"/>
  <c r="F281" i="16" s="1"/>
  <c r="AX283" i="16"/>
  <c r="F283" i="16" s="1"/>
  <c r="AX285" i="16"/>
  <c r="F285" i="16" s="1"/>
  <c r="AX287" i="16"/>
  <c r="F287" i="16" s="1"/>
  <c r="AX289" i="16"/>
  <c r="F289" i="16" s="1"/>
  <c r="AX291" i="16"/>
  <c r="F291" i="16" s="1"/>
  <c r="AX293" i="16"/>
  <c r="F293" i="16" s="1"/>
  <c r="AG15" i="16" s="1"/>
  <c r="AX295" i="16"/>
  <c r="F295" i="16" s="1"/>
  <c r="AX297" i="16"/>
  <c r="F297" i="16" s="1"/>
  <c r="AX299" i="16"/>
  <c r="F299" i="16" s="1"/>
  <c r="AX301" i="16"/>
  <c r="H301" i="16" s="1"/>
  <c r="AX303" i="16"/>
  <c r="F303" i="16" s="1"/>
  <c r="AX305" i="16"/>
  <c r="F305" i="16" s="1"/>
  <c r="AX307" i="16"/>
  <c r="F307" i="16" s="1"/>
  <c r="AX309" i="16"/>
  <c r="F309" i="16" s="1"/>
  <c r="AX311" i="16"/>
  <c r="F311" i="16" s="1"/>
  <c r="AX313" i="16"/>
  <c r="F313" i="16" s="1"/>
  <c r="AX315" i="16"/>
  <c r="F315" i="16" s="1"/>
  <c r="AX317" i="16"/>
  <c r="F317" i="16" s="1"/>
  <c r="AX319" i="16"/>
  <c r="F319" i="16" s="1"/>
  <c r="AX321" i="16"/>
  <c r="F321" i="16" s="1"/>
  <c r="AX323" i="16"/>
  <c r="F323" i="16" s="1"/>
  <c r="AX325" i="16"/>
  <c r="F325" i="16" s="1"/>
  <c r="AX327" i="16"/>
  <c r="F327" i="16" s="1"/>
  <c r="AX329" i="16"/>
  <c r="F329" i="16" s="1"/>
  <c r="AX331" i="16"/>
  <c r="F331" i="16" s="1"/>
  <c r="AX333" i="16"/>
  <c r="F333" i="16" s="1"/>
  <c r="AX335" i="16"/>
  <c r="F335" i="16" s="1"/>
  <c r="AX337" i="16"/>
  <c r="F337" i="16" s="1"/>
  <c r="AX339" i="16"/>
  <c r="F339" i="16" s="1"/>
  <c r="AX341" i="16"/>
  <c r="F341" i="16" s="1"/>
  <c r="AX343" i="16"/>
  <c r="F343" i="16" s="1"/>
  <c r="AX345" i="16"/>
  <c r="F345" i="16" s="1"/>
  <c r="AX347" i="16"/>
  <c r="F347" i="16" s="1"/>
  <c r="AX349" i="16"/>
  <c r="F349" i="16" s="1"/>
  <c r="AX351" i="16"/>
  <c r="F351" i="16" s="1"/>
  <c r="AX353" i="16"/>
  <c r="F353" i="16" s="1"/>
  <c r="AX355" i="16"/>
  <c r="F355" i="16" s="1"/>
  <c r="AX357" i="16"/>
  <c r="F357" i="16" s="1"/>
  <c r="AX359" i="16"/>
  <c r="F359" i="16" s="1"/>
  <c r="AX361" i="16"/>
  <c r="F361" i="16" s="1"/>
  <c r="AX363" i="16"/>
  <c r="F363" i="16" s="1"/>
  <c r="AX11" i="16"/>
  <c r="F11" i="16" s="1"/>
  <c r="AX354" i="16"/>
  <c r="F354" i="16" s="1"/>
  <c r="AX356" i="16"/>
  <c r="F356" i="16" s="1"/>
  <c r="AX358" i="16"/>
  <c r="F358" i="16" s="1"/>
  <c r="AX360" i="16"/>
  <c r="F360" i="16" s="1"/>
  <c r="AX362" i="16"/>
  <c r="H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49" i="8"/>
  <c r="G3" i="16"/>
  <c r="J9" i="8" s="1"/>
  <c r="L88" i="8" s="1"/>
  <c r="I3" i="16"/>
  <c r="P8" i="16"/>
  <c r="AF11" i="16"/>
  <c r="F3" i="16"/>
  <c r="H3" i="16"/>
  <c r="J11" i="8" s="1"/>
  <c r="AG20" i="16" l="1"/>
  <c r="Z367" i="16"/>
  <c r="Z123" i="16"/>
  <c r="Z267" i="16"/>
  <c r="Z266" i="16"/>
  <c r="Z124" i="16"/>
  <c r="Z268" i="16"/>
  <c r="Z41" i="16"/>
  <c r="Z185" i="16"/>
  <c r="Z329" i="16"/>
  <c r="Z114" i="16"/>
  <c r="Z258" i="16"/>
  <c r="Z29" i="16"/>
  <c r="Z127" i="16"/>
  <c r="Z271" i="16"/>
  <c r="Z80" i="16"/>
  <c r="Z224" i="16"/>
  <c r="Z170" i="16"/>
  <c r="Z141" i="16"/>
  <c r="Z285" i="16"/>
  <c r="Z68" i="16"/>
  <c r="Z130" i="16"/>
  <c r="Z274" i="16"/>
  <c r="Z23" i="16"/>
  <c r="Z167" i="16"/>
  <c r="Z311" i="16"/>
  <c r="Z120" i="16"/>
  <c r="Z264" i="16"/>
  <c r="Z24" i="16"/>
  <c r="Z109" i="16"/>
  <c r="Z253" i="16"/>
  <c r="Z132" i="16"/>
  <c r="Z48" i="16"/>
  <c r="Z265" i="16"/>
  <c r="Z277" i="16"/>
  <c r="Z359" i="16"/>
  <c r="Z239" i="16"/>
  <c r="Z349" i="16"/>
  <c r="Z246" i="16"/>
  <c r="Z44" i="16"/>
  <c r="Z11" i="16"/>
  <c r="Z14" i="16"/>
  <c r="Z135" i="16"/>
  <c r="Z279" i="16"/>
  <c r="Z338" i="16"/>
  <c r="Z136" i="16"/>
  <c r="Z280" i="16"/>
  <c r="Z53" i="16"/>
  <c r="Z197" i="16"/>
  <c r="Z341" i="16"/>
  <c r="Z126" i="16"/>
  <c r="Z270" i="16"/>
  <c r="Z42" i="16"/>
  <c r="Z139" i="16"/>
  <c r="Z283" i="16"/>
  <c r="Z92" i="16"/>
  <c r="Z236" i="16"/>
  <c r="Z326" i="16"/>
  <c r="Z153" i="16"/>
  <c r="Z297" i="16"/>
  <c r="Z21" i="16"/>
  <c r="Z142" i="16"/>
  <c r="Z286" i="16"/>
  <c r="Z35" i="16"/>
  <c r="Z179" i="16"/>
  <c r="Z323" i="16"/>
  <c r="Z276" i="16"/>
  <c r="Z121" i="16"/>
  <c r="Z289" i="16"/>
  <c r="Z168" i="16"/>
  <c r="Z180" i="16"/>
  <c r="Z313" i="16"/>
  <c r="Z325" i="16"/>
  <c r="Z337" i="16"/>
  <c r="Z361" i="16"/>
  <c r="Z317" i="16"/>
  <c r="Z129" i="16"/>
  <c r="Z290" i="16"/>
  <c r="Z62" i="16"/>
  <c r="Z147" i="16"/>
  <c r="Z291" i="16"/>
  <c r="Z365" i="16"/>
  <c r="Z148" i="16"/>
  <c r="Z292" i="16"/>
  <c r="Z65" i="16"/>
  <c r="Z209" i="16"/>
  <c r="Z353" i="16"/>
  <c r="Z138" i="16"/>
  <c r="Z282" i="16"/>
  <c r="Z66" i="16"/>
  <c r="Z151" i="16"/>
  <c r="Z295" i="16"/>
  <c r="Z104" i="16"/>
  <c r="Z248" i="16"/>
  <c r="Z20" i="16"/>
  <c r="Z165" i="16"/>
  <c r="Z309" i="16"/>
  <c r="Z45" i="16"/>
  <c r="Z154" i="16"/>
  <c r="Z298" i="16"/>
  <c r="Z47" i="16"/>
  <c r="Z191" i="16"/>
  <c r="Z335" i="16"/>
  <c r="Z144" i="16"/>
  <c r="Z288" i="16"/>
  <c r="Z60" i="16"/>
  <c r="Z133" i="16"/>
  <c r="Z13" i="16"/>
  <c r="Z324" i="16"/>
  <c r="Z192" i="16"/>
  <c r="Z61" i="16"/>
  <c r="Z206" i="16"/>
  <c r="Z32" i="16"/>
  <c r="Z241" i="16"/>
  <c r="Z15" i="16"/>
  <c r="Z159" i="16"/>
  <c r="Z303" i="16"/>
  <c r="Z16" i="16"/>
  <c r="Z160" i="16"/>
  <c r="Z304" i="16"/>
  <c r="Z77" i="16"/>
  <c r="Z221" i="16"/>
  <c r="Z110" i="16"/>
  <c r="Z150" i="16"/>
  <c r="Z294" i="16"/>
  <c r="Z19" i="16"/>
  <c r="Z163" i="16"/>
  <c r="Z307" i="16"/>
  <c r="Z116" i="16"/>
  <c r="Z260" i="16"/>
  <c r="Z56" i="16"/>
  <c r="Z177" i="16"/>
  <c r="Z321" i="16"/>
  <c r="Z22" i="16"/>
  <c r="Z166" i="16"/>
  <c r="Z310" i="16"/>
  <c r="Z59" i="16"/>
  <c r="Z203" i="16"/>
  <c r="Z347" i="16"/>
  <c r="Z156" i="16"/>
  <c r="Z300" i="16"/>
  <c r="Z96" i="16"/>
  <c r="Z145" i="16"/>
  <c r="Z312" i="16"/>
  <c r="Z301" i="16"/>
  <c r="Z25" i="16"/>
  <c r="Z336" i="16"/>
  <c r="Z205" i="16"/>
  <c r="Z217" i="16"/>
  <c r="Z102" i="16"/>
  <c r="Z115" i="16"/>
  <c r="Z273" i="16"/>
  <c r="Z252" i="16"/>
  <c r="Z27" i="16"/>
  <c r="Z171" i="16"/>
  <c r="Z315" i="16"/>
  <c r="Z28" i="16"/>
  <c r="Z172" i="16"/>
  <c r="Z316" i="16"/>
  <c r="Z89" i="16"/>
  <c r="Z233" i="16"/>
  <c r="Z194" i="16"/>
  <c r="Z162" i="16"/>
  <c r="Z306" i="16"/>
  <c r="Z31" i="16"/>
  <c r="Z175" i="16"/>
  <c r="Z319" i="16"/>
  <c r="Z128" i="16"/>
  <c r="Z272" i="16"/>
  <c r="Z33" i="16"/>
  <c r="Z189" i="16"/>
  <c r="Z333" i="16"/>
  <c r="Z34" i="16"/>
  <c r="Z178" i="16"/>
  <c r="Z322" i="16"/>
  <c r="Z71" i="16"/>
  <c r="Z215" i="16"/>
  <c r="Z157" i="16"/>
  <c r="Z37" i="16"/>
  <c r="Z348" i="16"/>
  <c r="Z255" i="16"/>
  <c r="Z39" i="16"/>
  <c r="Z183" i="16"/>
  <c r="Z327" i="16"/>
  <c r="Z40" i="16"/>
  <c r="Z184" i="16"/>
  <c r="Z328" i="16"/>
  <c r="Z101" i="16"/>
  <c r="Z245" i="16"/>
  <c r="Z278" i="16"/>
  <c r="Z174" i="16"/>
  <c r="Z318" i="16"/>
  <c r="Z43" i="16"/>
  <c r="Z187" i="16"/>
  <c r="Z331" i="16"/>
  <c r="Z140" i="16"/>
  <c r="Z284" i="16"/>
  <c r="Z57" i="16"/>
  <c r="Z201" i="16"/>
  <c r="Z345" i="16"/>
  <c r="Z46" i="16"/>
  <c r="Z190" i="16"/>
  <c r="Z334" i="16"/>
  <c r="Z83" i="16"/>
  <c r="Z227" i="16"/>
  <c r="Z98" i="16"/>
  <c r="Z169" i="16"/>
  <c r="Z181" i="16"/>
  <c r="Z193" i="16"/>
  <c r="Z73" i="16"/>
  <c r="Z173" i="16"/>
  <c r="Z262" i="16"/>
  <c r="Z51" i="16"/>
  <c r="Z195" i="16"/>
  <c r="Z339" i="16"/>
  <c r="Z52" i="16"/>
  <c r="Z196" i="16"/>
  <c r="Z340" i="16"/>
  <c r="Z113" i="16"/>
  <c r="Z257" i="16"/>
  <c r="Z18" i="16"/>
  <c r="Z186" i="16"/>
  <c r="Z330" i="16"/>
  <c r="Z55" i="16"/>
  <c r="Z199" i="16"/>
  <c r="Z343" i="16"/>
  <c r="Z152" i="16"/>
  <c r="Z296" i="16"/>
  <c r="Z69" i="16"/>
  <c r="Z213" i="16"/>
  <c r="Z357" i="16"/>
  <c r="Z58" i="16"/>
  <c r="Z202" i="16"/>
  <c r="Z346" i="16"/>
  <c r="Z95" i="16"/>
  <c r="Z242" i="16"/>
  <c r="Z362" i="16"/>
  <c r="Z259" i="16"/>
  <c r="Z118" i="16"/>
  <c r="Z97" i="16"/>
  <c r="Z63" i="16"/>
  <c r="Z207" i="16"/>
  <c r="Z351" i="16"/>
  <c r="Z64" i="16"/>
  <c r="Z208" i="16"/>
  <c r="Z352" i="16"/>
  <c r="Z125" i="16"/>
  <c r="Z269" i="16"/>
  <c r="Z30" i="16"/>
  <c r="Z198" i="16"/>
  <c r="Z342" i="16"/>
  <c r="Z67" i="16"/>
  <c r="Z211" i="16"/>
  <c r="Z355" i="16"/>
  <c r="Z164" i="16"/>
  <c r="Z308" i="16"/>
  <c r="Z81" i="16"/>
  <c r="Z225" i="16"/>
  <c r="Z364" i="16"/>
  <c r="Z70" i="16"/>
  <c r="Z214" i="16"/>
  <c r="Z358" i="16"/>
  <c r="Z107" i="16"/>
  <c r="Z251" i="16"/>
  <c r="Z12" i="16"/>
  <c r="Z204" i="16"/>
  <c r="Z49" i="16"/>
  <c r="Z112" i="16"/>
  <c r="Z155" i="16"/>
  <c r="Z75" i="16"/>
  <c r="Z219" i="16"/>
  <c r="Z363" i="16"/>
  <c r="Z76" i="16"/>
  <c r="Z220" i="16"/>
  <c r="Z26" i="16"/>
  <c r="Z137" i="16"/>
  <c r="Z281" i="16"/>
  <c r="Z54" i="16"/>
  <c r="Z210" i="16"/>
  <c r="Z354" i="16"/>
  <c r="Z79" i="16"/>
  <c r="Z223" i="16"/>
  <c r="Z366" i="16"/>
  <c r="Z176" i="16"/>
  <c r="Z320" i="16"/>
  <c r="Z93" i="16"/>
  <c r="Z237" i="16"/>
  <c r="Z86" i="16"/>
  <c r="Z82" i="16"/>
  <c r="Z226" i="16"/>
  <c r="Z50" i="16"/>
  <c r="Z119" i="16"/>
  <c r="Z263" i="16"/>
  <c r="Z36" i="16"/>
  <c r="Z216" i="16"/>
  <c r="Z360" i="16"/>
  <c r="Z256" i="16"/>
  <c r="Z356" i="16"/>
  <c r="Z299" i="16"/>
  <c r="Z87" i="16"/>
  <c r="Z231" i="16"/>
  <c r="Z368" i="16"/>
  <c r="Z88" i="16"/>
  <c r="Z232" i="16"/>
  <c r="Z158" i="16"/>
  <c r="Z149" i="16"/>
  <c r="Z293" i="16"/>
  <c r="Z78" i="16"/>
  <c r="Z222" i="16"/>
  <c r="Z74" i="16"/>
  <c r="Z91" i="16"/>
  <c r="Z235" i="16"/>
  <c r="Z182" i="16"/>
  <c r="Z188" i="16"/>
  <c r="Z332" i="16"/>
  <c r="Z105" i="16"/>
  <c r="Z249" i="16"/>
  <c r="Z230" i="16"/>
  <c r="Z94" i="16"/>
  <c r="Z238" i="16"/>
  <c r="Z134" i="16"/>
  <c r="Z131" i="16"/>
  <c r="Z275" i="16"/>
  <c r="Z72" i="16"/>
  <c r="Z228" i="16"/>
  <c r="Z38" i="16"/>
  <c r="Z17" i="16"/>
  <c r="Z212" i="16"/>
  <c r="Z108" i="16"/>
  <c r="Z99" i="16"/>
  <c r="Z243" i="16"/>
  <c r="Z122" i="16"/>
  <c r="Z100" i="16"/>
  <c r="Z244" i="16"/>
  <c r="Z314" i="16"/>
  <c r="Z161" i="16"/>
  <c r="Z305" i="16"/>
  <c r="Z90" i="16"/>
  <c r="Z234" i="16"/>
  <c r="Z218" i="16"/>
  <c r="Z103" i="16"/>
  <c r="Z247" i="16"/>
  <c r="Z302" i="16"/>
  <c r="Z200" i="16"/>
  <c r="Z344" i="16"/>
  <c r="Z117" i="16"/>
  <c r="Z261" i="16"/>
  <c r="Z350" i="16"/>
  <c r="Z106" i="16"/>
  <c r="Z250" i="16"/>
  <c r="Z254" i="16"/>
  <c r="Z143" i="16"/>
  <c r="Z287" i="16"/>
  <c r="Z84" i="16"/>
  <c r="Z240" i="16"/>
  <c r="Z146" i="16"/>
  <c r="Z85" i="16"/>
  <c r="Z229" i="16"/>
  <c r="Z111" i="16"/>
  <c r="H84" i="16"/>
  <c r="H218" i="16"/>
  <c r="H92" i="16"/>
  <c r="F229" i="16"/>
  <c r="F301" i="16"/>
  <c r="AG14" i="16" s="1"/>
  <c r="H139" i="16"/>
  <c r="H293" i="16"/>
  <c r="H224" i="16"/>
  <c r="H182" i="16"/>
  <c r="H350" i="16"/>
  <c r="F205" i="16"/>
  <c r="AG19" i="16" s="1"/>
  <c r="F165" i="16"/>
  <c r="H90" i="16"/>
  <c r="F94" i="16"/>
  <c r="F110" i="16"/>
  <c r="H304" i="16"/>
  <c r="H335" i="16"/>
  <c r="H173" i="16"/>
  <c r="H268" i="16"/>
  <c r="F220" i="16"/>
  <c r="AG24" i="16" s="1"/>
  <c r="F51" i="16"/>
  <c r="F119" i="16"/>
  <c r="F362" i="16"/>
  <c r="AG11" i="16" s="1"/>
  <c r="F177" i="16"/>
  <c r="AG22" i="16" s="1"/>
  <c r="H151" i="16"/>
  <c r="H56" i="16"/>
  <c r="F129" i="16"/>
  <c r="AG13" i="16" s="1"/>
  <c r="AX364" i="16"/>
  <c r="F364" i="16" s="1"/>
  <c r="AX367" i="16"/>
  <c r="F367" i="16" s="1"/>
  <c r="AX365" i="16"/>
  <c r="F365" i="16" s="1"/>
  <c r="AX368" i="16"/>
  <c r="F368" i="16" s="1"/>
  <c r="AX366" i="16"/>
  <c r="F366" i="16" s="1"/>
  <c r="H8" i="16"/>
  <c r="D22" i="8"/>
  <c r="D21" i="8"/>
  <c r="X9" i="16"/>
  <c r="AI9" i="16"/>
  <c r="AP9" i="16"/>
  <c r="J10" i="8"/>
  <c r="AG26" i="16" l="1"/>
  <c r="AG25" i="16"/>
  <c r="AG12" i="16"/>
  <c r="I92" i="16"/>
  <c r="I56" i="16"/>
  <c r="AG18" i="16"/>
  <c r="AG17" i="16"/>
  <c r="AG21" i="16"/>
  <c r="AG23" i="16"/>
  <c r="AG16" i="16"/>
  <c r="I94" i="16"/>
  <c r="I165" i="16"/>
  <c r="I151" i="16"/>
  <c r="I90" i="16"/>
  <c r="I119" i="16"/>
  <c r="K12" i="16"/>
  <c r="I110" i="16"/>
  <c r="I51" i="16"/>
  <c r="L11" i="16" s="1"/>
  <c r="I350" i="16"/>
  <c r="I182" i="16"/>
  <c r="I220" i="16"/>
  <c r="I224" i="16"/>
  <c r="I268" i="16"/>
  <c r="I218" i="16"/>
  <c r="I205" i="16"/>
  <c r="I129" i="16"/>
  <c r="I173" i="16"/>
  <c r="I84" i="16"/>
  <c r="I229" i="16"/>
  <c r="I177" i="16"/>
  <c r="I335" i="16"/>
  <c r="I293" i="16"/>
  <c r="I301" i="16"/>
  <c r="I304" i="16"/>
  <c r="I139" i="16"/>
  <c r="I362" i="16"/>
  <c r="L35" i="8"/>
  <c r="AE22" i="16" l="1"/>
  <c r="AE15" i="16"/>
  <c r="AE16" i="16"/>
  <c r="AE26" i="16"/>
  <c r="AE20" i="16"/>
  <c r="AE12" i="16"/>
  <c r="AE18" i="16"/>
  <c r="AE23" i="16"/>
  <c r="AE14" i="16"/>
  <c r="AE17" i="16"/>
  <c r="AE13" i="16"/>
  <c r="AE11" i="16"/>
  <c r="AE24" i="16"/>
  <c r="AE19" i="16"/>
  <c r="AE25" i="16"/>
  <c r="AE21" i="16"/>
  <c r="L12" i="16"/>
  <c r="K13" i="16"/>
  <c r="V37" i="8"/>
  <c r="B33" i="8" s="1"/>
  <c r="AG9" i="16"/>
  <c r="G117" i="8"/>
  <c r="E47" i="8"/>
  <c r="Q37" i="8"/>
  <c r="K14" i="16" l="1"/>
  <c r="L13" i="16"/>
  <c r="B85" i="8"/>
  <c r="U85" i="8" s="1"/>
  <c r="AA11" i="16"/>
  <c r="AH18" i="16"/>
  <c r="AH12" i="16"/>
  <c r="AH20" i="16"/>
  <c r="AH26" i="16"/>
  <c r="AH23" i="16"/>
  <c r="AH17" i="16"/>
  <c r="AH19" i="16"/>
  <c r="AH16" i="16"/>
  <c r="AH21" i="16"/>
  <c r="AH13" i="16"/>
  <c r="AH14" i="16"/>
  <c r="AH15" i="16"/>
  <c r="AH24" i="16"/>
  <c r="AH22" i="16"/>
  <c r="AH25" i="16"/>
  <c r="AH11" i="16"/>
  <c r="AI11" i="16"/>
  <c r="E65" i="8"/>
  <c r="Y65" i="8" s="1"/>
  <c r="AP11" i="16"/>
  <c r="M11" i="16"/>
  <c r="X11" i="16"/>
  <c r="T11" i="16"/>
  <c r="S11" i="16"/>
  <c r="AP12" i="16"/>
  <c r="X12" i="16"/>
  <c r="M12" i="16"/>
  <c r="N12" i="16" s="1"/>
  <c r="T12" i="16"/>
  <c r="AI12" i="16"/>
  <c r="S12" i="16"/>
  <c r="AA12" i="16"/>
  <c r="X13" i="16"/>
  <c r="K15" i="16" l="1"/>
  <c r="L14" i="16"/>
  <c r="AB12" i="16"/>
  <c r="AQ11" i="16"/>
  <c r="AB11" i="16"/>
  <c r="U11" i="16"/>
  <c r="V11" i="16" s="1"/>
  <c r="U12" i="16"/>
  <c r="V12" i="16" s="1"/>
  <c r="AQ12" i="16"/>
  <c r="AR12" i="16" s="1"/>
  <c r="AJ12" i="16"/>
  <c r="AK12" i="16" s="1"/>
  <c r="AJ11" i="16"/>
  <c r="N11" i="16"/>
  <c r="U65" i="8"/>
  <c r="AP13" i="16"/>
  <c r="M13" i="16"/>
  <c r="N13" i="16" s="1"/>
  <c r="T13" i="16"/>
  <c r="AI13" i="16"/>
  <c r="S13" i="16"/>
  <c r="AA13" i="16"/>
  <c r="L15" i="16" l="1"/>
  <c r="K16" i="16"/>
  <c r="AK11" i="16"/>
  <c r="AR11" i="16"/>
  <c r="AB13" i="16"/>
  <c r="AJ13" i="16"/>
  <c r="AQ13" i="16"/>
  <c r="U13" i="16"/>
  <c r="AI14" i="16"/>
  <c r="S14" i="16"/>
  <c r="AA14" i="16"/>
  <c r="AP14" i="16"/>
  <c r="X14" i="16"/>
  <c r="T14" i="16"/>
  <c r="M14" i="16"/>
  <c r="N14" i="16" s="1"/>
  <c r="K17" i="16" l="1"/>
  <c r="L16" i="16"/>
  <c r="AQ14" i="16"/>
  <c r="AR14" i="16" s="1"/>
  <c r="U14" i="16"/>
  <c r="AB14" i="16"/>
  <c r="AJ14" i="16"/>
  <c r="AK14" i="16" s="1"/>
  <c r="AI15" i="16"/>
  <c r="S15" i="16"/>
  <c r="AA15" i="16"/>
  <c r="AP15" i="16"/>
  <c r="X15" i="16"/>
  <c r="M15" i="16"/>
  <c r="N15" i="16" s="1"/>
  <c r="T15" i="16"/>
  <c r="K18" i="16" l="1"/>
  <c r="L17" i="16"/>
  <c r="AQ15" i="16"/>
  <c r="AB15" i="16"/>
  <c r="U15" i="16"/>
  <c r="AJ15" i="16"/>
  <c r="AK15" i="16" s="1"/>
  <c r="AP16" i="16"/>
  <c r="X16" i="16"/>
  <c r="M16" i="16"/>
  <c r="N16" i="16" s="1"/>
  <c r="T16" i="16"/>
  <c r="AI16" i="16"/>
  <c r="S16" i="16"/>
  <c r="AA16" i="16"/>
  <c r="L18" i="16" l="1"/>
  <c r="K19" i="16"/>
  <c r="AQ16" i="16"/>
  <c r="AB16" i="16"/>
  <c r="U16" i="16"/>
  <c r="AJ16" i="16"/>
  <c r="AK16" i="16" s="1"/>
  <c r="AI17" i="16"/>
  <c r="S17" i="16"/>
  <c r="AA17" i="16"/>
  <c r="AP17" i="16"/>
  <c r="X17" i="16"/>
  <c r="M17" i="16"/>
  <c r="N17" i="16" s="1"/>
  <c r="T17" i="16"/>
  <c r="AR16" i="16" l="1"/>
  <c r="K20" i="16"/>
  <c r="L19" i="16"/>
  <c r="AQ17" i="16"/>
  <c r="U17" i="16"/>
  <c r="AB17" i="16"/>
  <c r="AJ17" i="16"/>
  <c r="AP18" i="16"/>
  <c r="X18" i="16"/>
  <c r="M18" i="16"/>
  <c r="N18" i="16" s="1"/>
  <c r="T18" i="16"/>
  <c r="AI18" i="16"/>
  <c r="S18" i="16"/>
  <c r="AA18" i="16"/>
  <c r="K21" i="16" l="1"/>
  <c r="L20" i="16"/>
  <c r="U18" i="16"/>
  <c r="AB18" i="16"/>
  <c r="AJ18" i="16"/>
  <c r="AQ18" i="16"/>
  <c r="AR18" i="16" s="1"/>
  <c r="AI19" i="16"/>
  <c r="AP19" i="16"/>
  <c r="X19" i="16"/>
  <c r="M19" i="16"/>
  <c r="N19" i="16" s="1"/>
  <c r="T19" i="16"/>
  <c r="S19" i="16"/>
  <c r="AA19" i="16"/>
  <c r="AK18" i="16" l="1"/>
  <c r="K22" i="16"/>
  <c r="L21" i="16"/>
  <c r="AQ19" i="16"/>
  <c r="AR19" i="16" s="1"/>
  <c r="AB19" i="16"/>
  <c r="U19" i="16"/>
  <c r="AJ19" i="16"/>
  <c r="AK19" i="16" s="1"/>
  <c r="AI20" i="16"/>
  <c r="S20" i="16"/>
  <c r="AA20" i="16"/>
  <c r="AP20" i="16"/>
  <c r="X20" i="16"/>
  <c r="M20" i="16"/>
  <c r="N20" i="16" s="1"/>
  <c r="T20" i="16"/>
  <c r="L22" i="16" l="1"/>
  <c r="K23" i="16"/>
  <c r="U20" i="16"/>
  <c r="AB20" i="16"/>
  <c r="AQ20" i="16"/>
  <c r="AJ20" i="16"/>
  <c r="AK20" i="16" s="1"/>
  <c r="AP21" i="16"/>
  <c r="X21" i="16"/>
  <c r="M21" i="16"/>
  <c r="N21" i="16" s="1"/>
  <c r="T21" i="16"/>
  <c r="AI21" i="16"/>
  <c r="S21" i="16"/>
  <c r="AA21" i="16"/>
  <c r="K24" i="16" l="1"/>
  <c r="L23" i="16"/>
  <c r="AB21" i="16"/>
  <c r="U21" i="16"/>
  <c r="AJ21" i="16"/>
  <c r="AK21" i="16" s="1"/>
  <c r="AQ21" i="16"/>
  <c r="AP22" i="16"/>
  <c r="X22" i="16"/>
  <c r="M22" i="16"/>
  <c r="N22" i="16" s="1"/>
  <c r="T22" i="16"/>
  <c r="AI22" i="16"/>
  <c r="S22" i="16"/>
  <c r="AA22" i="16"/>
  <c r="K25" i="16" l="1"/>
  <c r="L24" i="16"/>
  <c r="AB22" i="16"/>
  <c r="U22" i="16"/>
  <c r="AQ22" i="16"/>
  <c r="AJ22" i="16"/>
  <c r="AK22" i="16" s="1"/>
  <c r="AI23" i="16"/>
  <c r="S23" i="16"/>
  <c r="AA23" i="16"/>
  <c r="AP23" i="16"/>
  <c r="X23" i="16"/>
  <c r="M23" i="16"/>
  <c r="N23" i="16" s="1"/>
  <c r="T23" i="16"/>
  <c r="K26" i="16" l="1"/>
  <c r="L25" i="16"/>
  <c r="U23" i="16"/>
  <c r="AB23" i="16"/>
  <c r="AJ23" i="16"/>
  <c r="AQ23" i="16"/>
  <c r="AI24" i="16"/>
  <c r="S24" i="16"/>
  <c r="AA24" i="16"/>
  <c r="AP24" i="16"/>
  <c r="X24" i="16"/>
  <c r="M24" i="16"/>
  <c r="N24" i="16" s="1"/>
  <c r="T24" i="16"/>
  <c r="K27" i="16" l="1"/>
  <c r="L26" i="16"/>
  <c r="U24" i="16"/>
  <c r="AQ24" i="16"/>
  <c r="AB24" i="16"/>
  <c r="AJ24" i="16"/>
  <c r="AI25" i="16"/>
  <c r="S25" i="16"/>
  <c r="AA25" i="16"/>
  <c r="AP25" i="16"/>
  <c r="M25" i="16"/>
  <c r="N25" i="16" s="1"/>
  <c r="X25" i="16"/>
  <c r="T25" i="16"/>
  <c r="L27" i="16" l="1"/>
  <c r="K28" i="16"/>
  <c r="AB25" i="16"/>
  <c r="AQ25" i="16"/>
  <c r="U25" i="16"/>
  <c r="AJ25" i="16"/>
  <c r="AP26" i="16"/>
  <c r="X26" i="16"/>
  <c r="M26" i="16"/>
  <c r="N26" i="16" s="1"/>
  <c r="T26" i="16"/>
  <c r="AI26" i="16"/>
  <c r="S26" i="16"/>
  <c r="AA26" i="16"/>
  <c r="K29" i="16" l="1"/>
  <c r="L28" i="16"/>
  <c r="AQ26" i="16"/>
  <c r="AB26" i="16"/>
  <c r="AJ26" i="16"/>
  <c r="U26" i="16"/>
  <c r="AP27" i="16"/>
  <c r="X27" i="16"/>
  <c r="M27" i="16"/>
  <c r="N27" i="16" s="1"/>
  <c r="T27" i="16"/>
  <c r="AI27" i="16"/>
  <c r="S27" i="16"/>
  <c r="AA27" i="16"/>
  <c r="K30" i="16" l="1"/>
  <c r="L29" i="16"/>
  <c r="AQ27" i="16"/>
  <c r="AB27" i="16"/>
  <c r="AJ27" i="16"/>
  <c r="U27" i="16"/>
  <c r="AP28" i="16"/>
  <c r="X28" i="16"/>
  <c r="M28" i="16"/>
  <c r="N28" i="16" s="1"/>
  <c r="T28" i="16"/>
  <c r="AI28" i="16"/>
  <c r="S28" i="16"/>
  <c r="AA28" i="16"/>
  <c r="K31" i="16" l="1"/>
  <c r="L30" i="16"/>
  <c r="AQ28" i="16"/>
  <c r="U28" i="16"/>
  <c r="AJ28" i="16"/>
  <c r="AB28" i="16"/>
  <c r="AP29" i="16"/>
  <c r="X29" i="16"/>
  <c r="M29" i="16"/>
  <c r="N29" i="16" s="1"/>
  <c r="T29" i="16"/>
  <c r="AI29" i="16"/>
  <c r="S29" i="16"/>
  <c r="AA29" i="16"/>
  <c r="K32" i="16" l="1"/>
  <c r="L31" i="16"/>
  <c r="AB29" i="16"/>
  <c r="AQ29" i="16"/>
  <c r="AJ29" i="16"/>
  <c r="U29" i="16"/>
  <c r="AP30" i="16"/>
  <c r="X30" i="16"/>
  <c r="M30" i="16"/>
  <c r="N30" i="16" s="1"/>
  <c r="T30" i="16"/>
  <c r="AI30" i="16"/>
  <c r="S30" i="16"/>
  <c r="AA30" i="16"/>
  <c r="AK29" i="16" l="1"/>
  <c r="K33" i="16"/>
  <c r="L32" i="16"/>
  <c r="AQ30" i="16"/>
  <c r="U30" i="16"/>
  <c r="AB30" i="16"/>
  <c r="AJ30" i="16"/>
  <c r="AK30" i="16" s="1"/>
  <c r="AP31" i="16"/>
  <c r="X31" i="16"/>
  <c r="M31" i="16"/>
  <c r="N31" i="16" s="1"/>
  <c r="T31" i="16"/>
  <c r="AI31" i="16"/>
  <c r="S31" i="16"/>
  <c r="AA31" i="16"/>
  <c r="L33" i="16" l="1"/>
  <c r="K34" i="16"/>
  <c r="AB31" i="16"/>
  <c r="U31" i="16"/>
  <c r="AJ31" i="16"/>
  <c r="AQ31" i="16"/>
  <c r="AI32" i="16"/>
  <c r="AA32" i="16"/>
  <c r="AP32" i="16"/>
  <c r="X32" i="16"/>
  <c r="M32" i="16"/>
  <c r="N32" i="16" s="1"/>
  <c r="T32" i="16"/>
  <c r="S32" i="16"/>
  <c r="K35" i="16" l="1"/>
  <c r="L34" i="16"/>
  <c r="U32" i="16"/>
  <c r="AB32" i="16"/>
  <c r="AQ32" i="16"/>
  <c r="AJ32" i="16"/>
  <c r="AK32" i="16" s="1"/>
  <c r="AI33" i="16"/>
  <c r="S33" i="16"/>
  <c r="AA33" i="16"/>
  <c r="AP33" i="16"/>
  <c r="X33" i="16"/>
  <c r="M33" i="16"/>
  <c r="N33" i="16" s="1"/>
  <c r="T33" i="16"/>
  <c r="K36" i="16" l="1"/>
  <c r="L35" i="16"/>
  <c r="AQ33" i="16"/>
  <c r="U33" i="16"/>
  <c r="AB33" i="16"/>
  <c r="AJ33" i="16"/>
  <c r="T34" i="16"/>
  <c r="M34" i="16"/>
  <c r="N34" i="16" s="1"/>
  <c r="X34" i="16"/>
  <c r="AA34" i="16"/>
  <c r="AI34" i="16"/>
  <c r="AP34" i="16"/>
  <c r="S34" i="16"/>
  <c r="L36" i="16" l="1"/>
  <c r="K37" i="16"/>
  <c r="AB34" i="16"/>
  <c r="AQ34" i="16"/>
  <c r="AJ34" i="16"/>
  <c r="AK34" i="16" s="1"/>
  <c r="U34" i="16"/>
  <c r="AI35" i="16"/>
  <c r="T35" i="16"/>
  <c r="S35" i="16"/>
  <c r="AP35" i="16"/>
  <c r="AA35" i="16"/>
  <c r="X35" i="16"/>
  <c r="M35" i="16"/>
  <c r="N35" i="16" s="1"/>
  <c r="L37" i="16" l="1"/>
  <c r="K38" i="16"/>
  <c r="AQ35" i="16"/>
  <c r="AB35" i="16"/>
  <c r="U35" i="16"/>
  <c r="AJ35" i="16"/>
  <c r="X36" i="16"/>
  <c r="M36" i="16"/>
  <c r="N36" i="16" s="1"/>
  <c r="AI36" i="16"/>
  <c r="T36" i="16"/>
  <c r="S36" i="16"/>
  <c r="AP36" i="16"/>
  <c r="AA36" i="16"/>
  <c r="K39" i="16" l="1"/>
  <c r="L38" i="16"/>
  <c r="AK35" i="16"/>
  <c r="AQ36" i="16"/>
  <c r="U36" i="16"/>
  <c r="AB36" i="16"/>
  <c r="AJ36" i="16"/>
  <c r="AK36" i="16" s="1"/>
  <c r="AI37" i="16"/>
  <c r="T37" i="16"/>
  <c r="S37" i="16"/>
  <c r="AA37" i="16"/>
  <c r="X37" i="16"/>
  <c r="M37" i="16"/>
  <c r="N37" i="16" s="1"/>
  <c r="AP37" i="16"/>
  <c r="K40" i="16" l="1"/>
  <c r="L39" i="16"/>
  <c r="AQ37" i="16"/>
  <c r="U37" i="16"/>
  <c r="AB37" i="16"/>
  <c r="AJ37" i="16"/>
  <c r="AK37" i="16" s="1"/>
  <c r="S38" i="16"/>
  <c r="AP38" i="16"/>
  <c r="AA38" i="16"/>
  <c r="X38" i="16"/>
  <c r="M38" i="16"/>
  <c r="N38" i="16" s="1"/>
  <c r="AI38" i="16"/>
  <c r="T38" i="16"/>
  <c r="K41" i="16" l="1"/>
  <c r="L40" i="16"/>
  <c r="U38" i="16"/>
  <c r="AB38" i="16"/>
  <c r="AQ38" i="16"/>
  <c r="AJ38" i="16"/>
  <c r="AK38" i="16" s="1"/>
  <c r="AP39" i="16"/>
  <c r="AA39" i="16"/>
  <c r="X39" i="16"/>
  <c r="M39" i="16"/>
  <c r="N39" i="16" s="1"/>
  <c r="AI39" i="16"/>
  <c r="T39" i="16"/>
  <c r="S39" i="16"/>
  <c r="AR38" i="16" l="1"/>
  <c r="K42" i="16"/>
  <c r="L41" i="16"/>
  <c r="V38" i="16"/>
  <c r="AC38" i="16"/>
  <c r="AB39" i="16"/>
  <c r="AC39" i="16" s="1"/>
  <c r="U39" i="16"/>
  <c r="V39" i="16" s="1"/>
  <c r="AJ39" i="16"/>
  <c r="AK39" i="16" s="1"/>
  <c r="AQ39" i="16"/>
  <c r="AR39" i="16" s="1"/>
  <c r="S40" i="16"/>
  <c r="AP40" i="16"/>
  <c r="AA40" i="16"/>
  <c r="X40" i="16"/>
  <c r="M40" i="16"/>
  <c r="N40" i="16" s="1"/>
  <c r="T40" i="16"/>
  <c r="AI40" i="16"/>
  <c r="K43" i="16" l="1"/>
  <c r="L42" i="16"/>
  <c r="U40" i="16"/>
  <c r="AQ40" i="16"/>
  <c r="AR40" i="16" s="1"/>
  <c r="AJ40" i="16"/>
  <c r="AK40" i="16" s="1"/>
  <c r="AB40" i="16"/>
  <c r="AI41" i="16"/>
  <c r="T41" i="16"/>
  <c r="S41" i="16"/>
  <c r="AP41" i="16"/>
  <c r="AA41" i="16"/>
  <c r="X41" i="16"/>
  <c r="M41" i="16"/>
  <c r="N41" i="16" s="1"/>
  <c r="K44" i="16" l="1"/>
  <c r="L43" i="16"/>
  <c r="AC40" i="16"/>
  <c r="V40" i="16"/>
  <c r="U41" i="16"/>
  <c r="AQ41" i="16"/>
  <c r="AR41" i="16" s="1"/>
  <c r="AB41" i="16"/>
  <c r="AC41" i="16" s="1"/>
  <c r="AJ41" i="16"/>
  <c r="AK41" i="16" s="1"/>
  <c r="S42" i="16"/>
  <c r="X42" i="16"/>
  <c r="M42" i="16"/>
  <c r="N42" i="16" s="1"/>
  <c r="AI42" i="16"/>
  <c r="T42" i="16"/>
  <c r="AP42" i="16"/>
  <c r="AA42" i="16"/>
  <c r="K45" i="16" l="1"/>
  <c r="L44" i="16"/>
  <c r="V41" i="16"/>
  <c r="U42" i="16"/>
  <c r="AB42" i="16"/>
  <c r="AQ42" i="16"/>
  <c r="AR42" i="16" s="1"/>
  <c r="AJ42" i="16"/>
  <c r="AK42" i="16" s="1"/>
  <c r="AI43" i="16"/>
  <c r="T43" i="16"/>
  <c r="S43" i="16"/>
  <c r="AP43" i="16"/>
  <c r="AA43" i="16"/>
  <c r="X43" i="16"/>
  <c r="M43" i="16"/>
  <c r="N43" i="16" s="1"/>
  <c r="K46" i="16" l="1"/>
  <c r="L45" i="16"/>
  <c r="AC42" i="16"/>
  <c r="V42" i="16"/>
  <c r="AQ43" i="16"/>
  <c r="AR43" i="16" s="1"/>
  <c r="AB43" i="16"/>
  <c r="AC43" i="16" s="1"/>
  <c r="U43" i="16"/>
  <c r="V43" i="16" s="1"/>
  <c r="AJ43" i="16"/>
  <c r="AK43" i="16" s="1"/>
  <c r="S44" i="16"/>
  <c r="AP44" i="16"/>
  <c r="AA44" i="16"/>
  <c r="X44" i="16"/>
  <c r="M44" i="16"/>
  <c r="N44" i="16" s="1"/>
  <c r="AI44" i="16"/>
  <c r="T44" i="16"/>
  <c r="K47" i="16" l="1"/>
  <c r="L46" i="16"/>
  <c r="U44" i="16"/>
  <c r="V44" i="16" s="1"/>
  <c r="AQ44" i="16"/>
  <c r="AR44" i="16" s="1"/>
  <c r="AJ44" i="16"/>
  <c r="AK44" i="16" s="1"/>
  <c r="AB44" i="16"/>
  <c r="AC44" i="16" s="1"/>
  <c r="AI45" i="16"/>
  <c r="T45" i="16"/>
  <c r="S45" i="16"/>
  <c r="AP45" i="16"/>
  <c r="X45" i="16"/>
  <c r="M45" i="16"/>
  <c r="N45" i="16" s="1"/>
  <c r="AA45" i="16"/>
  <c r="K48" i="16" l="1"/>
  <c r="L47" i="16"/>
  <c r="AQ45" i="16"/>
  <c r="AR45" i="16" s="1"/>
  <c r="U45" i="16"/>
  <c r="V45" i="16" s="1"/>
  <c r="AB45" i="16"/>
  <c r="AC45" i="16" s="1"/>
  <c r="AJ45" i="16"/>
  <c r="AK45" i="16" s="1"/>
  <c r="X46" i="16"/>
  <c r="M46" i="16"/>
  <c r="N46" i="16" s="1"/>
  <c r="AI46" i="16"/>
  <c r="T46" i="16"/>
  <c r="S46" i="16"/>
  <c r="AP46" i="16"/>
  <c r="AA46" i="16"/>
  <c r="K49" i="16" l="1"/>
  <c r="L48" i="16"/>
  <c r="U46" i="16"/>
  <c r="V46" i="16" s="1"/>
  <c r="AB46" i="16"/>
  <c r="AC46" i="16" s="1"/>
  <c r="AQ46" i="16"/>
  <c r="AR46" i="16" s="1"/>
  <c r="AJ46" i="16"/>
  <c r="AK46" i="16" s="1"/>
  <c r="AP47" i="16"/>
  <c r="AA47" i="16"/>
  <c r="X47" i="16"/>
  <c r="M47" i="16"/>
  <c r="N47" i="16" s="1"/>
  <c r="AI47" i="16"/>
  <c r="T47" i="16"/>
  <c r="S47" i="16"/>
  <c r="L49" i="16" l="1"/>
  <c r="K50" i="16"/>
  <c r="AQ47" i="16"/>
  <c r="AR47" i="16" s="1"/>
  <c r="U47" i="16"/>
  <c r="V47" i="16" s="1"/>
  <c r="AJ47" i="16"/>
  <c r="AK47" i="16" s="1"/>
  <c r="AB47" i="16"/>
  <c r="AC47" i="16" s="1"/>
  <c r="S48" i="16"/>
  <c r="AP48" i="16"/>
  <c r="AA48" i="16"/>
  <c r="X48" i="16"/>
  <c r="M48" i="16"/>
  <c r="N48" i="16" s="1"/>
  <c r="AI48" i="16"/>
  <c r="T48" i="16"/>
  <c r="K51" i="16" l="1"/>
  <c r="L50" i="16"/>
  <c r="U48" i="16"/>
  <c r="V48" i="16" s="1"/>
  <c r="AQ48" i="16"/>
  <c r="AR48" i="16" s="1"/>
  <c r="AB48" i="16"/>
  <c r="AC48" i="16" s="1"/>
  <c r="AJ48" i="16"/>
  <c r="AK48" i="16" s="1"/>
  <c r="AI49" i="16"/>
  <c r="T49" i="16"/>
  <c r="S49" i="16"/>
  <c r="AP49" i="16"/>
  <c r="AA49" i="16"/>
  <c r="X49" i="16"/>
  <c r="M49" i="16"/>
  <c r="N49" i="16" s="1"/>
  <c r="L51" i="16" l="1"/>
  <c r="K52" i="16"/>
  <c r="AQ49" i="16"/>
  <c r="AR49" i="16" s="1"/>
  <c r="AB49" i="16"/>
  <c r="AC49" i="16" s="1"/>
  <c r="AJ49" i="16"/>
  <c r="AK49" i="16" s="1"/>
  <c r="U49" i="16"/>
  <c r="V49" i="16" s="1"/>
  <c r="S50" i="16"/>
  <c r="AP50" i="16"/>
  <c r="AA50" i="16"/>
  <c r="X50" i="16"/>
  <c r="M50" i="16"/>
  <c r="N50" i="16" s="1"/>
  <c r="AI50" i="16"/>
  <c r="T50" i="16"/>
  <c r="K53" i="16" l="1"/>
  <c r="L52" i="16"/>
  <c r="U50" i="16"/>
  <c r="V50" i="16" s="1"/>
  <c r="AB50" i="16"/>
  <c r="AC50" i="16" s="1"/>
  <c r="AQ50" i="16"/>
  <c r="AR50" i="16" s="1"/>
  <c r="AJ50" i="16"/>
  <c r="AK50" i="16" s="1"/>
  <c r="AP51" i="16"/>
  <c r="AA51" i="16"/>
  <c r="X51" i="16"/>
  <c r="M51" i="16"/>
  <c r="N51" i="16" s="1"/>
  <c r="AI51" i="16"/>
  <c r="T51" i="16"/>
  <c r="S51" i="16"/>
  <c r="K54" i="16" l="1"/>
  <c r="L53" i="16"/>
  <c r="AQ51" i="16"/>
  <c r="AR51" i="16" s="1"/>
  <c r="AB51" i="16"/>
  <c r="AC51" i="16" s="1"/>
  <c r="U51" i="16"/>
  <c r="V51" i="16" s="1"/>
  <c r="AJ51" i="16"/>
  <c r="AK51" i="16" s="1"/>
  <c r="S52" i="16"/>
  <c r="AP52" i="16"/>
  <c r="AA52" i="16"/>
  <c r="X52" i="16"/>
  <c r="M52" i="16"/>
  <c r="N52" i="16" s="1"/>
  <c r="AI52" i="16"/>
  <c r="T52" i="16"/>
  <c r="K55" i="16" l="1"/>
  <c r="L54" i="16"/>
  <c r="U52" i="16"/>
  <c r="V52" i="16" s="1"/>
  <c r="AB52" i="16"/>
  <c r="AC52" i="16" s="1"/>
  <c r="AJ52" i="16"/>
  <c r="AK52" i="16" s="1"/>
  <c r="AQ52" i="16"/>
  <c r="AR52" i="16" s="1"/>
  <c r="AI53" i="16"/>
  <c r="T53" i="16"/>
  <c r="S53" i="16"/>
  <c r="AP53" i="16"/>
  <c r="AA53" i="16"/>
  <c r="X53" i="16"/>
  <c r="M53" i="16"/>
  <c r="N53" i="16" s="1"/>
  <c r="K56" i="16" l="1"/>
  <c r="L55" i="16"/>
  <c r="AQ53" i="16"/>
  <c r="AR53" i="16" s="1"/>
  <c r="AB53" i="16"/>
  <c r="AC53" i="16" s="1"/>
  <c r="U53" i="16"/>
  <c r="V53" i="16" s="1"/>
  <c r="AJ53" i="16"/>
  <c r="AK53" i="16" s="1"/>
  <c r="X54" i="16"/>
  <c r="M54" i="16"/>
  <c r="N54" i="16" s="1"/>
  <c r="AI54" i="16"/>
  <c r="T54" i="16"/>
  <c r="S54" i="16"/>
  <c r="AP54" i="16"/>
  <c r="AA54" i="16"/>
  <c r="K57" i="16" l="1"/>
  <c r="L56" i="16"/>
  <c r="AB54" i="16"/>
  <c r="AC54" i="16" s="1"/>
  <c r="U54" i="16"/>
  <c r="V54" i="16" s="1"/>
  <c r="AQ54" i="16"/>
  <c r="AR54" i="16" s="1"/>
  <c r="AJ54" i="16"/>
  <c r="AK54" i="16" s="1"/>
  <c r="AI55" i="16"/>
  <c r="T55" i="16"/>
  <c r="S55" i="16"/>
  <c r="AP55" i="16"/>
  <c r="AA55" i="16"/>
  <c r="X55" i="16"/>
  <c r="M55" i="16"/>
  <c r="N55" i="16" s="1"/>
  <c r="L57" i="16" l="1"/>
  <c r="K58" i="16"/>
  <c r="U55" i="16"/>
  <c r="V55" i="16" s="1"/>
  <c r="AB55" i="16"/>
  <c r="AC55" i="16" s="1"/>
  <c r="AQ55" i="16"/>
  <c r="AR55" i="16" s="1"/>
  <c r="AJ55" i="16"/>
  <c r="AK55" i="16" s="1"/>
  <c r="X56" i="16"/>
  <c r="M56" i="16"/>
  <c r="N56" i="16" s="1"/>
  <c r="AI56" i="16"/>
  <c r="T56" i="16"/>
  <c r="S56" i="16"/>
  <c r="AP56" i="16"/>
  <c r="AA56" i="16"/>
  <c r="K59" i="16" l="1"/>
  <c r="L58" i="16"/>
  <c r="AQ56" i="16"/>
  <c r="AR56" i="16" s="1"/>
  <c r="U56" i="16"/>
  <c r="V56" i="16" s="1"/>
  <c r="AB56" i="16"/>
  <c r="AC56" i="16" s="1"/>
  <c r="AJ56" i="16"/>
  <c r="AK56" i="16" s="1"/>
  <c r="AI57" i="16"/>
  <c r="T57" i="16"/>
  <c r="S57" i="16"/>
  <c r="AP57" i="16"/>
  <c r="AA57" i="16"/>
  <c r="X57" i="16"/>
  <c r="M57" i="16"/>
  <c r="N57" i="16" s="1"/>
  <c r="K60" i="16" l="1"/>
  <c r="L59" i="16"/>
  <c r="AB57" i="16"/>
  <c r="AC57" i="16" s="1"/>
  <c r="U57" i="16"/>
  <c r="V57" i="16" s="1"/>
  <c r="AQ57" i="16"/>
  <c r="AR57" i="16" s="1"/>
  <c r="AJ57" i="16"/>
  <c r="AK57" i="16" s="1"/>
  <c r="X58" i="16"/>
  <c r="M58" i="16"/>
  <c r="N58" i="16" s="1"/>
  <c r="AI58" i="16"/>
  <c r="T58" i="16"/>
  <c r="S58" i="16"/>
  <c r="AA58" i="16"/>
  <c r="AP58" i="16"/>
  <c r="L60" i="16" l="1"/>
  <c r="K61" i="16"/>
  <c r="AB58" i="16"/>
  <c r="AC58" i="16" s="1"/>
  <c r="AQ58" i="16"/>
  <c r="AR58" i="16" s="1"/>
  <c r="U58" i="16"/>
  <c r="V58" i="16" s="1"/>
  <c r="AJ58" i="16"/>
  <c r="AK58" i="16" s="1"/>
  <c r="AI59" i="16"/>
  <c r="T59" i="16"/>
  <c r="S59" i="16"/>
  <c r="AP59" i="16"/>
  <c r="AA59" i="16"/>
  <c r="M59" i="16"/>
  <c r="N59" i="16" s="1"/>
  <c r="X59" i="16"/>
  <c r="K62" i="16" l="1"/>
  <c r="L61" i="16"/>
  <c r="AB59" i="16"/>
  <c r="AC59" i="16" s="1"/>
  <c r="U59" i="16"/>
  <c r="V59" i="16" s="1"/>
  <c r="AQ59" i="16"/>
  <c r="AR59" i="16" s="1"/>
  <c r="AJ59" i="16"/>
  <c r="AK59" i="16" s="1"/>
  <c r="S60" i="16"/>
  <c r="AP60" i="16"/>
  <c r="AA60" i="16"/>
  <c r="X60" i="16"/>
  <c r="M60" i="16"/>
  <c r="N60" i="16" s="1"/>
  <c r="AI60" i="16"/>
  <c r="T60" i="16"/>
  <c r="K63" i="16" l="1"/>
  <c r="L62" i="16"/>
  <c r="U60" i="16"/>
  <c r="V60" i="16" s="1"/>
  <c r="AQ60" i="16"/>
  <c r="AR60" i="16" s="1"/>
  <c r="AJ60" i="16"/>
  <c r="AK60" i="16" s="1"/>
  <c r="AB60" i="16"/>
  <c r="AC60" i="16" s="1"/>
  <c r="AA61" i="16"/>
  <c r="AI61" i="16"/>
  <c r="T61" i="16"/>
  <c r="S61" i="16"/>
  <c r="AP61" i="16"/>
  <c r="X61" i="16"/>
  <c r="M61" i="16"/>
  <c r="N61" i="16" s="1"/>
  <c r="L63" i="16" l="1"/>
  <c r="K64" i="16"/>
  <c r="AQ61" i="16"/>
  <c r="AR61" i="16" s="1"/>
  <c r="AB61" i="16"/>
  <c r="AC61" i="16" s="1"/>
  <c r="U61" i="16"/>
  <c r="V61" i="16" s="1"/>
  <c r="AJ61" i="16"/>
  <c r="AK61" i="16" s="1"/>
  <c r="X62" i="16"/>
  <c r="M62" i="16"/>
  <c r="N62" i="16" s="1"/>
  <c r="AI62" i="16"/>
  <c r="T62" i="16"/>
  <c r="S62" i="16"/>
  <c r="AP62" i="16"/>
  <c r="AA62" i="16"/>
  <c r="K65" i="16" l="1"/>
  <c r="L64" i="16"/>
  <c r="U62" i="16"/>
  <c r="V62" i="16" s="1"/>
  <c r="AB62" i="16"/>
  <c r="AC62" i="16" s="1"/>
  <c r="AQ62" i="16"/>
  <c r="AR62" i="16" s="1"/>
  <c r="AJ62" i="16"/>
  <c r="AK62" i="16" s="1"/>
  <c r="AP63" i="16"/>
  <c r="AA63" i="16"/>
  <c r="X63" i="16"/>
  <c r="M63" i="16"/>
  <c r="N63" i="16" s="1"/>
  <c r="AI63" i="16"/>
  <c r="T63" i="16"/>
  <c r="S63" i="16"/>
  <c r="K66" i="16" l="1"/>
  <c r="L65" i="16"/>
  <c r="AB63" i="16"/>
  <c r="AC63" i="16" s="1"/>
  <c r="AQ63" i="16"/>
  <c r="AR63" i="16" s="1"/>
  <c r="U63" i="16"/>
  <c r="V63" i="16" s="1"/>
  <c r="AJ63" i="16"/>
  <c r="AK63" i="16" s="1"/>
  <c r="S64" i="16"/>
  <c r="AP64" i="16"/>
  <c r="AA64" i="16"/>
  <c r="X64" i="16"/>
  <c r="M64" i="16"/>
  <c r="N64" i="16" s="1"/>
  <c r="AI64" i="16"/>
  <c r="T64" i="16"/>
  <c r="L66" i="16" l="1"/>
  <c r="K67" i="16"/>
  <c r="U64" i="16"/>
  <c r="V64" i="16" s="1"/>
  <c r="AQ64" i="16"/>
  <c r="AR64" i="16" s="1"/>
  <c r="AJ64" i="16"/>
  <c r="AK64" i="16" s="1"/>
  <c r="AB64" i="16"/>
  <c r="AC64" i="16" s="1"/>
  <c r="AP65" i="16"/>
  <c r="AA65" i="16"/>
  <c r="X65" i="16"/>
  <c r="M65" i="16"/>
  <c r="N65" i="16" s="1"/>
  <c r="AI65" i="16"/>
  <c r="T65" i="16"/>
  <c r="S65" i="16"/>
  <c r="K68" i="16" l="1"/>
  <c r="L67" i="16"/>
  <c r="U65" i="16"/>
  <c r="V65" i="16" s="1"/>
  <c r="AB65" i="16"/>
  <c r="AC65" i="16" s="1"/>
  <c r="AQ65" i="16"/>
  <c r="AR65" i="16" s="1"/>
  <c r="AJ65" i="16"/>
  <c r="AK65" i="16" s="1"/>
  <c r="S66" i="16"/>
  <c r="AP66" i="16"/>
  <c r="AA66" i="16"/>
  <c r="X66" i="16"/>
  <c r="M66" i="16"/>
  <c r="N66" i="16" s="1"/>
  <c r="AI66" i="16"/>
  <c r="T66" i="16"/>
  <c r="K69" i="16" l="1"/>
  <c r="L68" i="16"/>
  <c r="AJ66" i="16"/>
  <c r="AK66" i="16" s="1"/>
  <c r="AB66" i="16"/>
  <c r="AC66" i="16" s="1"/>
  <c r="AQ66" i="16"/>
  <c r="AR66" i="16" s="1"/>
  <c r="U66" i="16"/>
  <c r="V66" i="16" s="1"/>
  <c r="AI67" i="16"/>
  <c r="T67" i="16"/>
  <c r="X67" i="16"/>
  <c r="M67" i="16"/>
  <c r="N67" i="16" s="1"/>
  <c r="AP67" i="16"/>
  <c r="AA67" i="16"/>
  <c r="S67" i="16"/>
  <c r="L69" i="16" l="1"/>
  <c r="K70" i="16"/>
  <c r="AJ67" i="16"/>
  <c r="AK67" i="16" s="1"/>
  <c r="AQ67" i="16"/>
  <c r="AR67" i="16" s="1"/>
  <c r="AB67" i="16"/>
  <c r="AC67" i="16" s="1"/>
  <c r="U67" i="16"/>
  <c r="V67" i="16" s="1"/>
  <c r="S68" i="16"/>
  <c r="AP68" i="16"/>
  <c r="AA68" i="16"/>
  <c r="X68" i="16"/>
  <c r="M68" i="16"/>
  <c r="N68" i="16" s="1"/>
  <c r="AI68" i="16"/>
  <c r="T68" i="16"/>
  <c r="K71" i="16" l="1"/>
  <c r="L70" i="16"/>
  <c r="U68" i="16"/>
  <c r="V68" i="16" s="1"/>
  <c r="AJ68" i="16"/>
  <c r="AK68" i="16" s="1"/>
  <c r="AQ68" i="16"/>
  <c r="AR68" i="16" s="1"/>
  <c r="AB68" i="16"/>
  <c r="AC68" i="16" s="1"/>
  <c r="AP69" i="16"/>
  <c r="AA69" i="16"/>
  <c r="S69" i="16"/>
  <c r="AI69" i="16"/>
  <c r="T69" i="16"/>
  <c r="X69" i="16"/>
  <c r="M69" i="16"/>
  <c r="N69" i="16" s="1"/>
  <c r="K72" i="16" l="1"/>
  <c r="L71" i="16"/>
  <c r="U69" i="16"/>
  <c r="V69" i="16" s="1"/>
  <c r="AJ69" i="16"/>
  <c r="AK69" i="16" s="1"/>
  <c r="AB69" i="16"/>
  <c r="AC69" i="16" s="1"/>
  <c r="AQ69" i="16"/>
  <c r="AR69" i="16" s="1"/>
  <c r="S70" i="16"/>
  <c r="AP70" i="16"/>
  <c r="AA70" i="16"/>
  <c r="X70" i="16"/>
  <c r="M70" i="16"/>
  <c r="N70" i="16" s="1"/>
  <c r="AI70" i="16"/>
  <c r="T70" i="16"/>
  <c r="L72" i="16" l="1"/>
  <c r="K73" i="16"/>
  <c r="AJ70" i="16"/>
  <c r="AK70" i="16" s="1"/>
  <c r="U70" i="16"/>
  <c r="V70" i="16" s="1"/>
  <c r="AB70" i="16"/>
  <c r="AC70" i="16" s="1"/>
  <c r="AQ70" i="16"/>
  <c r="AR70" i="16" s="1"/>
  <c r="AI71" i="16"/>
  <c r="T71" i="16"/>
  <c r="X71" i="16"/>
  <c r="M71" i="16"/>
  <c r="N71" i="16" s="1"/>
  <c r="AP71" i="16"/>
  <c r="AA71" i="16"/>
  <c r="S71" i="16"/>
  <c r="K74" i="16" l="1"/>
  <c r="L73" i="16"/>
  <c r="AJ71" i="16"/>
  <c r="AK71" i="16" s="1"/>
  <c r="U71" i="16"/>
  <c r="V71" i="16" s="1"/>
  <c r="AB71" i="16"/>
  <c r="AC71" i="16" s="1"/>
  <c r="AQ71" i="16"/>
  <c r="AR71" i="16" s="1"/>
  <c r="X72" i="16"/>
  <c r="M72" i="16"/>
  <c r="N72" i="16" s="1"/>
  <c r="AI72" i="16"/>
  <c r="T72" i="16"/>
  <c r="S72" i="16"/>
  <c r="AP72" i="16"/>
  <c r="AA72" i="16"/>
  <c r="K75" i="16" l="1"/>
  <c r="L74" i="16"/>
  <c r="AJ72" i="16"/>
  <c r="AK72" i="16" s="1"/>
  <c r="AB72" i="16"/>
  <c r="AC72" i="16" s="1"/>
  <c r="U72" i="16"/>
  <c r="V72" i="16" s="1"/>
  <c r="AQ72" i="16"/>
  <c r="AR72" i="16" s="1"/>
  <c r="AP73" i="16"/>
  <c r="AA73" i="16"/>
  <c r="S73" i="16"/>
  <c r="AI73" i="16"/>
  <c r="T73" i="16"/>
  <c r="X73" i="16"/>
  <c r="M73" i="16"/>
  <c r="N73" i="16" s="1"/>
  <c r="L75" i="16" l="1"/>
  <c r="K76" i="16"/>
  <c r="AJ73" i="16"/>
  <c r="AK73" i="16" s="1"/>
  <c r="AQ73" i="16"/>
  <c r="AR73" i="16" s="1"/>
  <c r="AB73" i="16"/>
  <c r="AC73" i="16" s="1"/>
  <c r="U73" i="16"/>
  <c r="V73" i="16" s="1"/>
  <c r="X74" i="16"/>
  <c r="M74" i="16"/>
  <c r="N74" i="16" s="1"/>
  <c r="AI74" i="16"/>
  <c r="T74" i="16"/>
  <c r="AP74" i="16"/>
  <c r="AA74" i="16"/>
  <c r="S74" i="16"/>
  <c r="K77" i="16" l="1"/>
  <c r="L76" i="16"/>
  <c r="AJ74" i="16"/>
  <c r="AK74" i="16" s="1"/>
  <c r="AB74" i="16"/>
  <c r="AC74" i="16" s="1"/>
  <c r="U74" i="16"/>
  <c r="V74" i="16" s="1"/>
  <c r="AQ74" i="16"/>
  <c r="AR74" i="16" s="1"/>
  <c r="AP75" i="16"/>
  <c r="AA75" i="16"/>
  <c r="S75" i="16"/>
  <c r="AI75" i="16"/>
  <c r="T75" i="16"/>
  <c r="X75" i="16"/>
  <c r="M75" i="16"/>
  <c r="N75" i="16" s="1"/>
  <c r="K78" i="16" l="1"/>
  <c r="L77" i="16"/>
  <c r="AJ75" i="16"/>
  <c r="AK75" i="16" s="1"/>
  <c r="AB75" i="16"/>
  <c r="AC75" i="16" s="1"/>
  <c r="U75" i="16"/>
  <c r="V75" i="16" s="1"/>
  <c r="AQ75" i="16"/>
  <c r="AR75" i="16" s="1"/>
  <c r="X76" i="16"/>
  <c r="M76" i="16"/>
  <c r="N76" i="16" s="1"/>
  <c r="AI76" i="16"/>
  <c r="T76" i="16"/>
  <c r="S76" i="16"/>
  <c r="AP76" i="16"/>
  <c r="AA76" i="16"/>
  <c r="L78" i="16" l="1"/>
  <c r="K79" i="16"/>
  <c r="AQ76" i="16"/>
  <c r="AR76" i="16" s="1"/>
  <c r="AJ76" i="16"/>
  <c r="AK76" i="16" s="1"/>
  <c r="U76" i="16"/>
  <c r="V76" i="16" s="1"/>
  <c r="AB76" i="16"/>
  <c r="AC76" i="16" s="1"/>
  <c r="AP77" i="16"/>
  <c r="AA77" i="16"/>
  <c r="S77" i="16"/>
  <c r="AI77" i="16"/>
  <c r="T77" i="16"/>
  <c r="M77" i="16"/>
  <c r="N77" i="16" s="1"/>
  <c r="X77" i="16"/>
  <c r="K80" i="16" l="1"/>
  <c r="L79" i="16"/>
  <c r="AJ77" i="16"/>
  <c r="AK77" i="16" s="1"/>
  <c r="AB77" i="16"/>
  <c r="AC77" i="16" s="1"/>
  <c r="U77" i="16"/>
  <c r="V77" i="16" s="1"/>
  <c r="AQ77" i="16"/>
  <c r="AR77" i="16" s="1"/>
  <c r="X78" i="16"/>
  <c r="M78" i="16"/>
  <c r="N78" i="16" s="1"/>
  <c r="AI78" i="16"/>
  <c r="T78" i="16"/>
  <c r="S78" i="16"/>
  <c r="AP78" i="16"/>
  <c r="AA78" i="16"/>
  <c r="K81" i="16" l="1"/>
  <c r="L80" i="16"/>
  <c r="AJ78" i="16"/>
  <c r="AK78" i="16" s="1"/>
  <c r="AQ78" i="16"/>
  <c r="AR78" i="16" s="1"/>
  <c r="AB78" i="16"/>
  <c r="AC78" i="16" s="1"/>
  <c r="U78" i="16"/>
  <c r="V78" i="16" s="1"/>
  <c r="AP79" i="16"/>
  <c r="AA79" i="16"/>
  <c r="S79" i="16"/>
  <c r="AI79" i="16"/>
  <c r="T79" i="16"/>
  <c r="M79" i="16"/>
  <c r="N79" i="16" s="1"/>
  <c r="X79" i="16"/>
  <c r="L81" i="16" l="1"/>
  <c r="K82" i="16"/>
  <c r="AQ79" i="16"/>
  <c r="AR79" i="16" s="1"/>
  <c r="AJ79" i="16"/>
  <c r="AK79" i="16" s="1"/>
  <c r="AB79" i="16"/>
  <c r="AC79" i="16" s="1"/>
  <c r="U79" i="16"/>
  <c r="V79" i="16" s="1"/>
  <c r="X80" i="16"/>
  <c r="M80" i="16"/>
  <c r="N80" i="16" s="1"/>
  <c r="AI80" i="16"/>
  <c r="T80" i="16"/>
  <c r="S80" i="16"/>
  <c r="AP80" i="16"/>
  <c r="AA80" i="16"/>
  <c r="K83" i="16" l="1"/>
  <c r="L82" i="16"/>
  <c r="U80" i="16"/>
  <c r="V80" i="16" s="1"/>
  <c r="AJ80" i="16"/>
  <c r="AK80" i="16" s="1"/>
  <c r="AQ80" i="16"/>
  <c r="AR80" i="16" s="1"/>
  <c r="AB80" i="16"/>
  <c r="AC80" i="16" s="1"/>
  <c r="AP81" i="16"/>
  <c r="AA81" i="16"/>
  <c r="S81" i="16"/>
  <c r="T81" i="16"/>
  <c r="X81" i="16"/>
  <c r="M81" i="16"/>
  <c r="N81" i="16" s="1"/>
  <c r="AI81" i="16"/>
  <c r="K84" i="16" l="1"/>
  <c r="L83" i="16"/>
  <c r="AJ81" i="16"/>
  <c r="AK81" i="16" s="1"/>
  <c r="AQ81" i="16"/>
  <c r="AR81" i="16" s="1"/>
  <c r="AB81" i="16"/>
  <c r="AC81" i="16" s="1"/>
  <c r="U81" i="16"/>
  <c r="V81" i="16" s="1"/>
  <c r="X82" i="16"/>
  <c r="M82" i="16"/>
  <c r="N82" i="16" s="1"/>
  <c r="AI82" i="16"/>
  <c r="T82" i="16"/>
  <c r="S82" i="16"/>
  <c r="AP82" i="16"/>
  <c r="AA82" i="16"/>
  <c r="L84" i="16" l="1"/>
  <c r="K85" i="16"/>
  <c r="AJ82" i="16"/>
  <c r="AK82" i="16" s="1"/>
  <c r="AQ82" i="16"/>
  <c r="AR82" i="16" s="1"/>
  <c r="AB82" i="16"/>
  <c r="AC82" i="16" s="1"/>
  <c r="U82" i="16"/>
  <c r="V82" i="16" s="1"/>
  <c r="AP83" i="16"/>
  <c r="AA83" i="16"/>
  <c r="S83" i="16"/>
  <c r="AI83" i="16"/>
  <c r="T83" i="16"/>
  <c r="X83" i="16"/>
  <c r="M83" i="16"/>
  <c r="N83" i="16" s="1"/>
  <c r="K86" i="16" l="1"/>
  <c r="L85" i="16"/>
  <c r="AJ83" i="16"/>
  <c r="AK83" i="16" s="1"/>
  <c r="AQ83" i="16"/>
  <c r="AR83" i="16" s="1"/>
  <c r="U83" i="16"/>
  <c r="V83" i="16" s="1"/>
  <c r="AB83" i="16"/>
  <c r="AC83" i="16" s="1"/>
  <c r="S84" i="16"/>
  <c r="AP84" i="16"/>
  <c r="AA84" i="16"/>
  <c r="X84" i="16"/>
  <c r="M84" i="16"/>
  <c r="N84" i="16" s="1"/>
  <c r="AI84" i="16"/>
  <c r="T84" i="16"/>
  <c r="K87" i="16" l="1"/>
  <c r="L86" i="16"/>
  <c r="U84" i="16"/>
  <c r="V84" i="16" s="1"/>
  <c r="AJ84" i="16"/>
  <c r="AK84" i="16" s="1"/>
  <c r="AB84" i="16"/>
  <c r="AC84" i="16" s="1"/>
  <c r="AQ84" i="16"/>
  <c r="AR84" i="16" s="1"/>
  <c r="AP85" i="16"/>
  <c r="AA85" i="16"/>
  <c r="S85" i="16"/>
  <c r="AI85" i="16"/>
  <c r="T85" i="16"/>
  <c r="X85" i="16"/>
  <c r="M85" i="16"/>
  <c r="N85" i="16" s="1"/>
  <c r="L87" i="16" l="1"/>
  <c r="K88" i="16"/>
  <c r="U85" i="16"/>
  <c r="V85" i="16" s="1"/>
  <c r="AJ85" i="16"/>
  <c r="AK85" i="16" s="1"/>
  <c r="AB85" i="16"/>
  <c r="AC85" i="16" s="1"/>
  <c r="AQ85" i="16"/>
  <c r="AR85" i="16" s="1"/>
  <c r="X86" i="16"/>
  <c r="M86" i="16"/>
  <c r="N86" i="16" s="1"/>
  <c r="AI86" i="16"/>
  <c r="T86" i="16"/>
  <c r="S86" i="16"/>
  <c r="AP86" i="16"/>
  <c r="AA86" i="16"/>
  <c r="K89" i="16" l="1"/>
  <c r="L88" i="16"/>
  <c r="AJ86" i="16"/>
  <c r="AK86" i="16" s="1"/>
  <c r="AQ86" i="16"/>
  <c r="AR86" i="16" s="1"/>
  <c r="U86" i="16"/>
  <c r="V86" i="16" s="1"/>
  <c r="AB86" i="16"/>
  <c r="AC86" i="16" s="1"/>
  <c r="AP87" i="16"/>
  <c r="AA87" i="16"/>
  <c r="S87" i="16"/>
  <c r="AI87" i="16"/>
  <c r="T87" i="16"/>
  <c r="X87" i="16"/>
  <c r="M87" i="16"/>
  <c r="N87" i="16" s="1"/>
  <c r="K90" i="16" l="1"/>
  <c r="L89" i="16"/>
  <c r="AJ87" i="16"/>
  <c r="AK87" i="16" s="1"/>
  <c r="AQ87" i="16"/>
  <c r="AR87" i="16" s="1"/>
  <c r="U87" i="16"/>
  <c r="V87" i="16" s="1"/>
  <c r="AB87" i="16"/>
  <c r="AC87" i="16" s="1"/>
  <c r="X88" i="16"/>
  <c r="M88" i="16"/>
  <c r="N88" i="16" s="1"/>
  <c r="AI88" i="16"/>
  <c r="T88" i="16"/>
  <c r="S88" i="16"/>
  <c r="AP88" i="16"/>
  <c r="AA88" i="16"/>
  <c r="L90" i="16" l="1"/>
  <c r="K91" i="16"/>
  <c r="AJ88" i="16"/>
  <c r="AK88" i="16" s="1"/>
  <c r="AQ88" i="16"/>
  <c r="AR88" i="16" s="1"/>
  <c r="U88" i="16"/>
  <c r="V88" i="16" s="1"/>
  <c r="AB88" i="16"/>
  <c r="AC88" i="16" s="1"/>
  <c r="AP89" i="16"/>
  <c r="AA89" i="16"/>
  <c r="S89" i="16"/>
  <c r="AI89" i="16"/>
  <c r="T89" i="16"/>
  <c r="M89" i="16"/>
  <c r="N89" i="16" s="1"/>
  <c r="X89" i="16"/>
  <c r="K92" i="16" l="1"/>
  <c r="L91" i="16"/>
  <c r="AJ89" i="16"/>
  <c r="AK89" i="16" s="1"/>
  <c r="AB89" i="16"/>
  <c r="AC89" i="16" s="1"/>
  <c r="AQ89" i="16"/>
  <c r="AR89" i="16" s="1"/>
  <c r="U89" i="16"/>
  <c r="V89" i="16" s="1"/>
  <c r="X90" i="16"/>
  <c r="M90" i="16"/>
  <c r="N90" i="16" s="1"/>
  <c r="AI90" i="16"/>
  <c r="T90" i="16"/>
  <c r="S90" i="16"/>
  <c r="AP90" i="16"/>
  <c r="AA90" i="16"/>
  <c r="K93" i="16" l="1"/>
  <c r="L92" i="16"/>
  <c r="U90" i="16"/>
  <c r="V90" i="16" s="1"/>
  <c r="AQ90" i="16"/>
  <c r="AR90" i="16" s="1"/>
  <c r="AB90" i="16"/>
  <c r="AC90" i="16" s="1"/>
  <c r="AJ90" i="16"/>
  <c r="AK90" i="16" s="1"/>
  <c r="AP91" i="16"/>
  <c r="AA91" i="16"/>
  <c r="S91" i="16"/>
  <c r="AI91" i="16"/>
  <c r="X91" i="16"/>
  <c r="M91" i="16"/>
  <c r="N91" i="16" s="1"/>
  <c r="T91" i="16"/>
  <c r="L93" i="16" l="1"/>
  <c r="K94" i="16"/>
  <c r="AJ91" i="16"/>
  <c r="AK91" i="16" s="1"/>
  <c r="AQ91" i="16"/>
  <c r="AR91" i="16" s="1"/>
  <c r="AB91" i="16"/>
  <c r="AC91" i="16" s="1"/>
  <c r="U91" i="16"/>
  <c r="V91" i="16" s="1"/>
  <c r="X92" i="16"/>
  <c r="M92" i="16"/>
  <c r="N92" i="16" s="1"/>
  <c r="AI92" i="16"/>
  <c r="T92" i="16"/>
  <c r="S92" i="16"/>
  <c r="AP92" i="16"/>
  <c r="AA92" i="16"/>
  <c r="K95" i="16" l="1"/>
  <c r="L94" i="16"/>
  <c r="AJ92" i="16"/>
  <c r="AK92" i="16" s="1"/>
  <c r="AQ92" i="16"/>
  <c r="AR92" i="16" s="1"/>
  <c r="U92" i="16"/>
  <c r="V92" i="16" s="1"/>
  <c r="AB92" i="16"/>
  <c r="AC92" i="16" s="1"/>
  <c r="AP93" i="16"/>
  <c r="AA93" i="16"/>
  <c r="S93" i="16"/>
  <c r="AI93" i="16"/>
  <c r="T93" i="16"/>
  <c r="X93" i="16"/>
  <c r="M93" i="16"/>
  <c r="N93" i="16" s="1"/>
  <c r="K96" i="16" l="1"/>
  <c r="L95" i="16"/>
  <c r="AJ93" i="16"/>
  <c r="AK93" i="16" s="1"/>
  <c r="AQ93" i="16"/>
  <c r="AR93" i="16" s="1"/>
  <c r="AB93" i="16"/>
  <c r="AC93" i="16" s="1"/>
  <c r="U93" i="16"/>
  <c r="V93" i="16" s="1"/>
  <c r="X94" i="16"/>
  <c r="M94" i="16"/>
  <c r="N94" i="16" s="1"/>
  <c r="AI94" i="16"/>
  <c r="T94" i="16"/>
  <c r="S94" i="16"/>
  <c r="AP94" i="16"/>
  <c r="AA94" i="16"/>
  <c r="L96" i="16" l="1"/>
  <c r="K97" i="16"/>
  <c r="AJ94" i="16"/>
  <c r="AK94" i="16" s="1"/>
  <c r="U94" i="16"/>
  <c r="V94" i="16" s="1"/>
  <c r="AB94" i="16"/>
  <c r="AC94" i="16" s="1"/>
  <c r="AQ94" i="16"/>
  <c r="AR94" i="16" s="1"/>
  <c r="AP95" i="16"/>
  <c r="AA95" i="16"/>
  <c r="S95" i="16"/>
  <c r="AI95" i="16"/>
  <c r="AJ95" i="16" s="1"/>
  <c r="AK95" i="16" s="1"/>
  <c r="T95" i="16"/>
  <c r="X95" i="16"/>
  <c r="M95" i="16"/>
  <c r="N95" i="16" s="1"/>
  <c r="K98" i="16" l="1"/>
  <c r="L97" i="16"/>
  <c r="AQ95" i="16"/>
  <c r="AR95" i="16" s="1"/>
  <c r="AB95" i="16"/>
  <c r="AC95" i="16" s="1"/>
  <c r="U95" i="16"/>
  <c r="V95" i="16" s="1"/>
  <c r="X96" i="16"/>
  <c r="M96" i="16"/>
  <c r="N96" i="16" s="1"/>
  <c r="AI96" i="16"/>
  <c r="T96" i="16"/>
  <c r="S96" i="16"/>
  <c r="AP96" i="16"/>
  <c r="AA96" i="16"/>
  <c r="K99" i="16" l="1"/>
  <c r="L98" i="16"/>
  <c r="AJ96" i="16"/>
  <c r="AK96" i="16" s="1"/>
  <c r="AQ96" i="16"/>
  <c r="AR96" i="16" s="1"/>
  <c r="AB96" i="16"/>
  <c r="AC96" i="16" s="1"/>
  <c r="U96" i="16"/>
  <c r="V96" i="16" s="1"/>
  <c r="AP97" i="16"/>
  <c r="AA97" i="16"/>
  <c r="S97" i="16"/>
  <c r="AI97" i="16"/>
  <c r="T97" i="16"/>
  <c r="X97" i="16"/>
  <c r="M97" i="16"/>
  <c r="N97" i="16" s="1"/>
  <c r="L99" i="16" l="1"/>
  <c r="K100" i="16"/>
  <c r="AJ97" i="16"/>
  <c r="AK97" i="16" s="1"/>
  <c r="AQ97" i="16"/>
  <c r="AR97" i="16" s="1"/>
  <c r="AB97" i="16"/>
  <c r="AC97" i="16" s="1"/>
  <c r="U97" i="16"/>
  <c r="V97" i="16" s="1"/>
  <c r="X98" i="16"/>
  <c r="M98" i="16"/>
  <c r="N98" i="16" s="1"/>
  <c r="AI98" i="16"/>
  <c r="AJ98" i="16" s="1"/>
  <c r="AK98" i="16" s="1"/>
  <c r="T98" i="16"/>
  <c r="S98" i="16"/>
  <c r="AP98" i="16"/>
  <c r="AA98" i="16"/>
  <c r="K101" i="16" l="1"/>
  <c r="L100" i="16"/>
  <c r="U98" i="16"/>
  <c r="V98" i="16" s="1"/>
  <c r="AB98" i="16"/>
  <c r="AC98" i="16" s="1"/>
  <c r="AQ98" i="16"/>
  <c r="AR98" i="16" s="1"/>
  <c r="AP99" i="16"/>
  <c r="AA99" i="16"/>
  <c r="S99" i="16"/>
  <c r="AI99" i="16"/>
  <c r="T99" i="16"/>
  <c r="X99" i="16"/>
  <c r="M99" i="16"/>
  <c r="N99" i="16" s="1"/>
  <c r="K102" i="16" l="1"/>
  <c r="L101" i="16"/>
  <c r="AJ99" i="16"/>
  <c r="AK99" i="16" s="1"/>
  <c r="AQ99" i="16"/>
  <c r="AR99" i="16" s="1"/>
  <c r="U99" i="16"/>
  <c r="V99" i="16" s="1"/>
  <c r="AB99" i="16"/>
  <c r="AC99" i="16" s="1"/>
  <c r="X100" i="16"/>
  <c r="M100" i="16"/>
  <c r="N100" i="16" s="1"/>
  <c r="AI100" i="16"/>
  <c r="T100" i="16"/>
  <c r="S100" i="16"/>
  <c r="AP100" i="16"/>
  <c r="AA100" i="16"/>
  <c r="K103" i="16" l="1"/>
  <c r="L102" i="16"/>
  <c r="AJ100" i="16"/>
  <c r="AK100" i="16" s="1"/>
  <c r="AB100" i="16"/>
  <c r="AC100" i="16" s="1"/>
  <c r="AQ100" i="16"/>
  <c r="AR100" i="16" s="1"/>
  <c r="U100" i="16"/>
  <c r="V100" i="16" s="1"/>
  <c r="AP101" i="16"/>
  <c r="AA101" i="16"/>
  <c r="S101" i="16"/>
  <c r="AI101" i="16"/>
  <c r="T101" i="16"/>
  <c r="X101" i="16"/>
  <c r="M101" i="16"/>
  <c r="N101" i="16" s="1"/>
  <c r="K104" i="16" l="1"/>
  <c r="L103" i="16"/>
  <c r="AJ101" i="16"/>
  <c r="AK101" i="16" s="1"/>
  <c r="U101" i="16"/>
  <c r="V101" i="16" s="1"/>
  <c r="AB101" i="16"/>
  <c r="AC101" i="16" s="1"/>
  <c r="AQ101" i="16"/>
  <c r="AR101" i="16" s="1"/>
  <c r="X102" i="16"/>
  <c r="M102" i="16"/>
  <c r="N102" i="16" s="1"/>
  <c r="AI102" i="16"/>
  <c r="T102" i="16"/>
  <c r="S102" i="16"/>
  <c r="AP102" i="16"/>
  <c r="AA102" i="16"/>
  <c r="K105" i="16" l="1"/>
  <c r="L104" i="16"/>
  <c r="AJ102" i="16"/>
  <c r="AK102" i="16" s="1"/>
  <c r="AQ102" i="16"/>
  <c r="AR102" i="16" s="1"/>
  <c r="AB102" i="16"/>
  <c r="AC102" i="16" s="1"/>
  <c r="U102" i="16"/>
  <c r="V102" i="16" s="1"/>
  <c r="AP103" i="16"/>
  <c r="AA103" i="16"/>
  <c r="S103" i="16"/>
  <c r="AI103" i="16"/>
  <c r="T103" i="16"/>
  <c r="X103" i="16"/>
  <c r="M103" i="16"/>
  <c r="N103" i="16" s="1"/>
  <c r="L105" i="16" l="1"/>
  <c r="K106" i="16"/>
  <c r="AQ103" i="16"/>
  <c r="AR103" i="16" s="1"/>
  <c r="AJ103" i="16"/>
  <c r="AK103" i="16" s="1"/>
  <c r="AB103" i="16"/>
  <c r="AC103" i="16" s="1"/>
  <c r="U103" i="16"/>
  <c r="V103" i="16" s="1"/>
  <c r="X104" i="16"/>
  <c r="M104" i="16"/>
  <c r="N104" i="16" s="1"/>
  <c r="AI104" i="16"/>
  <c r="T104" i="16"/>
  <c r="S104" i="16"/>
  <c r="AP104" i="16"/>
  <c r="AA104" i="16"/>
  <c r="L106" i="16" l="1"/>
  <c r="K107" i="16"/>
  <c r="AJ104" i="16"/>
  <c r="AK104" i="16" s="1"/>
  <c r="AQ104" i="16"/>
  <c r="AR104" i="16" s="1"/>
  <c r="U104" i="16"/>
  <c r="V104" i="16" s="1"/>
  <c r="AB104" i="16"/>
  <c r="AC104" i="16" s="1"/>
  <c r="AP105" i="16"/>
  <c r="AA105" i="16"/>
  <c r="S105" i="16"/>
  <c r="AI105" i="16"/>
  <c r="T105" i="16"/>
  <c r="X105" i="16"/>
  <c r="M105" i="16"/>
  <c r="N105" i="16" s="1"/>
  <c r="K108" i="16" l="1"/>
  <c r="L107" i="16"/>
  <c r="AJ105" i="16"/>
  <c r="AK105" i="16" s="1"/>
  <c r="AQ105" i="16"/>
  <c r="AR105" i="16" s="1"/>
  <c r="U105" i="16"/>
  <c r="V105" i="16" s="1"/>
  <c r="AB105" i="16"/>
  <c r="AC105" i="16" s="1"/>
  <c r="X106" i="16"/>
  <c r="M106" i="16"/>
  <c r="N106" i="16" s="1"/>
  <c r="AI106" i="16"/>
  <c r="T106" i="16"/>
  <c r="S106" i="16"/>
  <c r="AP106" i="16"/>
  <c r="AA106" i="16"/>
  <c r="L108" i="16" l="1"/>
  <c r="K109" i="16"/>
  <c r="AQ106" i="16"/>
  <c r="AR106" i="16" s="1"/>
  <c r="AJ106" i="16"/>
  <c r="AK106" i="16" s="1"/>
  <c r="U106" i="16"/>
  <c r="V106" i="16" s="1"/>
  <c r="AB106" i="16"/>
  <c r="AC106" i="16" s="1"/>
  <c r="AP107" i="16"/>
  <c r="AA107" i="16"/>
  <c r="S107" i="16"/>
  <c r="AI107" i="16"/>
  <c r="T107" i="16"/>
  <c r="X107" i="16"/>
  <c r="M107" i="16"/>
  <c r="N107" i="16" s="1"/>
  <c r="L109" i="16" l="1"/>
  <c r="K110" i="16"/>
  <c r="AJ107" i="16"/>
  <c r="AK107" i="16" s="1"/>
  <c r="AQ107" i="16"/>
  <c r="AR107" i="16" s="1"/>
  <c r="AB107" i="16"/>
  <c r="AC107" i="16" s="1"/>
  <c r="U107" i="16"/>
  <c r="V107" i="16" s="1"/>
  <c r="X108" i="16"/>
  <c r="M108" i="16"/>
  <c r="N108" i="16" s="1"/>
  <c r="AI108" i="16"/>
  <c r="T108" i="16"/>
  <c r="S108" i="16"/>
  <c r="AP108" i="16"/>
  <c r="AA108" i="16"/>
  <c r="L110" i="16" l="1"/>
  <c r="K111" i="16"/>
  <c r="AJ108" i="16"/>
  <c r="AK108" i="16" s="1"/>
  <c r="AQ108" i="16"/>
  <c r="AR108" i="16" s="1"/>
  <c r="AB108" i="16"/>
  <c r="AC108" i="16" s="1"/>
  <c r="U108" i="16"/>
  <c r="V108" i="16" s="1"/>
  <c r="AP109" i="16"/>
  <c r="AA109" i="16"/>
  <c r="S109" i="16"/>
  <c r="AI109" i="16"/>
  <c r="T109" i="16"/>
  <c r="X109" i="16"/>
  <c r="M109" i="16"/>
  <c r="N109" i="16" s="1"/>
  <c r="L111" i="16" l="1"/>
  <c r="K112" i="16"/>
  <c r="AJ109" i="16"/>
  <c r="AK109" i="16" s="1"/>
  <c r="AB109" i="16"/>
  <c r="AC109" i="16" s="1"/>
  <c r="AQ109" i="16"/>
  <c r="AR109" i="16" s="1"/>
  <c r="U109" i="16"/>
  <c r="V109" i="16" s="1"/>
  <c r="X110" i="16"/>
  <c r="M110" i="16"/>
  <c r="N110" i="16" s="1"/>
  <c r="AI110" i="16"/>
  <c r="T110" i="16"/>
  <c r="S110" i="16"/>
  <c r="AP110" i="16"/>
  <c r="AA110" i="16"/>
  <c r="L112" i="16" l="1"/>
  <c r="K113" i="16"/>
  <c r="AJ110" i="16"/>
  <c r="AK110" i="16" s="1"/>
  <c r="AQ110" i="16"/>
  <c r="AR110" i="16" s="1"/>
  <c r="AB110" i="16"/>
  <c r="AC110" i="16" s="1"/>
  <c r="U110" i="16"/>
  <c r="V110" i="16" s="1"/>
  <c r="AP111" i="16"/>
  <c r="AA111" i="16"/>
  <c r="S111" i="16"/>
  <c r="AI111" i="16"/>
  <c r="T111" i="16"/>
  <c r="X111" i="16"/>
  <c r="M111" i="16"/>
  <c r="N111" i="16" s="1"/>
  <c r="K114" i="16" l="1"/>
  <c r="L113" i="16"/>
  <c r="AJ111" i="16"/>
  <c r="AK111" i="16" s="1"/>
  <c r="U111" i="16"/>
  <c r="V111" i="16" s="1"/>
  <c r="AB111" i="16"/>
  <c r="AC111" i="16" s="1"/>
  <c r="AQ111" i="16"/>
  <c r="AR111" i="16" s="1"/>
  <c r="X112" i="16"/>
  <c r="M112" i="16"/>
  <c r="N112" i="16" s="1"/>
  <c r="AI112" i="16"/>
  <c r="T112" i="16"/>
  <c r="S112" i="16"/>
  <c r="AP112" i="16"/>
  <c r="AA112" i="16"/>
  <c r="L114" i="16" l="1"/>
  <c r="K115" i="16"/>
  <c r="AJ112" i="16"/>
  <c r="AK112" i="16" s="1"/>
  <c r="AQ112" i="16"/>
  <c r="AR112" i="16" s="1"/>
  <c r="U112" i="16"/>
  <c r="V112" i="16" s="1"/>
  <c r="AB112" i="16"/>
  <c r="AC112" i="16" s="1"/>
  <c r="AP113" i="16"/>
  <c r="AA113" i="16"/>
  <c r="S113" i="16"/>
  <c r="AI113" i="16"/>
  <c r="T113" i="16"/>
  <c r="X113" i="16"/>
  <c r="M113" i="16"/>
  <c r="N113" i="16" s="1"/>
  <c r="L115" i="16" l="1"/>
  <c r="K116" i="16"/>
  <c r="AJ113" i="16"/>
  <c r="AK113" i="16" s="1"/>
  <c r="AB113" i="16"/>
  <c r="AC113" i="16" s="1"/>
  <c r="AQ113" i="16"/>
  <c r="AR113" i="16" s="1"/>
  <c r="U113" i="16"/>
  <c r="V113" i="16" s="1"/>
  <c r="X114" i="16"/>
  <c r="M114" i="16"/>
  <c r="N114" i="16" s="1"/>
  <c r="AI114" i="16"/>
  <c r="T114" i="16"/>
  <c r="S114" i="16"/>
  <c r="AP114" i="16"/>
  <c r="AA114" i="16"/>
  <c r="K117" i="16" l="1"/>
  <c r="L116" i="16"/>
  <c r="AJ114" i="16"/>
  <c r="AK114" i="16" s="1"/>
  <c r="AQ114" i="16"/>
  <c r="AR114" i="16" s="1"/>
  <c r="AB114" i="16"/>
  <c r="AC114" i="16" s="1"/>
  <c r="U114" i="16"/>
  <c r="V114" i="16" s="1"/>
  <c r="AP115" i="16"/>
  <c r="AA115" i="16"/>
  <c r="S115" i="16"/>
  <c r="AI115" i="16"/>
  <c r="T115" i="16"/>
  <c r="X115" i="16"/>
  <c r="M115" i="16"/>
  <c r="N115" i="16" s="1"/>
  <c r="K118" i="16" l="1"/>
  <c r="L117" i="16"/>
  <c r="AJ115" i="16"/>
  <c r="AK115" i="16" s="1"/>
  <c r="AQ115" i="16"/>
  <c r="AR115" i="16" s="1"/>
  <c r="AB115" i="16"/>
  <c r="AC115" i="16" s="1"/>
  <c r="U115" i="16"/>
  <c r="V115" i="16" s="1"/>
  <c r="X116" i="16"/>
  <c r="M116" i="16"/>
  <c r="N116" i="16" s="1"/>
  <c r="AI116" i="16"/>
  <c r="T116" i="16"/>
  <c r="S116" i="16"/>
  <c r="AP116" i="16"/>
  <c r="AA116" i="16"/>
  <c r="L118" i="16" l="1"/>
  <c r="K119" i="16"/>
  <c r="AQ116" i="16"/>
  <c r="AR116" i="16" s="1"/>
  <c r="AJ116" i="16"/>
  <c r="AK116" i="16" s="1"/>
  <c r="U116" i="16"/>
  <c r="V116" i="16" s="1"/>
  <c r="AB116" i="16"/>
  <c r="AC116" i="16" s="1"/>
  <c r="AP117" i="16"/>
  <c r="AA117" i="16"/>
  <c r="S117" i="16"/>
  <c r="AI117" i="16"/>
  <c r="T117" i="16"/>
  <c r="X117" i="16"/>
  <c r="M117" i="16"/>
  <c r="N117" i="16" s="1"/>
  <c r="K120" i="16" l="1"/>
  <c r="L119" i="16"/>
  <c r="AQ117" i="16"/>
  <c r="AR117" i="16" s="1"/>
  <c r="AJ117" i="16"/>
  <c r="AK117" i="16" s="1"/>
  <c r="U117" i="16"/>
  <c r="V117" i="16" s="1"/>
  <c r="AB117" i="16"/>
  <c r="AC117" i="16" s="1"/>
  <c r="AP118" i="16"/>
  <c r="AA118" i="16"/>
  <c r="X118" i="16"/>
  <c r="M118" i="16"/>
  <c r="N118" i="16" s="1"/>
  <c r="AI118" i="16"/>
  <c r="T118" i="16"/>
  <c r="S118" i="16"/>
  <c r="L120" i="16" l="1"/>
  <c r="K121" i="16"/>
  <c r="AJ118" i="16"/>
  <c r="AK118" i="16" s="1"/>
  <c r="AQ118" i="16"/>
  <c r="AR118" i="16" s="1"/>
  <c r="U118" i="16"/>
  <c r="V118" i="16" s="1"/>
  <c r="AB118" i="16"/>
  <c r="AC118" i="16" s="1"/>
  <c r="X119" i="16"/>
  <c r="M119" i="16"/>
  <c r="N119" i="16" s="1"/>
  <c r="T119" i="16"/>
  <c r="AA119" i="16"/>
  <c r="S119" i="16"/>
  <c r="AP119" i="16"/>
  <c r="AI119" i="16"/>
  <c r="K122" i="16" l="1"/>
  <c r="L121" i="16"/>
  <c r="AJ119" i="16"/>
  <c r="AK119" i="16" s="1"/>
  <c r="AQ119" i="16"/>
  <c r="AR119" i="16" s="1"/>
  <c r="AB119" i="16"/>
  <c r="AC119" i="16" s="1"/>
  <c r="U119" i="16"/>
  <c r="V119" i="16" s="1"/>
  <c r="AP120" i="16"/>
  <c r="AA120" i="16"/>
  <c r="S120" i="16"/>
  <c r="AI120" i="16"/>
  <c r="T120" i="16"/>
  <c r="X120" i="16"/>
  <c r="M120" i="16"/>
  <c r="N120" i="16" s="1"/>
  <c r="K123" i="16" l="1"/>
  <c r="L122" i="16"/>
  <c r="AJ120" i="16"/>
  <c r="AK120" i="16" s="1"/>
  <c r="AQ120" i="16"/>
  <c r="AR120" i="16" s="1"/>
  <c r="U120" i="16"/>
  <c r="V120" i="16" s="1"/>
  <c r="AB120" i="16"/>
  <c r="AC120" i="16" s="1"/>
  <c r="X121" i="16"/>
  <c r="M121" i="16"/>
  <c r="N121" i="16" s="1"/>
  <c r="T121" i="16"/>
  <c r="AA121" i="16"/>
  <c r="S121" i="16"/>
  <c r="AP121" i="16"/>
  <c r="AI121" i="16"/>
  <c r="K124" i="16" l="1"/>
  <c r="L123" i="16"/>
  <c r="AJ121" i="16"/>
  <c r="AK121" i="16" s="1"/>
  <c r="AQ121" i="16"/>
  <c r="AR121" i="16" s="1"/>
  <c r="AB121" i="16"/>
  <c r="AC121" i="16" s="1"/>
  <c r="U121" i="16"/>
  <c r="V121" i="16" s="1"/>
  <c r="AI122" i="16"/>
  <c r="T122" i="16"/>
  <c r="X122" i="16"/>
  <c r="M122" i="16"/>
  <c r="N122" i="16" s="1"/>
  <c r="AP122" i="16"/>
  <c r="AA122" i="16"/>
  <c r="S122" i="16"/>
  <c r="L124" i="16" l="1"/>
  <c r="K125" i="16"/>
  <c r="AB122" i="16"/>
  <c r="AC122" i="16" s="1"/>
  <c r="AJ122" i="16"/>
  <c r="AK122" i="16" s="1"/>
  <c r="AQ122" i="16"/>
  <c r="AR122" i="16" s="1"/>
  <c r="U122" i="16"/>
  <c r="V122" i="16" s="1"/>
  <c r="X123" i="16"/>
  <c r="M123" i="16"/>
  <c r="N123" i="16" s="1"/>
  <c r="T123" i="16"/>
  <c r="AA123" i="16"/>
  <c r="S123" i="16"/>
  <c r="AP123" i="16"/>
  <c r="AI123" i="16"/>
  <c r="K126" i="16" l="1"/>
  <c r="L125" i="16"/>
  <c r="AJ123" i="16"/>
  <c r="AK123" i="16" s="1"/>
  <c r="AQ123" i="16"/>
  <c r="AR123" i="16" s="1"/>
  <c r="AB123" i="16"/>
  <c r="AC123" i="16" s="1"/>
  <c r="U123" i="16"/>
  <c r="V123" i="16" s="1"/>
  <c r="AI124" i="16"/>
  <c r="T124" i="16"/>
  <c r="X124" i="16"/>
  <c r="M124" i="16"/>
  <c r="N124" i="16" s="1"/>
  <c r="AP124" i="16"/>
  <c r="AA124" i="16"/>
  <c r="S124" i="16"/>
  <c r="K127" i="16" l="1"/>
  <c r="L126" i="16"/>
  <c r="AJ124" i="16"/>
  <c r="AK124" i="16" s="1"/>
  <c r="AQ124" i="16"/>
  <c r="AR124" i="16" s="1"/>
  <c r="AB124" i="16"/>
  <c r="AC124" i="16" s="1"/>
  <c r="U124" i="16"/>
  <c r="V124" i="16" s="1"/>
  <c r="X125" i="16"/>
  <c r="M125" i="16"/>
  <c r="N125" i="16" s="1"/>
  <c r="AI125" i="16"/>
  <c r="T125" i="16"/>
  <c r="S125" i="16"/>
  <c r="AP125" i="16"/>
  <c r="AA125" i="16"/>
  <c r="L127" i="16" l="1"/>
  <c r="K128" i="16"/>
  <c r="AQ125" i="16"/>
  <c r="AR125" i="16" s="1"/>
  <c r="U125" i="16"/>
  <c r="V125" i="16" s="1"/>
  <c r="AB125" i="16"/>
  <c r="AC125" i="16" s="1"/>
  <c r="AJ125" i="16"/>
  <c r="AK125" i="16" s="1"/>
  <c r="AI126" i="16"/>
  <c r="T126" i="16"/>
  <c r="X126" i="16"/>
  <c r="M126" i="16"/>
  <c r="N126" i="16" s="1"/>
  <c r="AP126" i="16"/>
  <c r="AA126" i="16"/>
  <c r="S126" i="16"/>
  <c r="K129" i="16" l="1"/>
  <c r="L128" i="16"/>
  <c r="AQ126" i="16"/>
  <c r="AR126" i="16" s="1"/>
  <c r="AJ126" i="16"/>
  <c r="AK126" i="16" s="1"/>
  <c r="AB126" i="16"/>
  <c r="AC126" i="16" s="1"/>
  <c r="U126" i="16"/>
  <c r="V126" i="16" s="1"/>
  <c r="X127" i="16"/>
  <c r="M127" i="16"/>
  <c r="N127" i="16" s="1"/>
  <c r="AI127" i="16"/>
  <c r="T127" i="16"/>
  <c r="S127" i="16"/>
  <c r="AP127" i="16"/>
  <c r="AA127" i="16"/>
  <c r="K130" i="16" l="1"/>
  <c r="L129" i="16"/>
  <c r="AQ127" i="16"/>
  <c r="AR127" i="16" s="1"/>
  <c r="AJ127" i="16"/>
  <c r="AK127" i="16" s="1"/>
  <c r="U127" i="16"/>
  <c r="V127" i="16" s="1"/>
  <c r="AB127" i="16"/>
  <c r="AC127" i="16" s="1"/>
  <c r="AP128" i="16"/>
  <c r="AA128" i="16"/>
  <c r="S128" i="16"/>
  <c r="AI128" i="16"/>
  <c r="T128" i="16"/>
  <c r="X128" i="16"/>
  <c r="M128" i="16"/>
  <c r="N128" i="16" s="1"/>
  <c r="L130" i="16" l="1"/>
  <c r="K131" i="16"/>
  <c r="AJ128" i="16"/>
  <c r="AK128" i="16" s="1"/>
  <c r="AQ128" i="16"/>
  <c r="AR128" i="16" s="1"/>
  <c r="AB128" i="16"/>
  <c r="AC128" i="16" s="1"/>
  <c r="U128" i="16"/>
  <c r="V128" i="16" s="1"/>
  <c r="X129" i="16"/>
  <c r="M129" i="16"/>
  <c r="N129" i="16" s="1"/>
  <c r="AI129" i="16"/>
  <c r="T129" i="16"/>
  <c r="S129" i="16"/>
  <c r="AP129" i="16"/>
  <c r="AA129" i="16"/>
  <c r="K132" i="16" l="1"/>
  <c r="L131" i="16"/>
  <c r="AJ129" i="16"/>
  <c r="AK129" i="16" s="1"/>
  <c r="AQ129" i="16"/>
  <c r="AR129" i="16" s="1"/>
  <c r="AB129" i="16"/>
  <c r="AC129" i="16" s="1"/>
  <c r="U129" i="16"/>
  <c r="V129" i="16" s="1"/>
  <c r="AP130" i="16"/>
  <c r="AA130" i="16"/>
  <c r="S130" i="16"/>
  <c r="AI130" i="16"/>
  <c r="T130" i="16"/>
  <c r="X130" i="16"/>
  <c r="M130" i="16"/>
  <c r="N130" i="16" s="1"/>
  <c r="K133" i="16" l="1"/>
  <c r="L132" i="16"/>
  <c r="AJ130" i="16"/>
  <c r="AK130" i="16" s="1"/>
  <c r="AQ130" i="16"/>
  <c r="AR130" i="16" s="1"/>
  <c r="U130" i="16"/>
  <c r="V130" i="16" s="1"/>
  <c r="AB130" i="16"/>
  <c r="AC130" i="16" s="1"/>
  <c r="X131" i="16"/>
  <c r="M131" i="16"/>
  <c r="N131" i="16" s="1"/>
  <c r="AI131" i="16"/>
  <c r="T131" i="16"/>
  <c r="S131" i="16"/>
  <c r="AP131" i="16"/>
  <c r="AA131" i="16"/>
  <c r="K134" i="16" l="1"/>
  <c r="L133" i="16"/>
  <c r="AJ131" i="16"/>
  <c r="AK131" i="16" s="1"/>
  <c r="AQ131" i="16"/>
  <c r="AR131" i="16" s="1"/>
  <c r="U131" i="16"/>
  <c r="V131" i="16" s="1"/>
  <c r="AB131" i="16"/>
  <c r="AC131" i="16" s="1"/>
  <c r="AP132" i="16"/>
  <c r="AA132" i="16"/>
  <c r="S132" i="16"/>
  <c r="AI132" i="16"/>
  <c r="T132" i="16"/>
  <c r="X132" i="16"/>
  <c r="M132" i="16"/>
  <c r="N132" i="16" s="1"/>
  <c r="K135" i="16" l="1"/>
  <c r="L134" i="16"/>
  <c r="AJ132" i="16"/>
  <c r="AK132" i="16" s="1"/>
  <c r="U132" i="16"/>
  <c r="V132" i="16" s="1"/>
  <c r="AQ132" i="16"/>
  <c r="AR132" i="16" s="1"/>
  <c r="AB132" i="16"/>
  <c r="AC132" i="16" s="1"/>
  <c r="X133" i="16"/>
  <c r="M133" i="16"/>
  <c r="N133" i="16" s="1"/>
  <c r="AI133" i="16"/>
  <c r="T133" i="16"/>
  <c r="S133" i="16"/>
  <c r="AP133" i="16"/>
  <c r="AA133" i="16"/>
  <c r="K136" i="16" l="1"/>
  <c r="L135" i="16"/>
  <c r="AJ133" i="16"/>
  <c r="AK133" i="16" s="1"/>
  <c r="U133" i="16"/>
  <c r="V133" i="16" s="1"/>
  <c r="AB133" i="16"/>
  <c r="AC133" i="16" s="1"/>
  <c r="AQ133" i="16"/>
  <c r="AR133" i="16" s="1"/>
  <c r="AP134" i="16"/>
  <c r="AA134" i="16"/>
  <c r="S134" i="16"/>
  <c r="AI134" i="16"/>
  <c r="T134" i="16"/>
  <c r="X134" i="16"/>
  <c r="M134" i="16"/>
  <c r="N134" i="16" s="1"/>
  <c r="L136" i="16" l="1"/>
  <c r="K137" i="16"/>
  <c r="AJ134" i="16"/>
  <c r="AK134" i="16" s="1"/>
  <c r="AQ134" i="16"/>
  <c r="AR134" i="16" s="1"/>
  <c r="AB134" i="16"/>
  <c r="AC134" i="16" s="1"/>
  <c r="U134" i="16"/>
  <c r="V134" i="16" s="1"/>
  <c r="X135" i="16"/>
  <c r="M135" i="16"/>
  <c r="N135" i="16" s="1"/>
  <c r="AI135" i="16"/>
  <c r="T135" i="16"/>
  <c r="S135" i="16"/>
  <c r="AP135" i="16"/>
  <c r="AA135" i="16"/>
  <c r="K138" i="16" l="1"/>
  <c r="L137" i="16"/>
  <c r="AQ135" i="16"/>
  <c r="AR135" i="16" s="1"/>
  <c r="AJ135" i="16"/>
  <c r="AK135" i="16" s="1"/>
  <c r="AB135" i="16"/>
  <c r="AC135" i="16" s="1"/>
  <c r="U135" i="16"/>
  <c r="V135" i="16" s="1"/>
  <c r="AP136" i="16"/>
  <c r="AA136" i="16"/>
  <c r="S136" i="16"/>
  <c r="AI136" i="16"/>
  <c r="T136" i="16"/>
  <c r="X136" i="16"/>
  <c r="M136" i="16"/>
  <c r="N136" i="16" s="1"/>
  <c r="K139" i="16" l="1"/>
  <c r="L138" i="16"/>
  <c r="AJ136" i="16"/>
  <c r="AK136" i="16" s="1"/>
  <c r="AQ136" i="16"/>
  <c r="AR136" i="16" s="1"/>
  <c r="U136" i="16"/>
  <c r="V136" i="16" s="1"/>
  <c r="AB136" i="16"/>
  <c r="AC136" i="16" s="1"/>
  <c r="X137" i="16"/>
  <c r="M137" i="16"/>
  <c r="N137" i="16" s="1"/>
  <c r="AI137" i="16"/>
  <c r="T137" i="16"/>
  <c r="S137" i="16"/>
  <c r="AP137" i="16"/>
  <c r="AA137" i="16"/>
  <c r="K140" i="16" l="1"/>
  <c r="L139" i="16"/>
  <c r="AJ137" i="16"/>
  <c r="AK137" i="16" s="1"/>
  <c r="AQ137" i="16"/>
  <c r="AR137" i="16" s="1"/>
  <c r="AB137" i="16"/>
  <c r="AC137" i="16" s="1"/>
  <c r="U137" i="16"/>
  <c r="V137" i="16" s="1"/>
  <c r="AP138" i="16"/>
  <c r="AA138" i="16"/>
  <c r="S138" i="16"/>
  <c r="AI138" i="16"/>
  <c r="T138" i="16"/>
  <c r="X138" i="16"/>
  <c r="M138" i="16"/>
  <c r="N138" i="16" s="1"/>
  <c r="K141" i="16" l="1"/>
  <c r="L140" i="16"/>
  <c r="AJ138" i="16"/>
  <c r="AK138" i="16" s="1"/>
  <c r="AQ138" i="16"/>
  <c r="AR138" i="16" s="1"/>
  <c r="U138" i="16"/>
  <c r="V138" i="16" s="1"/>
  <c r="AB138" i="16"/>
  <c r="AC138" i="16" s="1"/>
  <c r="X139" i="16"/>
  <c r="M139" i="16"/>
  <c r="N139" i="16" s="1"/>
  <c r="AI139" i="16"/>
  <c r="T139" i="16"/>
  <c r="S139" i="16"/>
  <c r="AP139" i="16"/>
  <c r="AA139" i="16"/>
  <c r="K142" i="16" l="1"/>
  <c r="L141" i="16"/>
  <c r="AJ139" i="16"/>
  <c r="AK139" i="16" s="1"/>
  <c r="AQ139" i="16"/>
  <c r="AR139" i="16" s="1"/>
  <c r="U139" i="16"/>
  <c r="V139" i="16" s="1"/>
  <c r="AB139" i="16"/>
  <c r="AC139" i="16" s="1"/>
  <c r="AP140" i="16"/>
  <c r="AA140" i="16"/>
  <c r="S140" i="16"/>
  <c r="AI140" i="16"/>
  <c r="T140" i="16"/>
  <c r="X140" i="16"/>
  <c r="M140" i="16"/>
  <c r="N140" i="16" s="1"/>
  <c r="L142" i="16" l="1"/>
  <c r="K143" i="16"/>
  <c r="AJ140" i="16"/>
  <c r="AK140" i="16" s="1"/>
  <c r="AQ140" i="16"/>
  <c r="AR140" i="16" s="1"/>
  <c r="AB140" i="16"/>
  <c r="AC140" i="16" s="1"/>
  <c r="U140" i="16"/>
  <c r="V140" i="16" s="1"/>
  <c r="X141" i="16"/>
  <c r="M141" i="16"/>
  <c r="N141" i="16" s="1"/>
  <c r="AI141" i="16"/>
  <c r="T141" i="16"/>
  <c r="S141" i="16"/>
  <c r="AP141" i="16"/>
  <c r="AA141" i="16"/>
  <c r="K144" i="16" l="1"/>
  <c r="L143" i="16"/>
  <c r="AJ141" i="16"/>
  <c r="AK141" i="16" s="1"/>
  <c r="U141" i="16"/>
  <c r="V141" i="16" s="1"/>
  <c r="AB141" i="16"/>
  <c r="AC141" i="16" s="1"/>
  <c r="AQ141" i="16"/>
  <c r="AR141" i="16" s="1"/>
  <c r="AP142" i="16"/>
  <c r="AA142" i="16"/>
  <c r="S142" i="16"/>
  <c r="AI142" i="16"/>
  <c r="T142" i="16"/>
  <c r="X142" i="16"/>
  <c r="M142" i="16"/>
  <c r="N142" i="16" s="1"/>
  <c r="L144" i="16" l="1"/>
  <c r="K145" i="16"/>
  <c r="AJ142" i="16"/>
  <c r="AK142" i="16" s="1"/>
  <c r="AQ142" i="16"/>
  <c r="AR142" i="16" s="1"/>
  <c r="AB142" i="16"/>
  <c r="AC142" i="16" s="1"/>
  <c r="U142" i="16"/>
  <c r="V142" i="16" s="1"/>
  <c r="X143" i="16"/>
  <c r="M143" i="16"/>
  <c r="N143" i="16" s="1"/>
  <c r="AI143" i="16"/>
  <c r="T143" i="16"/>
  <c r="S143" i="16"/>
  <c r="AP143" i="16"/>
  <c r="AA143" i="16"/>
  <c r="K146" i="16" l="1"/>
  <c r="L145" i="16"/>
  <c r="AQ143" i="16"/>
  <c r="AR143" i="16" s="1"/>
  <c r="U143" i="16"/>
  <c r="V143" i="16" s="1"/>
  <c r="AJ143" i="16"/>
  <c r="AK143" i="16" s="1"/>
  <c r="AB143" i="16"/>
  <c r="AC143" i="16" s="1"/>
  <c r="AP144" i="16"/>
  <c r="AA144" i="16"/>
  <c r="S144" i="16"/>
  <c r="AI144" i="16"/>
  <c r="T144" i="16"/>
  <c r="X144" i="16"/>
  <c r="M144" i="16"/>
  <c r="N144" i="16" s="1"/>
  <c r="K147" i="16" l="1"/>
  <c r="L146" i="16"/>
  <c r="AJ144" i="16"/>
  <c r="AK144" i="16" s="1"/>
  <c r="U144" i="16"/>
  <c r="V144" i="16" s="1"/>
  <c r="AB144" i="16"/>
  <c r="AC144" i="16" s="1"/>
  <c r="AQ144" i="16"/>
  <c r="AR144" i="16" s="1"/>
  <c r="X145" i="16"/>
  <c r="M145" i="16"/>
  <c r="N145" i="16" s="1"/>
  <c r="AI145" i="16"/>
  <c r="T145" i="16"/>
  <c r="S145" i="16"/>
  <c r="AP145" i="16"/>
  <c r="AA145" i="16"/>
  <c r="K148" i="16" l="1"/>
  <c r="L147" i="16"/>
  <c r="U145" i="16"/>
  <c r="V145" i="16" s="1"/>
  <c r="AJ145" i="16"/>
  <c r="AK145" i="16" s="1"/>
  <c r="AQ145" i="16"/>
  <c r="AR145" i="16" s="1"/>
  <c r="AB145" i="16"/>
  <c r="AC145" i="16" s="1"/>
  <c r="AP146" i="16"/>
  <c r="AA146" i="16"/>
  <c r="S146" i="16"/>
  <c r="AI146" i="16"/>
  <c r="T146" i="16"/>
  <c r="X146" i="16"/>
  <c r="M146" i="16"/>
  <c r="N146" i="16" s="1"/>
  <c r="L148" i="16" l="1"/>
  <c r="K149" i="16"/>
  <c r="AJ146" i="16"/>
  <c r="AK146" i="16" s="1"/>
  <c r="AB146" i="16"/>
  <c r="AC146" i="16" s="1"/>
  <c r="AQ146" i="16"/>
  <c r="AR146" i="16" s="1"/>
  <c r="U146" i="16"/>
  <c r="V146" i="16" s="1"/>
  <c r="X147" i="16"/>
  <c r="M147" i="16"/>
  <c r="N147" i="16" s="1"/>
  <c r="AI147" i="16"/>
  <c r="T147" i="16"/>
  <c r="S147" i="16"/>
  <c r="AP147" i="16"/>
  <c r="AA147" i="16"/>
  <c r="K150" i="16" l="1"/>
  <c r="L149" i="16"/>
  <c r="AJ147" i="16"/>
  <c r="AK147" i="16" s="1"/>
  <c r="AQ147" i="16"/>
  <c r="AR147" i="16" s="1"/>
  <c r="U147" i="16"/>
  <c r="V147" i="16" s="1"/>
  <c r="AB147" i="16"/>
  <c r="AC147" i="16" s="1"/>
  <c r="AP148" i="16"/>
  <c r="AA148" i="16"/>
  <c r="S148" i="16"/>
  <c r="AI148" i="16"/>
  <c r="T148" i="16"/>
  <c r="X148" i="16"/>
  <c r="M148" i="16"/>
  <c r="N148" i="16" s="1"/>
  <c r="K151" i="16" l="1"/>
  <c r="L150" i="16"/>
  <c r="AJ148" i="16"/>
  <c r="AK148" i="16" s="1"/>
  <c r="AB148" i="16"/>
  <c r="AC148" i="16" s="1"/>
  <c r="U148" i="16"/>
  <c r="V148" i="16" s="1"/>
  <c r="AQ148" i="16"/>
  <c r="AR148" i="16" s="1"/>
  <c r="X149" i="16"/>
  <c r="M149" i="16"/>
  <c r="N149" i="16" s="1"/>
  <c r="AI149" i="16"/>
  <c r="T149" i="16"/>
  <c r="S149" i="16"/>
  <c r="AP149" i="16"/>
  <c r="AA149" i="16"/>
  <c r="K152" i="16" l="1"/>
  <c r="L151" i="16"/>
  <c r="U149" i="16"/>
  <c r="V149" i="16" s="1"/>
  <c r="AJ149" i="16"/>
  <c r="AK149" i="16" s="1"/>
  <c r="AQ149" i="16"/>
  <c r="AR149" i="16" s="1"/>
  <c r="AB149" i="16"/>
  <c r="AC149" i="16" s="1"/>
  <c r="AP150" i="16"/>
  <c r="AA150" i="16"/>
  <c r="S150" i="16"/>
  <c r="AI150" i="16"/>
  <c r="T150" i="16"/>
  <c r="X150" i="16"/>
  <c r="M150" i="16"/>
  <c r="N150" i="16" s="1"/>
  <c r="K153" i="16" l="1"/>
  <c r="L152" i="16"/>
  <c r="AJ150" i="16"/>
  <c r="AK150" i="16" s="1"/>
  <c r="AQ150" i="16"/>
  <c r="AR150" i="16" s="1"/>
  <c r="AB150" i="16"/>
  <c r="AC150" i="16" s="1"/>
  <c r="U150" i="16"/>
  <c r="V150" i="16" s="1"/>
  <c r="X151" i="16"/>
  <c r="M151" i="16"/>
  <c r="N151" i="16" s="1"/>
  <c r="AI151" i="16"/>
  <c r="T151" i="16"/>
  <c r="S151" i="16"/>
  <c r="AP151" i="16"/>
  <c r="AA151" i="16"/>
  <c r="K154" i="16" l="1"/>
  <c r="L153" i="16"/>
  <c r="AJ151" i="16"/>
  <c r="AK151" i="16" s="1"/>
  <c r="AQ151" i="16"/>
  <c r="AR151" i="16" s="1"/>
  <c r="U151" i="16"/>
  <c r="V151" i="16" s="1"/>
  <c r="AB151" i="16"/>
  <c r="AC151" i="16" s="1"/>
  <c r="AP152" i="16"/>
  <c r="AA152" i="16"/>
  <c r="S152" i="16"/>
  <c r="AI152" i="16"/>
  <c r="AJ152" i="16" s="1"/>
  <c r="AK152" i="16" s="1"/>
  <c r="T152" i="16"/>
  <c r="X152" i="16"/>
  <c r="M152" i="16"/>
  <c r="N152" i="16" s="1"/>
  <c r="L154" i="16" l="1"/>
  <c r="K155" i="16"/>
  <c r="U152" i="16"/>
  <c r="V152" i="16" s="1"/>
  <c r="AB152" i="16"/>
  <c r="AC152" i="16" s="1"/>
  <c r="AQ152" i="16"/>
  <c r="AR152" i="16" s="1"/>
  <c r="X153" i="16"/>
  <c r="M153" i="16"/>
  <c r="N153" i="16" s="1"/>
  <c r="AI153" i="16"/>
  <c r="T153" i="16"/>
  <c r="S153" i="16"/>
  <c r="AP153" i="16"/>
  <c r="AA153" i="16"/>
  <c r="K156" i="16" l="1"/>
  <c r="L155" i="16"/>
  <c r="U153" i="16"/>
  <c r="V153" i="16" s="1"/>
  <c r="AJ153" i="16"/>
  <c r="AK153" i="16" s="1"/>
  <c r="AQ153" i="16"/>
  <c r="AR153" i="16" s="1"/>
  <c r="AB153" i="16"/>
  <c r="AC153" i="16" s="1"/>
  <c r="AP154" i="16"/>
  <c r="AA154" i="16"/>
  <c r="S154" i="16"/>
  <c r="AI154" i="16"/>
  <c r="T154" i="16"/>
  <c r="X154" i="16"/>
  <c r="M154" i="16"/>
  <c r="N154" i="16" s="1"/>
  <c r="K157" i="16" l="1"/>
  <c r="L156" i="16"/>
  <c r="AJ154" i="16"/>
  <c r="AK154" i="16" s="1"/>
  <c r="AB154" i="16"/>
  <c r="AC154" i="16" s="1"/>
  <c r="AQ154" i="16"/>
  <c r="AR154" i="16" s="1"/>
  <c r="U154" i="16"/>
  <c r="V154" i="16" s="1"/>
  <c r="X155" i="16"/>
  <c r="M155" i="16"/>
  <c r="N155" i="16" s="1"/>
  <c r="AI155" i="16"/>
  <c r="T155" i="16"/>
  <c r="S155" i="16"/>
  <c r="AP155" i="16"/>
  <c r="AA155" i="16"/>
  <c r="K158" i="16" l="1"/>
  <c r="L157" i="16"/>
  <c r="AQ155" i="16"/>
  <c r="AR155" i="16" s="1"/>
  <c r="AB155" i="16"/>
  <c r="AC155" i="16" s="1"/>
  <c r="AJ155" i="16"/>
  <c r="AK155" i="16" s="1"/>
  <c r="U155" i="16"/>
  <c r="V155" i="16" s="1"/>
  <c r="AP156" i="16"/>
  <c r="AA156" i="16"/>
  <c r="S156" i="16"/>
  <c r="AI156" i="16"/>
  <c r="T156" i="16"/>
  <c r="X156" i="16"/>
  <c r="M156" i="16"/>
  <c r="N156" i="16" s="1"/>
  <c r="K159" i="16" l="1"/>
  <c r="L158" i="16"/>
  <c r="AJ156" i="16"/>
  <c r="AK156" i="16" s="1"/>
  <c r="AQ156" i="16"/>
  <c r="AR156" i="16" s="1"/>
  <c r="U156" i="16"/>
  <c r="V156" i="16" s="1"/>
  <c r="AB156" i="16"/>
  <c r="AC156" i="16" s="1"/>
  <c r="X157" i="16"/>
  <c r="M157" i="16"/>
  <c r="N157" i="16" s="1"/>
  <c r="AI157" i="16"/>
  <c r="T157" i="16"/>
  <c r="S157" i="16"/>
  <c r="AP157" i="16"/>
  <c r="AA157" i="16"/>
  <c r="K160" i="16" l="1"/>
  <c r="L159" i="16"/>
  <c r="AJ157" i="16"/>
  <c r="AK157" i="16" s="1"/>
  <c r="AQ157" i="16"/>
  <c r="AR157" i="16" s="1"/>
  <c r="U157" i="16"/>
  <c r="V157" i="16" s="1"/>
  <c r="AB157" i="16"/>
  <c r="AC157" i="16" s="1"/>
  <c r="AP158" i="16"/>
  <c r="AA158" i="16"/>
  <c r="S158" i="16"/>
  <c r="AI158" i="16"/>
  <c r="T158" i="16"/>
  <c r="X158" i="16"/>
  <c r="M158" i="16"/>
  <c r="N158" i="16" s="1"/>
  <c r="L160" i="16" l="1"/>
  <c r="K161" i="16"/>
  <c r="AJ158" i="16"/>
  <c r="AK158" i="16" s="1"/>
  <c r="AQ158" i="16"/>
  <c r="AR158" i="16" s="1"/>
  <c r="AB158" i="16"/>
  <c r="AC158" i="16" s="1"/>
  <c r="U158" i="16"/>
  <c r="V158" i="16" s="1"/>
  <c r="X159" i="16"/>
  <c r="M159" i="16"/>
  <c r="N159" i="16" s="1"/>
  <c r="AI159" i="16"/>
  <c r="T159" i="16"/>
  <c r="S159" i="16"/>
  <c r="AP159" i="16"/>
  <c r="AA159" i="16"/>
  <c r="K162" i="16" l="1"/>
  <c r="L161" i="16"/>
  <c r="AJ159" i="16"/>
  <c r="AK159" i="16" s="1"/>
  <c r="AQ159" i="16"/>
  <c r="AR159" i="16" s="1"/>
  <c r="U159" i="16"/>
  <c r="V159" i="16" s="1"/>
  <c r="AB159" i="16"/>
  <c r="AC159" i="16" s="1"/>
  <c r="AP160" i="16"/>
  <c r="AA160" i="16"/>
  <c r="S160" i="16"/>
  <c r="AI160" i="16"/>
  <c r="T160" i="16"/>
  <c r="X160" i="16"/>
  <c r="M160" i="16"/>
  <c r="N160" i="16" s="1"/>
  <c r="K163" i="16" l="1"/>
  <c r="L162" i="16"/>
  <c r="AJ160" i="16"/>
  <c r="AK160" i="16" s="1"/>
  <c r="U160" i="16"/>
  <c r="V160" i="16" s="1"/>
  <c r="AB160" i="16"/>
  <c r="AC160" i="16" s="1"/>
  <c r="AQ160" i="16"/>
  <c r="AR160" i="16" s="1"/>
  <c r="X161" i="16"/>
  <c r="M161" i="16"/>
  <c r="N161" i="16" s="1"/>
  <c r="AI161" i="16"/>
  <c r="T161" i="16"/>
  <c r="S161" i="16"/>
  <c r="AP161" i="16"/>
  <c r="AA161" i="16"/>
  <c r="K164" i="16" l="1"/>
  <c r="L163" i="16"/>
  <c r="AJ161" i="16"/>
  <c r="AK161" i="16" s="1"/>
  <c r="AQ161" i="16"/>
  <c r="AR161" i="16" s="1"/>
  <c r="U161" i="16"/>
  <c r="V161" i="16" s="1"/>
  <c r="AB161" i="16"/>
  <c r="AC161" i="16" s="1"/>
  <c r="AP162" i="16"/>
  <c r="AA162" i="16"/>
  <c r="S162" i="16"/>
  <c r="AI162" i="16"/>
  <c r="T162" i="16"/>
  <c r="X162" i="16"/>
  <c r="M162" i="16"/>
  <c r="N162" i="16" s="1"/>
  <c r="K165" i="16" l="1"/>
  <c r="L164" i="16"/>
  <c r="AJ162" i="16"/>
  <c r="AK162" i="16" s="1"/>
  <c r="AQ162" i="16"/>
  <c r="AR162" i="16" s="1"/>
  <c r="U162" i="16"/>
  <c r="V162" i="16" s="1"/>
  <c r="AB162" i="16"/>
  <c r="AC162" i="16" s="1"/>
  <c r="X163" i="16"/>
  <c r="M163" i="16"/>
  <c r="N163" i="16" s="1"/>
  <c r="AI163" i="16"/>
  <c r="T163" i="16"/>
  <c r="S163" i="16"/>
  <c r="AP163" i="16"/>
  <c r="AA163" i="16"/>
  <c r="K166" i="16" l="1"/>
  <c r="L165" i="16"/>
  <c r="AJ163" i="16"/>
  <c r="AK163" i="16" s="1"/>
  <c r="AQ163" i="16"/>
  <c r="AR163" i="16" s="1"/>
  <c r="AB163" i="16"/>
  <c r="AC163" i="16" s="1"/>
  <c r="U163" i="16"/>
  <c r="V163" i="16" s="1"/>
  <c r="AP164" i="16"/>
  <c r="AA164" i="16"/>
  <c r="S164" i="16"/>
  <c r="AI164" i="16"/>
  <c r="T164" i="16"/>
  <c r="X164" i="16"/>
  <c r="M164" i="16"/>
  <c r="N164" i="16" s="1"/>
  <c r="L166" i="16" l="1"/>
  <c r="K167" i="16"/>
  <c r="AJ164" i="16"/>
  <c r="AK164" i="16" s="1"/>
  <c r="U164" i="16"/>
  <c r="V164" i="16" s="1"/>
  <c r="AB164" i="16"/>
  <c r="AC164" i="16" s="1"/>
  <c r="AQ164" i="16"/>
  <c r="AR164" i="16" s="1"/>
  <c r="X165" i="16"/>
  <c r="M165" i="16"/>
  <c r="N165" i="16" s="1"/>
  <c r="AI165" i="16"/>
  <c r="AJ165" i="16" s="1"/>
  <c r="AK165" i="16" s="1"/>
  <c r="T165" i="16"/>
  <c r="S165" i="16"/>
  <c r="AP165" i="16"/>
  <c r="AA165" i="16"/>
  <c r="L167" i="16" l="1"/>
  <c r="K168" i="16"/>
  <c r="U165" i="16"/>
  <c r="V165" i="16" s="1"/>
  <c r="AQ165" i="16"/>
  <c r="AR165" i="16" s="1"/>
  <c r="AB165" i="16"/>
  <c r="AC165" i="16" s="1"/>
  <c r="AP166" i="16"/>
  <c r="AA166" i="16"/>
  <c r="S166" i="16"/>
  <c r="AI166" i="16"/>
  <c r="T166" i="16"/>
  <c r="X166" i="16"/>
  <c r="M166" i="16"/>
  <c r="N166" i="16" s="1"/>
  <c r="K169" i="16" l="1"/>
  <c r="L168" i="16"/>
  <c r="AJ166" i="16"/>
  <c r="AK166" i="16" s="1"/>
  <c r="U166" i="16"/>
  <c r="V166" i="16" s="1"/>
  <c r="AB166" i="16"/>
  <c r="AC166" i="16" s="1"/>
  <c r="AQ166" i="16"/>
  <c r="AR166" i="16" s="1"/>
  <c r="X167" i="16"/>
  <c r="M167" i="16"/>
  <c r="N167" i="16" s="1"/>
  <c r="AI167" i="16"/>
  <c r="T167" i="16"/>
  <c r="S167" i="16"/>
  <c r="AP167" i="16"/>
  <c r="AA167" i="16"/>
  <c r="K170" i="16" l="1"/>
  <c r="L169" i="16"/>
  <c r="U167" i="16"/>
  <c r="V167" i="16" s="1"/>
  <c r="AJ167" i="16"/>
  <c r="AK167" i="16" s="1"/>
  <c r="AB167" i="16"/>
  <c r="AC167" i="16" s="1"/>
  <c r="AQ167" i="16"/>
  <c r="AR167" i="16" s="1"/>
  <c r="AI168" i="16"/>
  <c r="T168" i="16"/>
  <c r="X168" i="16"/>
  <c r="M168" i="16"/>
  <c r="N168" i="16" s="1"/>
  <c r="AP168" i="16"/>
  <c r="AA168" i="16"/>
  <c r="S168" i="16"/>
  <c r="L170" i="16" l="1"/>
  <c r="K171" i="16"/>
  <c r="AJ168" i="16"/>
  <c r="AK168" i="16" s="1"/>
  <c r="U168" i="16"/>
  <c r="V168" i="16" s="1"/>
  <c r="AB168" i="16"/>
  <c r="AC168" i="16" s="1"/>
  <c r="AQ168" i="16"/>
  <c r="AR168" i="16" s="1"/>
  <c r="S169" i="16"/>
  <c r="AP169" i="16"/>
  <c r="AA169" i="16"/>
  <c r="X169" i="16"/>
  <c r="M169" i="16"/>
  <c r="N169" i="16" s="1"/>
  <c r="AI169" i="16"/>
  <c r="T169" i="16"/>
  <c r="L171" i="16" l="1"/>
  <c r="K172" i="16"/>
  <c r="AJ169" i="16"/>
  <c r="AK169" i="16" s="1"/>
  <c r="U169" i="16"/>
  <c r="V169" i="16" s="1"/>
  <c r="AQ169" i="16"/>
  <c r="AR169" i="16" s="1"/>
  <c r="AB169" i="16"/>
  <c r="AC169" i="16" s="1"/>
  <c r="AP170" i="16"/>
  <c r="AA170" i="16"/>
  <c r="S170" i="16"/>
  <c r="AI170" i="16"/>
  <c r="T170" i="16"/>
  <c r="X170" i="16"/>
  <c r="M170" i="16"/>
  <c r="N170" i="16" s="1"/>
  <c r="K173" i="16" l="1"/>
  <c r="L172" i="16"/>
  <c r="AJ170" i="16"/>
  <c r="AK170" i="16" s="1"/>
  <c r="AQ170" i="16"/>
  <c r="AR170" i="16" s="1"/>
  <c r="U170" i="16"/>
  <c r="V170" i="16" s="1"/>
  <c r="AB170" i="16"/>
  <c r="AC170" i="16" s="1"/>
  <c r="X171" i="16"/>
  <c r="M171" i="16"/>
  <c r="N171" i="16" s="1"/>
  <c r="AI171" i="16"/>
  <c r="T171" i="16"/>
  <c r="S171" i="16"/>
  <c r="AP171" i="16"/>
  <c r="AA171" i="16"/>
  <c r="L173" i="16" l="1"/>
  <c r="K174" i="16"/>
  <c r="AQ171" i="16"/>
  <c r="AR171" i="16" s="1"/>
  <c r="U171" i="16"/>
  <c r="V171" i="16" s="1"/>
  <c r="AB171" i="16"/>
  <c r="AC171" i="16" s="1"/>
  <c r="AJ171" i="16"/>
  <c r="AK171" i="16" s="1"/>
  <c r="AP172" i="16"/>
  <c r="AA172" i="16"/>
  <c r="S172" i="16"/>
  <c r="AI172" i="16"/>
  <c r="T172" i="16"/>
  <c r="X172" i="16"/>
  <c r="M172" i="16"/>
  <c r="N172" i="16" s="1"/>
  <c r="K175" i="16" l="1"/>
  <c r="L174" i="16"/>
  <c r="AJ172" i="16"/>
  <c r="AK172" i="16" s="1"/>
  <c r="AQ172" i="16"/>
  <c r="AR172" i="16" s="1"/>
  <c r="U172" i="16"/>
  <c r="V172" i="16" s="1"/>
  <c r="AB172" i="16"/>
  <c r="AC172" i="16" s="1"/>
  <c r="X173" i="16"/>
  <c r="M173" i="16"/>
  <c r="N173" i="16" s="1"/>
  <c r="AI173" i="16"/>
  <c r="T173" i="16"/>
  <c r="S173" i="16"/>
  <c r="AP173" i="16"/>
  <c r="AA173" i="16"/>
  <c r="K176" i="16" l="1"/>
  <c r="L175" i="16"/>
  <c r="AJ173" i="16"/>
  <c r="AK173" i="16" s="1"/>
  <c r="AQ173" i="16"/>
  <c r="AR173" i="16" s="1"/>
  <c r="U173" i="16"/>
  <c r="V173" i="16" s="1"/>
  <c r="AB173" i="16"/>
  <c r="AC173" i="16" s="1"/>
  <c r="AP174" i="16"/>
  <c r="AA174" i="16"/>
  <c r="S174" i="16"/>
  <c r="AI174" i="16"/>
  <c r="T174" i="16"/>
  <c r="X174" i="16"/>
  <c r="M174" i="16"/>
  <c r="N174" i="16" s="1"/>
  <c r="L176" i="16" l="1"/>
  <c r="K177" i="16"/>
  <c r="AJ174" i="16"/>
  <c r="AK174" i="16" s="1"/>
  <c r="AB174" i="16"/>
  <c r="AC174" i="16" s="1"/>
  <c r="AQ174" i="16"/>
  <c r="AR174" i="16" s="1"/>
  <c r="U174" i="16"/>
  <c r="V174" i="16" s="1"/>
  <c r="X175" i="16"/>
  <c r="M175" i="16"/>
  <c r="N175" i="16" s="1"/>
  <c r="AI175" i="16"/>
  <c r="T175" i="16"/>
  <c r="S175" i="16"/>
  <c r="AP175" i="16"/>
  <c r="AA175" i="16"/>
  <c r="K178" i="16" l="1"/>
  <c r="L177" i="16"/>
  <c r="AJ175" i="16"/>
  <c r="AK175" i="16" s="1"/>
  <c r="AQ175" i="16"/>
  <c r="AR175" i="16" s="1"/>
  <c r="AB175" i="16"/>
  <c r="AC175" i="16" s="1"/>
  <c r="U175" i="16"/>
  <c r="V175" i="16" s="1"/>
  <c r="AP176" i="16"/>
  <c r="AA176" i="16"/>
  <c r="S176" i="16"/>
  <c r="AI176" i="16"/>
  <c r="T176" i="16"/>
  <c r="X176" i="16"/>
  <c r="M176" i="16"/>
  <c r="N176" i="16" s="1"/>
  <c r="K179" i="16" l="1"/>
  <c r="L178" i="16"/>
  <c r="AJ176" i="16"/>
  <c r="AK176" i="16" s="1"/>
  <c r="AQ176" i="16"/>
  <c r="AR176" i="16" s="1"/>
  <c r="AB176" i="16"/>
  <c r="AC176" i="16" s="1"/>
  <c r="U176" i="16"/>
  <c r="V176" i="16" s="1"/>
  <c r="X177" i="16"/>
  <c r="M177" i="16"/>
  <c r="N177" i="16" s="1"/>
  <c r="AI177" i="16"/>
  <c r="T177" i="16"/>
  <c r="S177" i="16"/>
  <c r="AP177" i="16"/>
  <c r="AA177" i="16"/>
  <c r="L179" i="16" l="1"/>
  <c r="K180" i="16"/>
  <c r="AJ177" i="16"/>
  <c r="AK177" i="16" s="1"/>
  <c r="AQ177" i="16"/>
  <c r="AR177" i="16" s="1"/>
  <c r="U177" i="16"/>
  <c r="V177" i="16" s="1"/>
  <c r="AB177" i="16"/>
  <c r="AC177" i="16" s="1"/>
  <c r="AP178" i="16"/>
  <c r="AA178" i="16"/>
  <c r="S178" i="16"/>
  <c r="AI178" i="16"/>
  <c r="T178" i="16"/>
  <c r="X178" i="16"/>
  <c r="M178" i="16"/>
  <c r="N178" i="16" s="1"/>
  <c r="K181" i="16" l="1"/>
  <c r="L180" i="16"/>
  <c r="AJ178" i="16"/>
  <c r="AK178" i="16" s="1"/>
  <c r="AQ178" i="16"/>
  <c r="AR178" i="16" s="1"/>
  <c r="U178" i="16"/>
  <c r="V178" i="16" s="1"/>
  <c r="AB178" i="16"/>
  <c r="AC178" i="16" s="1"/>
  <c r="X179" i="16"/>
  <c r="M179" i="16"/>
  <c r="N179" i="16" s="1"/>
  <c r="AI179" i="16"/>
  <c r="T179" i="16"/>
  <c r="S179" i="16"/>
  <c r="AP179" i="16"/>
  <c r="AA179" i="16"/>
  <c r="K182" i="16" l="1"/>
  <c r="L181" i="16"/>
  <c r="AJ179" i="16"/>
  <c r="AK179" i="16" s="1"/>
  <c r="AQ179" i="16"/>
  <c r="AR179" i="16" s="1"/>
  <c r="U179" i="16"/>
  <c r="V179" i="16" s="1"/>
  <c r="AB179" i="16"/>
  <c r="AC179" i="16" s="1"/>
  <c r="AP180" i="16"/>
  <c r="AA180" i="16"/>
  <c r="S180" i="16"/>
  <c r="AI180" i="16"/>
  <c r="T180" i="16"/>
  <c r="X180" i="16"/>
  <c r="M180" i="16"/>
  <c r="N180" i="16" s="1"/>
  <c r="L182" i="16" l="1"/>
  <c r="K183" i="16"/>
  <c r="AJ180" i="16"/>
  <c r="AK180" i="16" s="1"/>
  <c r="AQ180" i="16"/>
  <c r="AR180" i="16" s="1"/>
  <c r="AB180" i="16"/>
  <c r="AC180" i="16" s="1"/>
  <c r="U180" i="16"/>
  <c r="V180" i="16" s="1"/>
  <c r="X181" i="16"/>
  <c r="M181" i="16"/>
  <c r="N181" i="16" s="1"/>
  <c r="AI181" i="16"/>
  <c r="T181" i="16"/>
  <c r="S181" i="16"/>
  <c r="AP181" i="16"/>
  <c r="AA181" i="16"/>
  <c r="K184" i="16" l="1"/>
  <c r="L183" i="16"/>
  <c r="U181" i="16"/>
  <c r="V181" i="16" s="1"/>
  <c r="AJ181" i="16"/>
  <c r="AK181" i="16" s="1"/>
  <c r="AB181" i="16"/>
  <c r="AC181" i="16" s="1"/>
  <c r="AQ181" i="16"/>
  <c r="AR181" i="16" s="1"/>
  <c r="AP182" i="16"/>
  <c r="AA182" i="16"/>
  <c r="S182" i="16"/>
  <c r="AI182" i="16"/>
  <c r="T182" i="16"/>
  <c r="X182" i="16"/>
  <c r="M182" i="16"/>
  <c r="N182" i="16" s="1"/>
  <c r="K185" i="16" l="1"/>
  <c r="L184" i="16"/>
  <c r="AJ182" i="16"/>
  <c r="AK182" i="16" s="1"/>
  <c r="U182" i="16"/>
  <c r="V182" i="16" s="1"/>
  <c r="AQ182" i="16"/>
  <c r="AR182" i="16" s="1"/>
  <c r="AB182" i="16"/>
  <c r="AC182" i="16" s="1"/>
  <c r="X183" i="16"/>
  <c r="M183" i="16"/>
  <c r="N183" i="16" s="1"/>
  <c r="AI183" i="16"/>
  <c r="T183" i="16"/>
  <c r="S183" i="16"/>
  <c r="AP183" i="16"/>
  <c r="AA183" i="16"/>
  <c r="L185" i="16" l="1"/>
  <c r="K186" i="16"/>
  <c r="AJ183" i="16"/>
  <c r="AK183" i="16" s="1"/>
  <c r="AQ183" i="16"/>
  <c r="AR183" i="16" s="1"/>
  <c r="U183" i="16"/>
  <c r="V183" i="16" s="1"/>
  <c r="AB183" i="16"/>
  <c r="AC183" i="16" s="1"/>
  <c r="AP184" i="16"/>
  <c r="AA184" i="16"/>
  <c r="S184" i="16"/>
  <c r="AI184" i="16"/>
  <c r="T184" i="16"/>
  <c r="X184" i="16"/>
  <c r="M184" i="16"/>
  <c r="N184" i="16" s="1"/>
  <c r="K187" i="16" l="1"/>
  <c r="L186" i="16"/>
  <c r="AJ184" i="16"/>
  <c r="AK184" i="16" s="1"/>
  <c r="AB184" i="16"/>
  <c r="AC184" i="16" s="1"/>
  <c r="AQ184" i="16"/>
  <c r="AR184" i="16" s="1"/>
  <c r="U184" i="16"/>
  <c r="V184" i="16" s="1"/>
  <c r="X185" i="16"/>
  <c r="M185" i="16"/>
  <c r="N185" i="16" s="1"/>
  <c r="AI185" i="16"/>
  <c r="T185" i="16"/>
  <c r="S185" i="16"/>
  <c r="AP185" i="16"/>
  <c r="AA185" i="16"/>
  <c r="K188" i="16" l="1"/>
  <c r="L187" i="16"/>
  <c r="AJ185" i="16"/>
  <c r="AK185" i="16" s="1"/>
  <c r="U185" i="16"/>
  <c r="V185" i="16" s="1"/>
  <c r="AQ185" i="16"/>
  <c r="AR185" i="16" s="1"/>
  <c r="AB185" i="16"/>
  <c r="AC185" i="16" s="1"/>
  <c r="AP186" i="16"/>
  <c r="AA186" i="16"/>
  <c r="S186" i="16"/>
  <c r="AI186" i="16"/>
  <c r="T186" i="16"/>
  <c r="X186" i="16"/>
  <c r="M186" i="16"/>
  <c r="N186" i="16" s="1"/>
  <c r="L188" i="16" l="1"/>
  <c r="K189" i="16"/>
  <c r="AQ186" i="16"/>
  <c r="AR186" i="16" s="1"/>
  <c r="AJ186" i="16"/>
  <c r="AK186" i="16" s="1"/>
  <c r="AB186" i="16"/>
  <c r="AC186" i="16" s="1"/>
  <c r="U186" i="16"/>
  <c r="V186" i="16" s="1"/>
  <c r="X187" i="16"/>
  <c r="M187" i="16"/>
  <c r="N187" i="16" s="1"/>
  <c r="AI187" i="16"/>
  <c r="T187" i="16"/>
  <c r="S187" i="16"/>
  <c r="AP187" i="16"/>
  <c r="AA187" i="16"/>
  <c r="K190" i="16" l="1"/>
  <c r="L189" i="16"/>
  <c r="U187" i="16"/>
  <c r="V187" i="16" s="1"/>
  <c r="AQ187" i="16"/>
  <c r="AR187" i="16" s="1"/>
  <c r="AJ187" i="16"/>
  <c r="AK187" i="16" s="1"/>
  <c r="AB187" i="16"/>
  <c r="AC187" i="16" s="1"/>
  <c r="AP188" i="16"/>
  <c r="AA188" i="16"/>
  <c r="S188" i="16"/>
  <c r="AI188" i="16"/>
  <c r="T188" i="16"/>
  <c r="X188" i="16"/>
  <c r="M188" i="16"/>
  <c r="N188" i="16" s="1"/>
  <c r="K191" i="16" l="1"/>
  <c r="L190" i="16"/>
  <c r="AJ188" i="16"/>
  <c r="AK188" i="16" s="1"/>
  <c r="AQ188" i="16"/>
  <c r="AR188" i="16" s="1"/>
  <c r="U188" i="16"/>
  <c r="V188" i="16" s="1"/>
  <c r="AB188" i="16"/>
  <c r="AC188" i="16" s="1"/>
  <c r="X189" i="16"/>
  <c r="M189" i="16"/>
  <c r="N189" i="16" s="1"/>
  <c r="AI189" i="16"/>
  <c r="AJ189" i="16" s="1"/>
  <c r="AK189" i="16" s="1"/>
  <c r="T189" i="16"/>
  <c r="S189" i="16"/>
  <c r="AP189" i="16"/>
  <c r="AA189" i="16"/>
  <c r="L191" i="16" l="1"/>
  <c r="K192" i="16"/>
  <c r="AB189" i="16"/>
  <c r="AC189" i="16" s="1"/>
  <c r="AQ189" i="16"/>
  <c r="AR189" i="16" s="1"/>
  <c r="U189" i="16"/>
  <c r="V189" i="16" s="1"/>
  <c r="AP190" i="16"/>
  <c r="AA190" i="16"/>
  <c r="S190" i="16"/>
  <c r="AI190" i="16"/>
  <c r="T190" i="16"/>
  <c r="X190" i="16"/>
  <c r="M190" i="16"/>
  <c r="N190" i="16" s="1"/>
  <c r="K193" i="16" l="1"/>
  <c r="L192" i="16"/>
  <c r="AJ190" i="16"/>
  <c r="AK190" i="16" s="1"/>
  <c r="U190" i="16"/>
  <c r="V190" i="16" s="1"/>
  <c r="AB190" i="16"/>
  <c r="AC190" i="16" s="1"/>
  <c r="AQ190" i="16"/>
  <c r="AR190" i="16" s="1"/>
  <c r="X191" i="16"/>
  <c r="M191" i="16"/>
  <c r="N191" i="16" s="1"/>
  <c r="AI191" i="16"/>
  <c r="T191" i="16"/>
  <c r="S191" i="16"/>
  <c r="AP191" i="16"/>
  <c r="AA191" i="16"/>
  <c r="K194" i="16" l="1"/>
  <c r="L193" i="16"/>
  <c r="AJ191" i="16"/>
  <c r="AK191" i="16" s="1"/>
  <c r="AB191" i="16"/>
  <c r="AC191" i="16" s="1"/>
  <c r="U191" i="16"/>
  <c r="V191" i="16" s="1"/>
  <c r="AQ191" i="16"/>
  <c r="AR191" i="16" s="1"/>
  <c r="AP192" i="16"/>
  <c r="AA192" i="16"/>
  <c r="S192" i="16"/>
  <c r="AI192" i="16"/>
  <c r="T192" i="16"/>
  <c r="X192" i="16"/>
  <c r="M192" i="16"/>
  <c r="N192" i="16" s="1"/>
  <c r="L194" i="16" l="1"/>
  <c r="K195" i="16"/>
  <c r="AJ192" i="16"/>
  <c r="AK192" i="16" s="1"/>
  <c r="AB192" i="16"/>
  <c r="AC192" i="16" s="1"/>
  <c r="AQ192" i="16"/>
  <c r="AR192" i="16" s="1"/>
  <c r="U192" i="16"/>
  <c r="V192" i="16" s="1"/>
  <c r="X193" i="16"/>
  <c r="M193" i="16"/>
  <c r="N193" i="16" s="1"/>
  <c r="AI193" i="16"/>
  <c r="T193" i="16"/>
  <c r="S193" i="16"/>
  <c r="AP193" i="16"/>
  <c r="AA193" i="16"/>
  <c r="K196" i="16" l="1"/>
  <c r="L195" i="16"/>
  <c r="AJ193" i="16"/>
  <c r="AK193" i="16" s="1"/>
  <c r="AQ193" i="16"/>
  <c r="AR193" i="16" s="1"/>
  <c r="U193" i="16"/>
  <c r="V193" i="16" s="1"/>
  <c r="AB193" i="16"/>
  <c r="AC193" i="16" s="1"/>
  <c r="AP194" i="16"/>
  <c r="AA194" i="16"/>
  <c r="S194" i="16"/>
  <c r="AI194" i="16"/>
  <c r="T194" i="16"/>
  <c r="X194" i="16"/>
  <c r="M194" i="16"/>
  <c r="N194" i="16" s="1"/>
  <c r="K197" i="16" l="1"/>
  <c r="L196" i="16"/>
  <c r="AJ194" i="16"/>
  <c r="AK194" i="16" s="1"/>
  <c r="AQ194" i="16"/>
  <c r="AR194" i="16" s="1"/>
  <c r="U194" i="16"/>
  <c r="V194" i="16" s="1"/>
  <c r="AB194" i="16"/>
  <c r="AC194" i="16" s="1"/>
  <c r="X195" i="16"/>
  <c r="M195" i="16"/>
  <c r="N195" i="16" s="1"/>
  <c r="AI195" i="16"/>
  <c r="T195" i="16"/>
  <c r="S195" i="16"/>
  <c r="AP195" i="16"/>
  <c r="AA195" i="16"/>
  <c r="L197" i="16" l="1"/>
  <c r="K198" i="16"/>
  <c r="AJ195" i="16"/>
  <c r="AK195" i="16" s="1"/>
  <c r="AB195" i="16"/>
  <c r="AC195" i="16" s="1"/>
  <c r="U195" i="16"/>
  <c r="V195" i="16" s="1"/>
  <c r="AQ195" i="16"/>
  <c r="AR195" i="16" s="1"/>
  <c r="AP196" i="16"/>
  <c r="AA196" i="16"/>
  <c r="S196" i="16"/>
  <c r="AI196" i="16"/>
  <c r="T196" i="16"/>
  <c r="X196" i="16"/>
  <c r="M196" i="16"/>
  <c r="N196" i="16" s="1"/>
  <c r="K199" i="16" l="1"/>
  <c r="L198" i="16"/>
  <c r="AJ196" i="16"/>
  <c r="AK196" i="16" s="1"/>
  <c r="AQ196" i="16"/>
  <c r="AR196" i="16" s="1"/>
  <c r="AB196" i="16"/>
  <c r="AC196" i="16" s="1"/>
  <c r="U196" i="16"/>
  <c r="V196" i="16" s="1"/>
  <c r="X197" i="16"/>
  <c r="M197" i="16"/>
  <c r="N197" i="16" s="1"/>
  <c r="AI197" i="16"/>
  <c r="T197" i="16"/>
  <c r="S197" i="16"/>
  <c r="AP197" i="16"/>
  <c r="AA197" i="16"/>
  <c r="K200" i="16" l="1"/>
  <c r="L199" i="16"/>
  <c r="AJ197" i="16"/>
  <c r="AK197" i="16" s="1"/>
  <c r="AQ197" i="16"/>
  <c r="AR197" i="16" s="1"/>
  <c r="U197" i="16"/>
  <c r="V197" i="16" s="1"/>
  <c r="AB197" i="16"/>
  <c r="AC197" i="16" s="1"/>
  <c r="AP198" i="16"/>
  <c r="AA198" i="16"/>
  <c r="S198" i="16"/>
  <c r="AI198" i="16"/>
  <c r="T198" i="16"/>
  <c r="X198" i="16"/>
  <c r="M198" i="16"/>
  <c r="N198" i="16" s="1"/>
  <c r="L200" i="16" l="1"/>
  <c r="K201" i="16"/>
  <c r="AJ198" i="16"/>
  <c r="AK198" i="16" s="1"/>
  <c r="U198" i="16"/>
  <c r="V198" i="16" s="1"/>
  <c r="AB198" i="16"/>
  <c r="AC198" i="16" s="1"/>
  <c r="AQ198" i="16"/>
  <c r="AR198" i="16" s="1"/>
  <c r="X199" i="16"/>
  <c r="M199" i="16"/>
  <c r="N199" i="16" s="1"/>
  <c r="AI199" i="16"/>
  <c r="T199" i="16"/>
  <c r="S199" i="16"/>
  <c r="AP199" i="16"/>
  <c r="AA199" i="16"/>
  <c r="K202" i="16" l="1"/>
  <c r="L201" i="16"/>
  <c r="U199" i="16"/>
  <c r="V199" i="16" s="1"/>
  <c r="AB199" i="16"/>
  <c r="AC199" i="16" s="1"/>
  <c r="AJ199" i="16"/>
  <c r="AK199" i="16" s="1"/>
  <c r="AQ199" i="16"/>
  <c r="AR199" i="16" s="1"/>
  <c r="AP200" i="16"/>
  <c r="AA200" i="16"/>
  <c r="S200" i="16"/>
  <c r="AI200" i="16"/>
  <c r="T200" i="16"/>
  <c r="X200" i="16"/>
  <c r="M200" i="16"/>
  <c r="N200" i="16" s="1"/>
  <c r="K203" i="16" l="1"/>
  <c r="L202" i="16"/>
  <c r="AJ200" i="16"/>
  <c r="AK200" i="16" s="1"/>
  <c r="AB200" i="16"/>
  <c r="AC200" i="16" s="1"/>
  <c r="U200" i="16"/>
  <c r="V200" i="16" s="1"/>
  <c r="AQ200" i="16"/>
  <c r="AR200" i="16" s="1"/>
  <c r="X201" i="16"/>
  <c r="M201" i="16"/>
  <c r="N201" i="16" s="1"/>
  <c r="AI201" i="16"/>
  <c r="T201" i="16"/>
  <c r="S201" i="16"/>
  <c r="AP201" i="16"/>
  <c r="AA201" i="16"/>
  <c r="L203" i="16" l="1"/>
  <c r="K204" i="16"/>
  <c r="U201" i="16"/>
  <c r="V201" i="16" s="1"/>
  <c r="AQ201" i="16"/>
  <c r="AR201" i="16" s="1"/>
  <c r="AJ201" i="16"/>
  <c r="AK201" i="16" s="1"/>
  <c r="AB201" i="16"/>
  <c r="AC201" i="16" s="1"/>
  <c r="AP202" i="16"/>
  <c r="AA202" i="16"/>
  <c r="S202" i="16"/>
  <c r="AI202" i="16"/>
  <c r="AJ202" i="16" s="1"/>
  <c r="AK202" i="16" s="1"/>
  <c r="T202" i="16"/>
  <c r="X202" i="16"/>
  <c r="M202" i="16"/>
  <c r="N202" i="16" s="1"/>
  <c r="K205" i="16" l="1"/>
  <c r="L204" i="16"/>
  <c r="AQ202" i="16"/>
  <c r="AR202" i="16" s="1"/>
  <c r="AB202" i="16"/>
  <c r="AC202" i="16" s="1"/>
  <c r="U202" i="16"/>
  <c r="V202" i="16" s="1"/>
  <c r="X203" i="16"/>
  <c r="AP203" i="16"/>
  <c r="M203" i="16"/>
  <c r="N203" i="16" s="1"/>
  <c r="AA203" i="16"/>
  <c r="S203" i="16"/>
  <c r="T203" i="16"/>
  <c r="AI203" i="16"/>
  <c r="AJ203" i="16" s="1"/>
  <c r="AK203" i="16" s="1"/>
  <c r="K206" i="16" l="1"/>
  <c r="L205" i="16"/>
  <c r="AB203" i="16"/>
  <c r="AC203" i="16" s="1"/>
  <c r="U203" i="16"/>
  <c r="V203" i="16" s="1"/>
  <c r="AQ203" i="16"/>
  <c r="AR203" i="16" s="1"/>
  <c r="AP204" i="16"/>
  <c r="AA204" i="16"/>
  <c r="S204" i="16"/>
  <c r="AI204" i="16"/>
  <c r="AJ204" i="16" s="1"/>
  <c r="AK204" i="16" s="1"/>
  <c r="T204" i="16"/>
  <c r="X204" i="16"/>
  <c r="M204" i="16"/>
  <c r="N204" i="16" s="1"/>
  <c r="L206" i="16" l="1"/>
  <c r="K207" i="16"/>
  <c r="U204" i="16"/>
  <c r="V204" i="16" s="1"/>
  <c r="AB204" i="16"/>
  <c r="AC204" i="16" s="1"/>
  <c r="AQ204" i="16"/>
  <c r="AR204" i="16" s="1"/>
  <c r="X205" i="16"/>
  <c r="M205" i="16"/>
  <c r="N205" i="16" s="1"/>
  <c r="AI205" i="16"/>
  <c r="AJ205" i="16" s="1"/>
  <c r="AK205" i="16" s="1"/>
  <c r="T205" i="16"/>
  <c r="U205" i="16" s="1"/>
  <c r="V205" i="16" s="1"/>
  <c r="S205" i="16"/>
  <c r="AP205" i="16"/>
  <c r="AA205" i="16"/>
  <c r="K208" i="16" l="1"/>
  <c r="L207" i="16"/>
  <c r="AQ205" i="16"/>
  <c r="AR205" i="16" s="1"/>
  <c r="AB205" i="16"/>
  <c r="AC205" i="16" s="1"/>
  <c r="AP206" i="16"/>
  <c r="AA206" i="16"/>
  <c r="S206" i="16"/>
  <c r="AI206" i="16"/>
  <c r="T206" i="16"/>
  <c r="U206" i="16" s="1"/>
  <c r="V206" i="16" s="1"/>
  <c r="X206" i="16"/>
  <c r="M206" i="16"/>
  <c r="N206" i="16" s="1"/>
  <c r="K209" i="16" l="1"/>
  <c r="L208" i="16"/>
  <c r="AJ206" i="16"/>
  <c r="AK206" i="16" s="1"/>
  <c r="AQ206" i="16"/>
  <c r="AR206" i="16" s="1"/>
  <c r="AB206" i="16"/>
  <c r="AC206" i="16" s="1"/>
  <c r="X207" i="16"/>
  <c r="M207" i="16"/>
  <c r="N207" i="16" s="1"/>
  <c r="AI207" i="16"/>
  <c r="T207" i="16"/>
  <c r="U207" i="16" s="1"/>
  <c r="V207" i="16" s="1"/>
  <c r="S207" i="16"/>
  <c r="AP207" i="16"/>
  <c r="AA207" i="16"/>
  <c r="L209" i="16" l="1"/>
  <c r="K210" i="16"/>
  <c r="AQ207" i="16"/>
  <c r="AR207" i="16" s="1"/>
  <c r="AJ207" i="16"/>
  <c r="AK207" i="16" s="1"/>
  <c r="AB207" i="16"/>
  <c r="AC207" i="16" s="1"/>
  <c r="AP208" i="16"/>
  <c r="AA208" i="16"/>
  <c r="S208" i="16"/>
  <c r="AI208" i="16"/>
  <c r="AJ208" i="16" s="1"/>
  <c r="AK208" i="16" s="1"/>
  <c r="T208" i="16"/>
  <c r="X208" i="16"/>
  <c r="M208" i="16"/>
  <c r="N208" i="16" s="1"/>
  <c r="K211" i="16" l="1"/>
  <c r="L210" i="16"/>
  <c r="U208" i="16"/>
  <c r="V208" i="16" s="1"/>
  <c r="AQ208" i="16"/>
  <c r="AR208" i="16" s="1"/>
  <c r="AB208" i="16"/>
  <c r="AC208" i="16" s="1"/>
  <c r="X209" i="16"/>
  <c r="M209" i="16"/>
  <c r="N209" i="16" s="1"/>
  <c r="AI209" i="16"/>
  <c r="AJ209" i="16" s="1"/>
  <c r="AK209" i="16" s="1"/>
  <c r="T209" i="16"/>
  <c r="U209" i="16" s="1"/>
  <c r="V209" i="16" s="1"/>
  <c r="S209" i="16"/>
  <c r="AP209" i="16"/>
  <c r="AQ209" i="16" s="1"/>
  <c r="AR209" i="16" s="1"/>
  <c r="AA209" i="16"/>
  <c r="K212" i="16" l="1"/>
  <c r="L211" i="16"/>
  <c r="AB209" i="16"/>
  <c r="AC209" i="16" s="1"/>
  <c r="AP210" i="16"/>
  <c r="AA210" i="16"/>
  <c r="S210" i="16"/>
  <c r="AI210" i="16"/>
  <c r="T210" i="16"/>
  <c r="X210" i="16"/>
  <c r="M210" i="16"/>
  <c r="N210" i="16" s="1"/>
  <c r="E85" i="8"/>
  <c r="Y85" i="8" s="1"/>
  <c r="L212" i="16" l="1"/>
  <c r="K213" i="16"/>
  <c r="AJ210" i="16"/>
  <c r="AK210" i="16" s="1"/>
  <c r="AQ210" i="16"/>
  <c r="AR210" i="16" s="1"/>
  <c r="U210" i="16"/>
  <c r="V210" i="16" s="1"/>
  <c r="AB210" i="16"/>
  <c r="AC210" i="16" s="1"/>
  <c r="X211" i="16"/>
  <c r="M211" i="16"/>
  <c r="N211" i="16" s="1"/>
  <c r="AI211" i="16"/>
  <c r="T211" i="16"/>
  <c r="S211" i="16"/>
  <c r="AP211" i="16"/>
  <c r="AA211" i="16"/>
  <c r="K214" i="16" l="1"/>
  <c r="L213" i="16"/>
  <c r="AQ211" i="16"/>
  <c r="AR211" i="16" s="1"/>
  <c r="AJ211" i="16"/>
  <c r="AK211" i="16" s="1"/>
  <c r="AB211" i="16"/>
  <c r="AC211" i="16" s="1"/>
  <c r="U211" i="16"/>
  <c r="V211" i="16" s="1"/>
  <c r="AP212" i="16"/>
  <c r="AQ212" i="16" s="1"/>
  <c r="AR212" i="16" s="1"/>
  <c r="AA212" i="16"/>
  <c r="S212" i="16"/>
  <c r="AI212" i="16"/>
  <c r="AJ212" i="16" s="1"/>
  <c r="AK212" i="16" s="1"/>
  <c r="T212" i="16"/>
  <c r="U212" i="16" s="1"/>
  <c r="V212" i="16" s="1"/>
  <c r="X212" i="16"/>
  <c r="M212" i="16"/>
  <c r="N212" i="16" s="1"/>
  <c r="K215" i="16" l="1"/>
  <c r="L214" i="16"/>
  <c r="AB212" i="16"/>
  <c r="AC212" i="16" s="1"/>
  <c r="X213" i="16"/>
  <c r="M213" i="16"/>
  <c r="AI213" i="16"/>
  <c r="AJ213" i="16" s="1"/>
  <c r="AK213" i="16" s="1"/>
  <c r="T213" i="16"/>
  <c r="U213" i="16" s="1"/>
  <c r="V213" i="16" s="1"/>
  <c r="S213" i="16"/>
  <c r="AP213" i="16"/>
  <c r="AQ213" i="16" s="1"/>
  <c r="AR213" i="16" s="1"/>
  <c r="AA213" i="16"/>
  <c r="AB213" i="16" s="1"/>
  <c r="AC213" i="16" s="1"/>
  <c r="N213" i="16"/>
  <c r="L215" i="16" l="1"/>
  <c r="K216" i="16"/>
  <c r="AP214" i="16"/>
  <c r="AA214" i="16"/>
  <c r="S214" i="16"/>
  <c r="AI214" i="16"/>
  <c r="T214" i="16"/>
  <c r="U214" i="16" s="1"/>
  <c r="V214" i="16" s="1"/>
  <c r="X214" i="16"/>
  <c r="M214" i="16"/>
  <c r="N214" i="16" s="1"/>
  <c r="K217" i="16" l="1"/>
  <c r="L216" i="16"/>
  <c r="AJ214" i="16"/>
  <c r="AK214" i="16" s="1"/>
  <c r="AQ214" i="16"/>
  <c r="AR214" i="16" s="1"/>
  <c r="AB214" i="16"/>
  <c r="AC214" i="16" s="1"/>
  <c r="X215" i="16"/>
  <c r="M215" i="16"/>
  <c r="AI215" i="16"/>
  <c r="AJ215" i="16" s="1"/>
  <c r="AK215" i="16" s="1"/>
  <c r="T215" i="16"/>
  <c r="U215" i="16" s="1"/>
  <c r="V215" i="16" s="1"/>
  <c r="S215" i="16"/>
  <c r="AP215" i="16"/>
  <c r="AQ215" i="16" s="1"/>
  <c r="AR215" i="16" s="1"/>
  <c r="AA215" i="16"/>
  <c r="AB215" i="16" s="1"/>
  <c r="AC215" i="16" s="1"/>
  <c r="N215" i="16"/>
  <c r="K218" i="16" l="1"/>
  <c r="L217" i="16"/>
  <c r="AP216" i="16"/>
  <c r="AQ216" i="16" s="1"/>
  <c r="AR216" i="16" s="1"/>
  <c r="AA216" i="16"/>
  <c r="S216" i="16"/>
  <c r="AI216" i="16"/>
  <c r="AJ216" i="16" s="1"/>
  <c r="AK216" i="16" s="1"/>
  <c r="T216" i="16"/>
  <c r="U216" i="16" s="1"/>
  <c r="V216" i="16" s="1"/>
  <c r="X216" i="16"/>
  <c r="M216" i="16"/>
  <c r="N216" i="16" s="1"/>
  <c r="L218" i="16" l="1"/>
  <c r="K219" i="16"/>
  <c r="AB216" i="16"/>
  <c r="AC216" i="16" s="1"/>
  <c r="X217" i="16"/>
  <c r="M217" i="16"/>
  <c r="AI217" i="16"/>
  <c r="AJ217" i="16" s="1"/>
  <c r="AK217" i="16" s="1"/>
  <c r="T217" i="16"/>
  <c r="U217" i="16" s="1"/>
  <c r="V217" i="16" s="1"/>
  <c r="S217" i="16"/>
  <c r="AP217" i="16"/>
  <c r="AQ217" i="16" s="1"/>
  <c r="AR217" i="16" s="1"/>
  <c r="AA217" i="16"/>
  <c r="AB217" i="16" s="1"/>
  <c r="AC217" i="16" s="1"/>
  <c r="N217" i="16"/>
  <c r="K220" i="16" l="1"/>
  <c r="L219" i="16"/>
  <c r="AP218" i="16"/>
  <c r="AQ218" i="16" s="1"/>
  <c r="AR218" i="16" s="1"/>
  <c r="AA218" i="16"/>
  <c r="S218" i="16"/>
  <c r="AI218" i="16"/>
  <c r="AJ218" i="16" s="1"/>
  <c r="AK218" i="16" s="1"/>
  <c r="T218" i="16"/>
  <c r="U218" i="16" s="1"/>
  <c r="V218" i="16" s="1"/>
  <c r="X218" i="16"/>
  <c r="M218" i="16"/>
  <c r="N218" i="16" s="1"/>
  <c r="L220" i="16" l="1"/>
  <c r="K221" i="16"/>
  <c r="AB218" i="16"/>
  <c r="AC218" i="16" s="1"/>
  <c r="X219" i="16"/>
  <c r="M219" i="16"/>
  <c r="AI219" i="16"/>
  <c r="AJ219" i="16" s="1"/>
  <c r="AK219" i="16" s="1"/>
  <c r="T219" i="16"/>
  <c r="U219" i="16" s="1"/>
  <c r="V219" i="16" s="1"/>
  <c r="S219" i="16"/>
  <c r="AP219" i="16"/>
  <c r="AQ219" i="16" s="1"/>
  <c r="AR219" i="16" s="1"/>
  <c r="AA219" i="16"/>
  <c r="AB219" i="16" s="1"/>
  <c r="AC219" i="16" s="1"/>
  <c r="N219" i="16"/>
  <c r="K222" i="16" l="1"/>
  <c r="L221" i="16"/>
  <c r="AP220" i="16"/>
  <c r="AQ220" i="16" s="1"/>
  <c r="AR220" i="16" s="1"/>
  <c r="AA220" i="16"/>
  <c r="S220" i="16"/>
  <c r="AI220" i="16"/>
  <c r="AJ220" i="16" s="1"/>
  <c r="AK220" i="16" s="1"/>
  <c r="T220" i="16"/>
  <c r="U220" i="16" s="1"/>
  <c r="V220" i="16" s="1"/>
  <c r="X220" i="16"/>
  <c r="M220" i="16"/>
  <c r="N220" i="16" s="1"/>
  <c r="K223" i="16" l="1"/>
  <c r="L222" i="16"/>
  <c r="AB220" i="16"/>
  <c r="AC220" i="16" s="1"/>
  <c r="X221" i="16"/>
  <c r="M221" i="16"/>
  <c r="AI221" i="16"/>
  <c r="AJ221" i="16" s="1"/>
  <c r="AK221" i="16" s="1"/>
  <c r="T221" i="16"/>
  <c r="U221" i="16" s="1"/>
  <c r="V221" i="16" s="1"/>
  <c r="S221" i="16"/>
  <c r="AP221" i="16"/>
  <c r="AQ221" i="16" s="1"/>
  <c r="AR221" i="16" s="1"/>
  <c r="AA221" i="16"/>
  <c r="AB221" i="16" s="1"/>
  <c r="AC221" i="16" s="1"/>
  <c r="N221" i="16"/>
  <c r="K224" i="16" l="1"/>
  <c r="L223" i="16"/>
  <c r="AP222" i="16"/>
  <c r="AQ222" i="16" s="1"/>
  <c r="AR222" i="16" s="1"/>
  <c r="AA222" i="16"/>
  <c r="AB222" i="16" s="1"/>
  <c r="AC222" i="16" s="1"/>
  <c r="S222" i="16"/>
  <c r="AI222" i="16"/>
  <c r="AJ222" i="16" s="1"/>
  <c r="AK222" i="16" s="1"/>
  <c r="T222" i="16"/>
  <c r="X222" i="16"/>
  <c r="M222" i="16"/>
  <c r="N222" i="16" s="1"/>
  <c r="K225" i="16" l="1"/>
  <c r="L224" i="16"/>
  <c r="U222" i="16"/>
  <c r="V222" i="16" s="1"/>
  <c r="X223" i="16"/>
  <c r="M223" i="16"/>
  <c r="AI223" i="16"/>
  <c r="AJ223" i="16" s="1"/>
  <c r="AK223" i="16" s="1"/>
  <c r="T223" i="16"/>
  <c r="U223" i="16" s="1"/>
  <c r="V223" i="16" s="1"/>
  <c r="S223" i="16"/>
  <c r="AP223" i="16"/>
  <c r="AQ223" i="16" s="1"/>
  <c r="AR223" i="16" s="1"/>
  <c r="AA223" i="16"/>
  <c r="AB223" i="16" s="1"/>
  <c r="AC223" i="16" s="1"/>
  <c r="N223" i="16"/>
  <c r="L225" i="16" l="1"/>
  <c r="K226" i="16"/>
  <c r="AP224" i="16"/>
  <c r="AQ224" i="16" s="1"/>
  <c r="AR224" i="16" s="1"/>
  <c r="AA224" i="16"/>
  <c r="S224" i="16"/>
  <c r="AI224" i="16"/>
  <c r="AJ224" i="16" s="1"/>
  <c r="AK224" i="16" s="1"/>
  <c r="T224" i="16"/>
  <c r="U224" i="16" s="1"/>
  <c r="V224" i="16" s="1"/>
  <c r="X224" i="16"/>
  <c r="M224" i="16"/>
  <c r="N224" i="16" s="1"/>
  <c r="L226" i="16" l="1"/>
  <c r="K227" i="16"/>
  <c r="AB224" i="16"/>
  <c r="AC224" i="16" s="1"/>
  <c r="X225" i="16"/>
  <c r="M225" i="16"/>
  <c r="AI225" i="16"/>
  <c r="AJ225" i="16" s="1"/>
  <c r="AK225" i="16" s="1"/>
  <c r="T225" i="16"/>
  <c r="U225" i="16" s="1"/>
  <c r="V225" i="16" s="1"/>
  <c r="S225" i="16"/>
  <c r="AP225" i="16"/>
  <c r="AQ225" i="16" s="1"/>
  <c r="AR225" i="16" s="1"/>
  <c r="AA225" i="16"/>
  <c r="AB225" i="16" s="1"/>
  <c r="AC225" i="16" s="1"/>
  <c r="N225" i="16"/>
  <c r="K228" i="16" l="1"/>
  <c r="L227" i="16"/>
  <c r="AP226" i="16"/>
  <c r="AQ226" i="16" s="1"/>
  <c r="AR226" i="16" s="1"/>
  <c r="AA226" i="16"/>
  <c r="S226" i="16"/>
  <c r="AI226" i="16"/>
  <c r="AJ226" i="16" s="1"/>
  <c r="AK226" i="16" s="1"/>
  <c r="T226" i="16"/>
  <c r="U226" i="16" s="1"/>
  <c r="V226" i="16" s="1"/>
  <c r="X226" i="16"/>
  <c r="M226" i="16"/>
  <c r="N226" i="16" s="1"/>
  <c r="L228" i="16" l="1"/>
  <c r="K229" i="16"/>
  <c r="AB226" i="16"/>
  <c r="AC226" i="16" s="1"/>
  <c r="X227" i="16"/>
  <c r="M227" i="16"/>
  <c r="AI227" i="16"/>
  <c r="AJ227" i="16" s="1"/>
  <c r="AK227" i="16" s="1"/>
  <c r="T227" i="16"/>
  <c r="U227" i="16" s="1"/>
  <c r="V227" i="16" s="1"/>
  <c r="S227" i="16"/>
  <c r="AP227" i="16"/>
  <c r="AQ227" i="16" s="1"/>
  <c r="AR227" i="16" s="1"/>
  <c r="AA227" i="16"/>
  <c r="AB227" i="16" s="1"/>
  <c r="AC227" i="16" s="1"/>
  <c r="N227" i="16"/>
  <c r="K230" i="16" l="1"/>
  <c r="L229" i="16"/>
  <c r="AP228" i="16"/>
  <c r="AA228" i="16"/>
  <c r="S228" i="16"/>
  <c r="AI228" i="16"/>
  <c r="AJ228" i="16" s="1"/>
  <c r="AK228" i="16" s="1"/>
  <c r="T228" i="16"/>
  <c r="U228" i="16" s="1"/>
  <c r="V228" i="16" s="1"/>
  <c r="X228" i="16"/>
  <c r="M228" i="16"/>
  <c r="N228" i="16" s="1"/>
  <c r="K231" i="16" l="1"/>
  <c r="L230" i="16"/>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1" i="16" l="1"/>
  <c r="K232" i="16"/>
  <c r="AP230" i="16"/>
  <c r="AA230" i="16"/>
  <c r="S230" i="16"/>
  <c r="AI230" i="16"/>
  <c r="T230" i="16"/>
  <c r="U230" i="16" s="1"/>
  <c r="V230" i="16" s="1"/>
  <c r="X230" i="16"/>
  <c r="M230" i="16"/>
  <c r="N230" i="16" s="1"/>
  <c r="L232" i="16" l="1"/>
  <c r="K233" i="16"/>
  <c r="AB230" i="16"/>
  <c r="AC230" i="16" s="1"/>
  <c r="AJ230" i="16"/>
  <c r="AK230" i="16" s="1"/>
  <c r="AQ230" i="16"/>
  <c r="AR230" i="16" s="1"/>
  <c r="X231" i="16"/>
  <c r="M231" i="16"/>
  <c r="AI231" i="16"/>
  <c r="AJ231" i="16" s="1"/>
  <c r="AK231" i="16" s="1"/>
  <c r="T231" i="16"/>
  <c r="U231" i="16" s="1"/>
  <c r="V231" i="16" s="1"/>
  <c r="S231" i="16"/>
  <c r="AP231" i="16"/>
  <c r="AQ231" i="16" s="1"/>
  <c r="AR231" i="16" s="1"/>
  <c r="AA231" i="16"/>
  <c r="AB231" i="16" s="1"/>
  <c r="AC231" i="16" s="1"/>
  <c r="N231" i="16"/>
  <c r="K234" i="16" l="1"/>
  <c r="L233" i="16"/>
  <c r="AP232" i="16"/>
  <c r="AQ232" i="16" s="1"/>
  <c r="AR232" i="16" s="1"/>
  <c r="AA232" i="16"/>
  <c r="AB232" i="16" s="1"/>
  <c r="AC232" i="16" s="1"/>
  <c r="S232" i="16"/>
  <c r="AI232" i="16"/>
  <c r="AJ232" i="16" s="1"/>
  <c r="AK232" i="16" s="1"/>
  <c r="T232" i="16"/>
  <c r="X232" i="16"/>
  <c r="M232" i="16"/>
  <c r="N232" i="16" s="1"/>
  <c r="L234" i="16" l="1"/>
  <c r="K235" i="16"/>
  <c r="U232" i="16"/>
  <c r="V232" i="16" s="1"/>
  <c r="X233" i="16"/>
  <c r="M233" i="16"/>
  <c r="AI233" i="16"/>
  <c r="AJ233" i="16" s="1"/>
  <c r="AK233" i="16" s="1"/>
  <c r="T233" i="16"/>
  <c r="U233" i="16" s="1"/>
  <c r="V233" i="16" s="1"/>
  <c r="S233" i="16"/>
  <c r="AP233" i="16"/>
  <c r="AQ233" i="16" s="1"/>
  <c r="AR233" i="16" s="1"/>
  <c r="AA233" i="16"/>
  <c r="AB233" i="16" s="1"/>
  <c r="AC233" i="16" s="1"/>
  <c r="N233" i="16"/>
  <c r="K236" i="16" l="1"/>
  <c r="L235" i="16"/>
  <c r="AP234" i="16"/>
  <c r="AQ234" i="16" s="1"/>
  <c r="AR234" i="16" s="1"/>
  <c r="AA234" i="16"/>
  <c r="S234" i="16"/>
  <c r="AI234" i="16"/>
  <c r="AJ234" i="16" s="1"/>
  <c r="AK234" i="16" s="1"/>
  <c r="T234" i="16"/>
  <c r="U234" i="16" s="1"/>
  <c r="V234" i="16" s="1"/>
  <c r="X234" i="16"/>
  <c r="M234" i="16"/>
  <c r="N234" i="16" s="1"/>
  <c r="L236" i="16" l="1"/>
  <c r="K237" i="16"/>
  <c r="AB234" i="16"/>
  <c r="AC234" i="16" s="1"/>
  <c r="X235" i="16"/>
  <c r="M235" i="16"/>
  <c r="AI235" i="16"/>
  <c r="AJ235" i="16" s="1"/>
  <c r="AK235" i="16" s="1"/>
  <c r="T235" i="16"/>
  <c r="U235" i="16" s="1"/>
  <c r="V235" i="16" s="1"/>
  <c r="S235" i="16"/>
  <c r="AP235" i="16"/>
  <c r="AQ235" i="16" s="1"/>
  <c r="AR235" i="16" s="1"/>
  <c r="AA235" i="16"/>
  <c r="AB235" i="16" s="1"/>
  <c r="AC235" i="16" s="1"/>
  <c r="N235" i="16"/>
  <c r="L237" i="16" l="1"/>
  <c r="K238" i="16"/>
  <c r="AP236" i="16"/>
  <c r="AQ236" i="16" s="1"/>
  <c r="AR236" i="16" s="1"/>
  <c r="AA236" i="16"/>
  <c r="S236" i="16"/>
  <c r="AI236" i="16"/>
  <c r="AJ236" i="16" s="1"/>
  <c r="AK236" i="16" s="1"/>
  <c r="T236" i="16"/>
  <c r="U236" i="16" s="1"/>
  <c r="V236" i="16" s="1"/>
  <c r="X236" i="16"/>
  <c r="M236" i="16"/>
  <c r="N236" i="16" s="1"/>
  <c r="L238" i="16" l="1"/>
  <c r="K239" i="16"/>
  <c r="AB236" i="16"/>
  <c r="AC236" i="16" s="1"/>
  <c r="X237" i="16"/>
  <c r="M237" i="16"/>
  <c r="AI237" i="16"/>
  <c r="AJ237" i="16" s="1"/>
  <c r="AK237" i="16" s="1"/>
  <c r="T237" i="16"/>
  <c r="U237" i="16" s="1"/>
  <c r="V237" i="16" s="1"/>
  <c r="S237" i="16"/>
  <c r="AP237" i="16"/>
  <c r="AQ237" i="16" s="1"/>
  <c r="AR237" i="16" s="1"/>
  <c r="AA237" i="16"/>
  <c r="AB237" i="16" s="1"/>
  <c r="AC237" i="16" s="1"/>
  <c r="N237" i="16"/>
  <c r="K240" i="16" l="1"/>
  <c r="L239" i="16"/>
  <c r="AP238" i="16"/>
  <c r="AQ238" i="16" s="1"/>
  <c r="AR238" i="16" s="1"/>
  <c r="AA238" i="16"/>
  <c r="AB238" i="16" s="1"/>
  <c r="AC238" i="16" s="1"/>
  <c r="S238" i="16"/>
  <c r="AI238" i="16"/>
  <c r="AJ238" i="16" s="1"/>
  <c r="AK238" i="16" s="1"/>
  <c r="T238" i="16"/>
  <c r="X238" i="16"/>
  <c r="M238" i="16"/>
  <c r="N238" i="16" s="1"/>
  <c r="L240" i="16" l="1"/>
  <c r="K241" i="16"/>
  <c r="U238" i="16"/>
  <c r="V238" i="16" s="1"/>
  <c r="X239" i="16"/>
  <c r="M239" i="16"/>
  <c r="AI239" i="16"/>
  <c r="AJ239" i="16" s="1"/>
  <c r="AK239" i="16" s="1"/>
  <c r="T239" i="16"/>
  <c r="U239" i="16" s="1"/>
  <c r="V239" i="16" s="1"/>
  <c r="S239" i="16"/>
  <c r="AP239" i="16"/>
  <c r="AQ239" i="16" s="1"/>
  <c r="AR239" i="16" s="1"/>
  <c r="AA239" i="16"/>
  <c r="AB239" i="16" s="1"/>
  <c r="AC239" i="16" s="1"/>
  <c r="N239" i="16"/>
  <c r="K242" i="16" l="1"/>
  <c r="L241" i="16"/>
  <c r="AP240" i="16"/>
  <c r="AQ240" i="16" s="1"/>
  <c r="AR240" i="16" s="1"/>
  <c r="AA240" i="16"/>
  <c r="AB240" i="16" s="1"/>
  <c r="AC240" i="16" s="1"/>
  <c r="S240" i="16"/>
  <c r="AI240" i="16"/>
  <c r="AJ240" i="16" s="1"/>
  <c r="AK240" i="16" s="1"/>
  <c r="T240" i="16"/>
  <c r="X240" i="16"/>
  <c r="M240" i="16"/>
  <c r="N240" i="16" s="1"/>
  <c r="K243" i="16" l="1"/>
  <c r="L242" i="16"/>
  <c r="U240" i="16"/>
  <c r="V240" i="16" s="1"/>
  <c r="X241" i="16"/>
  <c r="M241" i="16"/>
  <c r="AI241" i="16"/>
  <c r="AJ241" i="16" s="1"/>
  <c r="AK241" i="16" s="1"/>
  <c r="T241" i="16"/>
  <c r="U241" i="16" s="1"/>
  <c r="V241" i="16" s="1"/>
  <c r="S241" i="16"/>
  <c r="AP241" i="16"/>
  <c r="AQ241" i="16" s="1"/>
  <c r="AR241" i="16" s="1"/>
  <c r="AA241" i="16"/>
  <c r="AB241" i="16" s="1"/>
  <c r="AC241" i="16" s="1"/>
  <c r="N241" i="16"/>
  <c r="K244" i="16" l="1"/>
  <c r="L243" i="16"/>
  <c r="AP242" i="16"/>
  <c r="AQ242" i="16" s="1"/>
  <c r="AR242" i="16" s="1"/>
  <c r="AA242" i="16"/>
  <c r="AB242" i="16" s="1"/>
  <c r="AC242" i="16" s="1"/>
  <c r="S242" i="16"/>
  <c r="AI242" i="16"/>
  <c r="AJ242" i="16" s="1"/>
  <c r="AK242" i="16" s="1"/>
  <c r="T242" i="16"/>
  <c r="U242" i="16" s="1"/>
  <c r="V242" i="16" s="1"/>
  <c r="X242" i="16"/>
  <c r="M242" i="16"/>
  <c r="N242" i="16" s="1"/>
  <c r="K245" i="16" l="1"/>
  <c r="L244" i="16"/>
  <c r="X243" i="16"/>
  <c r="M243" i="16"/>
  <c r="AI243" i="16"/>
  <c r="AJ243" i="16" s="1"/>
  <c r="AK243" i="16" s="1"/>
  <c r="T243" i="16"/>
  <c r="U243" i="16" s="1"/>
  <c r="V243" i="16" s="1"/>
  <c r="S243" i="16"/>
  <c r="AP243" i="16"/>
  <c r="AQ243" i="16" s="1"/>
  <c r="AR243" i="16" s="1"/>
  <c r="AA243" i="16"/>
  <c r="AB243" i="16" s="1"/>
  <c r="AC243" i="16" s="1"/>
  <c r="N243" i="16"/>
  <c r="K246" i="16" l="1"/>
  <c r="L245" i="16"/>
  <c r="AP244" i="16"/>
  <c r="AQ244" i="16" s="1"/>
  <c r="AR244" i="16" s="1"/>
  <c r="AA244" i="16"/>
  <c r="S244" i="16"/>
  <c r="AI244" i="16"/>
  <c r="AJ244" i="16" s="1"/>
  <c r="AK244" i="16" s="1"/>
  <c r="T244" i="16"/>
  <c r="U244" i="16" s="1"/>
  <c r="V244" i="16" s="1"/>
  <c r="X244" i="16"/>
  <c r="M244" i="16"/>
  <c r="N244" i="16" s="1"/>
  <c r="L246" i="16" l="1"/>
  <c r="K247" i="16"/>
  <c r="AB244" i="16"/>
  <c r="AC244" i="16" s="1"/>
  <c r="X245" i="16"/>
  <c r="M245" i="16"/>
  <c r="AI245" i="16"/>
  <c r="AJ245" i="16" s="1"/>
  <c r="AK245" i="16" s="1"/>
  <c r="T245" i="16"/>
  <c r="U245" i="16" s="1"/>
  <c r="V245" i="16" s="1"/>
  <c r="S245" i="16"/>
  <c r="AP245" i="16"/>
  <c r="AQ245" i="16" s="1"/>
  <c r="AR245" i="16" s="1"/>
  <c r="AA245" i="16"/>
  <c r="AB245" i="16" s="1"/>
  <c r="AC245" i="16" s="1"/>
  <c r="N245" i="16"/>
  <c r="K248" i="16" l="1"/>
  <c r="L247" i="16"/>
  <c r="AP246" i="16"/>
  <c r="AQ246" i="16" s="1"/>
  <c r="AR246" i="16" s="1"/>
  <c r="AA246" i="16"/>
  <c r="AB246" i="16" s="1"/>
  <c r="AC246" i="16" s="1"/>
  <c r="N246" i="16"/>
  <c r="S246" i="16"/>
  <c r="AI246" i="16"/>
  <c r="AJ246" i="16" s="1"/>
  <c r="AK246" i="16" s="1"/>
  <c r="T246" i="16"/>
  <c r="U246" i="16" s="1"/>
  <c r="V246" i="16" s="1"/>
  <c r="X246" i="16"/>
  <c r="M246" i="16"/>
  <c r="K249" i="16" l="1"/>
  <c r="L248" i="16"/>
  <c r="X247" i="16"/>
  <c r="M247" i="16"/>
  <c r="AI247" i="16"/>
  <c r="AJ247" i="16" s="1"/>
  <c r="AK247" i="16" s="1"/>
  <c r="T247" i="16"/>
  <c r="U247" i="16" s="1"/>
  <c r="V247" i="16" s="1"/>
  <c r="S247" i="16"/>
  <c r="AP247" i="16"/>
  <c r="AQ247" i="16" s="1"/>
  <c r="AR247" i="16" s="1"/>
  <c r="AA247" i="16"/>
  <c r="AB247" i="16" s="1"/>
  <c r="AC247" i="16" s="1"/>
  <c r="N247" i="16"/>
  <c r="L249" i="16" l="1"/>
  <c r="K250" i="16"/>
  <c r="X248" i="16"/>
  <c r="M248" i="16"/>
  <c r="AA248" i="16"/>
  <c r="AB248" i="16" s="1"/>
  <c r="AC248" i="16" s="1"/>
  <c r="AP248" i="16"/>
  <c r="AQ248" i="16" s="1"/>
  <c r="AR248" i="16" s="1"/>
  <c r="S248" i="16"/>
  <c r="AI248" i="16"/>
  <c r="AJ248" i="16" s="1"/>
  <c r="AK248" i="16" s="1"/>
  <c r="N248" i="16"/>
  <c r="T248" i="16"/>
  <c r="U248" i="16" s="1"/>
  <c r="V248" i="16" s="1"/>
  <c r="K251" i="16" l="1"/>
  <c r="L250" i="16"/>
  <c r="AP249" i="16"/>
  <c r="AQ249" i="16" s="1"/>
  <c r="AR249" i="16" s="1"/>
  <c r="AA249" i="16"/>
  <c r="AB249" i="16" s="1"/>
  <c r="AC249" i="16" s="1"/>
  <c r="N249" i="16"/>
  <c r="S249" i="16"/>
  <c r="AI249" i="16"/>
  <c r="AJ249" i="16" s="1"/>
  <c r="AK249" i="16" s="1"/>
  <c r="T249" i="16"/>
  <c r="U249" i="16" s="1"/>
  <c r="V249" i="16" s="1"/>
  <c r="X249" i="16"/>
  <c r="M249" i="16"/>
  <c r="L251" i="16" l="1"/>
  <c r="K252" i="16"/>
  <c r="X250" i="16"/>
  <c r="M250" i="16"/>
  <c r="AI250" i="16"/>
  <c r="AJ250" i="16" s="1"/>
  <c r="AK250" i="16" s="1"/>
  <c r="T250" i="16"/>
  <c r="U250" i="16" s="1"/>
  <c r="V250" i="16" s="1"/>
  <c r="S250" i="16"/>
  <c r="AP250" i="16"/>
  <c r="AQ250" i="16" s="1"/>
  <c r="AR250" i="16" s="1"/>
  <c r="AA250" i="16"/>
  <c r="AB250" i="16" s="1"/>
  <c r="AC250" i="16" s="1"/>
  <c r="N250" i="16"/>
  <c r="L252" i="16" l="1"/>
  <c r="K253" i="16"/>
  <c r="AP251" i="16"/>
  <c r="AQ251" i="16" s="1"/>
  <c r="AR251" i="16" s="1"/>
  <c r="AA251" i="16"/>
  <c r="AB251" i="16" s="1"/>
  <c r="AC251" i="16" s="1"/>
  <c r="N251" i="16"/>
  <c r="S251" i="16"/>
  <c r="AI251" i="16"/>
  <c r="AJ251" i="16" s="1"/>
  <c r="AK251" i="16" s="1"/>
  <c r="T251" i="16"/>
  <c r="U251" i="16" s="1"/>
  <c r="V251" i="16" s="1"/>
  <c r="X251" i="16"/>
  <c r="M251" i="16"/>
  <c r="K254" i="16" l="1"/>
  <c r="L253" i="16"/>
  <c r="X252" i="16"/>
  <c r="M252" i="16"/>
  <c r="AI252" i="16"/>
  <c r="AJ252" i="16" s="1"/>
  <c r="AK252" i="16" s="1"/>
  <c r="T252" i="16"/>
  <c r="U252" i="16" s="1"/>
  <c r="V252" i="16" s="1"/>
  <c r="S252" i="16"/>
  <c r="AP252" i="16"/>
  <c r="AQ252" i="16" s="1"/>
  <c r="AR252" i="16" s="1"/>
  <c r="AA252" i="16"/>
  <c r="AB252" i="16" s="1"/>
  <c r="AC252" i="16" s="1"/>
  <c r="N252" i="16"/>
  <c r="K255" i="16" l="1"/>
  <c r="L254" i="16"/>
  <c r="AP253" i="16"/>
  <c r="AQ253" i="16" s="1"/>
  <c r="AR253" i="16" s="1"/>
  <c r="AA253" i="16"/>
  <c r="AB253" i="16" s="1"/>
  <c r="AC253" i="16" s="1"/>
  <c r="N253" i="16"/>
  <c r="S253" i="16"/>
  <c r="AI253" i="16"/>
  <c r="AJ253" i="16" s="1"/>
  <c r="AK253" i="16" s="1"/>
  <c r="T253" i="16"/>
  <c r="U253" i="16" s="1"/>
  <c r="V253" i="16" s="1"/>
  <c r="X253" i="16"/>
  <c r="M253" i="16"/>
  <c r="K256" i="16" l="1"/>
  <c r="L255" i="16"/>
  <c r="X254" i="16"/>
  <c r="M254" i="16"/>
  <c r="AI254" i="16"/>
  <c r="AJ254" i="16" s="1"/>
  <c r="AK254" i="16" s="1"/>
  <c r="T254" i="16"/>
  <c r="U254" i="16" s="1"/>
  <c r="V254" i="16" s="1"/>
  <c r="S254" i="16"/>
  <c r="AP254" i="16"/>
  <c r="AQ254" i="16" s="1"/>
  <c r="AR254" i="16" s="1"/>
  <c r="AA254" i="16"/>
  <c r="AB254" i="16" s="1"/>
  <c r="AC254" i="16" s="1"/>
  <c r="N254" i="16"/>
  <c r="K257" i="16" l="1"/>
  <c r="L256" i="16"/>
  <c r="AP255" i="16"/>
  <c r="AQ255" i="16" s="1"/>
  <c r="AR255" i="16" s="1"/>
  <c r="AA255" i="16"/>
  <c r="AB255" i="16" s="1"/>
  <c r="AC255" i="16" s="1"/>
  <c r="N255" i="16"/>
  <c r="S255" i="16"/>
  <c r="AI255" i="16"/>
  <c r="AJ255" i="16" s="1"/>
  <c r="AK255" i="16" s="1"/>
  <c r="T255" i="16"/>
  <c r="U255" i="16" s="1"/>
  <c r="V255" i="16" s="1"/>
  <c r="X255" i="16"/>
  <c r="M255" i="16"/>
  <c r="L257" i="16" l="1"/>
  <c r="K258" i="16"/>
  <c r="X256" i="16"/>
  <c r="M256" i="16"/>
  <c r="AI256" i="16"/>
  <c r="AJ256" i="16" s="1"/>
  <c r="AK256" i="16" s="1"/>
  <c r="T256" i="16"/>
  <c r="U256" i="16" s="1"/>
  <c r="V256" i="16" s="1"/>
  <c r="S256" i="16"/>
  <c r="AP256" i="16"/>
  <c r="AQ256" i="16" s="1"/>
  <c r="AR256" i="16" s="1"/>
  <c r="AA256" i="16"/>
  <c r="AB256" i="16" s="1"/>
  <c r="AC256" i="16" s="1"/>
  <c r="N256" i="16"/>
  <c r="L258" i="16" l="1"/>
  <c r="K259" i="16"/>
  <c r="AP257" i="16"/>
  <c r="AQ257" i="16" s="1"/>
  <c r="AR257" i="16" s="1"/>
  <c r="AA257" i="16"/>
  <c r="AB257" i="16" s="1"/>
  <c r="AC257" i="16" s="1"/>
  <c r="N257" i="16"/>
  <c r="S257" i="16"/>
  <c r="AI257" i="16"/>
  <c r="AJ257" i="16" s="1"/>
  <c r="AK257" i="16" s="1"/>
  <c r="T257" i="16"/>
  <c r="U257" i="16" s="1"/>
  <c r="V257" i="16" s="1"/>
  <c r="X257" i="16"/>
  <c r="M257" i="16"/>
  <c r="K260" i="16" l="1"/>
  <c r="L259" i="16"/>
  <c r="X258" i="16"/>
  <c r="M258" i="16"/>
  <c r="AI258" i="16"/>
  <c r="AJ258" i="16" s="1"/>
  <c r="AK258" i="16" s="1"/>
  <c r="T258" i="16"/>
  <c r="U258" i="16" s="1"/>
  <c r="V258" i="16" s="1"/>
  <c r="S258" i="16"/>
  <c r="AP258" i="16"/>
  <c r="AQ258" i="16" s="1"/>
  <c r="AR258" i="16" s="1"/>
  <c r="AA258" i="16"/>
  <c r="AB258" i="16" s="1"/>
  <c r="AC258" i="16" s="1"/>
  <c r="N258" i="16"/>
  <c r="K261" i="16" l="1"/>
  <c r="L260" i="16"/>
  <c r="AP259" i="16"/>
  <c r="AQ259" i="16" s="1"/>
  <c r="AR259" i="16" s="1"/>
  <c r="AA259" i="16"/>
  <c r="AB259" i="16" s="1"/>
  <c r="AC259" i="16" s="1"/>
  <c r="N259" i="16"/>
  <c r="S259" i="16"/>
  <c r="AI259" i="16"/>
  <c r="AJ259" i="16" s="1"/>
  <c r="AK259" i="16" s="1"/>
  <c r="T259" i="16"/>
  <c r="U259" i="16" s="1"/>
  <c r="V259" i="16" s="1"/>
  <c r="X259" i="16"/>
  <c r="M259" i="16"/>
  <c r="L261" i="16" l="1"/>
  <c r="K262" i="16"/>
  <c r="X260" i="16"/>
  <c r="M260" i="16"/>
  <c r="AI260" i="16"/>
  <c r="AJ260" i="16" s="1"/>
  <c r="AK260" i="16" s="1"/>
  <c r="T260" i="16"/>
  <c r="U260" i="16" s="1"/>
  <c r="V260" i="16" s="1"/>
  <c r="S260" i="16"/>
  <c r="AP260" i="16"/>
  <c r="AQ260" i="16" s="1"/>
  <c r="AR260" i="16" s="1"/>
  <c r="AA260" i="16"/>
  <c r="AB260" i="16" s="1"/>
  <c r="AC260" i="16" s="1"/>
  <c r="N260" i="16"/>
  <c r="K263" i="16" l="1"/>
  <c r="L262" i="16"/>
  <c r="AP261" i="16"/>
  <c r="AQ261" i="16" s="1"/>
  <c r="AR261" i="16" s="1"/>
  <c r="AA261" i="16"/>
  <c r="AB261" i="16" s="1"/>
  <c r="AC261" i="16" s="1"/>
  <c r="N261" i="16"/>
  <c r="S261" i="16"/>
  <c r="AI261" i="16"/>
  <c r="AJ261" i="16" s="1"/>
  <c r="AK261" i="16" s="1"/>
  <c r="T261" i="16"/>
  <c r="U261" i="16" s="1"/>
  <c r="V261" i="16" s="1"/>
  <c r="X261" i="16"/>
  <c r="M261" i="16"/>
  <c r="K264" i="16" l="1"/>
  <c r="L263" i="16"/>
  <c r="X262" i="16"/>
  <c r="M262" i="16"/>
  <c r="AI262" i="16"/>
  <c r="AJ262" i="16" s="1"/>
  <c r="AK262" i="16" s="1"/>
  <c r="T262" i="16"/>
  <c r="U262" i="16" s="1"/>
  <c r="V262" i="16" s="1"/>
  <c r="S262" i="16"/>
  <c r="AP262" i="16"/>
  <c r="AQ262" i="16" s="1"/>
  <c r="AR262" i="16" s="1"/>
  <c r="AA262" i="16"/>
  <c r="AB262" i="16" s="1"/>
  <c r="AC262" i="16" s="1"/>
  <c r="N262" i="16"/>
  <c r="L264" i="16" l="1"/>
  <c r="K265" i="16"/>
  <c r="AP263" i="16"/>
  <c r="AQ263" i="16" s="1"/>
  <c r="AR263" i="16" s="1"/>
  <c r="AA263" i="16"/>
  <c r="AB263" i="16" s="1"/>
  <c r="AC263" i="16" s="1"/>
  <c r="N263" i="16"/>
  <c r="S263" i="16"/>
  <c r="AI263" i="16"/>
  <c r="AJ263" i="16" s="1"/>
  <c r="AK263" i="16" s="1"/>
  <c r="T263" i="16"/>
  <c r="U263" i="16" s="1"/>
  <c r="V263" i="16" s="1"/>
  <c r="X263" i="16"/>
  <c r="M263" i="16"/>
  <c r="K266" i="16" l="1"/>
  <c r="L265" i="16"/>
  <c r="X264" i="16"/>
  <c r="M264" i="16"/>
  <c r="AI264" i="16"/>
  <c r="AJ264" i="16" s="1"/>
  <c r="AK264" i="16" s="1"/>
  <c r="T264" i="16"/>
  <c r="U264" i="16" s="1"/>
  <c r="V264" i="16" s="1"/>
  <c r="S264" i="16"/>
  <c r="AP264" i="16"/>
  <c r="AQ264" i="16" s="1"/>
  <c r="AR264" i="16" s="1"/>
  <c r="AA264" i="16"/>
  <c r="AB264" i="16" s="1"/>
  <c r="AC264" i="16" s="1"/>
  <c r="N264" i="16"/>
  <c r="K267" i="16" l="1"/>
  <c r="L266" i="16"/>
  <c r="AP265" i="16"/>
  <c r="AQ265" i="16" s="1"/>
  <c r="AR265" i="16" s="1"/>
  <c r="AA265" i="16"/>
  <c r="AB265" i="16" s="1"/>
  <c r="AC265" i="16" s="1"/>
  <c r="N265" i="16"/>
  <c r="S265" i="16"/>
  <c r="AI265" i="16"/>
  <c r="AJ265" i="16" s="1"/>
  <c r="AK265" i="16" s="1"/>
  <c r="T265" i="16"/>
  <c r="U265" i="16" s="1"/>
  <c r="V265" i="16" s="1"/>
  <c r="X265" i="16"/>
  <c r="M265" i="16"/>
  <c r="L267" i="16" l="1"/>
  <c r="K268" i="16"/>
  <c r="X266" i="16"/>
  <c r="M266" i="16"/>
  <c r="AI266" i="16"/>
  <c r="AJ266" i="16" s="1"/>
  <c r="AK266" i="16" s="1"/>
  <c r="T266" i="16"/>
  <c r="U266" i="16" s="1"/>
  <c r="V266" i="16" s="1"/>
  <c r="S266" i="16"/>
  <c r="AP266" i="16"/>
  <c r="AQ266" i="16" s="1"/>
  <c r="AR266" i="16" s="1"/>
  <c r="AA266" i="16"/>
  <c r="AB266" i="16" s="1"/>
  <c r="AC266" i="16" s="1"/>
  <c r="N266" i="16"/>
  <c r="K269" i="16" l="1"/>
  <c r="L268" i="16"/>
  <c r="AP267" i="16"/>
  <c r="AQ267" i="16" s="1"/>
  <c r="AR267" i="16" s="1"/>
  <c r="AA267" i="16"/>
  <c r="AB267" i="16" s="1"/>
  <c r="AC267" i="16" s="1"/>
  <c r="N267" i="16"/>
  <c r="S267" i="16"/>
  <c r="AI267" i="16"/>
  <c r="AJ267" i="16" s="1"/>
  <c r="AK267" i="16" s="1"/>
  <c r="T267" i="16"/>
  <c r="U267" i="16" s="1"/>
  <c r="V267" i="16" s="1"/>
  <c r="X267" i="16"/>
  <c r="M267" i="16"/>
  <c r="K270" i="16" l="1"/>
  <c r="L269" i="16"/>
  <c r="X268" i="16"/>
  <c r="M268" i="16"/>
  <c r="AI268" i="16"/>
  <c r="AJ268" i="16" s="1"/>
  <c r="AK268" i="16" s="1"/>
  <c r="T268" i="16"/>
  <c r="U268" i="16" s="1"/>
  <c r="V268" i="16" s="1"/>
  <c r="S268" i="16"/>
  <c r="AP268" i="16"/>
  <c r="AQ268" i="16" s="1"/>
  <c r="AR268" i="16" s="1"/>
  <c r="AA268" i="16"/>
  <c r="AB268" i="16" s="1"/>
  <c r="AC268" i="16" s="1"/>
  <c r="N268" i="16"/>
  <c r="L270" i="16" l="1"/>
  <c r="K271" i="16"/>
  <c r="AP269" i="16"/>
  <c r="AQ269" i="16" s="1"/>
  <c r="AR269" i="16" s="1"/>
  <c r="AA269" i="16"/>
  <c r="AB269" i="16" s="1"/>
  <c r="AC269" i="16" s="1"/>
  <c r="N269" i="16"/>
  <c r="S269" i="16"/>
  <c r="AI269" i="16"/>
  <c r="AJ269" i="16" s="1"/>
  <c r="AK269" i="16" s="1"/>
  <c r="T269" i="16"/>
  <c r="U269" i="16" s="1"/>
  <c r="V269" i="16" s="1"/>
  <c r="X269" i="16"/>
  <c r="M269" i="16"/>
  <c r="K272" i="16" l="1"/>
  <c r="L271" i="16"/>
  <c r="X270" i="16"/>
  <c r="M270" i="16"/>
  <c r="AI270" i="16"/>
  <c r="AJ270" i="16" s="1"/>
  <c r="AK270" i="16" s="1"/>
  <c r="T270" i="16"/>
  <c r="U270" i="16" s="1"/>
  <c r="V270" i="16" s="1"/>
  <c r="S270" i="16"/>
  <c r="AP270" i="16"/>
  <c r="AQ270" i="16" s="1"/>
  <c r="AR270" i="16" s="1"/>
  <c r="AA270" i="16"/>
  <c r="AB270" i="16" s="1"/>
  <c r="AC270" i="16" s="1"/>
  <c r="N270" i="16"/>
  <c r="L272" i="16" l="1"/>
  <c r="K273" i="16"/>
  <c r="AP271" i="16"/>
  <c r="AQ271" i="16" s="1"/>
  <c r="AR271" i="16" s="1"/>
  <c r="AA271" i="16"/>
  <c r="AB271" i="16" s="1"/>
  <c r="AC271" i="16" s="1"/>
  <c r="N271" i="16"/>
  <c r="S271" i="16"/>
  <c r="AI271" i="16"/>
  <c r="AJ271" i="16" s="1"/>
  <c r="AK271" i="16" s="1"/>
  <c r="T271" i="16"/>
  <c r="U271" i="16" s="1"/>
  <c r="V271" i="16" s="1"/>
  <c r="X271" i="16"/>
  <c r="M271" i="16"/>
  <c r="L273" i="16" l="1"/>
  <c r="K274" i="16"/>
  <c r="X272" i="16"/>
  <c r="M272" i="16"/>
  <c r="AI272" i="16"/>
  <c r="AJ272" i="16" s="1"/>
  <c r="AK272" i="16" s="1"/>
  <c r="T272" i="16"/>
  <c r="U272" i="16" s="1"/>
  <c r="V272" i="16" s="1"/>
  <c r="S272" i="16"/>
  <c r="AP272" i="16"/>
  <c r="AQ272" i="16" s="1"/>
  <c r="AR272" i="16" s="1"/>
  <c r="AA272" i="16"/>
  <c r="AB272" i="16" s="1"/>
  <c r="AC272" i="16" s="1"/>
  <c r="N272" i="16"/>
  <c r="K275" i="16" l="1"/>
  <c r="L274" i="16"/>
  <c r="AP273" i="16"/>
  <c r="AQ273" i="16" s="1"/>
  <c r="AR273" i="16" s="1"/>
  <c r="AA273" i="16"/>
  <c r="AB273" i="16" s="1"/>
  <c r="AC273" i="16" s="1"/>
  <c r="N273" i="16"/>
  <c r="S273" i="16"/>
  <c r="AI273" i="16"/>
  <c r="AJ273" i="16" s="1"/>
  <c r="AK273" i="16" s="1"/>
  <c r="T273" i="16"/>
  <c r="U273" i="16" s="1"/>
  <c r="V273" i="16" s="1"/>
  <c r="X273" i="16"/>
  <c r="M273" i="16"/>
  <c r="K276" i="16" l="1"/>
  <c r="L275" i="16"/>
  <c r="X274" i="16"/>
  <c r="M274" i="16"/>
  <c r="AI274" i="16"/>
  <c r="AJ274" i="16" s="1"/>
  <c r="AK274" i="16" s="1"/>
  <c r="T274" i="16"/>
  <c r="U274" i="16" s="1"/>
  <c r="V274" i="16" s="1"/>
  <c r="S274" i="16"/>
  <c r="AP274" i="16"/>
  <c r="AQ274" i="16" s="1"/>
  <c r="AR274" i="16" s="1"/>
  <c r="AA274" i="16"/>
  <c r="AB274" i="16" s="1"/>
  <c r="AC274" i="16" s="1"/>
  <c r="N274" i="16"/>
  <c r="L276" i="16" l="1"/>
  <c r="K277" i="16"/>
  <c r="AP275" i="16"/>
  <c r="AQ275" i="16" s="1"/>
  <c r="AR275" i="16" s="1"/>
  <c r="AA275" i="16"/>
  <c r="AB275" i="16" s="1"/>
  <c r="AC275" i="16" s="1"/>
  <c r="N275" i="16"/>
  <c r="S275" i="16"/>
  <c r="AI275" i="16"/>
  <c r="AJ275" i="16" s="1"/>
  <c r="AK275" i="16" s="1"/>
  <c r="T275" i="16"/>
  <c r="U275" i="16" s="1"/>
  <c r="V275" i="16" s="1"/>
  <c r="X275" i="16"/>
  <c r="M275" i="16"/>
  <c r="K278" i="16" l="1"/>
  <c r="L277" i="16"/>
  <c r="X276" i="16"/>
  <c r="M276" i="16"/>
  <c r="AI276" i="16"/>
  <c r="AJ276" i="16" s="1"/>
  <c r="AK276" i="16" s="1"/>
  <c r="T276" i="16"/>
  <c r="U276" i="16" s="1"/>
  <c r="V276" i="16" s="1"/>
  <c r="S276" i="16"/>
  <c r="AP276" i="16"/>
  <c r="AQ276" i="16" s="1"/>
  <c r="AR276" i="16" s="1"/>
  <c r="AA276" i="16"/>
  <c r="AB276" i="16" s="1"/>
  <c r="AC276" i="16" s="1"/>
  <c r="N276" i="16"/>
  <c r="K279" i="16" l="1"/>
  <c r="L278" i="16"/>
  <c r="AP277" i="16"/>
  <c r="AQ277" i="16" s="1"/>
  <c r="AR277" i="16" s="1"/>
  <c r="AA277" i="16"/>
  <c r="AB277" i="16" s="1"/>
  <c r="AC277" i="16" s="1"/>
  <c r="N277" i="16"/>
  <c r="S277" i="16"/>
  <c r="AI277" i="16"/>
  <c r="AJ277" i="16" s="1"/>
  <c r="AK277" i="16" s="1"/>
  <c r="T277" i="16"/>
  <c r="U277" i="16" s="1"/>
  <c r="V277" i="16" s="1"/>
  <c r="X277" i="16"/>
  <c r="M277" i="16"/>
  <c r="L279" i="16" l="1"/>
  <c r="K280" i="16"/>
  <c r="X278" i="16"/>
  <c r="M278" i="16"/>
  <c r="AI278" i="16"/>
  <c r="AJ278" i="16" s="1"/>
  <c r="AK278" i="16" s="1"/>
  <c r="T278" i="16"/>
  <c r="U278" i="16" s="1"/>
  <c r="V278" i="16" s="1"/>
  <c r="S278" i="16"/>
  <c r="AP278" i="16"/>
  <c r="AQ278" i="16" s="1"/>
  <c r="AR278" i="16" s="1"/>
  <c r="AA278" i="16"/>
  <c r="AB278" i="16" s="1"/>
  <c r="AC278" i="16" s="1"/>
  <c r="N278" i="16"/>
  <c r="K281" i="16" l="1"/>
  <c r="L280" i="16"/>
  <c r="AP279" i="16"/>
  <c r="AQ279" i="16" s="1"/>
  <c r="AR279" i="16" s="1"/>
  <c r="AA279" i="16"/>
  <c r="AB279" i="16" s="1"/>
  <c r="AC279" i="16" s="1"/>
  <c r="N279" i="16"/>
  <c r="S279" i="16"/>
  <c r="AI279" i="16"/>
  <c r="AJ279" i="16" s="1"/>
  <c r="AK279" i="16" s="1"/>
  <c r="T279" i="16"/>
  <c r="U279" i="16" s="1"/>
  <c r="V279" i="16" s="1"/>
  <c r="X279" i="16"/>
  <c r="M279" i="16"/>
  <c r="K282" i="16" l="1"/>
  <c r="L281" i="16"/>
  <c r="X280" i="16"/>
  <c r="M280" i="16"/>
  <c r="AI280" i="16"/>
  <c r="AJ280" i="16" s="1"/>
  <c r="AK280" i="16" s="1"/>
  <c r="T280" i="16"/>
  <c r="U280" i="16" s="1"/>
  <c r="V280" i="16" s="1"/>
  <c r="S280" i="16"/>
  <c r="AP280" i="16"/>
  <c r="AQ280" i="16" s="1"/>
  <c r="AR280" i="16" s="1"/>
  <c r="AA280" i="16"/>
  <c r="AB280" i="16" s="1"/>
  <c r="AC280" i="16" s="1"/>
  <c r="N280" i="16"/>
  <c r="L282" i="16" l="1"/>
  <c r="K283" i="16"/>
  <c r="AP281" i="16"/>
  <c r="AQ281" i="16" s="1"/>
  <c r="AR281" i="16" s="1"/>
  <c r="AA281" i="16"/>
  <c r="AB281" i="16" s="1"/>
  <c r="AC281" i="16" s="1"/>
  <c r="N281" i="16"/>
  <c r="S281" i="16"/>
  <c r="AI281" i="16"/>
  <c r="AJ281" i="16" s="1"/>
  <c r="AK281" i="16" s="1"/>
  <c r="T281" i="16"/>
  <c r="U281" i="16" s="1"/>
  <c r="V281" i="16" s="1"/>
  <c r="X281" i="16"/>
  <c r="M281" i="16"/>
  <c r="K284" i="16" l="1"/>
  <c r="L283" i="16"/>
  <c r="X282" i="16"/>
  <c r="M282" i="16"/>
  <c r="AI282" i="16"/>
  <c r="AJ282" i="16" s="1"/>
  <c r="AK282" i="16" s="1"/>
  <c r="T282" i="16"/>
  <c r="U282" i="16" s="1"/>
  <c r="V282" i="16" s="1"/>
  <c r="S282" i="16"/>
  <c r="AP282" i="16"/>
  <c r="AQ282" i="16" s="1"/>
  <c r="AR282" i="16" s="1"/>
  <c r="AA282" i="16"/>
  <c r="AB282" i="16" s="1"/>
  <c r="AC282" i="16" s="1"/>
  <c r="N282" i="16"/>
  <c r="K285" i="16" l="1"/>
  <c r="L284" i="16"/>
  <c r="AP283" i="16"/>
  <c r="AQ283" i="16" s="1"/>
  <c r="AR283" i="16" s="1"/>
  <c r="AA283" i="16"/>
  <c r="AB283" i="16" s="1"/>
  <c r="AC283" i="16" s="1"/>
  <c r="N283" i="16"/>
  <c r="S283" i="16"/>
  <c r="AI283" i="16"/>
  <c r="AJ283" i="16" s="1"/>
  <c r="AK283" i="16" s="1"/>
  <c r="T283" i="16"/>
  <c r="U283" i="16" s="1"/>
  <c r="V283" i="16" s="1"/>
  <c r="X283" i="16"/>
  <c r="M283" i="16"/>
  <c r="K286" i="16" l="1"/>
  <c r="L285" i="16"/>
  <c r="X284" i="16"/>
  <c r="M284" i="16"/>
  <c r="AI284" i="16"/>
  <c r="AJ284" i="16" s="1"/>
  <c r="AK284" i="16" s="1"/>
  <c r="T284" i="16"/>
  <c r="U284" i="16" s="1"/>
  <c r="V284" i="16" s="1"/>
  <c r="S284" i="16"/>
  <c r="AP284" i="16"/>
  <c r="AQ284" i="16" s="1"/>
  <c r="AR284" i="16" s="1"/>
  <c r="AA284" i="16"/>
  <c r="AB284" i="16" s="1"/>
  <c r="AC284" i="16" s="1"/>
  <c r="N284" i="16"/>
  <c r="K287" i="16" l="1"/>
  <c r="L286" i="16"/>
  <c r="AP285" i="16"/>
  <c r="AQ285" i="16" s="1"/>
  <c r="AR285" i="16" s="1"/>
  <c r="AA285" i="16"/>
  <c r="AB285" i="16" s="1"/>
  <c r="AC285" i="16" s="1"/>
  <c r="N285" i="16"/>
  <c r="S285" i="16"/>
  <c r="AI285" i="16"/>
  <c r="AJ285" i="16" s="1"/>
  <c r="AK285" i="16" s="1"/>
  <c r="T285" i="16"/>
  <c r="U285" i="16" s="1"/>
  <c r="V285" i="16" s="1"/>
  <c r="X285" i="16"/>
  <c r="M285" i="16"/>
  <c r="L287" i="16" l="1"/>
  <c r="K288" i="16"/>
  <c r="X286" i="16"/>
  <c r="M286" i="16"/>
  <c r="AI286" i="16"/>
  <c r="AJ286" i="16" s="1"/>
  <c r="AK286" i="16" s="1"/>
  <c r="T286" i="16"/>
  <c r="U286" i="16" s="1"/>
  <c r="V286" i="16" s="1"/>
  <c r="S286" i="16"/>
  <c r="AP286" i="16"/>
  <c r="AQ286" i="16" s="1"/>
  <c r="AR286" i="16" s="1"/>
  <c r="AA286" i="16"/>
  <c r="AB286" i="16" s="1"/>
  <c r="AC286" i="16" s="1"/>
  <c r="N286" i="16"/>
  <c r="L288" i="16" l="1"/>
  <c r="K289" i="16"/>
  <c r="AP287" i="16"/>
  <c r="AQ287" i="16" s="1"/>
  <c r="AR287" i="16" s="1"/>
  <c r="AA287" i="16"/>
  <c r="AB287" i="16" s="1"/>
  <c r="AC287" i="16" s="1"/>
  <c r="N287" i="16"/>
  <c r="S287" i="16"/>
  <c r="AI287" i="16"/>
  <c r="AJ287" i="16" s="1"/>
  <c r="AK287" i="16" s="1"/>
  <c r="T287" i="16"/>
  <c r="U287" i="16" s="1"/>
  <c r="V287" i="16" s="1"/>
  <c r="X287" i="16"/>
  <c r="M287" i="16"/>
  <c r="K290" i="16" l="1"/>
  <c r="L289" i="16"/>
  <c r="X288" i="16"/>
  <c r="M288" i="16"/>
  <c r="AI288" i="16"/>
  <c r="AJ288" i="16" s="1"/>
  <c r="AK288" i="16" s="1"/>
  <c r="T288" i="16"/>
  <c r="U288" i="16" s="1"/>
  <c r="V288" i="16" s="1"/>
  <c r="S288" i="16"/>
  <c r="AP288" i="16"/>
  <c r="AQ288" i="16" s="1"/>
  <c r="AR288" i="16" s="1"/>
  <c r="AA288" i="16"/>
  <c r="AB288" i="16" s="1"/>
  <c r="AC288" i="16" s="1"/>
  <c r="N288" i="16"/>
  <c r="L290" i="16" l="1"/>
  <c r="K291" i="16"/>
  <c r="AP289" i="16"/>
  <c r="AQ289" i="16" s="1"/>
  <c r="AR289" i="16" s="1"/>
  <c r="AA289" i="16"/>
  <c r="AB289" i="16" s="1"/>
  <c r="AC289" i="16" s="1"/>
  <c r="N289" i="16"/>
  <c r="S289" i="16"/>
  <c r="AI289" i="16"/>
  <c r="AJ289" i="16" s="1"/>
  <c r="AK289" i="16" s="1"/>
  <c r="T289" i="16"/>
  <c r="U289" i="16" s="1"/>
  <c r="V289" i="16" s="1"/>
  <c r="X289" i="16"/>
  <c r="M289" i="16"/>
  <c r="K292" i="16" l="1"/>
  <c r="L291" i="16"/>
  <c r="AP290" i="16"/>
  <c r="AQ290" i="16" s="1"/>
  <c r="AR290" i="16" s="1"/>
  <c r="S290" i="16"/>
  <c r="AI290" i="16"/>
  <c r="AJ290" i="16" s="1"/>
  <c r="AK290" i="16" s="1"/>
  <c r="T290" i="16"/>
  <c r="U290" i="16" s="1"/>
  <c r="V290" i="16" s="1"/>
  <c r="X290" i="16"/>
  <c r="M290" i="16"/>
  <c r="AA290" i="16"/>
  <c r="AB290" i="16" s="1"/>
  <c r="AC290" i="16" s="1"/>
  <c r="N290" i="16"/>
  <c r="L292" i="16" l="1"/>
  <c r="K293" i="16"/>
  <c r="AP291" i="16"/>
  <c r="AQ291" i="16" s="1"/>
  <c r="AR291" i="16" s="1"/>
  <c r="AA291" i="16"/>
  <c r="AB291" i="16" s="1"/>
  <c r="AC291" i="16" s="1"/>
  <c r="N291" i="16"/>
  <c r="S291" i="16"/>
  <c r="AI291" i="16"/>
  <c r="AJ291" i="16" s="1"/>
  <c r="AK291" i="16" s="1"/>
  <c r="T291" i="16"/>
  <c r="U291" i="16" s="1"/>
  <c r="V291" i="16" s="1"/>
  <c r="X291" i="16"/>
  <c r="M291" i="16"/>
  <c r="L293" i="16" l="1"/>
  <c r="K294" i="16"/>
  <c r="X292" i="16"/>
  <c r="M292" i="16"/>
  <c r="AI292" i="16"/>
  <c r="AJ292" i="16" s="1"/>
  <c r="AK292" i="16" s="1"/>
  <c r="T292" i="16"/>
  <c r="U292" i="16" s="1"/>
  <c r="V292" i="16" s="1"/>
  <c r="S292" i="16"/>
  <c r="AP292" i="16"/>
  <c r="AQ292" i="16" s="1"/>
  <c r="AR292" i="16" s="1"/>
  <c r="AA292" i="16"/>
  <c r="AB292" i="16" s="1"/>
  <c r="AC292" i="16" s="1"/>
  <c r="N292" i="16"/>
  <c r="L294" i="16" l="1"/>
  <c r="K295" i="16"/>
  <c r="AP293" i="16"/>
  <c r="AQ293" i="16" s="1"/>
  <c r="AR293" i="16" s="1"/>
  <c r="AA293" i="16"/>
  <c r="AB293" i="16" s="1"/>
  <c r="AC293" i="16" s="1"/>
  <c r="N293" i="16"/>
  <c r="S293" i="16"/>
  <c r="AI293" i="16"/>
  <c r="AJ293" i="16" s="1"/>
  <c r="AK293" i="16" s="1"/>
  <c r="T293" i="16"/>
  <c r="U293" i="16" s="1"/>
  <c r="V293" i="16" s="1"/>
  <c r="X293" i="16"/>
  <c r="M293" i="16"/>
  <c r="L295" i="16" l="1"/>
  <c r="K296" i="16"/>
  <c r="X294" i="16"/>
  <c r="M294" i="16"/>
  <c r="AI294" i="16"/>
  <c r="AJ294" i="16" s="1"/>
  <c r="AK294" i="16" s="1"/>
  <c r="T294" i="16"/>
  <c r="U294" i="16" s="1"/>
  <c r="V294" i="16" s="1"/>
  <c r="S294" i="16"/>
  <c r="AP294" i="16"/>
  <c r="AQ294" i="16" s="1"/>
  <c r="AR294" i="16" s="1"/>
  <c r="AA294" i="16"/>
  <c r="AB294" i="16" s="1"/>
  <c r="AC294" i="16" s="1"/>
  <c r="N294" i="16"/>
  <c r="L296" i="16" l="1"/>
  <c r="K297" i="16"/>
  <c r="AP295" i="16"/>
  <c r="AQ295" i="16" s="1"/>
  <c r="AR295" i="16" s="1"/>
  <c r="AA295" i="16"/>
  <c r="AB295" i="16" s="1"/>
  <c r="AC295" i="16" s="1"/>
  <c r="N295" i="16"/>
  <c r="S295" i="16"/>
  <c r="AI295" i="16"/>
  <c r="AJ295" i="16" s="1"/>
  <c r="AK295" i="16" s="1"/>
  <c r="T295" i="16"/>
  <c r="U295" i="16" s="1"/>
  <c r="V295" i="16" s="1"/>
  <c r="X295" i="16"/>
  <c r="M295" i="16"/>
  <c r="K298" i="16" l="1"/>
  <c r="L297" i="16"/>
  <c r="X296" i="16"/>
  <c r="M296" i="16"/>
  <c r="AI296" i="16"/>
  <c r="AJ296" i="16" s="1"/>
  <c r="AK296" i="16" s="1"/>
  <c r="T296" i="16"/>
  <c r="U296" i="16" s="1"/>
  <c r="V296" i="16" s="1"/>
  <c r="S296" i="16"/>
  <c r="AP296" i="16"/>
  <c r="AQ296" i="16" s="1"/>
  <c r="AR296" i="16" s="1"/>
  <c r="AA296" i="16"/>
  <c r="AB296" i="16" s="1"/>
  <c r="AC296" i="16" s="1"/>
  <c r="N296" i="16"/>
  <c r="K299" i="16" l="1"/>
  <c r="L298" i="16"/>
  <c r="AP297" i="16"/>
  <c r="AQ297" i="16" s="1"/>
  <c r="AR297" i="16" s="1"/>
  <c r="AA297" i="16"/>
  <c r="AB297" i="16" s="1"/>
  <c r="AC297" i="16" s="1"/>
  <c r="N297" i="16"/>
  <c r="S297" i="16"/>
  <c r="AI297" i="16"/>
  <c r="AJ297" i="16" s="1"/>
  <c r="AK297" i="16" s="1"/>
  <c r="T297" i="16"/>
  <c r="U297" i="16" s="1"/>
  <c r="V297" i="16" s="1"/>
  <c r="X297" i="16"/>
  <c r="M297" i="16"/>
  <c r="K300" i="16" l="1"/>
  <c r="L299" i="16"/>
  <c r="X298" i="16"/>
  <c r="M298" i="16"/>
  <c r="AI298" i="16"/>
  <c r="AJ298" i="16" s="1"/>
  <c r="AK298" i="16" s="1"/>
  <c r="T298" i="16"/>
  <c r="U298" i="16" s="1"/>
  <c r="V298" i="16" s="1"/>
  <c r="S298" i="16"/>
  <c r="AP298" i="16"/>
  <c r="AQ298" i="16" s="1"/>
  <c r="AR298" i="16" s="1"/>
  <c r="AA298" i="16"/>
  <c r="AB298" i="16" s="1"/>
  <c r="AC298" i="16" s="1"/>
  <c r="N298" i="16"/>
  <c r="K301" i="16" l="1"/>
  <c r="L300" i="16"/>
  <c r="AP299" i="16"/>
  <c r="AQ299" i="16" s="1"/>
  <c r="AR299" i="16" s="1"/>
  <c r="AA299" i="16"/>
  <c r="AB299" i="16" s="1"/>
  <c r="AC299" i="16" s="1"/>
  <c r="N299" i="16"/>
  <c r="S299" i="16"/>
  <c r="AI299" i="16"/>
  <c r="AJ299" i="16" s="1"/>
  <c r="AK299" i="16" s="1"/>
  <c r="T299" i="16"/>
  <c r="U299" i="16" s="1"/>
  <c r="V299" i="16" s="1"/>
  <c r="X299" i="16"/>
  <c r="M299" i="16"/>
  <c r="L301" i="16" l="1"/>
  <c r="K302" i="16"/>
  <c r="X300" i="16"/>
  <c r="M300" i="16"/>
  <c r="AI300" i="16"/>
  <c r="AJ300" i="16" s="1"/>
  <c r="AK300" i="16" s="1"/>
  <c r="T300" i="16"/>
  <c r="U300" i="16" s="1"/>
  <c r="V300" i="16" s="1"/>
  <c r="S300" i="16"/>
  <c r="AP300" i="16"/>
  <c r="AQ300" i="16" s="1"/>
  <c r="AR300" i="16" s="1"/>
  <c r="AA300" i="16"/>
  <c r="AB300" i="16" s="1"/>
  <c r="AC300" i="16" s="1"/>
  <c r="N300" i="16"/>
  <c r="L302" i="16" l="1"/>
  <c r="K303" i="16"/>
  <c r="AP301" i="16"/>
  <c r="AQ301" i="16" s="1"/>
  <c r="AR301" i="16" s="1"/>
  <c r="AA301" i="16"/>
  <c r="AB301" i="16" s="1"/>
  <c r="AC301" i="16" s="1"/>
  <c r="N301" i="16"/>
  <c r="S301" i="16"/>
  <c r="AI301" i="16"/>
  <c r="AJ301" i="16" s="1"/>
  <c r="AK301" i="16" s="1"/>
  <c r="T301" i="16"/>
  <c r="U301" i="16" s="1"/>
  <c r="V301" i="16" s="1"/>
  <c r="X301" i="16"/>
  <c r="M301" i="16"/>
  <c r="K304" i="16" l="1"/>
  <c r="L303" i="16"/>
  <c r="X302" i="16"/>
  <c r="M302" i="16"/>
  <c r="AI302" i="16"/>
  <c r="AJ302" i="16" s="1"/>
  <c r="AK302" i="16" s="1"/>
  <c r="T302" i="16"/>
  <c r="U302" i="16" s="1"/>
  <c r="V302" i="16" s="1"/>
  <c r="S302" i="16"/>
  <c r="AP302" i="16"/>
  <c r="AQ302" i="16" s="1"/>
  <c r="AR302" i="16" s="1"/>
  <c r="AA302" i="16"/>
  <c r="AB302" i="16" s="1"/>
  <c r="AC302" i="16" s="1"/>
  <c r="N302" i="16"/>
  <c r="K305" i="16" l="1"/>
  <c r="L304" i="16"/>
  <c r="AP303" i="16"/>
  <c r="AQ303" i="16" s="1"/>
  <c r="AR303" i="16" s="1"/>
  <c r="AA303" i="16"/>
  <c r="AB303" i="16" s="1"/>
  <c r="AC303" i="16" s="1"/>
  <c r="N303" i="16"/>
  <c r="S303" i="16"/>
  <c r="AI303" i="16"/>
  <c r="AJ303" i="16" s="1"/>
  <c r="AK303" i="16" s="1"/>
  <c r="T303" i="16"/>
  <c r="U303" i="16" s="1"/>
  <c r="V303" i="16" s="1"/>
  <c r="X303" i="16"/>
  <c r="M303" i="16"/>
  <c r="K306" i="16" l="1"/>
  <c r="L305" i="16"/>
  <c r="X304" i="16"/>
  <c r="M304" i="16"/>
  <c r="AI304" i="16"/>
  <c r="AJ304" i="16" s="1"/>
  <c r="AK304" i="16" s="1"/>
  <c r="T304" i="16"/>
  <c r="U304" i="16" s="1"/>
  <c r="V304" i="16" s="1"/>
  <c r="S304" i="16"/>
  <c r="AP304" i="16"/>
  <c r="AQ304" i="16" s="1"/>
  <c r="AR304" i="16" s="1"/>
  <c r="AA304" i="16"/>
  <c r="AB304" i="16" s="1"/>
  <c r="AC304" i="16" s="1"/>
  <c r="N304" i="16"/>
  <c r="K307" i="16" l="1"/>
  <c r="L306" i="16"/>
  <c r="AP305" i="16"/>
  <c r="AQ305" i="16" s="1"/>
  <c r="AR305" i="16" s="1"/>
  <c r="AA305" i="16"/>
  <c r="AB305" i="16" s="1"/>
  <c r="AC305" i="16" s="1"/>
  <c r="N305" i="16"/>
  <c r="S305" i="16"/>
  <c r="AI305" i="16"/>
  <c r="AJ305" i="16" s="1"/>
  <c r="AK305" i="16" s="1"/>
  <c r="T305" i="16"/>
  <c r="U305" i="16" s="1"/>
  <c r="V305" i="16" s="1"/>
  <c r="X305" i="16"/>
  <c r="M305" i="16"/>
  <c r="K308" i="16" l="1"/>
  <c r="L307" i="16"/>
  <c r="X306" i="16"/>
  <c r="M306" i="16"/>
  <c r="AI306" i="16"/>
  <c r="AJ306" i="16" s="1"/>
  <c r="AK306" i="16" s="1"/>
  <c r="T306" i="16"/>
  <c r="U306" i="16" s="1"/>
  <c r="V306" i="16" s="1"/>
  <c r="S306" i="16"/>
  <c r="AP306" i="16"/>
  <c r="AQ306" i="16" s="1"/>
  <c r="AR306" i="16" s="1"/>
  <c r="AA306" i="16"/>
  <c r="AB306" i="16" s="1"/>
  <c r="AC306" i="16" s="1"/>
  <c r="N306" i="16"/>
  <c r="K309" i="16" l="1"/>
  <c r="L308" i="16"/>
  <c r="AP307" i="16"/>
  <c r="AQ307" i="16" s="1"/>
  <c r="AR307" i="16" s="1"/>
  <c r="AA307" i="16"/>
  <c r="AB307" i="16" s="1"/>
  <c r="AC307" i="16" s="1"/>
  <c r="N307" i="16"/>
  <c r="S307" i="16"/>
  <c r="AI307" i="16"/>
  <c r="AJ307" i="16" s="1"/>
  <c r="AK307" i="16" s="1"/>
  <c r="T307" i="16"/>
  <c r="U307" i="16" s="1"/>
  <c r="V307" i="16" s="1"/>
  <c r="X307" i="16"/>
  <c r="M307" i="16"/>
  <c r="K310" i="16" l="1"/>
  <c r="L309" i="16"/>
  <c r="X308" i="16"/>
  <c r="M308" i="16"/>
  <c r="AI308" i="16"/>
  <c r="AJ308" i="16" s="1"/>
  <c r="AK308" i="16" s="1"/>
  <c r="T308" i="16"/>
  <c r="U308" i="16" s="1"/>
  <c r="V308" i="16" s="1"/>
  <c r="S308" i="16"/>
  <c r="AP308" i="16"/>
  <c r="AQ308" i="16" s="1"/>
  <c r="AR308" i="16" s="1"/>
  <c r="AA308" i="16"/>
  <c r="AB308" i="16" s="1"/>
  <c r="AC308" i="16" s="1"/>
  <c r="N308" i="16"/>
  <c r="K311" i="16" l="1"/>
  <c r="L310" i="16"/>
  <c r="AP309" i="16"/>
  <c r="AQ309" i="16" s="1"/>
  <c r="AR309" i="16" s="1"/>
  <c r="AA309" i="16"/>
  <c r="AB309" i="16" s="1"/>
  <c r="AC309" i="16" s="1"/>
  <c r="N309" i="16"/>
  <c r="S309" i="16"/>
  <c r="AI309" i="16"/>
  <c r="AJ309" i="16" s="1"/>
  <c r="AK309" i="16" s="1"/>
  <c r="T309" i="16"/>
  <c r="U309" i="16" s="1"/>
  <c r="V309" i="16" s="1"/>
  <c r="X309" i="16"/>
  <c r="M309" i="16"/>
  <c r="K312" i="16" l="1"/>
  <c r="L311" i="16"/>
  <c r="X310" i="16"/>
  <c r="M310" i="16"/>
  <c r="AI310" i="16"/>
  <c r="AJ310" i="16" s="1"/>
  <c r="AK310" i="16" s="1"/>
  <c r="T310" i="16"/>
  <c r="U310" i="16" s="1"/>
  <c r="V310" i="16" s="1"/>
  <c r="S310" i="16"/>
  <c r="AP310" i="16"/>
  <c r="AQ310" i="16" s="1"/>
  <c r="AR310" i="16" s="1"/>
  <c r="AA310" i="16"/>
  <c r="AB310" i="16" s="1"/>
  <c r="AC310" i="16" s="1"/>
  <c r="N310" i="16"/>
  <c r="K313" i="16" l="1"/>
  <c r="L312" i="16"/>
  <c r="AP311" i="16"/>
  <c r="AQ311" i="16" s="1"/>
  <c r="AR311" i="16" s="1"/>
  <c r="AA311" i="16"/>
  <c r="AB311" i="16" s="1"/>
  <c r="AC311" i="16" s="1"/>
  <c r="N311" i="16"/>
  <c r="S311" i="16"/>
  <c r="AI311" i="16"/>
  <c r="AJ311" i="16" s="1"/>
  <c r="AK311" i="16" s="1"/>
  <c r="T311" i="16"/>
  <c r="U311" i="16" s="1"/>
  <c r="V311" i="16" s="1"/>
  <c r="X311" i="16"/>
  <c r="M311" i="16"/>
  <c r="L313" i="16" l="1"/>
  <c r="K314" i="16"/>
  <c r="AP312" i="16"/>
  <c r="AQ312" i="16" s="1"/>
  <c r="AR312" i="16" s="1"/>
  <c r="AA312" i="16"/>
  <c r="AB312" i="16" s="1"/>
  <c r="AC312" i="16" s="1"/>
  <c r="S312" i="16"/>
  <c r="N312" i="16"/>
  <c r="AI312" i="16"/>
  <c r="AJ312" i="16" s="1"/>
  <c r="AK312" i="16" s="1"/>
  <c r="X312" i="16"/>
  <c r="M312" i="16"/>
  <c r="T312" i="16"/>
  <c r="U312" i="16" s="1"/>
  <c r="V312" i="16" s="1"/>
  <c r="K315" i="16" l="1"/>
  <c r="L314" i="16"/>
  <c r="X313" i="16"/>
  <c r="M313" i="16"/>
  <c r="AI313" i="16"/>
  <c r="AJ313" i="16" s="1"/>
  <c r="AK313" i="16" s="1"/>
  <c r="T313" i="16"/>
  <c r="U313" i="16" s="1"/>
  <c r="V313" i="16" s="1"/>
  <c r="S313" i="16"/>
  <c r="AP313" i="16"/>
  <c r="AQ313" i="16" s="1"/>
  <c r="AR313" i="16" s="1"/>
  <c r="AA313" i="16"/>
  <c r="AB313" i="16" s="1"/>
  <c r="AC313" i="16" s="1"/>
  <c r="N313" i="16"/>
  <c r="K316" i="16" l="1"/>
  <c r="L315" i="16"/>
  <c r="AP314" i="16"/>
  <c r="AQ314" i="16" s="1"/>
  <c r="AR314" i="16" s="1"/>
  <c r="AA314" i="16"/>
  <c r="AB314" i="16" s="1"/>
  <c r="AC314" i="16" s="1"/>
  <c r="N314" i="16"/>
  <c r="S314" i="16"/>
  <c r="AI314" i="16"/>
  <c r="AJ314" i="16" s="1"/>
  <c r="AK314" i="16" s="1"/>
  <c r="T314" i="16"/>
  <c r="U314" i="16" s="1"/>
  <c r="V314" i="16" s="1"/>
  <c r="X314" i="16"/>
  <c r="M314" i="16"/>
  <c r="K317" i="16" l="1"/>
  <c r="L316" i="16"/>
  <c r="X315" i="16"/>
  <c r="M315" i="16"/>
  <c r="AI315" i="16"/>
  <c r="AJ315" i="16" s="1"/>
  <c r="AK315" i="16" s="1"/>
  <c r="T315" i="16"/>
  <c r="U315" i="16" s="1"/>
  <c r="V315" i="16" s="1"/>
  <c r="S315" i="16"/>
  <c r="AP315" i="16"/>
  <c r="AQ315" i="16" s="1"/>
  <c r="AR315" i="16" s="1"/>
  <c r="AA315" i="16"/>
  <c r="AB315" i="16" s="1"/>
  <c r="AC315" i="16" s="1"/>
  <c r="N315" i="16"/>
  <c r="K318" i="16" l="1"/>
  <c r="L317" i="16"/>
  <c r="AP316" i="16"/>
  <c r="AQ316" i="16" s="1"/>
  <c r="AR316" i="16" s="1"/>
  <c r="AA316" i="16"/>
  <c r="AB316" i="16" s="1"/>
  <c r="AC316" i="16" s="1"/>
  <c r="N316" i="16"/>
  <c r="S316" i="16"/>
  <c r="AI316" i="16"/>
  <c r="AJ316" i="16" s="1"/>
  <c r="AK316" i="16" s="1"/>
  <c r="T316" i="16"/>
  <c r="U316" i="16" s="1"/>
  <c r="V316" i="16" s="1"/>
  <c r="X316" i="16"/>
  <c r="M316" i="16"/>
  <c r="K319" i="16" l="1"/>
  <c r="L318" i="16"/>
  <c r="X317" i="16"/>
  <c r="M317" i="16"/>
  <c r="AI317" i="16"/>
  <c r="AJ317" i="16" s="1"/>
  <c r="AK317" i="16" s="1"/>
  <c r="T317" i="16"/>
  <c r="U317" i="16" s="1"/>
  <c r="V317" i="16" s="1"/>
  <c r="S317" i="16"/>
  <c r="AP317" i="16"/>
  <c r="AQ317" i="16" s="1"/>
  <c r="AR317" i="16" s="1"/>
  <c r="AA317" i="16"/>
  <c r="AB317" i="16" s="1"/>
  <c r="AC317" i="16" s="1"/>
  <c r="N317" i="16"/>
  <c r="L319" i="16" l="1"/>
  <c r="K320" i="16"/>
  <c r="AP318" i="16"/>
  <c r="AQ318" i="16" s="1"/>
  <c r="AR318" i="16" s="1"/>
  <c r="AA318" i="16"/>
  <c r="AB318" i="16" s="1"/>
  <c r="AC318" i="16" s="1"/>
  <c r="N318" i="16"/>
  <c r="S318" i="16"/>
  <c r="AI318" i="16"/>
  <c r="AJ318" i="16" s="1"/>
  <c r="AK318" i="16" s="1"/>
  <c r="T318" i="16"/>
  <c r="U318" i="16" s="1"/>
  <c r="V318" i="16" s="1"/>
  <c r="X318" i="16"/>
  <c r="M318" i="16"/>
  <c r="K321" i="16" l="1"/>
  <c r="L320" i="16"/>
  <c r="X319" i="16"/>
  <c r="M319" i="16"/>
  <c r="AI319" i="16"/>
  <c r="AJ319" i="16" s="1"/>
  <c r="AK319" i="16" s="1"/>
  <c r="T319" i="16"/>
  <c r="U319" i="16" s="1"/>
  <c r="V319" i="16" s="1"/>
  <c r="S319" i="16"/>
  <c r="AP319" i="16"/>
  <c r="AQ319" i="16" s="1"/>
  <c r="AR319" i="16" s="1"/>
  <c r="AA319" i="16"/>
  <c r="AB319" i="16" s="1"/>
  <c r="AC319" i="16" s="1"/>
  <c r="N319" i="16"/>
  <c r="K322" i="16" l="1"/>
  <c r="L321" i="16"/>
  <c r="AP320" i="16"/>
  <c r="AQ320" i="16" s="1"/>
  <c r="AR320" i="16" s="1"/>
  <c r="AA320" i="16"/>
  <c r="AB320" i="16" s="1"/>
  <c r="AC320" i="16" s="1"/>
  <c r="N320" i="16"/>
  <c r="S320" i="16"/>
  <c r="AI320" i="16"/>
  <c r="AJ320" i="16" s="1"/>
  <c r="AK320" i="16" s="1"/>
  <c r="T320" i="16"/>
  <c r="U320" i="16" s="1"/>
  <c r="V320" i="16" s="1"/>
  <c r="X320" i="16"/>
  <c r="M320" i="16"/>
  <c r="K323" i="16" l="1"/>
  <c r="L322" i="16"/>
  <c r="X321" i="16"/>
  <c r="M321" i="16"/>
  <c r="AI321" i="16"/>
  <c r="AJ321" i="16" s="1"/>
  <c r="AK321" i="16" s="1"/>
  <c r="T321" i="16"/>
  <c r="U321" i="16" s="1"/>
  <c r="V321" i="16" s="1"/>
  <c r="S321" i="16"/>
  <c r="AP321" i="16"/>
  <c r="AQ321" i="16" s="1"/>
  <c r="AR321" i="16" s="1"/>
  <c r="AA321" i="16"/>
  <c r="AB321" i="16" s="1"/>
  <c r="AC321" i="16" s="1"/>
  <c r="N321" i="16"/>
  <c r="K324" i="16" l="1"/>
  <c r="L323" i="16"/>
  <c r="AP322" i="16"/>
  <c r="AQ322" i="16" s="1"/>
  <c r="AR322" i="16" s="1"/>
  <c r="AA322" i="16"/>
  <c r="AB322" i="16" s="1"/>
  <c r="AC322" i="16" s="1"/>
  <c r="N322" i="16"/>
  <c r="S322" i="16"/>
  <c r="AI322" i="16"/>
  <c r="AJ322" i="16" s="1"/>
  <c r="AK322" i="16" s="1"/>
  <c r="T322" i="16"/>
  <c r="U322" i="16" s="1"/>
  <c r="V322" i="16" s="1"/>
  <c r="X322" i="16"/>
  <c r="M322" i="16"/>
  <c r="K325" i="16" l="1"/>
  <c r="L324" i="16"/>
  <c r="X323" i="16"/>
  <c r="M323" i="16"/>
  <c r="AI323" i="16"/>
  <c r="AJ323" i="16" s="1"/>
  <c r="AK323" i="16" s="1"/>
  <c r="T323" i="16"/>
  <c r="U323" i="16" s="1"/>
  <c r="V323" i="16" s="1"/>
  <c r="S323" i="16"/>
  <c r="AP323" i="16"/>
  <c r="AQ323" i="16" s="1"/>
  <c r="AR323" i="16" s="1"/>
  <c r="AA323" i="16"/>
  <c r="AB323" i="16" s="1"/>
  <c r="AC323" i="16" s="1"/>
  <c r="N323" i="16"/>
  <c r="L325" i="16" l="1"/>
  <c r="K326" i="16"/>
  <c r="AP324" i="16"/>
  <c r="AQ324" i="16" s="1"/>
  <c r="AR324" i="16" s="1"/>
  <c r="AA324" i="16"/>
  <c r="AB324" i="16" s="1"/>
  <c r="AC324" i="16" s="1"/>
  <c r="N324" i="16"/>
  <c r="S324" i="16"/>
  <c r="AI324" i="16"/>
  <c r="AJ324" i="16" s="1"/>
  <c r="AK324" i="16" s="1"/>
  <c r="T324" i="16"/>
  <c r="U324" i="16" s="1"/>
  <c r="V324" i="16" s="1"/>
  <c r="X324" i="16"/>
  <c r="M324" i="16"/>
  <c r="K327" i="16" l="1"/>
  <c r="L326" i="16"/>
  <c r="X325" i="16"/>
  <c r="M325" i="16"/>
  <c r="AI325" i="16"/>
  <c r="AJ325" i="16" s="1"/>
  <c r="AK325" i="16" s="1"/>
  <c r="T325" i="16"/>
  <c r="U325" i="16" s="1"/>
  <c r="V325" i="16" s="1"/>
  <c r="S325" i="16"/>
  <c r="AP325" i="16"/>
  <c r="AQ325" i="16" s="1"/>
  <c r="AR325" i="16" s="1"/>
  <c r="AA325" i="16"/>
  <c r="AB325" i="16" s="1"/>
  <c r="AC325" i="16" s="1"/>
  <c r="N325" i="16"/>
  <c r="K328" i="16" l="1"/>
  <c r="L327" i="16"/>
  <c r="AP326" i="16"/>
  <c r="AQ326" i="16" s="1"/>
  <c r="AR326" i="16" s="1"/>
  <c r="AA326" i="16"/>
  <c r="AB326" i="16" s="1"/>
  <c r="AC326" i="16" s="1"/>
  <c r="N326" i="16"/>
  <c r="S326" i="16"/>
  <c r="AI326" i="16"/>
  <c r="AJ326" i="16" s="1"/>
  <c r="AK326" i="16" s="1"/>
  <c r="T326" i="16"/>
  <c r="U326" i="16" s="1"/>
  <c r="V326" i="16" s="1"/>
  <c r="X326" i="16"/>
  <c r="M326" i="16"/>
  <c r="K329" i="16" l="1"/>
  <c r="L328" i="16"/>
  <c r="X327" i="16"/>
  <c r="M327" i="16"/>
  <c r="AI327" i="16"/>
  <c r="AJ327" i="16" s="1"/>
  <c r="AK327" i="16" s="1"/>
  <c r="T327" i="16"/>
  <c r="U327" i="16" s="1"/>
  <c r="V327" i="16" s="1"/>
  <c r="S327" i="16"/>
  <c r="AP327" i="16"/>
  <c r="AQ327" i="16" s="1"/>
  <c r="AR327" i="16" s="1"/>
  <c r="AA327" i="16"/>
  <c r="AB327" i="16" s="1"/>
  <c r="AC327" i="16" s="1"/>
  <c r="N327" i="16"/>
  <c r="K330" i="16" l="1"/>
  <c r="L329" i="16"/>
  <c r="AP328" i="16"/>
  <c r="AQ328" i="16" s="1"/>
  <c r="AR328" i="16" s="1"/>
  <c r="AA328" i="16"/>
  <c r="AB328" i="16" s="1"/>
  <c r="AC328" i="16" s="1"/>
  <c r="N328" i="16"/>
  <c r="S328" i="16"/>
  <c r="AI328" i="16"/>
  <c r="AJ328" i="16" s="1"/>
  <c r="AK328" i="16" s="1"/>
  <c r="T328" i="16"/>
  <c r="U328" i="16" s="1"/>
  <c r="V328" i="16" s="1"/>
  <c r="X328" i="16"/>
  <c r="M328" i="16"/>
  <c r="K331" i="16" l="1"/>
  <c r="L330" i="16"/>
  <c r="X329" i="16"/>
  <c r="M329" i="16"/>
  <c r="AI329" i="16"/>
  <c r="AJ329" i="16" s="1"/>
  <c r="AK329" i="16" s="1"/>
  <c r="T329" i="16"/>
  <c r="U329" i="16" s="1"/>
  <c r="V329" i="16" s="1"/>
  <c r="S329" i="16"/>
  <c r="AP329" i="16"/>
  <c r="AQ329" i="16" s="1"/>
  <c r="AR329" i="16" s="1"/>
  <c r="AA329" i="16"/>
  <c r="AB329" i="16" s="1"/>
  <c r="AC329" i="16" s="1"/>
  <c r="N329" i="16"/>
  <c r="L331" i="16" l="1"/>
  <c r="K332" i="16"/>
  <c r="AP330" i="16"/>
  <c r="AQ330" i="16" s="1"/>
  <c r="AR330" i="16" s="1"/>
  <c r="AA330" i="16"/>
  <c r="AB330" i="16" s="1"/>
  <c r="AC330" i="16" s="1"/>
  <c r="N330" i="16"/>
  <c r="S330" i="16"/>
  <c r="AI330" i="16"/>
  <c r="AJ330" i="16" s="1"/>
  <c r="AK330" i="16" s="1"/>
  <c r="T330" i="16"/>
  <c r="U330" i="16" s="1"/>
  <c r="V330" i="16" s="1"/>
  <c r="X330" i="16"/>
  <c r="M330" i="16"/>
  <c r="K333" i="16" l="1"/>
  <c r="L332" i="16"/>
  <c r="X331" i="16"/>
  <c r="M331" i="16"/>
  <c r="AI331" i="16"/>
  <c r="AJ331" i="16" s="1"/>
  <c r="AK331" i="16" s="1"/>
  <c r="T331" i="16"/>
  <c r="U331" i="16" s="1"/>
  <c r="V331" i="16" s="1"/>
  <c r="S331" i="16"/>
  <c r="AP331" i="16"/>
  <c r="AQ331" i="16" s="1"/>
  <c r="AR331" i="16" s="1"/>
  <c r="AA331" i="16"/>
  <c r="AB331" i="16" s="1"/>
  <c r="AC331" i="16" s="1"/>
  <c r="N331" i="16"/>
  <c r="L333" i="16" l="1"/>
  <c r="K334" i="16"/>
  <c r="AP332" i="16"/>
  <c r="AQ332" i="16" s="1"/>
  <c r="AR332" i="16" s="1"/>
  <c r="AA332" i="16"/>
  <c r="AB332" i="16" s="1"/>
  <c r="AC332" i="16" s="1"/>
  <c r="N332" i="16"/>
  <c r="S332" i="16"/>
  <c r="AI332" i="16"/>
  <c r="AJ332" i="16" s="1"/>
  <c r="AK332" i="16" s="1"/>
  <c r="T332" i="16"/>
  <c r="U332" i="16" s="1"/>
  <c r="V332" i="16" s="1"/>
  <c r="X332" i="16"/>
  <c r="M332" i="16"/>
  <c r="K335" i="16" l="1"/>
  <c r="L334" i="16"/>
  <c r="AP333" i="16"/>
  <c r="AQ333" i="16" s="1"/>
  <c r="AR333" i="16" s="1"/>
  <c r="AA333" i="16"/>
  <c r="AB333" i="16" s="1"/>
  <c r="AC333" i="16" s="1"/>
  <c r="M333" i="16"/>
  <c r="S333" i="16"/>
  <c r="AI333" i="16"/>
  <c r="AJ333" i="16" s="1"/>
  <c r="AK333" i="16" s="1"/>
  <c r="T333" i="16"/>
  <c r="U333" i="16" s="1"/>
  <c r="V333" i="16" s="1"/>
  <c r="X333" i="16"/>
  <c r="N333" i="16"/>
  <c r="K336" i="16" l="1"/>
  <c r="L335" i="16"/>
  <c r="X334" i="16"/>
  <c r="M334" i="16"/>
  <c r="AI334" i="16"/>
  <c r="AJ334" i="16" s="1"/>
  <c r="AK334" i="16" s="1"/>
  <c r="T334" i="16"/>
  <c r="U334" i="16" s="1"/>
  <c r="V334" i="16" s="1"/>
  <c r="S334" i="16"/>
  <c r="AP334" i="16"/>
  <c r="AQ334" i="16" s="1"/>
  <c r="AR334" i="16" s="1"/>
  <c r="AA334" i="16"/>
  <c r="AB334" i="16" s="1"/>
  <c r="AC334" i="16" s="1"/>
  <c r="N334" i="16"/>
  <c r="K337" i="16" l="1"/>
  <c r="L336" i="16"/>
  <c r="AP335" i="16"/>
  <c r="AQ335" i="16" s="1"/>
  <c r="AR335" i="16" s="1"/>
  <c r="AA335" i="16"/>
  <c r="AB335" i="16" s="1"/>
  <c r="AC335" i="16" s="1"/>
  <c r="N335" i="16"/>
  <c r="S335" i="16"/>
  <c r="AI335" i="16"/>
  <c r="AJ335" i="16" s="1"/>
  <c r="AK335" i="16" s="1"/>
  <c r="T335" i="16"/>
  <c r="U335" i="16" s="1"/>
  <c r="V335" i="16" s="1"/>
  <c r="X335" i="16"/>
  <c r="M335" i="16"/>
  <c r="L337" i="16" l="1"/>
  <c r="K338" i="16"/>
  <c r="X336" i="16"/>
  <c r="M336" i="16"/>
  <c r="AI336" i="16"/>
  <c r="AJ336" i="16" s="1"/>
  <c r="AK336" i="16" s="1"/>
  <c r="T336" i="16"/>
  <c r="U336" i="16" s="1"/>
  <c r="V336" i="16" s="1"/>
  <c r="S336" i="16"/>
  <c r="AP336" i="16"/>
  <c r="AQ336" i="16" s="1"/>
  <c r="AR336" i="16" s="1"/>
  <c r="AA336" i="16"/>
  <c r="AB336" i="16" s="1"/>
  <c r="AC336" i="16" s="1"/>
  <c r="N336" i="16"/>
  <c r="K339" i="16" l="1"/>
  <c r="L338" i="16"/>
  <c r="AP337" i="16"/>
  <c r="AQ337" i="16" s="1"/>
  <c r="AR337" i="16" s="1"/>
  <c r="AA337" i="16"/>
  <c r="AB337" i="16" s="1"/>
  <c r="AC337" i="16" s="1"/>
  <c r="N337" i="16"/>
  <c r="S337" i="16"/>
  <c r="AI337" i="16"/>
  <c r="AJ337" i="16" s="1"/>
  <c r="AK337" i="16" s="1"/>
  <c r="T337" i="16"/>
  <c r="U337" i="16" s="1"/>
  <c r="V337" i="16" s="1"/>
  <c r="X337" i="16"/>
  <c r="M337" i="16"/>
  <c r="K340" i="16" l="1"/>
  <c r="L339" i="16"/>
  <c r="X338" i="16"/>
  <c r="M338" i="16"/>
  <c r="AI338" i="16"/>
  <c r="AJ338" i="16" s="1"/>
  <c r="AK338" i="16" s="1"/>
  <c r="T338" i="16"/>
  <c r="U338" i="16" s="1"/>
  <c r="V338" i="16" s="1"/>
  <c r="S338" i="16"/>
  <c r="AP338" i="16"/>
  <c r="AQ338" i="16" s="1"/>
  <c r="AR338" i="16" s="1"/>
  <c r="AA338" i="16"/>
  <c r="AB338" i="16" s="1"/>
  <c r="AC338" i="16" s="1"/>
  <c r="N338" i="16"/>
  <c r="K341" i="16" l="1"/>
  <c r="L340" i="16"/>
  <c r="AP339" i="16"/>
  <c r="AQ339" i="16" s="1"/>
  <c r="AR339" i="16" s="1"/>
  <c r="AA339" i="16"/>
  <c r="AB339" i="16" s="1"/>
  <c r="AC339" i="16" s="1"/>
  <c r="N339" i="16"/>
  <c r="S339" i="16"/>
  <c r="AI339" i="16"/>
  <c r="AJ339" i="16" s="1"/>
  <c r="AK339" i="16" s="1"/>
  <c r="T339" i="16"/>
  <c r="U339" i="16" s="1"/>
  <c r="V339" i="16" s="1"/>
  <c r="X339" i="16"/>
  <c r="M339" i="16"/>
  <c r="K342" i="16" l="1"/>
  <c r="L341" i="16"/>
  <c r="X340" i="16"/>
  <c r="M340" i="16"/>
  <c r="AI340" i="16"/>
  <c r="AJ340" i="16" s="1"/>
  <c r="AK340" i="16" s="1"/>
  <c r="T340" i="16"/>
  <c r="U340" i="16" s="1"/>
  <c r="V340" i="16" s="1"/>
  <c r="S340" i="16"/>
  <c r="AP340" i="16"/>
  <c r="AQ340" i="16" s="1"/>
  <c r="AR340" i="16" s="1"/>
  <c r="AA340" i="16"/>
  <c r="AB340" i="16" s="1"/>
  <c r="AC340" i="16" s="1"/>
  <c r="N340" i="16"/>
  <c r="K343" i="16" l="1"/>
  <c r="L342" i="16"/>
  <c r="AP341" i="16"/>
  <c r="AQ341" i="16" s="1"/>
  <c r="AR341" i="16" s="1"/>
  <c r="AA341" i="16"/>
  <c r="AB341" i="16" s="1"/>
  <c r="AC341" i="16" s="1"/>
  <c r="N341" i="16"/>
  <c r="S341" i="16"/>
  <c r="AI341" i="16"/>
  <c r="AJ341" i="16" s="1"/>
  <c r="AK341" i="16" s="1"/>
  <c r="T341" i="16"/>
  <c r="U341" i="16" s="1"/>
  <c r="V341" i="16" s="1"/>
  <c r="X341" i="16"/>
  <c r="M341" i="16"/>
  <c r="L343" i="16" l="1"/>
  <c r="K344" i="16"/>
  <c r="X342" i="16"/>
  <c r="M342" i="16"/>
  <c r="AI342" i="16"/>
  <c r="AJ342" i="16" s="1"/>
  <c r="AK342" i="16" s="1"/>
  <c r="T342" i="16"/>
  <c r="U342" i="16" s="1"/>
  <c r="V342" i="16" s="1"/>
  <c r="S342" i="16"/>
  <c r="AP342" i="16"/>
  <c r="AQ342" i="16" s="1"/>
  <c r="AR342" i="16" s="1"/>
  <c r="AA342" i="16"/>
  <c r="AB342" i="16" s="1"/>
  <c r="AC342" i="16" s="1"/>
  <c r="N342" i="16"/>
  <c r="K345" i="16" l="1"/>
  <c r="L344" i="16"/>
  <c r="AP343" i="16"/>
  <c r="AQ343" i="16" s="1"/>
  <c r="AR343" i="16" s="1"/>
  <c r="AA343" i="16"/>
  <c r="AB343" i="16" s="1"/>
  <c r="AC343" i="16" s="1"/>
  <c r="N343" i="16"/>
  <c r="S343" i="16"/>
  <c r="AI343" i="16"/>
  <c r="AJ343" i="16" s="1"/>
  <c r="AK343" i="16" s="1"/>
  <c r="T343" i="16"/>
  <c r="U343" i="16" s="1"/>
  <c r="V343" i="16" s="1"/>
  <c r="X343" i="16"/>
  <c r="M343" i="16"/>
  <c r="K346" i="16" l="1"/>
  <c r="L345" i="16"/>
  <c r="X344" i="16"/>
  <c r="M344" i="16"/>
  <c r="AI344" i="16"/>
  <c r="AJ344" i="16" s="1"/>
  <c r="AK344" i="16" s="1"/>
  <c r="T344" i="16"/>
  <c r="U344" i="16" s="1"/>
  <c r="V344" i="16" s="1"/>
  <c r="S344" i="16"/>
  <c r="AP344" i="16"/>
  <c r="AQ344" i="16" s="1"/>
  <c r="AR344" i="16" s="1"/>
  <c r="AA344" i="16"/>
  <c r="AB344" i="16" s="1"/>
  <c r="AC344" i="16" s="1"/>
  <c r="N344" i="16"/>
  <c r="K347" i="16" l="1"/>
  <c r="L346" i="16"/>
  <c r="AP345" i="16"/>
  <c r="AQ345" i="16" s="1"/>
  <c r="AR345" i="16" s="1"/>
  <c r="AA345" i="16"/>
  <c r="AB345" i="16" s="1"/>
  <c r="AC345" i="16" s="1"/>
  <c r="N345" i="16"/>
  <c r="S345" i="16"/>
  <c r="AI345" i="16"/>
  <c r="AJ345" i="16" s="1"/>
  <c r="AK345" i="16" s="1"/>
  <c r="T345" i="16"/>
  <c r="U345" i="16" s="1"/>
  <c r="V345" i="16" s="1"/>
  <c r="X345" i="16"/>
  <c r="M345" i="16"/>
  <c r="K348" i="16" l="1"/>
  <c r="L347" i="16"/>
  <c r="X346" i="16"/>
  <c r="M346" i="16"/>
  <c r="AI346" i="16"/>
  <c r="AJ346" i="16" s="1"/>
  <c r="AK346" i="16" s="1"/>
  <c r="T346" i="16"/>
  <c r="U346" i="16" s="1"/>
  <c r="V346" i="16" s="1"/>
  <c r="S346" i="16"/>
  <c r="AP346" i="16"/>
  <c r="AQ346" i="16" s="1"/>
  <c r="AR346" i="16" s="1"/>
  <c r="AA346" i="16"/>
  <c r="AB346" i="16" s="1"/>
  <c r="AC346" i="16" s="1"/>
  <c r="N346" i="16"/>
  <c r="K349" i="16" l="1"/>
  <c r="L348" i="16"/>
  <c r="AI347" i="16"/>
  <c r="AJ347" i="16" s="1"/>
  <c r="AK347" i="16" s="1"/>
  <c r="T347" i="16"/>
  <c r="U347" i="16" s="1"/>
  <c r="V347" i="16" s="1"/>
  <c r="X347" i="16"/>
  <c r="M347" i="16"/>
  <c r="AP347" i="16"/>
  <c r="AQ347" i="16" s="1"/>
  <c r="AR347" i="16" s="1"/>
  <c r="AA347" i="16"/>
  <c r="AB347" i="16" s="1"/>
  <c r="AC347" i="16" s="1"/>
  <c r="N347" i="16"/>
  <c r="S347" i="16"/>
  <c r="L349" i="16" l="1"/>
  <c r="K350" i="16"/>
  <c r="X348" i="16"/>
  <c r="M348" i="16"/>
  <c r="AI348" i="16"/>
  <c r="AJ348" i="16" s="1"/>
  <c r="AK348" i="16" s="1"/>
  <c r="T348" i="16"/>
  <c r="U348" i="16" s="1"/>
  <c r="V348" i="16" s="1"/>
  <c r="S348" i="16"/>
  <c r="AP348" i="16"/>
  <c r="AQ348" i="16" s="1"/>
  <c r="AR348" i="16" s="1"/>
  <c r="AA348" i="16"/>
  <c r="AB348" i="16" s="1"/>
  <c r="AC348" i="16" s="1"/>
  <c r="N348" i="16"/>
  <c r="K351" i="16" l="1"/>
  <c r="L350" i="16"/>
  <c r="AP349" i="16"/>
  <c r="AQ349" i="16" s="1"/>
  <c r="AR349" i="16" s="1"/>
  <c r="AA349" i="16"/>
  <c r="AB349" i="16" s="1"/>
  <c r="AC349" i="16" s="1"/>
  <c r="N349" i="16"/>
  <c r="S349" i="16"/>
  <c r="AI349" i="16"/>
  <c r="AJ349" i="16" s="1"/>
  <c r="AK349" i="16" s="1"/>
  <c r="T349" i="16"/>
  <c r="U349" i="16" s="1"/>
  <c r="V349" i="16" s="1"/>
  <c r="X349" i="16"/>
  <c r="M349" i="16"/>
  <c r="K352" i="16" l="1"/>
  <c r="L351" i="16"/>
  <c r="X350" i="16"/>
  <c r="M350" i="16"/>
  <c r="AI350" i="16"/>
  <c r="AJ350" i="16" s="1"/>
  <c r="AK350" i="16" s="1"/>
  <c r="T350" i="16"/>
  <c r="U350" i="16" s="1"/>
  <c r="V350" i="16" s="1"/>
  <c r="S350" i="16"/>
  <c r="AP350" i="16"/>
  <c r="AQ350" i="16" s="1"/>
  <c r="AR350" i="16" s="1"/>
  <c r="AA350" i="16"/>
  <c r="AB350" i="16" s="1"/>
  <c r="AC350" i="16" s="1"/>
  <c r="N350" i="16"/>
  <c r="K353" i="16" l="1"/>
  <c r="L352" i="16"/>
  <c r="AP351" i="16"/>
  <c r="AQ351" i="16" s="1"/>
  <c r="AR351" i="16" s="1"/>
  <c r="AA351" i="16"/>
  <c r="AB351" i="16" s="1"/>
  <c r="AC351" i="16" s="1"/>
  <c r="N351" i="16"/>
  <c r="S351" i="16"/>
  <c r="AI351" i="16"/>
  <c r="AJ351" i="16" s="1"/>
  <c r="AK351" i="16" s="1"/>
  <c r="T351" i="16"/>
  <c r="U351" i="16" s="1"/>
  <c r="V351" i="16" s="1"/>
  <c r="X351" i="16"/>
  <c r="M351" i="16"/>
  <c r="K354" i="16" l="1"/>
  <c r="L353" i="16"/>
  <c r="X352" i="16"/>
  <c r="M352" i="16"/>
  <c r="AI352" i="16"/>
  <c r="AJ352" i="16" s="1"/>
  <c r="AK352" i="16" s="1"/>
  <c r="T352" i="16"/>
  <c r="U352" i="16" s="1"/>
  <c r="V352" i="16" s="1"/>
  <c r="S352" i="16"/>
  <c r="AP352" i="16"/>
  <c r="AQ352" i="16" s="1"/>
  <c r="AR352" i="16" s="1"/>
  <c r="AA352" i="16"/>
  <c r="AB352" i="16" s="1"/>
  <c r="AC352" i="16" s="1"/>
  <c r="N352" i="16"/>
  <c r="K355" i="16" l="1"/>
  <c r="L354" i="16"/>
  <c r="AP353" i="16"/>
  <c r="AQ353" i="16" s="1"/>
  <c r="AR353" i="16" s="1"/>
  <c r="AA353" i="16"/>
  <c r="AB353" i="16" s="1"/>
  <c r="AC353" i="16" s="1"/>
  <c r="N353" i="16"/>
  <c r="S353" i="16"/>
  <c r="AI353" i="16"/>
  <c r="AJ353" i="16" s="1"/>
  <c r="AK353" i="16" s="1"/>
  <c r="T353" i="16"/>
  <c r="U353" i="16" s="1"/>
  <c r="V353" i="16" s="1"/>
  <c r="X353" i="16"/>
  <c r="M353" i="16"/>
  <c r="L355" i="16" l="1"/>
  <c r="K356" i="16"/>
  <c r="X354" i="16"/>
  <c r="AI354" i="16"/>
  <c r="AJ354" i="16" s="1"/>
  <c r="AK354" i="16" s="1"/>
  <c r="M354" i="16"/>
  <c r="T354" i="16"/>
  <c r="U354" i="16" s="1"/>
  <c r="V354" i="16" s="1"/>
  <c r="S354" i="16"/>
  <c r="AA354" i="16"/>
  <c r="AB354" i="16" s="1"/>
  <c r="AC354" i="16" s="1"/>
  <c r="AP354" i="16"/>
  <c r="AQ354" i="16" s="1"/>
  <c r="AR354" i="16" s="1"/>
  <c r="N354" i="16"/>
  <c r="L356" i="16" l="1"/>
  <c r="K357" i="16"/>
  <c r="X355" i="16"/>
  <c r="M355" i="16"/>
  <c r="AI355" i="16"/>
  <c r="AJ355" i="16" s="1"/>
  <c r="AK355" i="16" s="1"/>
  <c r="T355" i="16"/>
  <c r="U355" i="16" s="1"/>
  <c r="V355" i="16" s="1"/>
  <c r="S355" i="16"/>
  <c r="AP355" i="16"/>
  <c r="AQ355" i="16" s="1"/>
  <c r="AR355" i="16" s="1"/>
  <c r="AA355" i="16"/>
  <c r="AB355" i="16" s="1"/>
  <c r="AC355" i="16" s="1"/>
  <c r="N355" i="16"/>
  <c r="L357" i="16" l="1"/>
  <c r="K358" i="16"/>
  <c r="AP356" i="16"/>
  <c r="AQ356" i="16" s="1"/>
  <c r="AR356" i="16" s="1"/>
  <c r="AA356" i="16"/>
  <c r="AB356" i="16" s="1"/>
  <c r="AC356" i="16" s="1"/>
  <c r="N356" i="16"/>
  <c r="S356" i="16"/>
  <c r="AI356" i="16"/>
  <c r="AJ356" i="16" s="1"/>
  <c r="AK356" i="16" s="1"/>
  <c r="T356" i="16"/>
  <c r="U356" i="16" s="1"/>
  <c r="V356" i="16" s="1"/>
  <c r="X356" i="16"/>
  <c r="M356" i="16"/>
  <c r="K359" i="16" l="1"/>
  <c r="L358" i="16"/>
  <c r="X357" i="16"/>
  <c r="M357" i="16"/>
  <c r="AI357" i="16"/>
  <c r="AJ357" i="16" s="1"/>
  <c r="AK357" i="16" s="1"/>
  <c r="T357" i="16"/>
  <c r="U357" i="16" s="1"/>
  <c r="V357" i="16" s="1"/>
  <c r="S357" i="16"/>
  <c r="AP357" i="16"/>
  <c r="AQ357" i="16" s="1"/>
  <c r="AR357" i="16" s="1"/>
  <c r="AA357" i="16"/>
  <c r="AB357" i="16" s="1"/>
  <c r="AC357" i="16" s="1"/>
  <c r="N357" i="16"/>
  <c r="K360" i="16" l="1"/>
  <c r="L359" i="16"/>
  <c r="AP358" i="16"/>
  <c r="AQ358" i="16" s="1"/>
  <c r="AR358" i="16" s="1"/>
  <c r="AA358" i="16"/>
  <c r="AB358" i="16" s="1"/>
  <c r="AC358" i="16" s="1"/>
  <c r="N358" i="16"/>
  <c r="S358" i="16"/>
  <c r="AI358" i="16"/>
  <c r="AJ358" i="16" s="1"/>
  <c r="AK358" i="16" s="1"/>
  <c r="T358" i="16"/>
  <c r="U358" i="16" s="1"/>
  <c r="V358" i="16" s="1"/>
  <c r="X358" i="16"/>
  <c r="M358" i="16"/>
  <c r="K361" i="16" l="1"/>
  <c r="L360" i="16"/>
  <c r="X359" i="16"/>
  <c r="M359" i="16"/>
  <c r="AA359" i="16"/>
  <c r="AB359" i="16" s="1"/>
  <c r="AC359" i="16" s="1"/>
  <c r="AP359" i="16"/>
  <c r="AQ359" i="16" s="1"/>
  <c r="AR359" i="16" s="1"/>
  <c r="S359" i="16"/>
  <c r="AI359" i="16"/>
  <c r="AJ359" i="16" s="1"/>
  <c r="AK359" i="16" s="1"/>
  <c r="N359" i="16"/>
  <c r="T359" i="16"/>
  <c r="U359" i="16" s="1"/>
  <c r="V359" i="16" s="1"/>
  <c r="L361" i="16" l="1"/>
  <c r="K362" i="16"/>
  <c r="AP360" i="16"/>
  <c r="AQ360" i="16" s="1"/>
  <c r="AR360" i="16" s="1"/>
  <c r="AA360" i="16"/>
  <c r="AB360" i="16" s="1"/>
  <c r="AC360" i="16" s="1"/>
  <c r="N360" i="16"/>
  <c r="M360" i="16"/>
  <c r="AI360" i="16"/>
  <c r="AJ360" i="16" s="1"/>
  <c r="AK360" i="16" s="1"/>
  <c r="T360" i="16"/>
  <c r="U360" i="16" s="1"/>
  <c r="V360" i="16" s="1"/>
  <c r="X360" i="16"/>
  <c r="S360" i="16"/>
  <c r="K363" i="16" l="1"/>
  <c r="L362" i="16"/>
  <c r="X361" i="16"/>
  <c r="M361" i="16"/>
  <c r="AI361" i="16"/>
  <c r="AJ361" i="16" s="1"/>
  <c r="AK361" i="16" s="1"/>
  <c r="T361" i="16"/>
  <c r="U361" i="16" s="1"/>
  <c r="V361" i="16" s="1"/>
  <c r="S361" i="16"/>
  <c r="AP361" i="16"/>
  <c r="AQ361" i="16" s="1"/>
  <c r="AR361" i="16" s="1"/>
  <c r="AA361" i="16"/>
  <c r="N361" i="16"/>
  <c r="E81" i="8"/>
  <c r="Y81" i="8" s="1"/>
  <c r="E76" i="8"/>
  <c r="Y76" i="8" s="1"/>
  <c r="K364" i="16" l="1"/>
  <c r="L363" i="16"/>
  <c r="E78" i="8"/>
  <c r="Y78" i="8" s="1"/>
  <c r="E84" i="8"/>
  <c r="Y84" i="8" s="1"/>
  <c r="E79" i="8"/>
  <c r="Y79" i="8" s="1"/>
  <c r="E75" i="8"/>
  <c r="Y75" i="8" s="1"/>
  <c r="E82" i="8"/>
  <c r="Y82" i="8" s="1"/>
  <c r="E80" i="8"/>
  <c r="Y80" i="8" s="1"/>
  <c r="E77" i="8"/>
  <c r="Y77" i="8" s="1"/>
  <c r="E83" i="8"/>
  <c r="Y83" i="8" s="1"/>
  <c r="X363" i="16"/>
  <c r="U73" i="8"/>
  <c r="U80" i="8"/>
  <c r="U74" i="8"/>
  <c r="U78" i="8"/>
  <c r="U77" i="8"/>
  <c r="U76" i="8"/>
  <c r="U84" i="8"/>
  <c r="U83" i="8"/>
  <c r="U81" i="8"/>
  <c r="U75" i="8"/>
  <c r="U82" i="8"/>
  <c r="U79" i="8"/>
  <c r="AI362" i="16"/>
  <c r="AJ362" i="16" s="1"/>
  <c r="AK362" i="16" s="1"/>
  <c r="T362" i="16"/>
  <c r="U362" i="16" s="1"/>
  <c r="X362" i="16"/>
  <c r="M362" i="16"/>
  <c r="AP362" i="16"/>
  <c r="AQ362" i="16" s="1"/>
  <c r="AA362" i="16"/>
  <c r="AB362" i="16" s="1"/>
  <c r="AC362" i="16" s="1"/>
  <c r="N362" i="16"/>
  <c r="S362" i="16"/>
  <c r="E66" i="8"/>
  <c r="Y66" i="8" s="1"/>
  <c r="E67" i="8"/>
  <c r="Y67" i="8" s="1"/>
  <c r="E69" i="8"/>
  <c r="Y69" i="8" s="1"/>
  <c r="E68" i="8"/>
  <c r="Y68" i="8" s="1"/>
  <c r="E72" i="8"/>
  <c r="Y72" i="8" s="1"/>
  <c r="E71" i="8"/>
  <c r="Y71" i="8" s="1"/>
  <c r="E70" i="8"/>
  <c r="Y70" i="8" s="1"/>
  <c r="E73" i="8"/>
  <c r="Y73" i="8" s="1"/>
  <c r="E74" i="8"/>
  <c r="Y74" i="8" s="1"/>
  <c r="AB361" i="16"/>
  <c r="K365" i="16" l="1"/>
  <c r="L364" i="16"/>
  <c r="AC361" i="16"/>
  <c r="V362" i="16"/>
  <c r="AR362" i="16"/>
  <c r="AP363" i="16"/>
  <c r="AQ363" i="16" s="1"/>
  <c r="AR363" i="16" s="1"/>
  <c r="N363" i="16"/>
  <c r="T363" i="16"/>
  <c r="U363" i="16" s="1"/>
  <c r="AA363" i="16"/>
  <c r="S363" i="16"/>
  <c r="M363" i="16"/>
  <c r="M9" i="16" s="1"/>
  <c r="L37" i="8" s="1"/>
  <c r="K37" i="8" s="1"/>
  <c r="AI363" i="16"/>
  <c r="AJ363" i="16" s="1"/>
  <c r="AK363" i="16" s="1"/>
  <c r="Y9" i="16"/>
  <c r="U68" i="8"/>
  <c r="U66" i="8"/>
  <c r="U69" i="8"/>
  <c r="U67" i="8"/>
  <c r="U70" i="8"/>
  <c r="U72" i="8"/>
  <c r="U71" i="8"/>
  <c r="AI364" i="16" l="1"/>
  <c r="AJ364" i="16" s="1"/>
  <c r="T364" i="16"/>
  <c r="U364" i="16" s="1"/>
  <c r="AP364" i="16"/>
  <c r="AQ364" i="16" s="1"/>
  <c r="M364" i="16"/>
  <c r="N364" i="16"/>
  <c r="AA364" i="16"/>
  <c r="AB364" i="16" s="1"/>
  <c r="AC364" i="16" s="1"/>
  <c r="X364" i="16"/>
  <c r="S364" i="16"/>
  <c r="L365" i="16"/>
  <c r="K366" i="16"/>
  <c r="V363" i="16"/>
  <c r="V38" i="8"/>
  <c r="Q8" i="16"/>
  <c r="AB363" i="16"/>
  <c r="E48" i="8"/>
  <c r="AQ9" i="16"/>
  <c r="L38" i="8" s="1"/>
  <c r="AJ9" i="16"/>
  <c r="U9" i="16"/>
  <c r="Q7" i="16"/>
  <c r="AR364" i="16" l="1"/>
  <c r="V364" i="16"/>
  <c r="AK364" i="16"/>
  <c r="K367" i="16"/>
  <c r="L366" i="16"/>
  <c r="N365" i="16"/>
  <c r="T365" i="16"/>
  <c r="U365" i="16" s="1"/>
  <c r="AI365" i="16"/>
  <c r="AJ365" i="16" s="1"/>
  <c r="X365" i="16"/>
  <c r="AP365" i="16"/>
  <c r="AQ365" i="16" s="1"/>
  <c r="M365" i="16"/>
  <c r="AA365" i="16"/>
  <c r="S365" i="16"/>
  <c r="AC363" i="16"/>
  <c r="U107" i="8"/>
  <c r="E49" i="8"/>
  <c r="AB9" i="16"/>
  <c r="AK365" i="16" l="1"/>
  <c r="V365" i="16"/>
  <c r="AI366" i="16"/>
  <c r="AJ366" i="16" s="1"/>
  <c r="AK366" i="16" s="1"/>
  <c r="X366" i="16"/>
  <c r="M366" i="16"/>
  <c r="T366" i="16"/>
  <c r="U366" i="16" s="1"/>
  <c r="V366" i="16" s="1"/>
  <c r="AA366" i="16"/>
  <c r="AB366" i="16" s="1"/>
  <c r="AC366" i="16" s="1"/>
  <c r="S366" i="16"/>
  <c r="N366" i="16"/>
  <c r="AP366" i="16"/>
  <c r="AQ366" i="16" s="1"/>
  <c r="AR366" i="16" s="1"/>
  <c r="L367" i="16"/>
  <c r="K368" i="16"/>
  <c r="L368" i="16" s="1"/>
  <c r="AB365" i="16"/>
  <c r="AR365" i="16"/>
  <c r="AK33" i="16" l="1"/>
  <c r="AC365" i="16"/>
  <c r="AI368" i="16"/>
  <c r="AJ368" i="16" s="1"/>
  <c r="AA368" i="16"/>
  <c r="AB368" i="16" s="1"/>
  <c r="S368" i="16"/>
  <c r="T368" i="16"/>
  <c r="U368" i="16" s="1"/>
  <c r="M368" i="16"/>
  <c r="X368" i="16"/>
  <c r="AP368" i="16"/>
  <c r="AQ368" i="16" s="1"/>
  <c r="N368" i="16"/>
  <c r="P10" i="16" s="1"/>
  <c r="T367" i="16"/>
  <c r="U367" i="16" s="1"/>
  <c r="V25" i="16" s="1"/>
  <c r="M367" i="16"/>
  <c r="X367" i="16"/>
  <c r="N367" i="16"/>
  <c r="AP367" i="16"/>
  <c r="AQ367" i="16" s="1"/>
  <c r="AI367" i="16"/>
  <c r="AJ367" i="16" s="1"/>
  <c r="AA367" i="16"/>
  <c r="S367" i="16"/>
  <c r="V36" i="16"/>
  <c r="P7" i="16"/>
  <c r="O366" i="16" s="1"/>
  <c r="V23" i="16"/>
  <c r="AK25" i="16" l="1"/>
  <c r="AK26" i="16"/>
  <c r="V15" i="16"/>
  <c r="AR29" i="16"/>
  <c r="AR26" i="16"/>
  <c r="AR23" i="16"/>
  <c r="AR17" i="16"/>
  <c r="AR30" i="16"/>
  <c r="AK27" i="16"/>
  <c r="AK17" i="16"/>
  <c r="AK28" i="16"/>
  <c r="AK23" i="16"/>
  <c r="V20" i="16"/>
  <c r="V28" i="16"/>
  <c r="AR15" i="16"/>
  <c r="AR28" i="16"/>
  <c r="AR32" i="16"/>
  <c r="V37" i="16"/>
  <c r="AK13" i="16"/>
  <c r="AK24" i="16"/>
  <c r="AR21" i="16"/>
  <c r="AR24" i="16"/>
  <c r="AR35" i="16"/>
  <c r="AR33" i="16"/>
  <c r="AR25" i="16"/>
  <c r="V22" i="16"/>
  <c r="V34" i="16"/>
  <c r="V18" i="16"/>
  <c r="V24" i="16"/>
  <c r="V21" i="16"/>
  <c r="V14" i="16"/>
  <c r="AR34" i="16"/>
  <c r="AR13" i="16"/>
  <c r="AR20" i="16"/>
  <c r="AR22" i="16"/>
  <c r="AR37" i="16"/>
  <c r="Q39" i="16"/>
  <c r="Q15" i="16"/>
  <c r="Q57" i="16"/>
  <c r="Q18" i="16"/>
  <c r="Q20" i="16"/>
  <c r="Q21" i="16"/>
  <c r="Q22" i="16"/>
  <c r="Q324" i="16"/>
  <c r="Q260" i="16"/>
  <c r="Q195" i="16"/>
  <c r="Q340" i="16"/>
  <c r="Q162" i="16"/>
  <c r="Q236" i="16"/>
  <c r="Q122" i="16"/>
  <c r="Q140" i="16"/>
  <c r="Q109" i="16"/>
  <c r="Q157" i="16"/>
  <c r="Q205" i="16"/>
  <c r="Q241" i="16"/>
  <c r="Q289" i="16"/>
  <c r="Q337" i="16"/>
  <c r="Q222" i="16"/>
  <c r="Q326" i="16"/>
  <c r="Q278" i="16"/>
  <c r="Q224" i="16"/>
  <c r="Q291" i="16"/>
  <c r="Q207" i="16"/>
  <c r="Q111" i="16"/>
  <c r="Q362" i="16"/>
  <c r="Q103" i="16"/>
  <c r="Q95" i="16"/>
  <c r="Q80" i="16"/>
  <c r="Q90" i="16"/>
  <c r="Q106" i="16"/>
  <c r="Q107" i="16"/>
  <c r="Q11" i="16"/>
  <c r="Q12" i="16"/>
  <c r="Q17" i="16"/>
  <c r="Q287" i="16"/>
  <c r="Q13" i="16"/>
  <c r="Q14" i="16"/>
  <c r="Q359" i="16"/>
  <c r="Q220" i="16"/>
  <c r="Q147" i="16"/>
  <c r="Q320" i="16"/>
  <c r="Q200" i="16"/>
  <c r="Q144" i="16"/>
  <c r="Q113" i="16"/>
  <c r="Q161" i="16"/>
  <c r="Q186" i="16"/>
  <c r="Q245" i="16"/>
  <c r="Q293" i="16"/>
  <c r="Q341" i="16"/>
  <c r="Q226" i="16"/>
  <c r="Q322" i="16"/>
  <c r="Q274" i="16"/>
  <c r="Q216" i="16"/>
  <c r="Q283" i="16"/>
  <c r="Q199" i="16"/>
  <c r="Q182" i="16"/>
  <c r="Q104" i="16"/>
  <c r="Q48" i="16"/>
  <c r="T32" i="8"/>
  <c r="Q82" i="16"/>
  <c r="Q99" i="16"/>
  <c r="Q100" i="16"/>
  <c r="Q98" i="16"/>
  <c r="Q101" i="16"/>
  <c r="Q102" i="16"/>
  <c r="Q352" i="16"/>
  <c r="Q327" i="16"/>
  <c r="Q155" i="16"/>
  <c r="Q296" i="16"/>
  <c r="Q335" i="16"/>
  <c r="Q148" i="16"/>
  <c r="Q117" i="16"/>
  <c r="Q165" i="16"/>
  <c r="Q194" i="16"/>
  <c r="Q249" i="16"/>
  <c r="Q297" i="16"/>
  <c r="Q345" i="16"/>
  <c r="Q230" i="16"/>
  <c r="Q318" i="16"/>
  <c r="Q270" i="16"/>
  <c r="Q208" i="16"/>
  <c r="Q275" i="16"/>
  <c r="Q191" i="16"/>
  <c r="Q174" i="16"/>
  <c r="Q63" i="16"/>
  <c r="Q40" i="16"/>
  <c r="Q16" i="16"/>
  <c r="Q66" i="16"/>
  <c r="Q91" i="16"/>
  <c r="Q92" i="16"/>
  <c r="Q74" i="16"/>
  <c r="Q93" i="16"/>
  <c r="Q94" i="16"/>
  <c r="Q272" i="16"/>
  <c r="Q279" i="16"/>
  <c r="Q170" i="16"/>
  <c r="Q276" i="16"/>
  <c r="Q303" i="16"/>
  <c r="Q146" i="16"/>
  <c r="Q152" i="16"/>
  <c r="Q121" i="16"/>
  <c r="Q169" i="16"/>
  <c r="Q202" i="16"/>
  <c r="Q253" i="16"/>
  <c r="Q301" i="16"/>
  <c r="Q349" i="16"/>
  <c r="Q234" i="16"/>
  <c r="Q361" i="16"/>
  <c r="Q314" i="16"/>
  <c r="Q266" i="16"/>
  <c r="Q192" i="16"/>
  <c r="Q267" i="16"/>
  <c r="Q183" i="16"/>
  <c r="Q166" i="16"/>
  <c r="Q72" i="16"/>
  <c r="Q87" i="16"/>
  <c r="Q58" i="16"/>
  <c r="Q83" i="16"/>
  <c r="Q84" i="16"/>
  <c r="Q50" i="16"/>
  <c r="Q85" i="16"/>
  <c r="Q86" i="16"/>
  <c r="Q343" i="16"/>
  <c r="Q215" i="16"/>
  <c r="Q256" i="16"/>
  <c r="Q271" i="16"/>
  <c r="Q108" i="16"/>
  <c r="Q156" i="16"/>
  <c r="Q125" i="16"/>
  <c r="Q173" i="16"/>
  <c r="Q209" i="16"/>
  <c r="Q257" i="16"/>
  <c r="Q305" i="16"/>
  <c r="Q353" i="16"/>
  <c r="Q358" i="16"/>
  <c r="Q310" i="16"/>
  <c r="Q262" i="16"/>
  <c r="Q355" i="16"/>
  <c r="Q259" i="16"/>
  <c r="Q175" i="16"/>
  <c r="Q158" i="16"/>
  <c r="Q55" i="16"/>
  <c r="Q42" i="16"/>
  <c r="Q75" i="16"/>
  <c r="Q76" i="16"/>
  <c r="Q77" i="16"/>
  <c r="Q78" i="16"/>
  <c r="Q356" i="16"/>
  <c r="Q336" i="16"/>
  <c r="Q163" i="16"/>
  <c r="Q228" i="16"/>
  <c r="Q348" i="16"/>
  <c r="Q239" i="16"/>
  <c r="Q112" i="16"/>
  <c r="Q160" i="16"/>
  <c r="Q129" i="16"/>
  <c r="Q177" i="16"/>
  <c r="Q213" i="16"/>
  <c r="Q261" i="16"/>
  <c r="Q309" i="16"/>
  <c r="Q357" i="16"/>
  <c r="Q354" i="16"/>
  <c r="Q306" i="16"/>
  <c r="Q258" i="16"/>
  <c r="Q347" i="16"/>
  <c r="Q251" i="16"/>
  <c r="Q167" i="16"/>
  <c r="Q150" i="16"/>
  <c r="Q23" i="16"/>
  <c r="Q67" i="16"/>
  <c r="Q68" i="16"/>
  <c r="Q19" i="16"/>
  <c r="Q69" i="16"/>
  <c r="Q70" i="16"/>
  <c r="Q247" i="16"/>
  <c r="Q304" i="16"/>
  <c r="Q308" i="16"/>
  <c r="Q351" i="16"/>
  <c r="Q332" i="16"/>
  <c r="Q206" i="16"/>
  <c r="Q116" i="16"/>
  <c r="Q164" i="16"/>
  <c r="Q133" i="16"/>
  <c r="Q181" i="16"/>
  <c r="Q217" i="16"/>
  <c r="Q265" i="16"/>
  <c r="Q313" i="16"/>
  <c r="Q188" i="16"/>
  <c r="Q350" i="16"/>
  <c r="Q302" i="16"/>
  <c r="Q254" i="16"/>
  <c r="Q339" i="16"/>
  <c r="Q243" i="16"/>
  <c r="Q159" i="16"/>
  <c r="Q142" i="16"/>
  <c r="Q88" i="16"/>
  <c r="Q59" i="16"/>
  <c r="Q60" i="16"/>
  <c r="Q61" i="16"/>
  <c r="Q62" i="16"/>
  <c r="Q328" i="16"/>
  <c r="Q244" i="16"/>
  <c r="Q280" i="16"/>
  <c r="Q115" i="16"/>
  <c r="Q311" i="16"/>
  <c r="Q316" i="16"/>
  <c r="Q179" i="16"/>
  <c r="Q120" i="16"/>
  <c r="Q168" i="16"/>
  <c r="Q137" i="16"/>
  <c r="Q185" i="16"/>
  <c r="Q221" i="16"/>
  <c r="Q269" i="16"/>
  <c r="Q317" i="16"/>
  <c r="Q196" i="16"/>
  <c r="Q346" i="16"/>
  <c r="Q298" i="16"/>
  <c r="Q250" i="16"/>
  <c r="Q331" i="16"/>
  <c r="Q235" i="16"/>
  <c r="Q151" i="16"/>
  <c r="Q134" i="16"/>
  <c r="Q364" i="16"/>
  <c r="Q96" i="16"/>
  <c r="Q56" i="16"/>
  <c r="Q97" i="16"/>
  <c r="Q51" i="16"/>
  <c r="Q52" i="16"/>
  <c r="Q53" i="16"/>
  <c r="Q54" i="16"/>
  <c r="Q231" i="16"/>
  <c r="Q295" i="16"/>
  <c r="Q248" i="16"/>
  <c r="Q114" i="16"/>
  <c r="Q263" i="16"/>
  <c r="Q300" i="16"/>
  <c r="Q131" i="16"/>
  <c r="Q203" i="16"/>
  <c r="Q124" i="16"/>
  <c r="Q172" i="16"/>
  <c r="Q141" i="16"/>
  <c r="Q189" i="16"/>
  <c r="Q225" i="16"/>
  <c r="Q273" i="16"/>
  <c r="Q321" i="16"/>
  <c r="Q204" i="16"/>
  <c r="Q342" i="16"/>
  <c r="Q294" i="16"/>
  <c r="Q246" i="16"/>
  <c r="Q323" i="16"/>
  <c r="Q227" i="16"/>
  <c r="Q143" i="16"/>
  <c r="Q126" i="16"/>
  <c r="Q365" i="16"/>
  <c r="Q71" i="16"/>
  <c r="Q24" i="16"/>
  <c r="Q81" i="16"/>
  <c r="Q43" i="16"/>
  <c r="Q44" i="16"/>
  <c r="Q89" i="16"/>
  <c r="Q45" i="16"/>
  <c r="Q46" i="16"/>
  <c r="Q292" i="16"/>
  <c r="Q344" i="16"/>
  <c r="Q212" i="16"/>
  <c r="Q190" i="16"/>
  <c r="Q223" i="16"/>
  <c r="Q47" i="16"/>
  <c r="Q105" i="16"/>
  <c r="Q41" i="16"/>
  <c r="Q49" i="16"/>
  <c r="Q240" i="16"/>
  <c r="Q288" i="16"/>
  <c r="Q255" i="16"/>
  <c r="Q360" i="16"/>
  <c r="Q123" i="16"/>
  <c r="Q252" i="16"/>
  <c r="Q154" i="16"/>
  <c r="Q136" i="16"/>
  <c r="Q184" i="16"/>
  <c r="Q153" i="16"/>
  <c r="Q201" i="16"/>
  <c r="Q237" i="16"/>
  <c r="Q285" i="16"/>
  <c r="Q333" i="16"/>
  <c r="Q218" i="16"/>
  <c r="Q330" i="16"/>
  <c r="Q282" i="16"/>
  <c r="Q232" i="16"/>
  <c r="Q299" i="16"/>
  <c r="Q64" i="16"/>
  <c r="Q38" i="16"/>
  <c r="Q229" i="16"/>
  <c r="Q290" i="16"/>
  <c r="Q118" i="16"/>
  <c r="Q264" i="16"/>
  <c r="Q233" i="16"/>
  <c r="Q286" i="16"/>
  <c r="Q110" i="16"/>
  <c r="Q171" i="16"/>
  <c r="Q197" i="16"/>
  <c r="Q312" i="16"/>
  <c r="Q277" i="16"/>
  <c r="Q242" i="16"/>
  <c r="Q127" i="16"/>
  <c r="Q79" i="16"/>
  <c r="Q319" i="16"/>
  <c r="Q281" i="16"/>
  <c r="Q238" i="16"/>
  <c r="Q130" i="16"/>
  <c r="Q128" i="16"/>
  <c r="Q325" i="16"/>
  <c r="Q315" i="16"/>
  <c r="Q119" i="16"/>
  <c r="Q65" i="16"/>
  <c r="Q187" i="16"/>
  <c r="Q132" i="16"/>
  <c r="Q329" i="16"/>
  <c r="Q307" i="16"/>
  <c r="Q193" i="16"/>
  <c r="Q284" i="16"/>
  <c r="Q176" i="16"/>
  <c r="Q210" i="16"/>
  <c r="Q219" i="16"/>
  <c r="Q338" i="16"/>
  <c r="Q268" i="16"/>
  <c r="Q180" i="16"/>
  <c r="Q214" i="16"/>
  <c r="Q211" i="16"/>
  <c r="Q178" i="16"/>
  <c r="Q145" i="16"/>
  <c r="Q198" i="16"/>
  <c r="Q363" i="16"/>
  <c r="Q139" i="16"/>
  <c r="Q73" i="16"/>
  <c r="Q138" i="16"/>
  <c r="Q149" i="16"/>
  <c r="Q135" i="16"/>
  <c r="Q334" i="16"/>
  <c r="Q366" i="16"/>
  <c r="AR367" i="16"/>
  <c r="AS12" i="16"/>
  <c r="O367" i="16"/>
  <c r="Q367" i="16"/>
  <c r="V367" i="16"/>
  <c r="V35" i="16"/>
  <c r="V17" i="16"/>
  <c r="V31" i="16"/>
  <c r="V33" i="16"/>
  <c r="O266" i="16"/>
  <c r="O81" i="16"/>
  <c r="O161" i="16"/>
  <c r="O154" i="16"/>
  <c r="O241" i="16"/>
  <c r="O344" i="16"/>
  <c r="O129" i="16"/>
  <c r="O122" i="16"/>
  <c r="O364" i="16"/>
  <c r="O353" i="16"/>
  <c r="O354" i="16"/>
  <c r="O202" i="16"/>
  <c r="O97" i="16"/>
  <c r="O90" i="16"/>
  <c r="O362" i="16"/>
  <c r="O194" i="16"/>
  <c r="O57" i="16"/>
  <c r="O249" i="16"/>
  <c r="O336" i="16"/>
  <c r="O293" i="16"/>
  <c r="O197" i="16"/>
  <c r="O101" i="16"/>
  <c r="O352" i="16"/>
  <c r="O238" i="16"/>
  <c r="O142" i="16"/>
  <c r="O46" i="16"/>
  <c r="O84" i="16"/>
  <c r="O132" i="16"/>
  <c r="O180" i="16"/>
  <c r="O338" i="16"/>
  <c r="O74" i="16"/>
  <c r="O65" i="16"/>
  <c r="O58" i="16"/>
  <c r="O210" i="16"/>
  <c r="O73" i="16"/>
  <c r="O265" i="16"/>
  <c r="O342" i="16"/>
  <c r="O285" i="16"/>
  <c r="O189" i="16"/>
  <c r="O93" i="16"/>
  <c r="O334" i="16"/>
  <c r="O230" i="16"/>
  <c r="O134" i="16"/>
  <c r="O38" i="16"/>
  <c r="O40" i="16"/>
  <c r="O88" i="16"/>
  <c r="O136" i="16"/>
  <c r="O324" i="16"/>
  <c r="O305" i="16"/>
  <c r="O138" i="16"/>
  <c r="O357" i="16"/>
  <c r="O298" i="16"/>
  <c r="O49" i="16"/>
  <c r="O177" i="16"/>
  <c r="O273" i="16"/>
  <c r="O346" i="16"/>
  <c r="O332" i="16"/>
  <c r="O226" i="16"/>
  <c r="O121" i="16"/>
  <c r="O345" i="16"/>
  <c r="O325" i="16"/>
  <c r="O213" i="16"/>
  <c r="O85" i="16"/>
  <c r="O302" i="16"/>
  <c r="O190" i="16"/>
  <c r="O78" i="16"/>
  <c r="O92" i="16"/>
  <c r="O148" i="16"/>
  <c r="O200" i="16"/>
  <c r="O248" i="16"/>
  <c r="O296" i="16"/>
  <c r="O67" i="16"/>
  <c r="O115" i="16"/>
  <c r="O163" i="16"/>
  <c r="O211" i="16"/>
  <c r="O259" i="16"/>
  <c r="O307" i="16"/>
  <c r="O204" i="16"/>
  <c r="O300" i="16"/>
  <c r="O119" i="16"/>
  <c r="O167" i="16"/>
  <c r="O215" i="16"/>
  <c r="O311" i="16"/>
  <c r="O219" i="16"/>
  <c r="O315" i="16"/>
  <c r="O279" i="16"/>
  <c r="O321" i="16"/>
  <c r="O246" i="16"/>
  <c r="O276" i="16"/>
  <c r="O239" i="16"/>
  <c r="O188" i="16"/>
  <c r="O151" i="16"/>
  <c r="O299" i="16"/>
  <c r="O333" i="16"/>
  <c r="O244" i="16"/>
  <c r="O113" i="16"/>
  <c r="O242" i="16"/>
  <c r="O137" i="16"/>
  <c r="O351" i="16"/>
  <c r="O317" i="16"/>
  <c r="O205" i="16"/>
  <c r="O77" i="16"/>
  <c r="O294" i="16"/>
  <c r="O182" i="16"/>
  <c r="O70" i="16"/>
  <c r="O96" i="16"/>
  <c r="O152" i="16"/>
  <c r="O252" i="16"/>
  <c r="O71" i="16"/>
  <c r="O263" i="16"/>
  <c r="O183" i="16"/>
  <c r="O358" i="16"/>
  <c r="O176" i="16"/>
  <c r="O95" i="16"/>
  <c r="O335" i="16"/>
  <c r="O297" i="16"/>
  <c r="O284" i="16"/>
  <c r="O341" i="16"/>
  <c r="O76" i="16"/>
  <c r="O59" i="16"/>
  <c r="O347" i="16"/>
  <c r="O86" i="16"/>
  <c r="O63" i="16"/>
  <c r="O258" i="16"/>
  <c r="O153" i="16"/>
  <c r="O355" i="16"/>
  <c r="O309" i="16"/>
  <c r="O181" i="16"/>
  <c r="O69" i="16"/>
  <c r="O286" i="16"/>
  <c r="O174" i="16"/>
  <c r="O62" i="16"/>
  <c r="O44" i="16"/>
  <c r="O100" i="16"/>
  <c r="O156" i="16"/>
  <c r="O208" i="16"/>
  <c r="O256" i="16"/>
  <c r="O304" i="16"/>
  <c r="O75" i="16"/>
  <c r="O123" i="16"/>
  <c r="O171" i="16"/>
  <c r="O267" i="16"/>
  <c r="O114" i="16"/>
  <c r="O118" i="16"/>
  <c r="O47" i="16"/>
  <c r="O237" i="16"/>
  <c r="O236" i="16"/>
  <c r="O295" i="16"/>
  <c r="O218" i="16"/>
  <c r="O313" i="16"/>
  <c r="O206" i="16"/>
  <c r="O288" i="16"/>
  <c r="O251" i="16"/>
  <c r="O105" i="16"/>
  <c r="O196" i="16"/>
  <c r="O50" i="16"/>
  <c r="O274" i="16"/>
  <c r="O169" i="16"/>
  <c r="O359" i="16"/>
  <c r="O301" i="16"/>
  <c r="O173" i="16"/>
  <c r="O61" i="16"/>
  <c r="O278" i="16"/>
  <c r="O166" i="16"/>
  <c r="O54" i="16"/>
  <c r="O48" i="16"/>
  <c r="O104" i="16"/>
  <c r="O160" i="16"/>
  <c r="O212" i="16"/>
  <c r="O260" i="16"/>
  <c r="O308" i="16"/>
  <c r="O79" i="16"/>
  <c r="O127" i="16"/>
  <c r="O175" i="16"/>
  <c r="O223" i="16"/>
  <c r="O271" i="16"/>
  <c r="O319" i="16"/>
  <c r="O360" i="16"/>
  <c r="O55" i="16"/>
  <c r="O343" i="16"/>
  <c r="O94" i="16"/>
  <c r="O178" i="16"/>
  <c r="O80" i="16"/>
  <c r="O303" i="16"/>
  <c r="O225" i="16"/>
  <c r="O66" i="16"/>
  <c r="O290" i="16"/>
  <c r="O185" i="16"/>
  <c r="O320" i="16"/>
  <c r="O277" i="16"/>
  <c r="O165" i="16"/>
  <c r="O53" i="16"/>
  <c r="O270" i="16"/>
  <c r="O158" i="16"/>
  <c r="O52" i="16"/>
  <c r="O108" i="16"/>
  <c r="O164" i="16"/>
  <c r="O216" i="16"/>
  <c r="O264" i="16"/>
  <c r="O312" i="16"/>
  <c r="O83" i="16"/>
  <c r="O131" i="16"/>
  <c r="O179" i="16"/>
  <c r="O227" i="16"/>
  <c r="O275" i="16"/>
  <c r="O323" i="16"/>
  <c r="O328" i="16"/>
  <c r="O112" i="16"/>
  <c r="O168" i="16"/>
  <c r="O268" i="16"/>
  <c r="O39" i="16"/>
  <c r="O135" i="16"/>
  <c r="O327" i="16"/>
  <c r="O170" i="16"/>
  <c r="O141" i="16"/>
  <c r="O228" i="16"/>
  <c r="O191" i="16"/>
  <c r="O214" i="16"/>
  <c r="O128" i="16"/>
  <c r="O199" i="16"/>
  <c r="O318" i="16"/>
  <c r="O329" i="16"/>
  <c r="O144" i="16"/>
  <c r="O207" i="16"/>
  <c r="O193" i="16"/>
  <c r="O82" i="16"/>
  <c r="O306" i="16"/>
  <c r="O201" i="16"/>
  <c r="O269" i="16"/>
  <c r="O157" i="16"/>
  <c r="O45" i="16"/>
  <c r="O262" i="16"/>
  <c r="O150" i="16"/>
  <c r="O56" i="16"/>
  <c r="O220" i="16"/>
  <c r="O316" i="16"/>
  <c r="O87" i="16"/>
  <c r="O231" i="16"/>
  <c r="O253" i="16"/>
  <c r="O363" i="16"/>
  <c r="O330" i="16"/>
  <c r="O287" i="16"/>
  <c r="O125" i="16"/>
  <c r="O348" i="16"/>
  <c r="O89" i="16"/>
  <c r="O240" i="16"/>
  <c r="O221" i="16"/>
  <c r="O292" i="16"/>
  <c r="O349" i="16"/>
  <c r="O234" i="16"/>
  <c r="O98" i="16"/>
  <c r="O326" i="16"/>
  <c r="O217" i="16"/>
  <c r="O350" i="16"/>
  <c r="O261" i="16"/>
  <c r="O149" i="16"/>
  <c r="O254" i="16"/>
  <c r="O126" i="16"/>
  <c r="O60" i="16"/>
  <c r="O116" i="16"/>
  <c r="O172" i="16"/>
  <c r="O224" i="16"/>
  <c r="O272" i="16"/>
  <c r="O322" i="16"/>
  <c r="O43" i="16"/>
  <c r="O91" i="16"/>
  <c r="O139" i="16"/>
  <c r="O187" i="16"/>
  <c r="O235" i="16"/>
  <c r="O283" i="16"/>
  <c r="O331" i="16"/>
  <c r="O64" i="16"/>
  <c r="O143" i="16"/>
  <c r="O41" i="16"/>
  <c r="O247" i="16"/>
  <c r="O209" i="16"/>
  <c r="O117" i="16"/>
  <c r="O140" i="16"/>
  <c r="O356" i="16"/>
  <c r="O203" i="16"/>
  <c r="O255" i="16"/>
  <c r="O314" i="16"/>
  <c r="O233" i="16"/>
  <c r="O120" i="16"/>
  <c r="O162" i="16"/>
  <c r="O155" i="16"/>
  <c r="O145" i="16"/>
  <c r="O310" i="16"/>
  <c r="O159" i="16"/>
  <c r="O337" i="16"/>
  <c r="O289" i="16"/>
  <c r="O106" i="16"/>
  <c r="O282" i="16"/>
  <c r="O130" i="16"/>
  <c r="O281" i="16"/>
  <c r="O245" i="16"/>
  <c r="O133" i="16"/>
  <c r="O222" i="16"/>
  <c r="O110" i="16"/>
  <c r="O68" i="16"/>
  <c r="O124" i="16"/>
  <c r="O184" i="16"/>
  <c r="O232" i="16"/>
  <c r="O280" i="16"/>
  <c r="O340" i="16"/>
  <c r="O51" i="16"/>
  <c r="O99" i="16"/>
  <c r="O147" i="16"/>
  <c r="O195" i="16"/>
  <c r="O243" i="16"/>
  <c r="O291" i="16"/>
  <c r="O339" i="16"/>
  <c r="O257" i="16"/>
  <c r="O42" i="16"/>
  <c r="O250" i="16"/>
  <c r="O146" i="16"/>
  <c r="O102" i="16"/>
  <c r="O72" i="16"/>
  <c r="O103" i="16"/>
  <c r="O229" i="16"/>
  <c r="O192" i="16"/>
  <c r="O107" i="16"/>
  <c r="O186" i="16"/>
  <c r="O198" i="16"/>
  <c r="O361" i="16"/>
  <c r="O109" i="16"/>
  <c r="O111" i="16"/>
  <c r="O365" i="16"/>
  <c r="V16" i="16"/>
  <c r="V19" i="16"/>
  <c r="V26" i="16"/>
  <c r="V27" i="16"/>
  <c r="V368" i="16"/>
  <c r="O10" i="16"/>
  <c r="O26" i="16" s="1"/>
  <c r="AB367" i="16"/>
  <c r="AC14" i="16" s="1"/>
  <c r="G119" i="8"/>
  <c r="G118" i="8"/>
  <c r="G120" i="8"/>
  <c r="V13" i="16"/>
  <c r="V29" i="16"/>
  <c r="Q368" i="16"/>
  <c r="O368" i="16"/>
  <c r="AK367" i="16"/>
  <c r="AL12" i="16"/>
  <c r="AC18" i="16"/>
  <c r="AC17" i="16"/>
  <c r="AC22" i="16"/>
  <c r="AC23" i="16"/>
  <c r="AC21" i="16"/>
  <c r="AC30" i="16"/>
  <c r="AC368" i="16"/>
  <c r="V32" i="16"/>
  <c r="V30" i="16"/>
  <c r="AR27" i="16"/>
  <c r="AR31" i="16"/>
  <c r="Q38" i="8" s="1"/>
  <c r="K38" i="8" s="1"/>
  <c r="AR36" i="16"/>
  <c r="AR368" i="16"/>
  <c r="AK31" i="16"/>
  <c r="AM11" i="16" s="1"/>
  <c r="AN11" i="16" s="1"/>
  <c r="AK368" i="16"/>
  <c r="Q10" i="16"/>
  <c r="Q26" i="16" s="1"/>
  <c r="AT11" i="16" l="1"/>
  <c r="AC28" i="16"/>
  <c r="AC25" i="16"/>
  <c r="AC19" i="16"/>
  <c r="AC37" i="16"/>
  <c r="AC20" i="16"/>
  <c r="AC26" i="16"/>
  <c r="O17" i="16"/>
  <c r="O11" i="16"/>
  <c r="P367" i="16"/>
  <c r="O36" i="16"/>
  <c r="O33" i="16"/>
  <c r="AC15" i="16"/>
  <c r="AC16" i="16"/>
  <c r="AC13" i="16"/>
  <c r="O13" i="16"/>
  <c r="O23" i="16"/>
  <c r="AC11" i="16"/>
  <c r="O34" i="16"/>
  <c r="O29" i="16"/>
  <c r="AC12" i="16"/>
  <c r="O15" i="16"/>
  <c r="O24" i="16"/>
  <c r="O14" i="16"/>
  <c r="B92" i="8"/>
  <c r="AT12" i="16"/>
  <c r="AU12" i="16" s="1"/>
  <c r="AS13" i="16"/>
  <c r="AC367" i="16"/>
  <c r="AC35" i="16"/>
  <c r="AC32" i="16"/>
  <c r="AC36" i="16"/>
  <c r="AC27" i="16"/>
  <c r="AC24" i="16"/>
  <c r="AC33" i="16"/>
  <c r="AC29" i="16"/>
  <c r="AC31" i="16"/>
  <c r="AC34" i="16"/>
  <c r="R258" i="16"/>
  <c r="R197" i="16"/>
  <c r="R110" i="16"/>
  <c r="R170" i="16"/>
  <c r="R73" i="16"/>
  <c r="R199" i="16"/>
  <c r="R263" i="16"/>
  <c r="R311" i="16"/>
  <c r="R359" i="16"/>
  <c r="R174" i="16"/>
  <c r="R201" i="16"/>
  <c r="R313" i="16"/>
  <c r="R252" i="16"/>
  <c r="R300" i="16"/>
  <c r="R348" i="16"/>
  <c r="R350" i="16"/>
  <c r="R254" i="16"/>
  <c r="R207" i="16"/>
  <c r="R153" i="16"/>
  <c r="R61" i="16"/>
  <c r="R212" i="16"/>
  <c r="R164" i="16"/>
  <c r="R83" i="16"/>
  <c r="R62" i="16"/>
  <c r="R11" i="16"/>
  <c r="R58" i="16"/>
  <c r="R166" i="16"/>
  <c r="R298" i="16"/>
  <c r="R245" i="16"/>
  <c r="R330" i="16"/>
  <c r="R230" i="16"/>
  <c r="R142" i="16"/>
  <c r="R178" i="16"/>
  <c r="R89" i="16"/>
  <c r="R203" i="16"/>
  <c r="R267" i="16"/>
  <c r="R315" i="16"/>
  <c r="R209" i="16"/>
  <c r="R190" i="16"/>
  <c r="R215" i="16"/>
  <c r="R321" i="16"/>
  <c r="R256" i="16"/>
  <c r="R304" i="16"/>
  <c r="R352" i="16"/>
  <c r="R342" i="16"/>
  <c r="R246" i="16"/>
  <c r="R187" i="16"/>
  <c r="AC32" i="8"/>
  <c r="R149" i="16"/>
  <c r="R53" i="16"/>
  <c r="R208" i="16"/>
  <c r="R160" i="16"/>
  <c r="R75" i="16"/>
  <c r="R30" i="16"/>
  <c r="R146" i="16"/>
  <c r="R50" i="16"/>
  <c r="R48" i="16"/>
  <c r="R364" i="16"/>
  <c r="R65" i="16"/>
  <c r="R55" i="16"/>
  <c r="R266" i="16"/>
  <c r="R78" i="16"/>
  <c r="R31" i="16"/>
  <c r="R186" i="16"/>
  <c r="R105" i="16"/>
  <c r="R211" i="16"/>
  <c r="R271" i="16"/>
  <c r="R319" i="16"/>
  <c r="R217" i="16"/>
  <c r="R206" i="16"/>
  <c r="R231" i="16"/>
  <c r="R329" i="16"/>
  <c r="R260" i="16"/>
  <c r="R308" i="16"/>
  <c r="R356" i="16"/>
  <c r="R334" i="16"/>
  <c r="R238" i="16"/>
  <c r="R155" i="16"/>
  <c r="R141" i="16"/>
  <c r="R45" i="16"/>
  <c r="R204" i="16"/>
  <c r="R156" i="16"/>
  <c r="R67" i="16"/>
  <c r="R138" i="16"/>
  <c r="R42" i="16"/>
  <c r="R52" i="16"/>
  <c r="R100" i="16"/>
  <c r="R322" i="16"/>
  <c r="R309" i="16"/>
  <c r="R338" i="16"/>
  <c r="R47" i="16"/>
  <c r="R194" i="16"/>
  <c r="R121" i="16"/>
  <c r="R219" i="16"/>
  <c r="R275" i="16"/>
  <c r="R323" i="16"/>
  <c r="R225" i="16"/>
  <c r="R222" i="16"/>
  <c r="R241" i="16"/>
  <c r="R337" i="16"/>
  <c r="R264" i="16"/>
  <c r="R312" i="16"/>
  <c r="R360" i="16"/>
  <c r="R326" i="16"/>
  <c r="R213" i="16"/>
  <c r="R97" i="16"/>
  <c r="R189" i="16"/>
  <c r="R133" i="16"/>
  <c r="R37" i="16"/>
  <c r="R200" i="16"/>
  <c r="R152" i="16"/>
  <c r="R59" i="16"/>
  <c r="R130" i="16"/>
  <c r="R34" i="16"/>
  <c r="R56" i="16"/>
  <c r="R104" i="16"/>
  <c r="R357" i="16"/>
  <c r="R223" i="16"/>
  <c r="R361" i="16"/>
  <c r="R129" i="16"/>
  <c r="R306" i="16"/>
  <c r="R63" i="16"/>
  <c r="R202" i="16"/>
  <c r="R137" i="16"/>
  <c r="R227" i="16"/>
  <c r="R279" i="16"/>
  <c r="R327" i="16"/>
  <c r="R233" i="16"/>
  <c r="R17" i="16"/>
  <c r="R249" i="16"/>
  <c r="R345" i="16"/>
  <c r="R268" i="16"/>
  <c r="R316" i="16"/>
  <c r="R318" i="16"/>
  <c r="R349" i="16"/>
  <c r="R33" i="16"/>
  <c r="R185" i="16"/>
  <c r="R125" i="16"/>
  <c r="R29" i="16"/>
  <c r="R196" i="16"/>
  <c r="R147" i="16"/>
  <c r="R51" i="16"/>
  <c r="R102" i="16"/>
  <c r="R122" i="16"/>
  <c r="R26" i="16"/>
  <c r="R12" i="16"/>
  <c r="R60" i="16"/>
  <c r="R290" i="16"/>
  <c r="R274" i="16"/>
  <c r="R79" i="16"/>
  <c r="R210" i="16"/>
  <c r="R151" i="16"/>
  <c r="R235" i="16"/>
  <c r="R283" i="16"/>
  <c r="R331" i="16"/>
  <c r="R14" i="16"/>
  <c r="R49" i="16"/>
  <c r="R257" i="16"/>
  <c r="R353" i="16"/>
  <c r="R272" i="16"/>
  <c r="R320" i="16"/>
  <c r="R310" i="16"/>
  <c r="R333" i="16"/>
  <c r="R214" i="16"/>
  <c r="R181" i="16"/>
  <c r="R117" i="16"/>
  <c r="R21" i="16"/>
  <c r="R192" i="16"/>
  <c r="R139" i="16"/>
  <c r="R43" i="16"/>
  <c r="R86" i="16"/>
  <c r="R114" i="16"/>
  <c r="R19" i="16"/>
  <c r="R16" i="16"/>
  <c r="R229" i="16"/>
  <c r="R293" i="16"/>
  <c r="R346" i="16"/>
  <c r="R242" i="16"/>
  <c r="R95" i="16"/>
  <c r="R218" i="16"/>
  <c r="R159" i="16"/>
  <c r="R239" i="16"/>
  <c r="R287" i="16"/>
  <c r="R335" i="16"/>
  <c r="R126" i="16"/>
  <c r="R81" i="16"/>
  <c r="R265" i="16"/>
  <c r="R205" i="16"/>
  <c r="R276" i="16"/>
  <c r="R324" i="16"/>
  <c r="R302" i="16"/>
  <c r="R317" i="16"/>
  <c r="R182" i="16"/>
  <c r="R177" i="16"/>
  <c r="R109" i="16"/>
  <c r="R13" i="16"/>
  <c r="R188" i="16"/>
  <c r="R119" i="16"/>
  <c r="R314" i="16"/>
  <c r="R325" i="16"/>
  <c r="R111" i="16"/>
  <c r="R226" i="16"/>
  <c r="R167" i="16"/>
  <c r="R243" i="16"/>
  <c r="R291" i="16"/>
  <c r="R339" i="16"/>
  <c r="R39" i="16"/>
  <c r="R113" i="16"/>
  <c r="R273" i="16"/>
  <c r="R221" i="16"/>
  <c r="R280" i="16"/>
  <c r="R328" i="16"/>
  <c r="R294" i="16"/>
  <c r="R282" i="16"/>
  <c r="R261" i="16"/>
  <c r="R127" i="16"/>
  <c r="R234" i="16"/>
  <c r="R175" i="16"/>
  <c r="R247" i="16"/>
  <c r="R295" i="16"/>
  <c r="R343" i="16"/>
  <c r="R71" i="16"/>
  <c r="R145" i="16"/>
  <c r="R281" i="16"/>
  <c r="R236" i="16"/>
  <c r="R284" i="16"/>
  <c r="R332" i="16"/>
  <c r="R286" i="16"/>
  <c r="R285" i="16"/>
  <c r="R87" i="16"/>
  <c r="R169" i="16"/>
  <c r="R93" i="16"/>
  <c r="R228" i="16"/>
  <c r="R180" i="16"/>
  <c r="R354" i="16"/>
  <c r="R277" i="16"/>
  <c r="R46" i="16"/>
  <c r="R162" i="16"/>
  <c r="R57" i="16"/>
  <c r="R195" i="16"/>
  <c r="R259" i="16"/>
  <c r="R307" i="16"/>
  <c r="R355" i="16"/>
  <c r="R158" i="16"/>
  <c r="R193" i="16"/>
  <c r="R305" i="16"/>
  <c r="R248" i="16"/>
  <c r="R296" i="16"/>
  <c r="R344" i="16"/>
  <c r="R250" i="16"/>
  <c r="R299" i="16"/>
  <c r="R288" i="16"/>
  <c r="R220" i="16"/>
  <c r="R35" i="16"/>
  <c r="R70" i="16"/>
  <c r="R106" i="16"/>
  <c r="R20" i="16"/>
  <c r="R84" i="16"/>
  <c r="R140" i="16"/>
  <c r="R91" i="16"/>
  <c r="R341" i="16"/>
  <c r="R303" i="16"/>
  <c r="R292" i="16"/>
  <c r="R216" i="16"/>
  <c r="R23" i="16"/>
  <c r="R54" i="16"/>
  <c r="R98" i="16"/>
  <c r="R24" i="16"/>
  <c r="R88" i="16"/>
  <c r="R144" i="16"/>
  <c r="R123" i="16"/>
  <c r="R27" i="16"/>
  <c r="R80" i="16"/>
  <c r="R171" i="16"/>
  <c r="R347" i="16"/>
  <c r="R336" i="16"/>
  <c r="R358" i="16"/>
  <c r="R173" i="16"/>
  <c r="R184" i="16"/>
  <c r="R148" i="16"/>
  <c r="R38" i="16"/>
  <c r="R90" i="16"/>
  <c r="R28" i="16"/>
  <c r="R92" i="16"/>
  <c r="R99" i="16"/>
  <c r="R255" i="16"/>
  <c r="R363" i="16"/>
  <c r="R198" i="16"/>
  <c r="R351" i="16"/>
  <c r="R340" i="16"/>
  <c r="R278" i="16"/>
  <c r="R165" i="16"/>
  <c r="R176" i="16"/>
  <c r="R134" i="16"/>
  <c r="R22" i="16"/>
  <c r="R82" i="16"/>
  <c r="R32" i="16"/>
  <c r="R96" i="16"/>
  <c r="R240" i="16"/>
  <c r="R224" i="16"/>
  <c r="R143" i="16"/>
  <c r="R103" i="16"/>
  <c r="R270" i="16"/>
  <c r="R161" i="16"/>
  <c r="R172" i="16"/>
  <c r="R118" i="16"/>
  <c r="R74" i="16"/>
  <c r="R36" i="16"/>
  <c r="R108" i="16"/>
  <c r="R154" i="16"/>
  <c r="R135" i="16"/>
  <c r="R262" i="16"/>
  <c r="R157" i="16"/>
  <c r="R168" i="16"/>
  <c r="R94" i="16"/>
  <c r="R66" i="16"/>
  <c r="R40" i="16"/>
  <c r="R112" i="16"/>
  <c r="R64" i="16"/>
  <c r="R15" i="16"/>
  <c r="R25" i="16"/>
  <c r="R163" i="16"/>
  <c r="R301" i="16"/>
  <c r="R101" i="16"/>
  <c r="R131" i="16"/>
  <c r="R44" i="16"/>
  <c r="R116" i="16"/>
  <c r="R120" i="16"/>
  <c r="R132" i="16"/>
  <c r="R244" i="16"/>
  <c r="R136" i="16"/>
  <c r="R41" i="16"/>
  <c r="R179" i="16"/>
  <c r="R269" i="16"/>
  <c r="R85" i="16"/>
  <c r="R150" i="16"/>
  <c r="R183" i="16"/>
  <c r="R289" i="16"/>
  <c r="R253" i="16"/>
  <c r="R77" i="16"/>
  <c r="R115" i="16"/>
  <c r="R68" i="16"/>
  <c r="R124" i="16"/>
  <c r="R362" i="16"/>
  <c r="R237" i="16"/>
  <c r="R69" i="16"/>
  <c r="R107" i="16"/>
  <c r="R72" i="16"/>
  <c r="R128" i="16"/>
  <c r="R251" i="16"/>
  <c r="R232" i="16"/>
  <c r="R76" i="16"/>
  <c r="R191" i="16"/>
  <c r="R297" i="16"/>
  <c r="R18" i="16"/>
  <c r="R365" i="16"/>
  <c r="R366" i="16"/>
  <c r="AL13" i="16"/>
  <c r="AM12" i="16"/>
  <c r="AN12" i="16" s="1"/>
  <c r="P364" i="16"/>
  <c r="P318" i="16"/>
  <c r="P192" i="16"/>
  <c r="P208" i="16"/>
  <c r="P340" i="16"/>
  <c r="P270" i="16"/>
  <c r="P265" i="16"/>
  <c r="P284" i="16"/>
  <c r="P228" i="16"/>
  <c r="P315" i="16"/>
  <c r="P83" i="16"/>
  <c r="P198" i="16"/>
  <c r="P333" i="16"/>
  <c r="P261" i="16"/>
  <c r="P231" i="16"/>
  <c r="P95" i="16"/>
  <c r="P346" i="16"/>
  <c r="P343" i="16"/>
  <c r="P327" i="16"/>
  <c r="P336" i="16"/>
  <c r="P262" i="16"/>
  <c r="P233" i="16"/>
  <c r="P280" i="16"/>
  <c r="P220" i="16"/>
  <c r="P305" i="16"/>
  <c r="P242" i="16"/>
  <c r="P194" i="16"/>
  <c r="P329" i="16"/>
  <c r="P253" i="16"/>
  <c r="P163" i="16"/>
  <c r="P275" i="16"/>
  <c r="P227" i="16"/>
  <c r="P130" i="16"/>
  <c r="P91" i="16"/>
  <c r="P185" i="16"/>
  <c r="P132" i="16"/>
  <c r="P183" i="16"/>
  <c r="P87" i="16"/>
  <c r="P76" i="16"/>
  <c r="P153" i="16"/>
  <c r="P105" i="16"/>
  <c r="P40" i="16"/>
  <c r="P287" i="16"/>
  <c r="P69" i="16"/>
  <c r="P290" i="16"/>
  <c r="P278" i="16"/>
  <c r="P323" i="16"/>
  <c r="P283" i="16"/>
  <c r="P74" i="16"/>
  <c r="P107" i="16"/>
  <c r="P306" i="16"/>
  <c r="P322" i="16"/>
  <c r="P142" i="16"/>
  <c r="P332" i="16"/>
  <c r="P254" i="16"/>
  <c r="P174" i="16"/>
  <c r="P276" i="16"/>
  <c r="P212" i="16"/>
  <c r="P289" i="16"/>
  <c r="P238" i="16"/>
  <c r="P190" i="16"/>
  <c r="P325" i="16"/>
  <c r="P245" i="16"/>
  <c r="P131" i="16"/>
  <c r="P271" i="16"/>
  <c r="P223" i="16"/>
  <c r="P122" i="16"/>
  <c r="P75" i="16"/>
  <c r="P178" i="16"/>
  <c r="P128" i="16"/>
  <c r="P175" i="16"/>
  <c r="P79" i="16"/>
  <c r="P72" i="16"/>
  <c r="P149" i="16"/>
  <c r="P101" i="16"/>
  <c r="P63" i="16"/>
  <c r="P307" i="16"/>
  <c r="P86" i="16"/>
  <c r="P164" i="16"/>
  <c r="P151" i="16"/>
  <c r="P137" i="16"/>
  <c r="P46" i="16"/>
  <c r="P309" i="16"/>
  <c r="P191" i="16"/>
  <c r="P112" i="16"/>
  <c r="P133" i="16"/>
  <c r="P319" i="16"/>
  <c r="P239" i="16"/>
  <c r="P165" i="16"/>
  <c r="P202" i="16"/>
  <c r="P193" i="16"/>
  <c r="P113" i="16"/>
  <c r="P66" i="16"/>
  <c r="P354" i="16"/>
  <c r="P298" i="16"/>
  <c r="P281" i="16"/>
  <c r="P328" i="16"/>
  <c r="P246" i="16"/>
  <c r="P110" i="16"/>
  <c r="P272" i="16"/>
  <c r="P204" i="16"/>
  <c r="P273" i="16"/>
  <c r="P234" i="16"/>
  <c r="P186" i="16"/>
  <c r="P321" i="16"/>
  <c r="P237" i="16"/>
  <c r="P99" i="16"/>
  <c r="P267" i="16"/>
  <c r="P215" i="16"/>
  <c r="P114" i="16"/>
  <c r="P17" i="16"/>
  <c r="P172" i="16"/>
  <c r="P124" i="16"/>
  <c r="P167" i="16"/>
  <c r="P71" i="16"/>
  <c r="P68" i="16"/>
  <c r="P145" i="16"/>
  <c r="P97" i="16"/>
  <c r="P47" i="16"/>
  <c r="P259" i="16"/>
  <c r="P116" i="16"/>
  <c r="P89" i="16"/>
  <c r="P203" i="16"/>
  <c r="P160" i="16"/>
  <c r="P143" i="16"/>
  <c r="P85" i="16"/>
  <c r="P244" i="16"/>
  <c r="P144" i="16"/>
  <c r="P358" i="16"/>
  <c r="P297" i="16"/>
  <c r="P147" i="16"/>
  <c r="P235" i="16"/>
  <c r="P84" i="16"/>
  <c r="P136" i="16"/>
  <c r="P157" i="16"/>
  <c r="P334" i="16"/>
  <c r="P250" i="16"/>
  <c r="P179" i="16"/>
  <c r="P324" i="16"/>
  <c r="P232" i="16"/>
  <c r="P115" i="16"/>
  <c r="P268" i="16"/>
  <c r="P196" i="16"/>
  <c r="P257" i="16"/>
  <c r="P230" i="16"/>
  <c r="P180" i="16"/>
  <c r="P317" i="16"/>
  <c r="P229" i="16"/>
  <c r="P67" i="16"/>
  <c r="P263" i="16"/>
  <c r="P207" i="16"/>
  <c r="P102" i="16"/>
  <c r="P221" i="16"/>
  <c r="P168" i="16"/>
  <c r="P120" i="16"/>
  <c r="P159" i="16"/>
  <c r="P13" i="16"/>
  <c r="P16" i="16"/>
  <c r="P141" i="16"/>
  <c r="P93" i="16"/>
  <c r="P62" i="16"/>
  <c r="P219" i="16"/>
  <c r="P12" i="16"/>
  <c r="P255" i="16"/>
  <c r="P279" i="16"/>
  <c r="P282" i="16"/>
  <c r="P311" i="16"/>
  <c r="K32" i="8"/>
  <c r="P320" i="16"/>
  <c r="P216" i="16"/>
  <c r="P312" i="16"/>
  <c r="P264" i="16"/>
  <c r="P188" i="16"/>
  <c r="P241" i="16"/>
  <c r="P226" i="16"/>
  <c r="P361" i="16"/>
  <c r="P313" i="16"/>
  <c r="P199" i="16"/>
  <c r="P217" i="16"/>
  <c r="P108" i="16"/>
  <c r="P213" i="16"/>
  <c r="P181" i="16"/>
  <c r="P206" i="16"/>
  <c r="P88" i="16"/>
  <c r="P258" i="16"/>
  <c r="P269" i="16"/>
  <c r="P123" i="16"/>
  <c r="P161" i="16"/>
  <c r="P94" i="16"/>
  <c r="P80" i="16"/>
  <c r="P342" i="16"/>
  <c r="P274" i="16"/>
  <c r="P362" i="16"/>
  <c r="P316" i="16"/>
  <c r="P200" i="16"/>
  <c r="P308" i="16"/>
  <c r="P260" i="16"/>
  <c r="P176" i="16"/>
  <c r="P225" i="16"/>
  <c r="P222" i="16"/>
  <c r="P357" i="16"/>
  <c r="P303" i="16"/>
  <c r="P70" i="16"/>
  <c r="P104" i="16"/>
  <c r="P57" i="16"/>
  <c r="P78" i="16"/>
  <c r="P139" i="16"/>
  <c r="P117" i="16"/>
  <c r="P11" i="16"/>
  <c r="P236" i="16"/>
  <c r="P118" i="16"/>
  <c r="P140" i="16"/>
  <c r="P189" i="16"/>
  <c r="P109" i="16"/>
  <c r="P363" i="16"/>
  <c r="P326" i="16"/>
  <c r="P224" i="16"/>
  <c r="P360" i="16"/>
  <c r="P310" i="16"/>
  <c r="P184" i="16"/>
  <c r="P304" i="16"/>
  <c r="P256" i="16"/>
  <c r="P355" i="16"/>
  <c r="P195" i="16"/>
  <c r="P218" i="16"/>
  <c r="P353" i="16"/>
  <c r="P301" i="16"/>
  <c r="P187" i="16"/>
  <c r="P299" i="16"/>
  <c r="P251" i="16"/>
  <c r="P182" i="16"/>
  <c r="P14" i="16"/>
  <c r="P209" i="16"/>
  <c r="P156" i="16"/>
  <c r="P106" i="16"/>
  <c r="P135" i="16"/>
  <c r="P100" i="16"/>
  <c r="P177" i="16"/>
  <c r="P129" i="16"/>
  <c r="P81" i="16"/>
  <c r="P41" i="16"/>
  <c r="P285" i="16"/>
  <c r="P155" i="16"/>
  <c r="P90" i="16"/>
  <c r="P92" i="16"/>
  <c r="P73" i="16"/>
  <c r="P240" i="16"/>
  <c r="P286" i="16"/>
  <c r="P331" i="16"/>
  <c r="P341" i="16"/>
  <c r="P134" i="16"/>
  <c r="P82" i="16"/>
  <c r="P350" i="16"/>
  <c r="P266" i="16"/>
  <c r="P249" i="16"/>
  <c r="P356" i="16"/>
  <c r="P302" i="16"/>
  <c r="P351" i="16"/>
  <c r="P300" i="16"/>
  <c r="P252" i="16"/>
  <c r="P347" i="16"/>
  <c r="P158" i="16"/>
  <c r="P214" i="16"/>
  <c r="P349" i="16"/>
  <c r="P293" i="16"/>
  <c r="P166" i="16"/>
  <c r="P295" i="16"/>
  <c r="P247" i="16"/>
  <c r="P170" i="16"/>
  <c r="P171" i="16"/>
  <c r="P205" i="16"/>
  <c r="P152" i="16"/>
  <c r="P98" i="16"/>
  <c r="P127" i="16"/>
  <c r="P96" i="16"/>
  <c r="P173" i="16"/>
  <c r="P125" i="16"/>
  <c r="P77" i="16"/>
  <c r="P210" i="16"/>
  <c r="P169" i="16"/>
  <c r="P348" i="16"/>
  <c r="P197" i="16"/>
  <c r="P344" i="16"/>
  <c r="P288" i="16"/>
  <c r="P337" i="16"/>
  <c r="P146" i="16"/>
  <c r="P103" i="16"/>
  <c r="P15" i="16"/>
  <c r="P138" i="16"/>
  <c r="P56" i="16"/>
  <c r="P338" i="16"/>
  <c r="P314" i="16"/>
  <c r="P359" i="16"/>
  <c r="P352" i="16"/>
  <c r="P294" i="16"/>
  <c r="P335" i="16"/>
  <c r="P296" i="16"/>
  <c r="P248" i="16"/>
  <c r="P339" i="16"/>
  <c r="P126" i="16"/>
  <c r="P345" i="16"/>
  <c r="P150" i="16"/>
  <c r="P291" i="16"/>
  <c r="P243" i="16"/>
  <c r="P162" i="16"/>
  <c r="P201" i="16"/>
  <c r="P148" i="16"/>
  <c r="P119" i="16"/>
  <c r="P121" i="16"/>
  <c r="P211" i="16"/>
  <c r="P292" i="16"/>
  <c r="P277" i="16"/>
  <c r="P154" i="16"/>
  <c r="P111" i="16"/>
  <c r="P330" i="16"/>
  <c r="P30" i="16"/>
  <c r="P54" i="16"/>
  <c r="P50" i="16"/>
  <c r="P19" i="16"/>
  <c r="P39" i="16"/>
  <c r="P35" i="16"/>
  <c r="R8" i="16"/>
  <c r="B36" i="8" s="1"/>
  <c r="P36" i="16"/>
  <c r="P55" i="16"/>
  <c r="P51" i="16"/>
  <c r="P23" i="16"/>
  <c r="P52" i="16"/>
  <c r="P32" i="16"/>
  <c r="P28" i="16"/>
  <c r="P21" i="16"/>
  <c r="P20" i="16"/>
  <c r="P27" i="16"/>
  <c r="P48" i="16"/>
  <c r="P44" i="16"/>
  <c r="P18" i="16"/>
  <c r="P37" i="16"/>
  <c r="P64" i="16"/>
  <c r="P60" i="16"/>
  <c r="P25" i="16"/>
  <c r="P42" i="16"/>
  <c r="P43" i="16"/>
  <c r="P53" i="16"/>
  <c r="P59" i="16"/>
  <c r="P33" i="16"/>
  <c r="P58" i="16"/>
  <c r="P29" i="16"/>
  <c r="P49" i="16"/>
  <c r="P45" i="16"/>
  <c r="P22" i="16"/>
  <c r="P24" i="16"/>
  <c r="P38" i="16"/>
  <c r="P34" i="16"/>
  <c r="P61" i="16"/>
  <c r="P31" i="16"/>
  <c r="P26" i="16"/>
  <c r="P65" i="16"/>
  <c r="P365" i="16"/>
  <c r="P366" i="16"/>
  <c r="O12" i="16"/>
  <c r="O35" i="16"/>
  <c r="O32" i="16"/>
  <c r="Q36" i="16"/>
  <c r="Q30" i="16"/>
  <c r="O37" i="16"/>
  <c r="O28" i="16"/>
  <c r="O18" i="16"/>
  <c r="Q29" i="16"/>
  <c r="Q31" i="16"/>
  <c r="Q34" i="16"/>
  <c r="E91" i="8"/>
  <c r="Y91" i="8" s="1"/>
  <c r="AU11" i="16"/>
  <c r="U91" i="8" s="1"/>
  <c r="Q37" i="16"/>
  <c r="Q33" i="16"/>
  <c r="O21" i="16"/>
  <c r="Q28" i="16"/>
  <c r="R368" i="16"/>
  <c r="O22" i="16"/>
  <c r="Q27" i="16"/>
  <c r="M48" i="8"/>
  <c r="M49" i="8"/>
  <c r="M47" i="8"/>
  <c r="P368" i="16"/>
  <c r="O16" i="16"/>
  <c r="O27" i="16"/>
  <c r="Q35" i="16"/>
  <c r="Q25" i="16"/>
  <c r="O20" i="16"/>
  <c r="Q32" i="16"/>
  <c r="O25" i="16"/>
  <c r="O30" i="16"/>
  <c r="O31" i="16"/>
  <c r="O19" i="16"/>
  <c r="R367" i="16"/>
  <c r="U92" i="8" l="1"/>
  <c r="O119" i="8"/>
  <c r="O118" i="8"/>
  <c r="O117" i="8"/>
  <c r="O120" i="8"/>
  <c r="B93" i="8"/>
  <c r="AS14" i="16"/>
  <c r="AT13" i="16"/>
  <c r="AU13" i="16" s="1"/>
  <c r="U93" i="8" s="1"/>
  <c r="O48" i="8"/>
  <c r="O47" i="8"/>
  <c r="O49" i="8"/>
  <c r="E92" i="8"/>
  <c r="Y92" i="8" s="1"/>
  <c r="K49" i="8"/>
  <c r="K48" i="8"/>
  <c r="K47" i="8"/>
  <c r="AL14" i="16"/>
  <c r="AM13" i="16"/>
  <c r="AN13" i="16" s="1"/>
  <c r="Q120" i="8" l="1"/>
  <c r="Q119" i="8"/>
  <c r="Q117" i="8"/>
  <c r="Q118" i="8"/>
  <c r="E93" i="8"/>
  <c r="Y93" i="8" s="1"/>
  <c r="AL15" i="16"/>
  <c r="AM14" i="16"/>
  <c r="AN14" i="16" s="1"/>
  <c r="M119" i="8"/>
  <c r="M120" i="8"/>
  <c r="M117" i="8"/>
  <c r="M118" i="8"/>
  <c r="AS15" i="16"/>
  <c r="AT14" i="16"/>
  <c r="AU14" i="16" s="1"/>
  <c r="B94" i="8"/>
  <c r="E94" i="8" l="1"/>
  <c r="Y94" i="8" s="1"/>
  <c r="AM15" i="16"/>
  <c r="AN15" i="16" s="1"/>
  <c r="AL16" i="16"/>
  <c r="B95" i="8"/>
  <c r="AT15" i="16"/>
  <c r="AU15" i="16" s="1"/>
  <c r="U95" i="8" s="1"/>
  <c r="AS16" i="16"/>
  <c r="U94" i="8"/>
  <c r="E95" i="8" l="1"/>
  <c r="Y95" i="8" s="1"/>
  <c r="B96" i="8"/>
  <c r="E96" i="8" s="1"/>
  <c r="Y96" i="8" s="1"/>
  <c r="AT16" i="16"/>
  <c r="AU16" i="16" s="1"/>
  <c r="U96" i="8" s="1"/>
  <c r="AS17" i="16"/>
  <c r="AL17" i="16"/>
  <c r="AM16" i="16"/>
  <c r="AN16" i="16" s="1"/>
  <c r="AL18" i="16" l="1"/>
  <c r="AM17" i="16"/>
  <c r="AN17" i="16" s="1"/>
  <c r="B97" i="8"/>
  <c r="AT17" i="16"/>
  <c r="AU17" i="16" s="1"/>
  <c r="AS18" i="16"/>
  <c r="B98" i="8" l="1"/>
  <c r="AT18" i="16"/>
  <c r="AU18" i="16" s="1"/>
  <c r="AS19" i="16"/>
  <c r="U97" i="8"/>
  <c r="E97" i="8"/>
  <c r="Y97" i="8" s="1"/>
  <c r="AL19" i="16"/>
  <c r="AM18" i="16"/>
  <c r="AN18" i="16" s="1"/>
  <c r="AL20" i="16" l="1"/>
  <c r="AM19" i="16"/>
  <c r="AN19" i="16" s="1"/>
  <c r="B99" i="8"/>
  <c r="AT19" i="16"/>
  <c r="AU19" i="16" s="1"/>
  <c r="AS20" i="16"/>
  <c r="U98" i="8"/>
  <c r="E98" i="8"/>
  <c r="Y98" i="8" s="1"/>
  <c r="B100" i="8" l="1"/>
  <c r="AT20" i="16"/>
  <c r="AU20" i="16" s="1"/>
  <c r="AS21" i="16"/>
  <c r="U99" i="8"/>
  <c r="E99" i="8"/>
  <c r="Y99" i="8" s="1"/>
  <c r="AM20" i="16"/>
  <c r="AN20" i="16" s="1"/>
  <c r="AL21" i="16"/>
  <c r="B101" i="8" l="1"/>
  <c r="AS22" i="16"/>
  <c r="AT21" i="16"/>
  <c r="AU21" i="16" s="1"/>
  <c r="AL22" i="16"/>
  <c r="AM21" i="16"/>
  <c r="AN21" i="16" s="1"/>
  <c r="U100" i="8"/>
  <c r="E100" i="8"/>
  <c r="Y100" i="8" s="1"/>
  <c r="AM22" i="16" l="1"/>
  <c r="AN22" i="16" s="1"/>
  <c r="AL23" i="16"/>
  <c r="B102" i="8"/>
  <c r="AT22" i="16"/>
  <c r="AU22" i="16" s="1"/>
  <c r="AS23" i="16"/>
  <c r="U101" i="8"/>
  <c r="E101" i="8"/>
  <c r="Y101" i="8" s="1"/>
  <c r="W108" i="8"/>
  <c r="B103" i="8" l="1"/>
  <c r="AT23" i="16"/>
  <c r="AU23" i="16" s="1"/>
  <c r="AS24" i="16"/>
  <c r="E102" i="8"/>
  <c r="Y102" i="8" s="1"/>
  <c r="U102" i="8"/>
  <c r="AL24" i="16"/>
  <c r="AM23" i="16"/>
  <c r="AN23" i="16" s="1"/>
  <c r="AM24" i="16" l="1"/>
  <c r="AN24" i="16" s="1"/>
  <c r="AL25" i="16"/>
  <c r="B104" i="8"/>
  <c r="AT24" i="16"/>
  <c r="AU24" i="16" s="1"/>
  <c r="AS25" i="16"/>
  <c r="E103" i="8"/>
  <c r="Y103" i="8" s="1"/>
  <c r="U103" i="8"/>
  <c r="B105" i="8" l="1"/>
  <c r="AT25" i="16"/>
  <c r="AU25" i="16" s="1"/>
  <c r="AS26" i="16"/>
  <c r="E104" i="8"/>
  <c r="Y104" i="8" s="1"/>
  <c r="U104" i="8"/>
  <c r="AL26" i="16"/>
  <c r="AM25" i="16"/>
  <c r="AN25" i="16" s="1"/>
  <c r="AM26" i="16" l="1"/>
  <c r="AN26" i="16" s="1"/>
  <c r="AL27" i="16"/>
  <c r="B106" i="8"/>
  <c r="AS27" i="16"/>
  <c r="AT26" i="16"/>
  <c r="AU26" i="16" s="1"/>
  <c r="E105" i="8"/>
  <c r="Y105" i="8" s="1"/>
  <c r="U105" i="8"/>
  <c r="AS28" i="16" l="1"/>
  <c r="AT27" i="16"/>
  <c r="AU27" i="16" s="1"/>
  <c r="U106" i="8"/>
  <c r="E106" i="8"/>
  <c r="Y106" i="8" s="1"/>
  <c r="AL28" i="16"/>
  <c r="AM27" i="16"/>
  <c r="AN27" i="16" s="1"/>
  <c r="AL29" i="16" l="1"/>
  <c r="AM28" i="16"/>
  <c r="AN28" i="16" s="1"/>
  <c r="AT28" i="16"/>
  <c r="AU28" i="16" s="1"/>
  <c r="AS29" i="16"/>
  <c r="AS30" i="16" l="1"/>
  <c r="AT29" i="16"/>
  <c r="AU29" i="16" s="1"/>
  <c r="AM29" i="16"/>
  <c r="AN29" i="16" s="1"/>
  <c r="AL30" i="16"/>
  <c r="AM30" i="16" l="1"/>
  <c r="AN30" i="16" s="1"/>
  <c r="AL31" i="16"/>
  <c r="AT30" i="16"/>
  <c r="AU30" i="16" s="1"/>
  <c r="AS31" i="16"/>
  <c r="AT31" i="16" l="1"/>
  <c r="AU31" i="16" s="1"/>
  <c r="AS32" i="16"/>
  <c r="AL32" i="16"/>
  <c r="AM31" i="16"/>
  <c r="AN31" i="16" s="1"/>
  <c r="AM32" i="16" l="1"/>
  <c r="AN32" i="16" s="1"/>
  <c r="AL33" i="16"/>
  <c r="AS33" i="16"/>
  <c r="AT32" i="16"/>
  <c r="AU32" i="16" s="1"/>
  <c r="AT33" i="16" l="1"/>
  <c r="AU33" i="16" s="1"/>
  <c r="AS34" i="16"/>
  <c r="AL34" i="16"/>
  <c r="AM33" i="16"/>
  <c r="AN33" i="16" s="1"/>
  <c r="AL35" i="16" l="1"/>
  <c r="AM34" i="16"/>
  <c r="AN34" i="16" s="1"/>
  <c r="AS35" i="16"/>
  <c r="AT34" i="16"/>
  <c r="AU34" i="16" s="1"/>
  <c r="AS36" i="16" l="1"/>
  <c r="AT35" i="16"/>
  <c r="AU35" i="16" s="1"/>
  <c r="AL36" i="16"/>
  <c r="AM35" i="16"/>
  <c r="AN35" i="16" s="1"/>
  <c r="AL37" i="16" l="1"/>
  <c r="AM36" i="16"/>
  <c r="AN36" i="16" s="1"/>
  <c r="AT36" i="16"/>
  <c r="AU36" i="16" s="1"/>
  <c r="AS37" i="16"/>
  <c r="AS38" i="16" l="1"/>
  <c r="AT37" i="16"/>
  <c r="AU37" i="16" s="1"/>
  <c r="AM37" i="16"/>
  <c r="AN37" i="16" s="1"/>
  <c r="AL38" i="16"/>
  <c r="AL39" i="16" l="1"/>
  <c r="AM38" i="16"/>
  <c r="AN38" i="16" s="1"/>
  <c r="AT38" i="16"/>
  <c r="AU38" i="16" s="1"/>
  <c r="AS39" i="16"/>
  <c r="AS40" i="16" l="1"/>
  <c r="AT39" i="16"/>
  <c r="AU39" i="16" s="1"/>
  <c r="AL40" i="16"/>
  <c r="AM39" i="16"/>
  <c r="AN39" i="16" s="1"/>
  <c r="AM40" i="16" l="1"/>
  <c r="AN40" i="16" s="1"/>
  <c r="AL41" i="16"/>
  <c r="AS41" i="16"/>
  <c r="AT40" i="16"/>
  <c r="AU40" i="16" s="1"/>
  <c r="AT41" i="16" l="1"/>
  <c r="AU41" i="16" s="1"/>
  <c r="AS42" i="16"/>
  <c r="AM41" i="16"/>
  <c r="AN41" i="16" s="1"/>
  <c r="AL42" i="16"/>
  <c r="AL43" i="16" l="1"/>
  <c r="AM42" i="16"/>
  <c r="AN42" i="16" s="1"/>
  <c r="AT42" i="16"/>
  <c r="AU42" i="16" s="1"/>
  <c r="AS43" i="16"/>
  <c r="AT43" i="16" l="1"/>
  <c r="AU43" i="16" s="1"/>
  <c r="AS44" i="16"/>
  <c r="AL44" i="16"/>
  <c r="AM43" i="16"/>
  <c r="AN43" i="16" s="1"/>
  <c r="AL45" i="16" l="1"/>
  <c r="AM44" i="16"/>
  <c r="AN44" i="16" s="1"/>
  <c r="AT44" i="16"/>
  <c r="AU44" i="16" s="1"/>
  <c r="AS45" i="16"/>
  <c r="AS46" i="16" l="1"/>
  <c r="AT45" i="16"/>
  <c r="AU45" i="16" s="1"/>
  <c r="AL46" i="16"/>
  <c r="AM45" i="16"/>
  <c r="AN45" i="16" s="1"/>
  <c r="AL47" i="16" l="1"/>
  <c r="AM46" i="16"/>
  <c r="AN46" i="16" s="1"/>
  <c r="AT46" i="16"/>
  <c r="AU46" i="16" s="1"/>
  <c r="AS47" i="16"/>
  <c r="AS48" i="16" l="1"/>
  <c r="AT47" i="16"/>
  <c r="AU47" i="16" s="1"/>
  <c r="AL48" i="16"/>
  <c r="AM47" i="16"/>
  <c r="AN47" i="16" s="1"/>
  <c r="AM48" i="16" l="1"/>
  <c r="AN48" i="16" s="1"/>
  <c r="AL49" i="16"/>
  <c r="AT48" i="16"/>
  <c r="AU48" i="16" s="1"/>
  <c r="AS49" i="16"/>
  <c r="AT49" i="16" l="1"/>
  <c r="AU49" i="16" s="1"/>
  <c r="AS50" i="16"/>
  <c r="AM49" i="16"/>
  <c r="AN49" i="16" s="1"/>
  <c r="AL50" i="16"/>
  <c r="AM50" i="16" l="1"/>
  <c r="AN50" i="16" s="1"/>
  <c r="AL51" i="16"/>
  <c r="AT50" i="16"/>
  <c r="AU50" i="16" s="1"/>
  <c r="AS51" i="16"/>
  <c r="AS52" i="16" l="1"/>
  <c r="AT51" i="16"/>
  <c r="AU51" i="16" s="1"/>
  <c r="AL52" i="16"/>
  <c r="AM51" i="16"/>
  <c r="AN51" i="16" s="1"/>
  <c r="AL53" i="16" l="1"/>
  <c r="AM52" i="16"/>
  <c r="AN52" i="16" s="1"/>
  <c r="AS53" i="16"/>
  <c r="AT52" i="16"/>
  <c r="AU52" i="16" s="1"/>
  <c r="AT53" i="16" l="1"/>
  <c r="AU53" i="16" s="1"/>
  <c r="AS54" i="16"/>
  <c r="AM53" i="16"/>
  <c r="AN53" i="16" s="1"/>
  <c r="AL54" i="16"/>
  <c r="AM54" i="16" l="1"/>
  <c r="AN54" i="16" s="1"/>
  <c r="AL55" i="16"/>
  <c r="AS55" i="16"/>
  <c r="AT54" i="16"/>
  <c r="AU54" i="16" s="1"/>
  <c r="AT55" i="16" l="1"/>
  <c r="AU55" i="16" s="1"/>
  <c r="AS56" i="16"/>
  <c r="AL56" i="16"/>
  <c r="AM55" i="16"/>
  <c r="AN55" i="16" s="1"/>
  <c r="AM56" i="16" l="1"/>
  <c r="AN56" i="16" s="1"/>
  <c r="AL57" i="16"/>
  <c r="AS57" i="16"/>
  <c r="AT56" i="16"/>
  <c r="AU56" i="16" s="1"/>
  <c r="AT57" i="16" l="1"/>
  <c r="AU57" i="16" s="1"/>
  <c r="AS58" i="16"/>
  <c r="AM57" i="16"/>
  <c r="AN57" i="16" s="1"/>
  <c r="AL58" i="16"/>
  <c r="AL59" i="16" l="1"/>
  <c r="AM58" i="16"/>
  <c r="AN58" i="16" s="1"/>
  <c r="AT58" i="16"/>
  <c r="AU58" i="16" s="1"/>
  <c r="AS59" i="16"/>
  <c r="AT59" i="16" l="1"/>
  <c r="AU59" i="16" s="1"/>
  <c r="AS60" i="16"/>
  <c r="AM59" i="16"/>
  <c r="AN59" i="16" s="1"/>
  <c r="AL60" i="16"/>
  <c r="AL61" i="16" l="1"/>
  <c r="AM60" i="16"/>
  <c r="AN60" i="16" s="1"/>
  <c r="AS61" i="16"/>
  <c r="AT60" i="16"/>
  <c r="AU60" i="16" s="1"/>
  <c r="AS62" i="16" l="1"/>
  <c r="AT61" i="16"/>
  <c r="AU61" i="16" s="1"/>
  <c r="AM61" i="16"/>
  <c r="AN61" i="16" s="1"/>
  <c r="AL62" i="16"/>
  <c r="AM62" i="16" l="1"/>
  <c r="AN62" i="16" s="1"/>
  <c r="AL63" i="16"/>
  <c r="AT62" i="16"/>
  <c r="AU62" i="16" s="1"/>
  <c r="AS63" i="16"/>
  <c r="AT63" i="16" l="1"/>
  <c r="AU63" i="16" s="1"/>
  <c r="AS64" i="16"/>
  <c r="AL64" i="16"/>
  <c r="AM63" i="16"/>
  <c r="AN63" i="16" s="1"/>
  <c r="AM64" i="16" l="1"/>
  <c r="AN64" i="16" s="1"/>
  <c r="AL65" i="16"/>
  <c r="AT64" i="16"/>
  <c r="AU64" i="16" s="1"/>
  <c r="AS65" i="16"/>
  <c r="AT65" i="16" l="1"/>
  <c r="AU65" i="16" s="1"/>
  <c r="AS66" i="16"/>
  <c r="AL66" i="16"/>
  <c r="AM65" i="16"/>
  <c r="AN65" i="16" s="1"/>
  <c r="AL67" i="16" l="1"/>
  <c r="AM66" i="16"/>
  <c r="AN66" i="16" s="1"/>
  <c r="AS67" i="16"/>
  <c r="AT66" i="16"/>
  <c r="AU66" i="16" s="1"/>
  <c r="AT67" i="16" l="1"/>
  <c r="AU67" i="16" s="1"/>
  <c r="AS68" i="16"/>
  <c r="AM67" i="16"/>
  <c r="AN67" i="16" s="1"/>
  <c r="AL68" i="16"/>
  <c r="AM68" i="16" l="1"/>
  <c r="AN68" i="16" s="1"/>
  <c r="AL69" i="16"/>
  <c r="AT68" i="16"/>
  <c r="AU68" i="16" s="1"/>
  <c r="AS69" i="16"/>
  <c r="AS70" i="16" l="1"/>
  <c r="AT69" i="16"/>
  <c r="AU69" i="16" s="1"/>
  <c r="AL70" i="16"/>
  <c r="AM69" i="16"/>
  <c r="AN69" i="16" s="1"/>
  <c r="AM70" i="16" l="1"/>
  <c r="AN70" i="16" s="1"/>
  <c r="AL71" i="16"/>
  <c r="AT70" i="16"/>
  <c r="AU70" i="16" s="1"/>
  <c r="AS71" i="16"/>
  <c r="AS72" i="16" l="1"/>
  <c r="AT71" i="16"/>
  <c r="AU71" i="16" s="1"/>
  <c r="AL72" i="16"/>
  <c r="AM71" i="16"/>
  <c r="AN71" i="16" s="1"/>
  <c r="AM72" i="16" l="1"/>
  <c r="AN72" i="16" s="1"/>
  <c r="AL73" i="16"/>
  <c r="AS73" i="16"/>
  <c r="AT72" i="16"/>
  <c r="AU72" i="16" s="1"/>
  <c r="AS74" i="16" l="1"/>
  <c r="AT73" i="16"/>
  <c r="AU73" i="16" s="1"/>
  <c r="AM73" i="16"/>
  <c r="AN73" i="16" s="1"/>
  <c r="AL74" i="16"/>
  <c r="AL75" i="16" l="1"/>
  <c r="AM74" i="16"/>
  <c r="AN74" i="16" s="1"/>
  <c r="AT74" i="16"/>
  <c r="AU74" i="16" s="1"/>
  <c r="AS75" i="16"/>
  <c r="AT75" i="16" l="1"/>
  <c r="AU75" i="16" s="1"/>
  <c r="AS76" i="16"/>
  <c r="AM75" i="16"/>
  <c r="AN75" i="16" s="1"/>
  <c r="AL76" i="16"/>
  <c r="AM76" i="16" l="1"/>
  <c r="AN76" i="16" s="1"/>
  <c r="AL77" i="16"/>
  <c r="AT76" i="16"/>
  <c r="AU76" i="16" s="1"/>
  <c r="AS77" i="16"/>
  <c r="AS78" i="16" l="1"/>
  <c r="AT77" i="16"/>
  <c r="AU77" i="16" s="1"/>
  <c r="AM77" i="16"/>
  <c r="AN77" i="16" s="1"/>
  <c r="AL78" i="16"/>
  <c r="AM78" i="16" l="1"/>
  <c r="AN78" i="16" s="1"/>
  <c r="AL79" i="16"/>
  <c r="AS79" i="16"/>
  <c r="AT78" i="16"/>
  <c r="AU78" i="16" s="1"/>
  <c r="AS80" i="16" l="1"/>
  <c r="AT79" i="16"/>
  <c r="AU79" i="16" s="1"/>
  <c r="AM79" i="16"/>
  <c r="AN79" i="16" s="1"/>
  <c r="AL80" i="16"/>
  <c r="AL81" i="16" l="1"/>
  <c r="AM80" i="16"/>
  <c r="AN80" i="16" s="1"/>
  <c r="AT80" i="16"/>
  <c r="AU80" i="16" s="1"/>
  <c r="AS81" i="16"/>
  <c r="AT81" i="16" l="1"/>
  <c r="AU81" i="16" s="1"/>
  <c r="AS82" i="16"/>
  <c r="AL82" i="16"/>
  <c r="AM81" i="16"/>
  <c r="AN81" i="16" s="1"/>
  <c r="AM82" i="16" l="1"/>
  <c r="AN82" i="16" s="1"/>
  <c r="AL83" i="16"/>
  <c r="AT82" i="16"/>
  <c r="AU82" i="16" s="1"/>
  <c r="AS83" i="16"/>
  <c r="AT83" i="16" l="1"/>
  <c r="AU83" i="16" s="1"/>
  <c r="AS84" i="16"/>
  <c r="AM83" i="16"/>
  <c r="AN83" i="16" s="1"/>
  <c r="AL84" i="16"/>
  <c r="AL85" i="16" l="1"/>
  <c r="AM84" i="16"/>
  <c r="AN84" i="16" s="1"/>
  <c r="AT84" i="16"/>
  <c r="AU84" i="16" s="1"/>
  <c r="AS85" i="16"/>
  <c r="AS86" i="16" l="1"/>
  <c r="AT85" i="16"/>
  <c r="AU85" i="16" s="1"/>
  <c r="AM85" i="16"/>
  <c r="AN85" i="16" s="1"/>
  <c r="AL86" i="16"/>
  <c r="AL87" i="16" l="1"/>
  <c r="AM86" i="16"/>
  <c r="AN86" i="16" s="1"/>
  <c r="AS87" i="16"/>
  <c r="AT86" i="16"/>
  <c r="AU86" i="16" s="1"/>
  <c r="AS88" i="16" l="1"/>
  <c r="AT87" i="16"/>
  <c r="AU87" i="16" s="1"/>
  <c r="AM87" i="16"/>
  <c r="AN87" i="16" s="1"/>
  <c r="AL88" i="16"/>
  <c r="AM88" i="16" l="1"/>
  <c r="AN88" i="16" s="1"/>
  <c r="AL89" i="16"/>
  <c r="AS89" i="16"/>
  <c r="AT88" i="16"/>
  <c r="AU88" i="16" s="1"/>
  <c r="AS90" i="16" l="1"/>
  <c r="AT89" i="16"/>
  <c r="AU89" i="16" s="1"/>
  <c r="AM89" i="16"/>
  <c r="AN89" i="16" s="1"/>
  <c r="AL90" i="16"/>
  <c r="AM90" i="16" l="1"/>
  <c r="AN90" i="16" s="1"/>
  <c r="AL91" i="16"/>
  <c r="AS91" i="16"/>
  <c r="AT90" i="16"/>
  <c r="AU90" i="16" s="1"/>
  <c r="AS92" i="16" l="1"/>
  <c r="AT91" i="16"/>
  <c r="AU91" i="16" s="1"/>
  <c r="AM91" i="16"/>
  <c r="AN91" i="16" s="1"/>
  <c r="AL92" i="16"/>
  <c r="AM92" i="16" l="1"/>
  <c r="AN92" i="16" s="1"/>
  <c r="AL93" i="16"/>
  <c r="AT92" i="16"/>
  <c r="AU92" i="16" s="1"/>
  <c r="AS93" i="16"/>
  <c r="AS94" i="16" l="1"/>
  <c r="AT93" i="16"/>
  <c r="AU93" i="16" s="1"/>
  <c r="AM93" i="16"/>
  <c r="AN93" i="16" s="1"/>
  <c r="AL94" i="16"/>
  <c r="AM94" i="16" l="1"/>
  <c r="AN94" i="16" s="1"/>
  <c r="AL95" i="16"/>
  <c r="AS95" i="16"/>
  <c r="AT94" i="16"/>
  <c r="AU94" i="16" s="1"/>
  <c r="AS96" i="16" l="1"/>
  <c r="AT95" i="16"/>
  <c r="AU95" i="16" s="1"/>
  <c r="AM95" i="16"/>
  <c r="AN95" i="16" s="1"/>
  <c r="AL96" i="16"/>
  <c r="AL97" i="16" l="1"/>
  <c r="AM96" i="16"/>
  <c r="AN96" i="16" s="1"/>
  <c r="AT96" i="16"/>
  <c r="AU96" i="16" s="1"/>
  <c r="AS97" i="16"/>
  <c r="AS98" i="16" l="1"/>
  <c r="AT97" i="16"/>
  <c r="AU97" i="16" s="1"/>
  <c r="AL98" i="16"/>
  <c r="AM97" i="16"/>
  <c r="AN97" i="16" s="1"/>
  <c r="AL99" i="16" l="1"/>
  <c r="AM98" i="16"/>
  <c r="AN98" i="16" s="1"/>
  <c r="AS99" i="16"/>
  <c r="AT98" i="16"/>
  <c r="AU98" i="16" s="1"/>
  <c r="AS100" i="16" l="1"/>
  <c r="AT99" i="16"/>
  <c r="AU99" i="16" s="1"/>
  <c r="AM99" i="16"/>
  <c r="AN99" i="16" s="1"/>
  <c r="AL100" i="16"/>
  <c r="AL101" i="16" l="1"/>
  <c r="AM100" i="16"/>
  <c r="AN100" i="16" s="1"/>
  <c r="AS101" i="16"/>
  <c r="AT100" i="16"/>
  <c r="AU100" i="16" s="1"/>
  <c r="AS102" i="16" l="1"/>
  <c r="AT101" i="16"/>
  <c r="AU101" i="16" s="1"/>
  <c r="AL102" i="16"/>
  <c r="AM101" i="16"/>
  <c r="AN101" i="16" s="1"/>
  <c r="AM102" i="16" l="1"/>
  <c r="AN102" i="16" s="1"/>
  <c r="AL103" i="16"/>
  <c r="AS103" i="16"/>
  <c r="AT102" i="16"/>
  <c r="AU102" i="16" s="1"/>
  <c r="AT103" i="16" l="1"/>
  <c r="AU103" i="16" s="1"/>
  <c r="AS104" i="16"/>
  <c r="AM103" i="16"/>
  <c r="AN103" i="16" s="1"/>
  <c r="AL104" i="16"/>
  <c r="AL105" i="16" l="1"/>
  <c r="AM104" i="16"/>
  <c r="AN104" i="16" s="1"/>
  <c r="AS105" i="16"/>
  <c r="AT104" i="16"/>
  <c r="AU104" i="16" s="1"/>
  <c r="AS106" i="16" l="1"/>
  <c r="AT105" i="16"/>
  <c r="AU105" i="16" s="1"/>
  <c r="AL106" i="16"/>
  <c r="AM105" i="16"/>
  <c r="AN105" i="16" s="1"/>
  <c r="AM106" i="16" l="1"/>
  <c r="AN106" i="16" s="1"/>
  <c r="AL107" i="16"/>
  <c r="AT106" i="16"/>
  <c r="AU106" i="16" s="1"/>
  <c r="AS107" i="16"/>
  <c r="AT107" i="16" l="1"/>
  <c r="AU107" i="16" s="1"/>
  <c r="AS108" i="16"/>
  <c r="AM107" i="16"/>
  <c r="AN107" i="16" s="1"/>
  <c r="AL108" i="16"/>
  <c r="AM108" i="16" l="1"/>
  <c r="AN108" i="16" s="1"/>
  <c r="AL109" i="16"/>
  <c r="AS109" i="16"/>
  <c r="AT108" i="16"/>
  <c r="AU108" i="16" s="1"/>
  <c r="AT109" i="16" l="1"/>
  <c r="AU109" i="16" s="1"/>
  <c r="AS110" i="16"/>
  <c r="AM109" i="16"/>
  <c r="AN109" i="16" s="1"/>
  <c r="AL110" i="16"/>
  <c r="AM110" i="16" l="1"/>
  <c r="AN110" i="16" s="1"/>
  <c r="AL111" i="16"/>
  <c r="AS111" i="16"/>
  <c r="AT110" i="16"/>
  <c r="AU110" i="16" s="1"/>
  <c r="AT111" i="16" l="1"/>
  <c r="AU111" i="16" s="1"/>
  <c r="AS112" i="16"/>
  <c r="AL112" i="16"/>
  <c r="AM111" i="16"/>
  <c r="AN111" i="16" s="1"/>
  <c r="AL113" i="16" l="1"/>
  <c r="AM112" i="16"/>
  <c r="AN112" i="16" s="1"/>
  <c r="AS113" i="16"/>
  <c r="AT112" i="16"/>
  <c r="AU112" i="16" s="1"/>
  <c r="AS114" i="16" l="1"/>
  <c r="AT113" i="16"/>
  <c r="AU113" i="16" s="1"/>
  <c r="AM113" i="16"/>
  <c r="AN113" i="16" s="1"/>
  <c r="AL114" i="16"/>
  <c r="AM114" i="16" l="1"/>
  <c r="AN114" i="16" s="1"/>
  <c r="AL115" i="16"/>
  <c r="AS115" i="16"/>
  <c r="AT114" i="16"/>
  <c r="AU114" i="16" s="1"/>
  <c r="AS116" i="16" l="1"/>
  <c r="AT115" i="16"/>
  <c r="AU115" i="16" s="1"/>
  <c r="AL116" i="16"/>
  <c r="AM115" i="16"/>
  <c r="AN115" i="16" s="1"/>
  <c r="AL117" i="16" l="1"/>
  <c r="AM116" i="16"/>
  <c r="AN116" i="16" s="1"/>
  <c r="AS117" i="16"/>
  <c r="AT116" i="16"/>
  <c r="AU116" i="16" s="1"/>
  <c r="AS118" i="16" l="1"/>
  <c r="AT117" i="16"/>
  <c r="AU117" i="16" s="1"/>
  <c r="AL118" i="16"/>
  <c r="AM117" i="16"/>
  <c r="AN117" i="16" s="1"/>
  <c r="AM118" i="16" l="1"/>
  <c r="AN118" i="16" s="1"/>
  <c r="AL119" i="16"/>
  <c r="AT118" i="16"/>
  <c r="AU118" i="16" s="1"/>
  <c r="AS119" i="16"/>
  <c r="AS120" i="16" l="1"/>
  <c r="AT119" i="16"/>
  <c r="AU119" i="16" s="1"/>
  <c r="AL120" i="16"/>
  <c r="AM119" i="16"/>
  <c r="AN119" i="16" s="1"/>
  <c r="AM120" i="16" l="1"/>
  <c r="AN120" i="16" s="1"/>
  <c r="AL121" i="16"/>
  <c r="AS121" i="16"/>
  <c r="AT120" i="16"/>
  <c r="AU120" i="16" s="1"/>
  <c r="AT121" i="16" l="1"/>
  <c r="AU121" i="16" s="1"/>
  <c r="AS122" i="16"/>
  <c r="AL122" i="16"/>
  <c r="AM121" i="16"/>
  <c r="AN121" i="16" s="1"/>
  <c r="AM122" i="16" l="1"/>
  <c r="AN122" i="16" s="1"/>
  <c r="AL123" i="16"/>
  <c r="AS123" i="16"/>
  <c r="AT122" i="16"/>
  <c r="AU122" i="16" s="1"/>
  <c r="AT123" i="16" l="1"/>
  <c r="AU123" i="16" s="1"/>
  <c r="AS124" i="16"/>
  <c r="AM123" i="16"/>
  <c r="AN123" i="16" s="1"/>
  <c r="AL124" i="16"/>
  <c r="AL125" i="16" l="1"/>
  <c r="AM124" i="16"/>
  <c r="AN124" i="16" s="1"/>
  <c r="AT124" i="16"/>
  <c r="AU124" i="16" s="1"/>
  <c r="AS125" i="16"/>
  <c r="AS126" i="16" l="1"/>
  <c r="AT125" i="16"/>
  <c r="AU125" i="16" s="1"/>
  <c r="AL126" i="16"/>
  <c r="AM125" i="16"/>
  <c r="AN125" i="16" s="1"/>
  <c r="AL127" i="16" l="1"/>
  <c r="AM126" i="16"/>
  <c r="AN126" i="16" s="1"/>
  <c r="AS127" i="16"/>
  <c r="AT126" i="16"/>
  <c r="AU126" i="16" s="1"/>
  <c r="AS128" i="16" l="1"/>
  <c r="AT127" i="16"/>
  <c r="AU127" i="16" s="1"/>
  <c r="AM127" i="16"/>
  <c r="AN127" i="16" s="1"/>
  <c r="AL128" i="16"/>
  <c r="AL129" i="16" l="1"/>
  <c r="AM128" i="16"/>
  <c r="AN128" i="16" s="1"/>
  <c r="AS129" i="16"/>
  <c r="AT128" i="16"/>
  <c r="AU128" i="16" s="1"/>
  <c r="AS130" i="16" l="1"/>
  <c r="AT129" i="16"/>
  <c r="AU129" i="16" s="1"/>
  <c r="AL130" i="16"/>
  <c r="AM129" i="16"/>
  <c r="AN129" i="16" s="1"/>
  <c r="AM130" i="16" l="1"/>
  <c r="AN130" i="16" s="1"/>
  <c r="AL131" i="16"/>
  <c r="AS131" i="16"/>
  <c r="AT130" i="16"/>
  <c r="AU130" i="16" s="1"/>
  <c r="AS132" i="16" l="1"/>
  <c r="AT131" i="16"/>
  <c r="AU131" i="16" s="1"/>
  <c r="AL132" i="16"/>
  <c r="AM131" i="16"/>
  <c r="AN131" i="16" s="1"/>
  <c r="AM132" i="16" l="1"/>
  <c r="AN132" i="16" s="1"/>
  <c r="AL133" i="16"/>
  <c r="AT132" i="16"/>
  <c r="AU132" i="16" s="1"/>
  <c r="AS133" i="16"/>
  <c r="AT133" i="16" l="1"/>
  <c r="AU133" i="16" s="1"/>
  <c r="AS134" i="16"/>
  <c r="AM133" i="16"/>
  <c r="AN133" i="16" s="1"/>
  <c r="AL134" i="16"/>
  <c r="AL135" i="16" l="1"/>
  <c r="AM134" i="16"/>
  <c r="AN134" i="16" s="1"/>
  <c r="AT134" i="16"/>
  <c r="AU134" i="16" s="1"/>
  <c r="AS135" i="16"/>
  <c r="AT135" i="16" l="1"/>
  <c r="AU135" i="16" s="1"/>
  <c r="AS136" i="16"/>
  <c r="AL136" i="16"/>
  <c r="AM135" i="16"/>
  <c r="AN135" i="16" s="1"/>
  <c r="AM136" i="16" l="1"/>
  <c r="AN136" i="16" s="1"/>
  <c r="AL137" i="16"/>
  <c r="AT136" i="16"/>
  <c r="AU136" i="16" s="1"/>
  <c r="AS137" i="16"/>
  <c r="AT137" i="16" l="1"/>
  <c r="AU137" i="16" s="1"/>
  <c r="AS138" i="16"/>
  <c r="AL138" i="16"/>
  <c r="AM137" i="16"/>
  <c r="AN137" i="16" s="1"/>
  <c r="AM138" i="16" l="1"/>
  <c r="AN138" i="16" s="1"/>
  <c r="AL139" i="16"/>
  <c r="AT138" i="16"/>
  <c r="AU138" i="16" s="1"/>
  <c r="AS139" i="16"/>
  <c r="AT139" i="16" l="1"/>
  <c r="AU139" i="16" s="1"/>
  <c r="AS140" i="16"/>
  <c r="AL140" i="16"/>
  <c r="AM139" i="16"/>
  <c r="AN139" i="16" s="1"/>
  <c r="AL141" i="16" l="1"/>
  <c r="AM140" i="16"/>
  <c r="AN140" i="16" s="1"/>
  <c r="AS141" i="16"/>
  <c r="AT140" i="16"/>
  <c r="AU140" i="16" s="1"/>
  <c r="AS142" i="16" l="1"/>
  <c r="AT141" i="16"/>
  <c r="AU141" i="16" s="1"/>
  <c r="AL142" i="16"/>
  <c r="AM141" i="16"/>
  <c r="AN141" i="16" s="1"/>
  <c r="AM142" i="16" l="1"/>
  <c r="AN142" i="16" s="1"/>
  <c r="AL143" i="16"/>
  <c r="AT142" i="16"/>
  <c r="AU142" i="16" s="1"/>
  <c r="AS143" i="16"/>
  <c r="AS144" i="16" l="1"/>
  <c r="AT143" i="16"/>
  <c r="AU143" i="16" s="1"/>
  <c r="AL144" i="16"/>
  <c r="AM143" i="16"/>
  <c r="AN143" i="16" s="1"/>
  <c r="AL145" i="16" l="1"/>
  <c r="AM144" i="16"/>
  <c r="AN144" i="16" s="1"/>
  <c r="AT144" i="16"/>
  <c r="AU144" i="16" s="1"/>
  <c r="AS145" i="16"/>
  <c r="AS146" i="16" l="1"/>
  <c r="AT145" i="16"/>
  <c r="AU145" i="16" s="1"/>
  <c r="AL146" i="16"/>
  <c r="AM145" i="16"/>
  <c r="AN145" i="16" s="1"/>
  <c r="AM146" i="16" l="1"/>
  <c r="AN146" i="16" s="1"/>
  <c r="AL147" i="16"/>
  <c r="AT146" i="16"/>
  <c r="AU146" i="16" s="1"/>
  <c r="AS147" i="16"/>
  <c r="AS148" i="16" l="1"/>
  <c r="AT147" i="16"/>
  <c r="AU147" i="16" s="1"/>
  <c r="AL148" i="16"/>
  <c r="AM147" i="16"/>
  <c r="AN147" i="16" s="1"/>
  <c r="AL149" i="16" l="1"/>
  <c r="AM148" i="16"/>
  <c r="AN148" i="16" s="1"/>
  <c r="AT148" i="16"/>
  <c r="AU148" i="16" s="1"/>
  <c r="AS149" i="16"/>
  <c r="AS150" i="16" l="1"/>
  <c r="AT149" i="16"/>
  <c r="AU149" i="16" s="1"/>
  <c r="AM149" i="16"/>
  <c r="AN149" i="16" s="1"/>
  <c r="AL150" i="16"/>
  <c r="AM150" i="16" l="1"/>
  <c r="AN150" i="16" s="1"/>
  <c r="AL151" i="16"/>
  <c r="AT150" i="16"/>
  <c r="AU150" i="16" s="1"/>
  <c r="AS151" i="16"/>
  <c r="AT151" i="16" l="1"/>
  <c r="AU151" i="16" s="1"/>
  <c r="AS152" i="16"/>
  <c r="AM151" i="16"/>
  <c r="AN151" i="16" s="1"/>
  <c r="AL152" i="16"/>
  <c r="AL153" i="16" l="1"/>
  <c r="AM152" i="16"/>
  <c r="AN152" i="16" s="1"/>
  <c r="AT152" i="16"/>
  <c r="AU152" i="16" s="1"/>
  <c r="AS153" i="16"/>
  <c r="AS154" i="16" l="1"/>
  <c r="AT153" i="16"/>
  <c r="AU153" i="16" s="1"/>
  <c r="AL154" i="16"/>
  <c r="AM153" i="16"/>
  <c r="AN153" i="16" s="1"/>
  <c r="AL155" i="16" l="1"/>
  <c r="AM154" i="16"/>
  <c r="AN154" i="16" s="1"/>
  <c r="AT154" i="16"/>
  <c r="AU154" i="16" s="1"/>
  <c r="AS155" i="16"/>
  <c r="AT155" i="16" l="1"/>
  <c r="AU155" i="16" s="1"/>
  <c r="AS156" i="16"/>
  <c r="AL156" i="16"/>
  <c r="AM155" i="16"/>
  <c r="AN155" i="16" s="1"/>
  <c r="AL157" i="16" l="1"/>
  <c r="AM156" i="16"/>
  <c r="AN156" i="16" s="1"/>
  <c r="AS157" i="16"/>
  <c r="AT156" i="16"/>
  <c r="AU156" i="16" s="1"/>
  <c r="AT157" i="16" l="1"/>
  <c r="AU157" i="16" s="1"/>
  <c r="AS158" i="16"/>
  <c r="AM157" i="16"/>
  <c r="AN157" i="16" s="1"/>
  <c r="AL158" i="16"/>
  <c r="AL159" i="16" l="1"/>
  <c r="AM158" i="16"/>
  <c r="AN158" i="16" s="1"/>
  <c r="AS159" i="16"/>
  <c r="AT158" i="16"/>
  <c r="AU158" i="16" s="1"/>
  <c r="AS160" i="16" l="1"/>
  <c r="AT159" i="16"/>
  <c r="AU159" i="16" s="1"/>
  <c r="AL160" i="16"/>
  <c r="AM159" i="16"/>
  <c r="AN159" i="16" s="1"/>
  <c r="AL161" i="16" l="1"/>
  <c r="AM160" i="16"/>
  <c r="AN160" i="16" s="1"/>
  <c r="AS161" i="16"/>
  <c r="AT160" i="16"/>
  <c r="AU160" i="16" s="1"/>
  <c r="AT161" i="16" l="1"/>
  <c r="AU161" i="16" s="1"/>
  <c r="AS162" i="16"/>
  <c r="AL162" i="16"/>
  <c r="AM161" i="16"/>
  <c r="AN161" i="16" s="1"/>
  <c r="AM162" i="16" l="1"/>
  <c r="AN162" i="16" s="1"/>
  <c r="AL163" i="16"/>
  <c r="AT162" i="16"/>
  <c r="AU162" i="16" s="1"/>
  <c r="AS163" i="16"/>
  <c r="AT163" i="16" l="1"/>
  <c r="AU163" i="16" s="1"/>
  <c r="AS164" i="16"/>
  <c r="AM163" i="16"/>
  <c r="AN163" i="16" s="1"/>
  <c r="AL164" i="16"/>
  <c r="AM164" i="16" l="1"/>
  <c r="AN164" i="16" s="1"/>
  <c r="AL165" i="16"/>
  <c r="AT164" i="16"/>
  <c r="AU164" i="16" s="1"/>
  <c r="AS165" i="16"/>
  <c r="AS166" i="16" l="1"/>
  <c r="AT165" i="16"/>
  <c r="AU165" i="16" s="1"/>
  <c r="AL166" i="16"/>
  <c r="AM165" i="16"/>
  <c r="AN165" i="16" s="1"/>
  <c r="AM166" i="16" l="1"/>
  <c r="AN166" i="16" s="1"/>
  <c r="AL167" i="16"/>
  <c r="AT166" i="16"/>
  <c r="AU166" i="16" s="1"/>
  <c r="AS167" i="16"/>
  <c r="AS168" i="16" l="1"/>
  <c r="AT167" i="16"/>
  <c r="AU167" i="16" s="1"/>
  <c r="AM167" i="16"/>
  <c r="AN167" i="16" s="1"/>
  <c r="AL168" i="16"/>
  <c r="AM168" i="16" l="1"/>
  <c r="AN168" i="16" s="1"/>
  <c r="AL169" i="16"/>
  <c r="AT168" i="16"/>
  <c r="AU168" i="16" s="1"/>
  <c r="AS169" i="16"/>
  <c r="AS170" i="16" l="1"/>
  <c r="AT169" i="16"/>
  <c r="AU169" i="16" s="1"/>
  <c r="AM169" i="16"/>
  <c r="AN169" i="16" s="1"/>
  <c r="AL170" i="16"/>
  <c r="AM170" i="16" l="1"/>
  <c r="AN170" i="16" s="1"/>
  <c r="AL171" i="16"/>
  <c r="AT170" i="16"/>
  <c r="AU170" i="16" s="1"/>
  <c r="AS171" i="16"/>
  <c r="AT171" i="16" l="1"/>
  <c r="AU171" i="16" s="1"/>
  <c r="AS172" i="16"/>
  <c r="AL172" i="16"/>
  <c r="AM171" i="16"/>
  <c r="AN171" i="16" s="1"/>
  <c r="AM172" i="16" l="1"/>
  <c r="AN172" i="16" s="1"/>
  <c r="AL173" i="16"/>
  <c r="AS173" i="16"/>
  <c r="AT172" i="16"/>
  <c r="AU172" i="16" s="1"/>
  <c r="AT173" i="16" l="1"/>
  <c r="AU173" i="16" s="1"/>
  <c r="AS174" i="16"/>
  <c r="AM173" i="16"/>
  <c r="AN173" i="16" s="1"/>
  <c r="AL174" i="16"/>
  <c r="AM174" i="16" l="1"/>
  <c r="AN174" i="16" s="1"/>
  <c r="AL175" i="16"/>
  <c r="AT174" i="16"/>
  <c r="AU174" i="16" s="1"/>
  <c r="AS175" i="16"/>
  <c r="AS176" i="16" l="1"/>
  <c r="AT175" i="16"/>
  <c r="AU175" i="16" s="1"/>
  <c r="AL176" i="16"/>
  <c r="AM175" i="16"/>
  <c r="AN175" i="16" s="1"/>
  <c r="AL177" i="16" l="1"/>
  <c r="AM176" i="16"/>
  <c r="AN176" i="16" s="1"/>
  <c r="AS177" i="16"/>
  <c r="AT176" i="16"/>
  <c r="AU176" i="16" s="1"/>
  <c r="AT177" i="16" l="1"/>
  <c r="AU177" i="16" s="1"/>
  <c r="AS178" i="16"/>
  <c r="AM177" i="16"/>
  <c r="AN177" i="16" s="1"/>
  <c r="AL178" i="16"/>
  <c r="AM178" i="16" l="1"/>
  <c r="AN178" i="16" s="1"/>
  <c r="AL179" i="16"/>
  <c r="AT178" i="16"/>
  <c r="AU178" i="16" s="1"/>
  <c r="AS179" i="16"/>
  <c r="AS180" i="16" l="1"/>
  <c r="AT179" i="16"/>
  <c r="AU179" i="16" s="1"/>
  <c r="AM179" i="16"/>
  <c r="AN179" i="16" s="1"/>
  <c r="AL180" i="16"/>
  <c r="AM180" i="16" l="1"/>
  <c r="AN180" i="16" s="1"/>
  <c r="AL181" i="16"/>
  <c r="AS181" i="16"/>
  <c r="AT180" i="16"/>
  <c r="AU180" i="16" s="1"/>
  <c r="AT181" i="16" l="1"/>
  <c r="AU181" i="16" s="1"/>
  <c r="AS182" i="16"/>
  <c r="AL182" i="16"/>
  <c r="AM181" i="16"/>
  <c r="AN181" i="16" s="1"/>
  <c r="AM182" i="16" l="1"/>
  <c r="AN182" i="16" s="1"/>
  <c r="AL183" i="16"/>
  <c r="AT182" i="16"/>
  <c r="AU182" i="16" s="1"/>
  <c r="AS183" i="16"/>
  <c r="AS184" i="16" l="1"/>
  <c r="AT183" i="16"/>
  <c r="AU183" i="16" s="1"/>
  <c r="AL184" i="16"/>
  <c r="AM183" i="16"/>
  <c r="AN183" i="16" s="1"/>
  <c r="AM184" i="16" l="1"/>
  <c r="AN184" i="16" s="1"/>
  <c r="AL185" i="16"/>
  <c r="AT184" i="16"/>
  <c r="AU184" i="16" s="1"/>
  <c r="AS185" i="16"/>
  <c r="AS186" i="16" l="1"/>
  <c r="AT185" i="16"/>
  <c r="AU185" i="16" s="1"/>
  <c r="AL186" i="16"/>
  <c r="AM185" i="16"/>
  <c r="AN185" i="16" s="1"/>
  <c r="AL187" i="16" l="1"/>
  <c r="AM186" i="16"/>
  <c r="AN186" i="16" s="1"/>
  <c r="AS187" i="16"/>
  <c r="AT186" i="16"/>
  <c r="AU186" i="16" s="1"/>
  <c r="AS188" i="16" l="1"/>
  <c r="AT187" i="16"/>
  <c r="AU187" i="16" s="1"/>
  <c r="AM187" i="16"/>
  <c r="AN187" i="16" s="1"/>
  <c r="AL188" i="16"/>
  <c r="AM188" i="16" l="1"/>
  <c r="AN188" i="16" s="1"/>
  <c r="AL189" i="16"/>
  <c r="AS189" i="16"/>
  <c r="AT188" i="16"/>
  <c r="AU188" i="16" s="1"/>
  <c r="AS190" i="16" l="1"/>
  <c r="AT189" i="16"/>
  <c r="AU189" i="16" s="1"/>
  <c r="AM189" i="16"/>
  <c r="AN189" i="16" s="1"/>
  <c r="AL190" i="16"/>
  <c r="AL191" i="16" l="1"/>
  <c r="AM190" i="16"/>
  <c r="AN190" i="16" s="1"/>
  <c r="AS191" i="16"/>
  <c r="AT190" i="16"/>
  <c r="AU190" i="16" s="1"/>
  <c r="AT191" i="16" l="1"/>
  <c r="AU191" i="16" s="1"/>
  <c r="AS192" i="16"/>
  <c r="AM191" i="16"/>
  <c r="AN191" i="16" s="1"/>
  <c r="AL192" i="16"/>
  <c r="AM192" i="16" l="1"/>
  <c r="AN192" i="16" s="1"/>
  <c r="AL193" i="16"/>
  <c r="AT192" i="16"/>
  <c r="AU192" i="16" s="1"/>
  <c r="AS193" i="16"/>
  <c r="AT193" i="16" l="1"/>
  <c r="AU193" i="16" s="1"/>
  <c r="AS194" i="16"/>
  <c r="AM193" i="16"/>
  <c r="AN193" i="16" s="1"/>
  <c r="AL194" i="16"/>
  <c r="AL195" i="16" l="1"/>
  <c r="AM194" i="16"/>
  <c r="AN194" i="16" s="1"/>
  <c r="AT194" i="16"/>
  <c r="AU194" i="16" s="1"/>
  <c r="AS195" i="16"/>
  <c r="AS196" i="16" l="1"/>
  <c r="AT195" i="16"/>
  <c r="AU195" i="16" s="1"/>
  <c r="AL196" i="16"/>
  <c r="AM195" i="16"/>
  <c r="AN195" i="16" s="1"/>
  <c r="AL197" i="16" l="1"/>
  <c r="AM196" i="16"/>
  <c r="AN196" i="16" s="1"/>
  <c r="AS197" i="16"/>
  <c r="AT196" i="16"/>
  <c r="AU196" i="16" s="1"/>
  <c r="AS198" i="16" l="1"/>
  <c r="AT197" i="16"/>
  <c r="AU197" i="16" s="1"/>
  <c r="AM197" i="16"/>
  <c r="AN197" i="16" s="1"/>
  <c r="AL198" i="16"/>
  <c r="AL199" i="16" l="1"/>
  <c r="AM198" i="16"/>
  <c r="AN198" i="16" s="1"/>
  <c r="AS199" i="16"/>
  <c r="AT198" i="16"/>
  <c r="AU198" i="16" s="1"/>
  <c r="AS200" i="16" l="1"/>
  <c r="AT199" i="16"/>
  <c r="AU199" i="16" s="1"/>
  <c r="AL200" i="16"/>
  <c r="AM199" i="16"/>
  <c r="AN199" i="16" s="1"/>
  <c r="AL201" i="16" l="1"/>
  <c r="AM200" i="16"/>
  <c r="AN200" i="16" s="1"/>
  <c r="AT200" i="16"/>
  <c r="AU200" i="16" s="1"/>
  <c r="AS201" i="16"/>
  <c r="AS202" i="16" l="1"/>
  <c r="AT201" i="16"/>
  <c r="AU201" i="16" s="1"/>
  <c r="AL202" i="16"/>
  <c r="AM201" i="16"/>
  <c r="AN201" i="16" s="1"/>
  <c r="AM202" i="16" l="1"/>
  <c r="AN202" i="16" s="1"/>
  <c r="AL203" i="16"/>
  <c r="AS203" i="16"/>
  <c r="AT202" i="16"/>
  <c r="AU202" i="16" s="1"/>
  <c r="AT203" i="16" l="1"/>
  <c r="AU203" i="16" s="1"/>
  <c r="AS204" i="16"/>
  <c r="AM203" i="16"/>
  <c r="AN203" i="16" s="1"/>
  <c r="AL204" i="16"/>
  <c r="AL205" i="16" l="1"/>
  <c r="AM204" i="16"/>
  <c r="AN204" i="16" s="1"/>
  <c r="AS205" i="16"/>
  <c r="AT204" i="16"/>
  <c r="AU204" i="16" s="1"/>
  <c r="AT205" i="16" l="1"/>
  <c r="AU205" i="16" s="1"/>
  <c r="AS206" i="16"/>
  <c r="AL206" i="16"/>
  <c r="AM205" i="16"/>
  <c r="AN205" i="16" s="1"/>
  <c r="AL207" i="16" l="1"/>
  <c r="AM206" i="16"/>
  <c r="AN206" i="16" s="1"/>
  <c r="AS207" i="16"/>
  <c r="AT206" i="16"/>
  <c r="AU206" i="16" s="1"/>
  <c r="AS208" i="16" l="1"/>
  <c r="AT207" i="16"/>
  <c r="AU207" i="16" s="1"/>
  <c r="AL208" i="16"/>
  <c r="AM207" i="16"/>
  <c r="AN207" i="16" s="1"/>
  <c r="AL209" i="16" l="1"/>
  <c r="AM208" i="16"/>
  <c r="AN208" i="16" s="1"/>
  <c r="AT208" i="16"/>
  <c r="AU208" i="16" s="1"/>
  <c r="AS209" i="16"/>
  <c r="AS210" i="16" l="1"/>
  <c r="AT209" i="16"/>
  <c r="AU209" i="16" s="1"/>
  <c r="AL210" i="16"/>
  <c r="AM209" i="16"/>
  <c r="AN209" i="16" s="1"/>
  <c r="AL211" i="16" l="1"/>
  <c r="AM210" i="16"/>
  <c r="AN210" i="16" s="1"/>
  <c r="AS211" i="16"/>
  <c r="AT210" i="16"/>
  <c r="AU210" i="16" s="1"/>
  <c r="AT211" i="16" l="1"/>
  <c r="AU211" i="16" s="1"/>
  <c r="AS212" i="16"/>
  <c r="AL212" i="16"/>
  <c r="AM211" i="16"/>
  <c r="AN211" i="16" s="1"/>
  <c r="AM212" i="16" l="1"/>
  <c r="AN212" i="16" s="1"/>
  <c r="AL213" i="16"/>
  <c r="AT212" i="16"/>
  <c r="AU212" i="16" s="1"/>
  <c r="AS213" i="16"/>
  <c r="AT213" i="16" l="1"/>
  <c r="AU213" i="16" s="1"/>
  <c r="AS214" i="16"/>
  <c r="AL214" i="16"/>
  <c r="AM213" i="16"/>
  <c r="AN213" i="16" s="1"/>
  <c r="AM214" i="16" l="1"/>
  <c r="AN214" i="16" s="1"/>
  <c r="AL215" i="16"/>
  <c r="AS215" i="16"/>
  <c r="AT214" i="16"/>
  <c r="AU214" i="16" s="1"/>
  <c r="AS216" i="16" l="1"/>
  <c r="AT215" i="16"/>
  <c r="AU215" i="16" s="1"/>
  <c r="AM215" i="16"/>
  <c r="AN215" i="16" s="1"/>
  <c r="AL216" i="16"/>
  <c r="AL217" i="16" l="1"/>
  <c r="AM216" i="16"/>
  <c r="AN216" i="16" s="1"/>
  <c r="AT216" i="16"/>
  <c r="AU216" i="16" s="1"/>
  <c r="AS217" i="16"/>
  <c r="AS218" i="16" l="1"/>
  <c r="AT217" i="16"/>
  <c r="AU217" i="16" s="1"/>
  <c r="AL218" i="16"/>
  <c r="AM217" i="16"/>
  <c r="AN217" i="16" s="1"/>
  <c r="AM218" i="16" l="1"/>
  <c r="AN218" i="16" s="1"/>
  <c r="AL219" i="16"/>
  <c r="AS219" i="16"/>
  <c r="AT218" i="16"/>
  <c r="AU218" i="16" s="1"/>
  <c r="AT219" i="16" l="1"/>
  <c r="AU219" i="16" s="1"/>
  <c r="AS220" i="16"/>
  <c r="AM219" i="16"/>
  <c r="AN219" i="16" s="1"/>
  <c r="AL220" i="16"/>
  <c r="AL221" i="16" l="1"/>
  <c r="AM220" i="16"/>
  <c r="AN220" i="16" s="1"/>
  <c r="AS221" i="16"/>
  <c r="AT220" i="16"/>
  <c r="AU220" i="16" s="1"/>
  <c r="AS222" i="16" l="1"/>
  <c r="AT221" i="16"/>
  <c r="AU221" i="16" s="1"/>
  <c r="AM221" i="16"/>
  <c r="AN221" i="16" s="1"/>
  <c r="AL222" i="16"/>
  <c r="AL223" i="16" l="1"/>
  <c r="AM222" i="16"/>
  <c r="AN222" i="16" s="1"/>
  <c r="AT222" i="16"/>
  <c r="AU222" i="16" s="1"/>
  <c r="AS223" i="16"/>
  <c r="AT223" i="16" l="1"/>
  <c r="AU223" i="16" s="1"/>
  <c r="AS224" i="16"/>
  <c r="AL224" i="16"/>
  <c r="AM223" i="16"/>
  <c r="AN223" i="16" s="1"/>
  <c r="AM224" i="16" l="1"/>
  <c r="AN224" i="16" s="1"/>
  <c r="AL225" i="16"/>
  <c r="AT224" i="16"/>
  <c r="AU224" i="16" s="1"/>
  <c r="AS225" i="16"/>
  <c r="AS226" i="16" l="1"/>
  <c r="AT225" i="16"/>
  <c r="AU225" i="16" s="1"/>
  <c r="AL226" i="16"/>
  <c r="AM225" i="16"/>
  <c r="AN225" i="16" s="1"/>
  <c r="AL227" i="16" l="1"/>
  <c r="AM226" i="16"/>
  <c r="AN226" i="16" s="1"/>
  <c r="AS227" i="16"/>
  <c r="AT226" i="16"/>
  <c r="AU226" i="16" s="1"/>
  <c r="AT227" i="16" l="1"/>
  <c r="AU227" i="16" s="1"/>
  <c r="AS228" i="16"/>
  <c r="AL228" i="16"/>
  <c r="AM227" i="16"/>
  <c r="AN227" i="16" s="1"/>
  <c r="AL229" i="16" l="1"/>
  <c r="AM228" i="16"/>
  <c r="AN228" i="16" s="1"/>
  <c r="AS229" i="16"/>
  <c r="AT228" i="16"/>
  <c r="AU228" i="16" s="1"/>
  <c r="AS230" i="16" l="1"/>
  <c r="AT229" i="16"/>
  <c r="AU229" i="16" s="1"/>
  <c r="AL230" i="16"/>
  <c r="AM229" i="16"/>
  <c r="AN229" i="16" s="1"/>
  <c r="AL231" i="16" l="1"/>
  <c r="AM230" i="16"/>
  <c r="AN230" i="16" s="1"/>
  <c r="AT230" i="16"/>
  <c r="AU230" i="16" s="1"/>
  <c r="AS231" i="16"/>
  <c r="AS232" i="16" l="1"/>
  <c r="AT231" i="16"/>
  <c r="AU231" i="16" s="1"/>
  <c r="AL232" i="16"/>
  <c r="AM231" i="16"/>
  <c r="AN231" i="16" s="1"/>
  <c r="AL233" i="16" l="1"/>
  <c r="AM232" i="16"/>
  <c r="AN232" i="16" s="1"/>
  <c r="AS233" i="16"/>
  <c r="AT232" i="16"/>
  <c r="AU232" i="16" s="1"/>
  <c r="AT233" i="16" l="1"/>
  <c r="AU233" i="16" s="1"/>
  <c r="AS234" i="16"/>
  <c r="AL234" i="16"/>
  <c r="AM233" i="16"/>
  <c r="AN233" i="16" s="1"/>
  <c r="AL235" i="16" l="1"/>
  <c r="AM234" i="16"/>
  <c r="AN234" i="16" s="1"/>
  <c r="AS235" i="16"/>
  <c r="AT234" i="16"/>
  <c r="AU234" i="16" s="1"/>
  <c r="AS236" i="16" l="1"/>
  <c r="AT235" i="16"/>
  <c r="AU235" i="16" s="1"/>
  <c r="AM235" i="16"/>
  <c r="AN235" i="16" s="1"/>
  <c r="AL236" i="16"/>
  <c r="AL237" i="16" l="1"/>
  <c r="AM236" i="16"/>
  <c r="AN236" i="16" s="1"/>
  <c r="AT236" i="16"/>
  <c r="AU236" i="16" s="1"/>
  <c r="AS237" i="16"/>
  <c r="AT237" i="16" l="1"/>
  <c r="AU237" i="16" s="1"/>
  <c r="AS238" i="16"/>
  <c r="AM237" i="16"/>
  <c r="AN237" i="16" s="1"/>
  <c r="AL238" i="16"/>
  <c r="AM238" i="16" l="1"/>
  <c r="AN238" i="16" s="1"/>
  <c r="AL239" i="16"/>
  <c r="AS239" i="16"/>
  <c r="AT238" i="16"/>
  <c r="AU238" i="16" s="1"/>
  <c r="AS240" i="16" l="1"/>
  <c r="AT239" i="16"/>
  <c r="AU239" i="16" s="1"/>
  <c r="AM239" i="16"/>
  <c r="AN239" i="16" s="1"/>
  <c r="AL240" i="16"/>
  <c r="AM240" i="16" l="1"/>
  <c r="AN240" i="16" s="1"/>
  <c r="AL241" i="16"/>
  <c r="AT240" i="16"/>
  <c r="AU240" i="16" s="1"/>
  <c r="AS241" i="16"/>
  <c r="AT241" i="16" l="1"/>
  <c r="AU241" i="16" s="1"/>
  <c r="AS242" i="16"/>
  <c r="AM241" i="16"/>
  <c r="AN241" i="16" s="1"/>
  <c r="AL242" i="16"/>
  <c r="AM242" i="16" l="1"/>
  <c r="AN242" i="16" s="1"/>
  <c r="AL243" i="16"/>
  <c r="AS243" i="16"/>
  <c r="AT242" i="16"/>
  <c r="AU242" i="16" s="1"/>
  <c r="AT243" i="16" l="1"/>
  <c r="AU243" i="16" s="1"/>
  <c r="AS244" i="16"/>
  <c r="AL244" i="16"/>
  <c r="AM243" i="16"/>
  <c r="AN243" i="16" s="1"/>
  <c r="AL245" i="16" l="1"/>
  <c r="AM244" i="16"/>
  <c r="AN244" i="16" s="1"/>
  <c r="AT244" i="16"/>
  <c r="AU244" i="16" s="1"/>
  <c r="AS245" i="16"/>
  <c r="AS246" i="16" l="1"/>
  <c r="AT245" i="16"/>
  <c r="AU245" i="16" s="1"/>
  <c r="AM245" i="16"/>
  <c r="AN245" i="16" s="1"/>
  <c r="AL246" i="16"/>
  <c r="AM246" i="16" l="1"/>
  <c r="AN246" i="16" s="1"/>
  <c r="AL247" i="16"/>
  <c r="AS247" i="16"/>
  <c r="AT246" i="16"/>
  <c r="AU246" i="16" s="1"/>
  <c r="AS248" i="16" l="1"/>
  <c r="AT247" i="16"/>
  <c r="AU247" i="16" s="1"/>
  <c r="AM247" i="16"/>
  <c r="AN247" i="16" s="1"/>
  <c r="AL248" i="16"/>
  <c r="AM248" i="16" l="1"/>
  <c r="AN248" i="16" s="1"/>
  <c r="AL249" i="16"/>
  <c r="AT248" i="16"/>
  <c r="AU248" i="16" s="1"/>
  <c r="AS249" i="16"/>
  <c r="AS250" i="16" l="1"/>
  <c r="AT249" i="16"/>
  <c r="AU249" i="16" s="1"/>
  <c r="AM249" i="16"/>
  <c r="AN249" i="16" s="1"/>
  <c r="AL250" i="16"/>
  <c r="AM250" i="16" l="1"/>
  <c r="AN250" i="16" s="1"/>
  <c r="AL251" i="16"/>
  <c r="AT250" i="16"/>
  <c r="AU250" i="16" s="1"/>
  <c r="AS251" i="16"/>
  <c r="AS252" i="16" l="1"/>
  <c r="AT251" i="16"/>
  <c r="AU251" i="16" s="1"/>
  <c r="AL252" i="16"/>
  <c r="AM251" i="16"/>
  <c r="AN251" i="16" s="1"/>
  <c r="AM252" i="16" l="1"/>
  <c r="AN252" i="16" s="1"/>
  <c r="AL253" i="16"/>
  <c r="AT252" i="16"/>
  <c r="AU252" i="16" s="1"/>
  <c r="AS253" i="16"/>
  <c r="AS254" i="16" l="1"/>
  <c r="AT253" i="16"/>
  <c r="AU253" i="16" s="1"/>
  <c r="AL254" i="16"/>
  <c r="AM253" i="16"/>
  <c r="AN253" i="16" s="1"/>
  <c r="AL255" i="16" l="1"/>
  <c r="AM254" i="16"/>
  <c r="AN254" i="16" s="1"/>
  <c r="AS255" i="16"/>
  <c r="AT254" i="16"/>
  <c r="AU254" i="16" s="1"/>
  <c r="AS256" i="16" l="1"/>
  <c r="AT255" i="16"/>
  <c r="AU255" i="16" s="1"/>
  <c r="AM255" i="16"/>
  <c r="AN255" i="16" s="1"/>
  <c r="AL256" i="16"/>
  <c r="AL257" i="16" l="1"/>
  <c r="AM256" i="16"/>
  <c r="AN256" i="16" s="1"/>
  <c r="AS257" i="16"/>
  <c r="AT256" i="16"/>
  <c r="AU256" i="16" s="1"/>
  <c r="AT257" i="16" l="1"/>
  <c r="AU257" i="16" s="1"/>
  <c r="AS258" i="16"/>
  <c r="AL258" i="16"/>
  <c r="AM257" i="16"/>
  <c r="AN257" i="16" s="1"/>
  <c r="AM258" i="16" l="1"/>
  <c r="AN258" i="16" s="1"/>
  <c r="AL259" i="16"/>
  <c r="AS259" i="16"/>
  <c r="AT258" i="16"/>
  <c r="AU258" i="16" s="1"/>
  <c r="AT259" i="16" l="1"/>
  <c r="AU259" i="16" s="1"/>
  <c r="AS260" i="16"/>
  <c r="AL260" i="16"/>
  <c r="AM259" i="16"/>
  <c r="AN259" i="16" s="1"/>
  <c r="AM260" i="16" l="1"/>
  <c r="AN260" i="16" s="1"/>
  <c r="AL261" i="16"/>
  <c r="AS261" i="16"/>
  <c r="AT260" i="16"/>
  <c r="AU260" i="16" s="1"/>
  <c r="AS262" i="16" l="1"/>
  <c r="AT261" i="16"/>
  <c r="AU261" i="16" s="1"/>
  <c r="AM261" i="16"/>
  <c r="AN261" i="16" s="1"/>
  <c r="AL262" i="16"/>
  <c r="AM262" i="16" l="1"/>
  <c r="AN262" i="16" s="1"/>
  <c r="AL263" i="16"/>
  <c r="AT262" i="16"/>
  <c r="AU262" i="16" s="1"/>
  <c r="AS263" i="16"/>
  <c r="AS264" i="16" l="1"/>
  <c r="AT263" i="16"/>
  <c r="AU263" i="16" s="1"/>
  <c r="AL264" i="16"/>
  <c r="AM263" i="16"/>
  <c r="AN263" i="16" s="1"/>
  <c r="AM264" i="16" l="1"/>
  <c r="AN264" i="16" s="1"/>
  <c r="AL265" i="16"/>
  <c r="AS265" i="16"/>
  <c r="AT264" i="16"/>
  <c r="AU264" i="16" s="1"/>
  <c r="AT265" i="16" l="1"/>
  <c r="AU265" i="16" s="1"/>
  <c r="AS266" i="16"/>
  <c r="AL266" i="16"/>
  <c r="AM265" i="16"/>
  <c r="AN265" i="16" s="1"/>
  <c r="AL267" i="16" l="1"/>
  <c r="AM266" i="16"/>
  <c r="AN266" i="16" s="1"/>
  <c r="AT266" i="16"/>
  <c r="AU266" i="16" s="1"/>
  <c r="AS267" i="16"/>
  <c r="AT267" i="16" l="1"/>
  <c r="AU267" i="16" s="1"/>
  <c r="AS268" i="16"/>
  <c r="AL268" i="16"/>
  <c r="AM267" i="16"/>
  <c r="AN267" i="16" s="1"/>
  <c r="AM268" i="16" l="1"/>
  <c r="AN268" i="16" s="1"/>
  <c r="AL269" i="16"/>
  <c r="AS269" i="16"/>
  <c r="AT268" i="16"/>
  <c r="AU268" i="16" s="1"/>
  <c r="AS270" i="16" l="1"/>
  <c r="AT269" i="16"/>
  <c r="AU269" i="16" s="1"/>
  <c r="AL270" i="16"/>
  <c r="AM269" i="16"/>
  <c r="AN269" i="16" s="1"/>
  <c r="AL271" i="16" l="1"/>
  <c r="AM270" i="16"/>
  <c r="AN270" i="16" s="1"/>
  <c r="AT270" i="16"/>
  <c r="AU270" i="16" s="1"/>
  <c r="AS271" i="16"/>
  <c r="AS272" i="16" l="1"/>
  <c r="AT271" i="16"/>
  <c r="AU271" i="16" s="1"/>
  <c r="AM271" i="16"/>
  <c r="AN271" i="16" s="1"/>
  <c r="AL272" i="16"/>
  <c r="AM272" i="16" l="1"/>
  <c r="AN272" i="16" s="1"/>
  <c r="AL273" i="16"/>
  <c r="AT272" i="16"/>
  <c r="AU272" i="16" s="1"/>
  <c r="AS273" i="16"/>
  <c r="AS274" i="16" l="1"/>
  <c r="AT273" i="16"/>
  <c r="AU273" i="16" s="1"/>
  <c r="AM273" i="16"/>
  <c r="AN273" i="16" s="1"/>
  <c r="AL274" i="16"/>
  <c r="AM274" i="16" l="1"/>
  <c r="AN274" i="16" s="1"/>
  <c r="AL275" i="16"/>
  <c r="AT274" i="16"/>
  <c r="AU274" i="16" s="1"/>
  <c r="AS275" i="16"/>
  <c r="AT275" i="16" l="1"/>
  <c r="AU275" i="16" s="1"/>
  <c r="AS276" i="16"/>
  <c r="AL276" i="16"/>
  <c r="AM275" i="16"/>
  <c r="AN275" i="16" s="1"/>
  <c r="AM276" i="16" l="1"/>
  <c r="AN276" i="16" s="1"/>
  <c r="AL277" i="16"/>
  <c r="AT276" i="16"/>
  <c r="AU276" i="16" s="1"/>
  <c r="AS277" i="16"/>
  <c r="AT277" i="16" l="1"/>
  <c r="AU277" i="16" s="1"/>
  <c r="AS278" i="16"/>
  <c r="AM277" i="16"/>
  <c r="AN277" i="16" s="1"/>
  <c r="AL278" i="16"/>
  <c r="AL279" i="16" l="1"/>
  <c r="AM278" i="16"/>
  <c r="AN278" i="16" s="1"/>
  <c r="AT278" i="16"/>
  <c r="AU278" i="16" s="1"/>
  <c r="AS279" i="16"/>
  <c r="AS280" i="16" l="1"/>
  <c r="AT279" i="16"/>
  <c r="AU279" i="16" s="1"/>
  <c r="AL280" i="16"/>
  <c r="AM279" i="16"/>
  <c r="AN279" i="16" s="1"/>
  <c r="AM280" i="16" l="1"/>
  <c r="AN280" i="16" s="1"/>
  <c r="AL281" i="16"/>
  <c r="AT280" i="16"/>
  <c r="AU280" i="16" s="1"/>
  <c r="AS281" i="16"/>
  <c r="AS282" i="16" l="1"/>
  <c r="AT281" i="16"/>
  <c r="AU281" i="16" s="1"/>
  <c r="AM281" i="16"/>
  <c r="AN281" i="16" s="1"/>
  <c r="AL282" i="16"/>
  <c r="AM282" i="16" l="1"/>
  <c r="AN282" i="16" s="1"/>
  <c r="AL283" i="16"/>
  <c r="AS283" i="16"/>
  <c r="AT282" i="16"/>
  <c r="AU282" i="16" s="1"/>
  <c r="AT283" i="16" l="1"/>
  <c r="AU283" i="16" s="1"/>
  <c r="AS284" i="16"/>
  <c r="AM283" i="16"/>
  <c r="AN283" i="16" s="1"/>
  <c r="AL284" i="16"/>
  <c r="AS285" i="16" l="1"/>
  <c r="AT284" i="16"/>
  <c r="AU284" i="16" s="1"/>
  <c r="AL285" i="16"/>
  <c r="AM284" i="16"/>
  <c r="AN284" i="16" s="1"/>
  <c r="AM285" i="16" l="1"/>
  <c r="AN285" i="16" s="1"/>
  <c r="AL286" i="16"/>
  <c r="AS286" i="16"/>
  <c r="AT285" i="16"/>
  <c r="AU285" i="16" s="1"/>
  <c r="AS287" i="16" l="1"/>
  <c r="AT286" i="16"/>
  <c r="AU286" i="16" s="1"/>
  <c r="AL287" i="16"/>
  <c r="AM286" i="16"/>
  <c r="AN286" i="16" s="1"/>
  <c r="AL288" i="16" l="1"/>
  <c r="AM287" i="16"/>
  <c r="AN287" i="16" s="1"/>
  <c r="AS288" i="16"/>
  <c r="AT287" i="16"/>
  <c r="AU287" i="16" s="1"/>
  <c r="AS289" i="16" l="1"/>
  <c r="AT288" i="16"/>
  <c r="AU288" i="16" s="1"/>
  <c r="AL289" i="16"/>
  <c r="AM288" i="16"/>
  <c r="AN288" i="16" s="1"/>
  <c r="AL290" i="16" l="1"/>
  <c r="AM289" i="16"/>
  <c r="AN289" i="16" s="1"/>
  <c r="AT289" i="16"/>
  <c r="AU289" i="16" s="1"/>
  <c r="AS290" i="16"/>
  <c r="AT290" i="16" l="1"/>
  <c r="AU290" i="16" s="1"/>
  <c r="AS291" i="16"/>
  <c r="AL291" i="16"/>
  <c r="AM290" i="16"/>
  <c r="AN290" i="16" s="1"/>
  <c r="AM291" i="16" l="1"/>
  <c r="AN291" i="16" s="1"/>
  <c r="AL292" i="16"/>
  <c r="AT291" i="16"/>
  <c r="AU291" i="16" s="1"/>
  <c r="AS292" i="16"/>
  <c r="AT292" i="16" l="1"/>
  <c r="AU292" i="16" s="1"/>
  <c r="AS293" i="16"/>
  <c r="AL293" i="16"/>
  <c r="AM292" i="16"/>
  <c r="AN292" i="16" s="1"/>
  <c r="AM293" i="16" l="1"/>
  <c r="AN293" i="16" s="1"/>
  <c r="AL294" i="16"/>
  <c r="AT293" i="16"/>
  <c r="AU293" i="16" s="1"/>
  <c r="AS294" i="16"/>
  <c r="AT294" i="16" l="1"/>
  <c r="AU294" i="16" s="1"/>
  <c r="AS295" i="16"/>
  <c r="AL295" i="16"/>
  <c r="AM294" i="16"/>
  <c r="AN294" i="16" s="1"/>
  <c r="AM295" i="16" l="1"/>
  <c r="AN295" i="16" s="1"/>
  <c r="AL296" i="16"/>
  <c r="AS296" i="16"/>
  <c r="AT295" i="16"/>
  <c r="AU295" i="16" s="1"/>
  <c r="AT296" i="16" l="1"/>
  <c r="AU296" i="16" s="1"/>
  <c r="AS297" i="16"/>
  <c r="AM296" i="16"/>
  <c r="AN296" i="16" s="1"/>
  <c r="AL297" i="16"/>
  <c r="AL298" i="16" l="1"/>
  <c r="AM297" i="16"/>
  <c r="AN297" i="16" s="1"/>
  <c r="AS298" i="16"/>
  <c r="AT297" i="16"/>
  <c r="AU297" i="16" s="1"/>
  <c r="AS299" i="16" l="1"/>
  <c r="AT298" i="16"/>
  <c r="AU298" i="16" s="1"/>
  <c r="AL299" i="16"/>
  <c r="AM298" i="16"/>
  <c r="AN298" i="16" s="1"/>
  <c r="AM299" i="16" l="1"/>
  <c r="AN299" i="16" s="1"/>
  <c r="AL300" i="16"/>
  <c r="AT299" i="16"/>
  <c r="AU299" i="16" s="1"/>
  <c r="AS300" i="16"/>
  <c r="AS301" i="16" l="1"/>
  <c r="AT300" i="16"/>
  <c r="AU300" i="16" s="1"/>
  <c r="AM300" i="16"/>
  <c r="AN300" i="16" s="1"/>
  <c r="AL301" i="16"/>
  <c r="AL302" i="16" l="1"/>
  <c r="AM301" i="16"/>
  <c r="AN301" i="16" s="1"/>
  <c r="AS302" i="16"/>
  <c r="AT301" i="16"/>
  <c r="AU301" i="16" s="1"/>
  <c r="AT302" i="16" l="1"/>
  <c r="AU302" i="16" s="1"/>
  <c r="AS303" i="16"/>
  <c r="AM302" i="16"/>
  <c r="AN302" i="16" s="1"/>
  <c r="AL303" i="16"/>
  <c r="AL304" i="16" l="1"/>
  <c r="AM303" i="16"/>
  <c r="AN303" i="16" s="1"/>
  <c r="AS304" i="16"/>
  <c r="AT303" i="16"/>
  <c r="AU303" i="16" s="1"/>
  <c r="AT304" i="16" l="1"/>
  <c r="AU304" i="16" s="1"/>
  <c r="AS305" i="16"/>
  <c r="AL305" i="16"/>
  <c r="AM304" i="16"/>
  <c r="AN304" i="16" s="1"/>
  <c r="AL306" i="16" l="1"/>
  <c r="AM305" i="16"/>
  <c r="AN305" i="16" s="1"/>
  <c r="AS306" i="16"/>
  <c r="AT305" i="16"/>
  <c r="AU305" i="16" s="1"/>
  <c r="AS307" i="16" l="1"/>
  <c r="AT306" i="16"/>
  <c r="AU306" i="16" s="1"/>
  <c r="AM306" i="16"/>
  <c r="AN306" i="16" s="1"/>
  <c r="AL307" i="16"/>
  <c r="AL308" i="16" l="1"/>
  <c r="AM307" i="16"/>
  <c r="AN307" i="16" s="1"/>
  <c r="AS308" i="16"/>
  <c r="AT307" i="16"/>
  <c r="AU307" i="16" s="1"/>
  <c r="AS309" i="16" l="1"/>
  <c r="AT308" i="16"/>
  <c r="AU308" i="16" s="1"/>
  <c r="AL309" i="16"/>
  <c r="AM308" i="16"/>
  <c r="AN308" i="16" s="1"/>
  <c r="AM309" i="16" l="1"/>
  <c r="AN309" i="16" s="1"/>
  <c r="AL310" i="16"/>
  <c r="AT309" i="16"/>
  <c r="AU309" i="16" s="1"/>
  <c r="AS310" i="16"/>
  <c r="AS311" i="16" l="1"/>
  <c r="AT310" i="16"/>
  <c r="AU310" i="16" s="1"/>
  <c r="AM310" i="16"/>
  <c r="AN310" i="16" s="1"/>
  <c r="AL311" i="16"/>
  <c r="AM311" i="16" l="1"/>
  <c r="AN311" i="16" s="1"/>
  <c r="AL312" i="16"/>
  <c r="AS312" i="16"/>
  <c r="AT311" i="16"/>
  <c r="AU311" i="16" s="1"/>
  <c r="AT312" i="16" l="1"/>
  <c r="AU312" i="16" s="1"/>
  <c r="AS313" i="16"/>
  <c r="AL313" i="16"/>
  <c r="AM312" i="16"/>
  <c r="AN312" i="16" s="1"/>
  <c r="AL314" i="16" l="1"/>
  <c r="AM313" i="16"/>
  <c r="AN313" i="16" s="1"/>
  <c r="AS314" i="16"/>
  <c r="AT313" i="16"/>
  <c r="AU313" i="16" s="1"/>
  <c r="AT314" i="16" l="1"/>
  <c r="AU314" i="16" s="1"/>
  <c r="AS315" i="16"/>
  <c r="AL315" i="16"/>
  <c r="AM314" i="16"/>
  <c r="AN314" i="16" s="1"/>
  <c r="AM315" i="16" l="1"/>
  <c r="AN315" i="16" s="1"/>
  <c r="AL316" i="16"/>
  <c r="AS316" i="16"/>
  <c r="AT315" i="16"/>
  <c r="AU315" i="16" s="1"/>
  <c r="AS317" i="16" l="1"/>
  <c r="AT316" i="16"/>
  <c r="AU316" i="16" s="1"/>
  <c r="AM316" i="16"/>
  <c r="AN316" i="16" s="1"/>
  <c r="AL317" i="16"/>
  <c r="AL318" i="16" l="1"/>
  <c r="AM317" i="16"/>
  <c r="AN317" i="16" s="1"/>
  <c r="AS318" i="16"/>
  <c r="AT317" i="16"/>
  <c r="AU317" i="16" s="1"/>
  <c r="AT318" i="16" l="1"/>
  <c r="AU318" i="16" s="1"/>
  <c r="AS319" i="16"/>
  <c r="AL319" i="16"/>
  <c r="AM318" i="16"/>
  <c r="AN318" i="16" s="1"/>
  <c r="AL320" i="16" l="1"/>
  <c r="AM319" i="16"/>
  <c r="AN319" i="16" s="1"/>
  <c r="AT319" i="16"/>
  <c r="AU319" i="16" s="1"/>
  <c r="AS320" i="16"/>
  <c r="AT320" i="16" l="1"/>
  <c r="AU320" i="16" s="1"/>
  <c r="AS321" i="16"/>
  <c r="AL321" i="16"/>
  <c r="AM320" i="16"/>
  <c r="AN320" i="16" s="1"/>
  <c r="AL322" i="16" l="1"/>
  <c r="AM321" i="16"/>
  <c r="AN321" i="16" s="1"/>
  <c r="AS322" i="16"/>
  <c r="AT321" i="16"/>
  <c r="AU321" i="16" s="1"/>
  <c r="AT322" i="16" l="1"/>
  <c r="AU322" i="16" s="1"/>
  <c r="AS323" i="16"/>
  <c r="AM322" i="16"/>
  <c r="AN322" i="16" s="1"/>
  <c r="AL323" i="16"/>
  <c r="AL324" i="16" l="1"/>
  <c r="AM323" i="16"/>
  <c r="AN323" i="16" s="1"/>
  <c r="AS324" i="16"/>
  <c r="AT323" i="16"/>
  <c r="AU323" i="16" s="1"/>
  <c r="AT324" i="16" l="1"/>
  <c r="AU324" i="16" s="1"/>
  <c r="AS325" i="16"/>
  <c r="AL325" i="16"/>
  <c r="AM324" i="16"/>
  <c r="AN324" i="16" s="1"/>
  <c r="AM325" i="16" l="1"/>
  <c r="AN325" i="16" s="1"/>
  <c r="AL326" i="16"/>
  <c r="AS326" i="16"/>
  <c r="AT325" i="16"/>
  <c r="AU325" i="16" s="1"/>
  <c r="AS327" i="16" l="1"/>
  <c r="AT326" i="16"/>
  <c r="AU326" i="16" s="1"/>
  <c r="AM326" i="16"/>
  <c r="AN326" i="16" s="1"/>
  <c r="AL327" i="16"/>
  <c r="AM327" i="16" l="1"/>
  <c r="AN327" i="16" s="1"/>
  <c r="AL328" i="16"/>
  <c r="AS328" i="16"/>
  <c r="AT327" i="16"/>
  <c r="AU327" i="16" s="1"/>
  <c r="AS329" i="16" l="1"/>
  <c r="AT328" i="16"/>
  <c r="AU328" i="16" s="1"/>
  <c r="AM328" i="16"/>
  <c r="AN328" i="16" s="1"/>
  <c r="AL329" i="16"/>
  <c r="AM329" i="16" l="1"/>
  <c r="AN329" i="16" s="1"/>
  <c r="AL330" i="16"/>
  <c r="AS330" i="16"/>
  <c r="AT329" i="16"/>
  <c r="AU329" i="16" s="1"/>
  <c r="AT330" i="16" l="1"/>
  <c r="AU330" i="16" s="1"/>
  <c r="AS331" i="16"/>
  <c r="AM330" i="16"/>
  <c r="AN330" i="16" s="1"/>
  <c r="AL331" i="16"/>
  <c r="AM331" i="16" l="1"/>
  <c r="AN331" i="16" s="1"/>
  <c r="AL332" i="16"/>
  <c r="AT331" i="16"/>
  <c r="AU331" i="16" s="1"/>
  <c r="AS332" i="16"/>
  <c r="AS333" i="16" l="1"/>
  <c r="AT332" i="16"/>
  <c r="AU332" i="16" s="1"/>
  <c r="AL333" i="16"/>
  <c r="AM332" i="16"/>
  <c r="AN332" i="16" s="1"/>
  <c r="AL334" i="16" l="1"/>
  <c r="AM333" i="16"/>
  <c r="AN333" i="16" s="1"/>
  <c r="AS334" i="16"/>
  <c r="AT333" i="16"/>
  <c r="AU333" i="16" s="1"/>
  <c r="AT334" i="16" l="1"/>
  <c r="AU334" i="16" s="1"/>
  <c r="AS335" i="16"/>
  <c r="AM334" i="16"/>
  <c r="AN334" i="16" s="1"/>
  <c r="AL335" i="16"/>
  <c r="AL336" i="16" l="1"/>
  <c r="AM335" i="16"/>
  <c r="AN335" i="16" s="1"/>
  <c r="AT335" i="16"/>
  <c r="AU335" i="16" s="1"/>
  <c r="AS336" i="16"/>
  <c r="AT336" i="16" l="1"/>
  <c r="AU336" i="16" s="1"/>
  <c r="AS337" i="16"/>
  <c r="AL337" i="16"/>
  <c r="AM336" i="16"/>
  <c r="AN336" i="16" s="1"/>
  <c r="AM337" i="16" l="1"/>
  <c r="AN337" i="16" s="1"/>
  <c r="AL338" i="16"/>
  <c r="AT337" i="16"/>
  <c r="AU337" i="16" s="1"/>
  <c r="AS338" i="16"/>
  <c r="AT338" i="16" l="1"/>
  <c r="AU338" i="16" s="1"/>
  <c r="AS339" i="16"/>
  <c r="AL339" i="16"/>
  <c r="AM338" i="16"/>
  <c r="AN338" i="16" s="1"/>
  <c r="AM339" i="16" l="1"/>
  <c r="AN339" i="16" s="1"/>
  <c r="AL340" i="16"/>
  <c r="AT339" i="16"/>
  <c r="AU339" i="16" s="1"/>
  <c r="AS340" i="16"/>
  <c r="AT340" i="16" l="1"/>
  <c r="AU340" i="16" s="1"/>
  <c r="AS341" i="16"/>
  <c r="AM340" i="16"/>
  <c r="AN340" i="16" s="1"/>
  <c r="AL341" i="16"/>
  <c r="AM341" i="16" l="1"/>
  <c r="AN341" i="16" s="1"/>
  <c r="AL342" i="16"/>
  <c r="AS342" i="16"/>
  <c r="AT341" i="16"/>
  <c r="AU341" i="16" s="1"/>
  <c r="AS343" i="16" l="1"/>
  <c r="AT342" i="16"/>
  <c r="AU342" i="16" s="1"/>
  <c r="AL343" i="16"/>
  <c r="AM342" i="16"/>
  <c r="AN342" i="16" s="1"/>
  <c r="AL344" i="16" l="1"/>
  <c r="AM343" i="16"/>
  <c r="AN343" i="16" s="1"/>
  <c r="AS344" i="16"/>
  <c r="AT343" i="16"/>
  <c r="AU343" i="16" s="1"/>
  <c r="AS345" i="16" l="1"/>
  <c r="AT344" i="16"/>
  <c r="AU344" i="16" s="1"/>
  <c r="AM344" i="16"/>
  <c r="AN344" i="16" s="1"/>
  <c r="AL345" i="16"/>
  <c r="AL346" i="16" l="1"/>
  <c r="AM345" i="16"/>
  <c r="AN345" i="16" s="1"/>
  <c r="AT345" i="16"/>
  <c r="AU345" i="16" s="1"/>
  <c r="AS346" i="16"/>
  <c r="AT346" i="16" l="1"/>
  <c r="AU346" i="16" s="1"/>
  <c r="AS347" i="16"/>
  <c r="AL347" i="16"/>
  <c r="AM346" i="16"/>
  <c r="AN346" i="16" s="1"/>
  <c r="AL348" i="16" l="1"/>
  <c r="AM347" i="16"/>
  <c r="AN347" i="16" s="1"/>
  <c r="AT347" i="16"/>
  <c r="AU347" i="16" s="1"/>
  <c r="AS348" i="16"/>
  <c r="AT348" i="16" l="1"/>
  <c r="AU348" i="16" s="1"/>
  <c r="AS349" i="16"/>
  <c r="AM348" i="16"/>
  <c r="AN348" i="16" s="1"/>
  <c r="AL349" i="16"/>
  <c r="AM349" i="16" l="1"/>
  <c r="AN349" i="16" s="1"/>
  <c r="AL350" i="16"/>
  <c r="AS350" i="16"/>
  <c r="AT349" i="16"/>
  <c r="AU349" i="16" s="1"/>
  <c r="AS351" i="16" l="1"/>
  <c r="AT350" i="16"/>
  <c r="AU350" i="16" s="1"/>
  <c r="AL351" i="16"/>
  <c r="AM350" i="16"/>
  <c r="AN350" i="16" s="1"/>
  <c r="AM351" i="16" l="1"/>
  <c r="AN351" i="16" s="1"/>
  <c r="AL352" i="16"/>
  <c r="AS352" i="16"/>
  <c r="AT351" i="16"/>
  <c r="AU351" i="16" s="1"/>
  <c r="AS353" i="16" l="1"/>
  <c r="AT352" i="16"/>
  <c r="AU352" i="16" s="1"/>
  <c r="AM352" i="16"/>
  <c r="AN352" i="16" s="1"/>
  <c r="AL353" i="16"/>
  <c r="AM353" i="16" l="1"/>
  <c r="AN353" i="16" s="1"/>
  <c r="AL354" i="16"/>
  <c r="AS354" i="16"/>
  <c r="AT353" i="16"/>
  <c r="AU353" i="16" s="1"/>
  <c r="AS355" i="16" l="1"/>
  <c r="AT354" i="16"/>
  <c r="AU354" i="16" s="1"/>
  <c r="AM354" i="16"/>
  <c r="AN354" i="16" s="1"/>
  <c r="AL355" i="16"/>
  <c r="AM355" i="16" l="1"/>
  <c r="AN355" i="16" s="1"/>
  <c r="AL356" i="16"/>
  <c r="AS356" i="16"/>
  <c r="AT355" i="16"/>
  <c r="AU355" i="16" s="1"/>
  <c r="AS357" i="16" l="1"/>
  <c r="AT356" i="16"/>
  <c r="AU356" i="16" s="1"/>
  <c r="AM356" i="16"/>
  <c r="AN356" i="16" s="1"/>
  <c r="AL357" i="16"/>
  <c r="AL358" i="16" l="1"/>
  <c r="AM357" i="16"/>
  <c r="AN357" i="16" s="1"/>
  <c r="AS358" i="16"/>
  <c r="AT357" i="16"/>
  <c r="AU357" i="16" s="1"/>
  <c r="AS359" i="16" l="1"/>
  <c r="AT358" i="16"/>
  <c r="AU358" i="16" s="1"/>
  <c r="AL359" i="16"/>
  <c r="AM358" i="16"/>
  <c r="AN358" i="16" s="1"/>
  <c r="AM359" i="16" l="1"/>
  <c r="AN359" i="16" s="1"/>
  <c r="AL360" i="16"/>
  <c r="AS360" i="16"/>
  <c r="AT359" i="16"/>
  <c r="AU359" i="16" s="1"/>
  <c r="AS361" i="16" l="1"/>
  <c r="AT360" i="16"/>
  <c r="AU360" i="16" s="1"/>
  <c r="AM360" i="16"/>
  <c r="AN360" i="16" s="1"/>
  <c r="AL361" i="16"/>
  <c r="AL362" i="16" l="1"/>
  <c r="AM361" i="16"/>
  <c r="AN361" i="16" s="1"/>
  <c r="AS362" i="16"/>
  <c r="AT361" i="16"/>
  <c r="AU361" i="16" s="1"/>
  <c r="AS363" i="16" l="1"/>
  <c r="AT362" i="16"/>
  <c r="AU362" i="16" s="1"/>
  <c r="AL363" i="16"/>
  <c r="AM362" i="16"/>
  <c r="AN362" i="16" s="1"/>
  <c r="AL364" i="16" l="1"/>
  <c r="AM363" i="16"/>
  <c r="AN363" i="16" s="1"/>
  <c r="AS364" i="16"/>
  <c r="AT363" i="16"/>
  <c r="AU363" i="16" s="1"/>
  <c r="AS365" i="16" l="1"/>
  <c r="AT364" i="16"/>
  <c r="AU364" i="16" s="1"/>
  <c r="AM364" i="16"/>
  <c r="AN364" i="16" s="1"/>
  <c r="AL365" i="16"/>
  <c r="AL366" i="16" l="1"/>
  <c r="AM365" i="16"/>
  <c r="AN365" i="16" s="1"/>
  <c r="AT365" i="16"/>
  <c r="AU365" i="16" s="1"/>
  <c r="AS366" i="16"/>
  <c r="AS367" i="16" l="1"/>
  <c r="AT366" i="16"/>
  <c r="AU366" i="16" s="1"/>
  <c r="AL367" i="16"/>
  <c r="AM366" i="16"/>
  <c r="AN366" i="16" s="1"/>
  <c r="AL368" i="16" l="1"/>
  <c r="AM368" i="16" s="1"/>
  <c r="AN368" i="16" s="1"/>
  <c r="AM367" i="16"/>
  <c r="AN367" i="16" s="1"/>
  <c r="AT367" i="16"/>
  <c r="AU367" i="16" s="1"/>
  <c r="AS368" i="16"/>
  <c r="AT368" i="16" s="1"/>
  <c r="AU368" i="16" s="1"/>
</calcChain>
</file>

<file path=xl/sharedStrings.xml><?xml version="1.0" encoding="utf-8"?>
<sst xmlns="http://schemas.openxmlformats.org/spreadsheetml/2006/main" count="9935" uniqueCount="915">
  <si>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</si>
  <si>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</si>
  <si>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</si>
  <si>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</si>
  <si>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</si>
  <si>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</si>
  <si>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</si>
  <si>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</si>
  <si>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</si>
  <si>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</si>
  <si>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</si>
  <si>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</si>
  <si>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</si>
  <si>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</si>
  <si>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</si>
  <si>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</si>
  <si>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</si>
  <si>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</si>
  <si>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</si>
  <si>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</si>
  <si>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</si>
  <si>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</si>
  <si>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</si>
  <si>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</si>
  <si>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</si>
  <si>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</si>
  <si>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</si>
  <si>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</si>
  <si>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</si>
  <si>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</si>
  <si>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</si>
  <si>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</si>
  <si>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</si>
  <si>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</si>
  <si>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</si>
  <si>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</si>
  <si>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</si>
  <si>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</si>
  <si>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</si>
  <si>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</si>
  <si>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</si>
  <si>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</si>
  <si>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</si>
  <si>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</si>
  <si>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</si>
  <si>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</si>
  <si>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</si>
  <si>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</si>
  <si>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</si>
  <si>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</si>
  <si>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</si>
  <si>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</si>
  <si>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</si>
  <si>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</si>
  <si>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</si>
  <si>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</si>
  <si>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</si>
  <si>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</si>
  <si>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</si>
  <si>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</si>
  <si>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</si>
  <si>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</si>
  <si>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</si>
  <si>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</si>
  <si>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</si>
  <si>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</si>
  <si>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</si>
  <si>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</si>
  <si>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</si>
  <si>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</si>
  <si>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</si>
  <si>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</si>
  <si>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</si>
  <si>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</si>
  <si>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</si>
  <si>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</si>
  <si>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</si>
  <si>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</si>
  <si>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</si>
  <si>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</si>
  <si>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</si>
  <si>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</si>
  <si>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</si>
  <si>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</si>
  <si>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</si>
  <si>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</si>
  <si>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</si>
  <si>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</si>
  <si>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</si>
  <si>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</si>
  <si>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</si>
  <si>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</si>
  <si>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</si>
  <si>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</si>
  <si>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</si>
  <si>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</si>
  <si>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</si>
  <si>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</si>
  <si>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</si>
  <si>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</si>
  <si>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</si>
  <si>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</si>
  <si>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</si>
  <si>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</si>
  <si>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</si>
  <si>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</si>
  <si>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</si>
  <si>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</si>
  <si>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</si>
  <si>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</si>
  <si>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</si>
  <si>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</si>
  <si>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</si>
  <si>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</si>
  <si>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</si>
  <si>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</si>
  <si>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</si>
  <si>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</si>
  <si>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</si>
  <si>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</si>
  <si>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</si>
  <si>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</si>
  <si>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</si>
  <si>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</si>
  <si>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</si>
  <si>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</si>
  <si>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</si>
  <si>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</si>
  <si>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</si>
  <si>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</si>
  <si>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</si>
  <si>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</si>
  <si>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</si>
  <si>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</si>
  <si>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</si>
  <si>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</si>
  <si>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</si>
  <si>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</si>
  <si>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</si>
  <si>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</si>
  <si>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</si>
  <si>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</si>
  <si>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</si>
  <si>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</si>
  <si>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</si>
  <si>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</si>
  <si>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</si>
  <si>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</si>
  <si>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</si>
  <si>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</si>
  <si>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</si>
  <si>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</si>
  <si>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</si>
  <si>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</si>
  <si>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</si>
  <si>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</si>
  <si>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</si>
  <si>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</si>
  <si>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</si>
  <si>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</si>
  <si>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</si>
  <si>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</si>
  <si>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</si>
  <si>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</si>
  <si>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</si>
  <si>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</si>
  <si>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</si>
  <si>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</si>
  <si>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</si>
  <si>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</si>
  <si>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</si>
  <si>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</si>
  <si>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</si>
  <si>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</si>
  <si>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</si>
  <si>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</si>
  <si>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</si>
  <si>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</si>
  <si>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</si>
  <si>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</si>
  <si>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</si>
  <si>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</si>
  <si>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</si>
  <si>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</si>
  <si>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</si>
  <si>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</si>
  <si>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</si>
  <si>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</si>
  <si>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</si>
  <si>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</si>
  <si>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</si>
  <si>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</si>
  <si>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</si>
  <si>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</si>
  <si>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</si>
  <si>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</si>
  <si>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</si>
  <si>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</si>
  <si>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</si>
  <si>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</si>
  <si>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</si>
  <si>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</si>
  <si>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</si>
  <si>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</si>
  <si>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</si>
  <si>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</si>
  <si>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</si>
  <si>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</si>
  <si>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</si>
  <si>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</si>
  <si>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</si>
  <si>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</si>
  <si>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</si>
  <si>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</si>
  <si>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</si>
  <si>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</si>
  <si>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</si>
  <si>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</si>
  <si>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</si>
  <si>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</si>
  <si>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</si>
  <si>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</si>
  <si>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</si>
  <si>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</si>
  <si>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</si>
  <si>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</si>
  <si>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</si>
  <si>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</si>
  <si>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</si>
  <si>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</si>
  <si>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</si>
  <si>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</si>
  <si>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</si>
  <si>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</si>
  <si>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</si>
  <si>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</si>
  <si>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</si>
  <si>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</si>
  <si>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</si>
  <si>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</si>
  <si>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</si>
  <si>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</si>
  <si>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</si>
  <si>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</si>
  <si>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</si>
  <si>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</si>
  <si>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</si>
  <si>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</si>
  <si>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</si>
  <si>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</si>
  <si>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</si>
  <si>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</si>
  <si>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</si>
  <si>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</si>
  <si>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</si>
  <si>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</si>
  <si>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</si>
  <si>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</si>
  <si>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</si>
  <si>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</si>
  <si>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</si>
  <si>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</si>
  <si>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</si>
  <si>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</si>
  <si>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</si>
  <si>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</si>
  <si>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</si>
  <si>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</si>
  <si>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</si>
  <si>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</si>
  <si>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</si>
  <si>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</si>
  <si>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</si>
  <si>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</si>
  <si>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</si>
  <si>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</si>
  <si>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</si>
  <si>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</si>
  <si>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</si>
  <si>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</si>
  <si>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</si>
  <si>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</si>
  <si>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</si>
  <si>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</si>
  <si>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</si>
  <si>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</si>
  <si>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</si>
  <si>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</si>
  <si>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</si>
  <si>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</si>
  <si>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</si>
  <si>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</si>
  <si>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</si>
  <si>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</si>
  <si>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</si>
  <si>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</si>
  <si>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</si>
  <si>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</si>
  <si>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</si>
  <si>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</si>
  <si>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</si>
  <si>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</si>
  <si>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</si>
  <si>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</si>
  <si>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</si>
  <si>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</si>
  <si>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</si>
  <si>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</si>
  <si>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</si>
  <si>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</si>
  <si>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</si>
  <si>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</si>
  <si>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</si>
  <si>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</si>
  <si>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</si>
  <si>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</si>
  <si>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</si>
  <si>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</si>
  <si>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</si>
  <si>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</si>
  <si>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</si>
  <si>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</si>
  <si>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</si>
  <si>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</si>
  <si>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</si>
  <si>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</si>
  <si>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</si>
  <si>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</si>
  <si>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</si>
  <si>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</si>
  <si>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</si>
  <si>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</si>
  <si>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</si>
  <si>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</si>
  <si>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</si>
  <si>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</si>
  <si>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</si>
  <si>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</si>
  <si>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</si>
  <si>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</si>
  <si>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</si>
  <si>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</si>
  <si>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</si>
  <si>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</si>
  <si>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</si>
  <si>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</si>
  <si>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</si>
  <si>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</si>
  <si>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</si>
  <si>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</si>
  <si>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</si>
  <si>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</si>
  <si>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</si>
  <si>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</si>
  <si>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</si>
  <si>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</si>
  <si>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</si>
  <si>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</si>
  <si>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</si>
  <si>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</si>
  <si>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</si>
  <si>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</si>
  <si>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</si>
  <si>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</si>
  <si>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</si>
  <si>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</si>
  <si>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</si>
  <si>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</si>
  <si>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</si>
  <si>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</si>
  <si>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</si>
  <si>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</si>
  <si>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</si>
  <si>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</si>
  <si>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</si>
  <si>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</si>
  <si>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</si>
  <si>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</si>
  <si>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</si>
  <si>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</si>
  <si>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</si>
  <si>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</si>
  <si>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</si>
  <si>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</si>
  <si>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</si>
  <si>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</si>
  <si>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</si>
  <si>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</si>
  <si>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</si>
  <si>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</si>
  <si>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</si>
  <si>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</si>
  <si>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</si>
  <si>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</si>
  <si>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</si>
  <si>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</si>
  <si>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</si>
  <si>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</si>
  <si>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</si>
  <si>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</si>
  <si>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</si>
  <si>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</si>
  <si>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</si>
  <si>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</si>
  <si>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</si>
  <si>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</si>
  <si>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</si>
  <si>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</si>
  <si>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</si>
  <si>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</si>
  <si>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</si>
  <si>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</si>
  <si>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</si>
  <si>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</si>
  <si>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</si>
  <si>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</si>
  <si>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</si>
  <si>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</si>
  <si>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</si>
  <si>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</si>
  <si>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</si>
  <si>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</si>
  <si>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</si>
  <si>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</si>
  <si>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</si>
  <si>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</si>
  <si>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</si>
  <si>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</si>
  <si>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</si>
  <si>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</si>
  <si>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</si>
  <si>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</si>
  <si>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</si>
  <si>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</si>
  <si>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</si>
  <si>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</si>
  <si>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</si>
  <si>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</si>
  <si>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</si>
  <si>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</si>
  <si>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</si>
  <si>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</si>
  <si>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</si>
  <si>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</si>
  <si>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</si>
  <si>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</si>
  <si>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</si>
  <si>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</si>
  <si>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</si>
  <si>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</si>
  <si>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</si>
  <si>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</si>
  <si>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</si>
  <si>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</si>
  <si>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</si>
  <si>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</si>
  <si>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</si>
  <si>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</si>
  <si>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</si>
  <si>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</si>
  <si>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</si>
  <si>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</si>
  <si>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</si>
  <si>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</si>
  <si>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</si>
  <si>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</si>
  <si>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</si>
  <si>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</si>
  <si>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</si>
  <si>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</si>
  <si>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</si>
  <si>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</si>
  <si>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</si>
  <si>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</si>
  <si>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</si>
  <si>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</si>
  <si>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</si>
  <si>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</si>
  <si>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</si>
  <si>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</si>
  <si>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</si>
  <si>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</si>
  <si>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</si>
  <si>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</si>
  <si>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</si>
  <si>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</si>
  <si>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</si>
  <si>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</si>
  <si>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</si>
  <si>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</si>
  <si>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</si>
  <si>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</si>
  <si>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</si>
  <si>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</si>
  <si>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</si>
  <si>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</si>
  <si>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</si>
  <si>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</si>
  <si>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</si>
  <si>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</si>
  <si>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</si>
  <si>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</si>
  <si>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</si>
  <si>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</si>
  <si>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</si>
  <si>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</si>
  <si>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</si>
  <si>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</si>
  <si>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</si>
  <si>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</si>
  <si>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</si>
  <si>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</si>
  <si>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</si>
  <si>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</si>
  <si>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</si>
  <si>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</si>
  <si>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</si>
  <si>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</si>
  <si>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</si>
  <si>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</si>
  <si>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</si>
  <si>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</si>
  <si>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</si>
  <si>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</si>
  <si>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</si>
  <si>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</si>
  <si>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</si>
  <si>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</si>
  <si>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</si>
  <si>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</si>
  <si>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</si>
  <si>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</si>
  <si>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</si>
  <si>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</si>
  <si>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</si>
  <si>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</si>
  <si>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</si>
  <si>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</si>
  <si>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</si>
  <si>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</si>
  <si>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</si>
  <si>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</si>
  <si>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</si>
  <si>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</si>
  <si>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</si>
  <si>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</si>
  <si>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</si>
  <si>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</si>
  <si>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</si>
  <si>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</si>
  <si>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</si>
  <si>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</si>
  <si>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</si>
  <si>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</si>
  <si>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</si>
  <si>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</si>
  <si>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</si>
  <si>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</si>
  <si>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</si>
  <si>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</si>
  <si>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</si>
  <si>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</si>
  <si>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</si>
  <si>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</si>
  <si>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</si>
  <si>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</si>
  <si>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</si>
  <si>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</si>
  <si>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</si>
  <si>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</si>
  <si>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</si>
  <si>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</si>
  <si>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</si>
  <si>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</si>
  <si>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</si>
  <si>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</si>
  <si>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</si>
  <si>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</si>
  <si>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</si>
  <si>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</si>
  <si>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</si>
  <si>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</si>
  <si>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</si>
  <si>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</si>
  <si>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</si>
  <si>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</si>
  <si>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</si>
  <si>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</si>
  <si>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</si>
  <si>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</si>
  <si>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</si>
  <si>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</si>
  <si>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</si>
  <si>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</si>
  <si>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</si>
  <si>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</si>
  <si>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</si>
  <si>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</si>
  <si>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</si>
  <si>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</si>
  <si>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</si>
  <si>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</si>
  <si>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</si>
  <si>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</si>
  <si>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</si>
  <si>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</si>
  <si>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</si>
  <si>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</si>
  <si>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</si>
  <si>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</si>
  <si>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</si>
  <si>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</si>
  <si>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</si>
  <si>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</si>
  <si>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</si>
  <si>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</si>
  <si>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</si>
  <si>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</si>
  <si>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</si>
  <si>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</si>
  <si>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</si>
  <si>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</si>
  <si>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</si>
  <si>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</si>
  <si>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</si>
  <si>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</si>
  <si>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</si>
  <si>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</si>
  <si>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</si>
  <si>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</si>
  <si>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</si>
  <si>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</si>
  <si>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</si>
  <si>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</si>
  <si>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</si>
  <si>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</si>
  <si>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</si>
  <si>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</si>
  <si>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</si>
  <si>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</si>
  <si>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</si>
  <si>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</si>
  <si>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</si>
  <si>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</si>
  <si>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</si>
  <si>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</si>
  <si>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</si>
  <si>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</si>
  <si>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</si>
  <si>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</si>
  <si>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</si>
  <si>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</si>
  <si>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</si>
  <si>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</si>
  <si>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</si>
  <si>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</si>
  <si>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</si>
  <si>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</si>
  <si>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</si>
  <si>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</si>
  <si>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</si>
  <si>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</si>
  <si>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</si>
  <si>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</si>
  <si>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</si>
  <si>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</si>
  <si>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</si>
  <si>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</si>
  <si>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</si>
  <si>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</si>
  <si>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</si>
  <si>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</si>
  <si>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</si>
  <si>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</si>
  <si>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</si>
  <si>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</si>
  <si>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</si>
  <si>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</si>
  <si>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</si>
  <si>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</si>
  <si>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</si>
  <si>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</si>
  <si>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</si>
  <si>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</si>
  <si>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</si>
  <si>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</si>
  <si>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</si>
  <si>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</si>
  <si>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</si>
  <si>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</si>
  <si>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</si>
  <si>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</si>
  <si>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</si>
  <si>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</si>
  <si>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</si>
  <si>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</si>
  <si>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</si>
  <si>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</si>
  <si>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</si>
  <si>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</si>
  <si>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</si>
  <si>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</si>
  <si>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</si>
  <si>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</si>
  <si>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</si>
  <si>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</si>
  <si>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</si>
  <si>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</si>
  <si>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</si>
  <si>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</si>
  <si>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</si>
  <si>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</si>
  <si>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</si>
  <si>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</si>
  <si>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</si>
  <si>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</si>
  <si>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</si>
  <si>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</si>
  <si>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</si>
  <si>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</si>
  <si>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</si>
  <si>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</si>
  <si>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</si>
  <si>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</si>
  <si>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</si>
  <si>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</si>
  <si>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</si>
  <si>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</si>
  <si>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</si>
  <si>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</si>
  <si>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</si>
  <si>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</si>
  <si>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</si>
  <si>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</si>
  <si>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</si>
  <si>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</si>
  <si>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</si>
  <si>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</si>
  <si>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</si>
  <si>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</si>
  <si>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</si>
  <si>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</si>
  <si>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</si>
  <si>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</si>
  <si>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</si>
  <si>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</si>
  <si>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</si>
  <si>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</si>
  <si>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</si>
  <si>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</si>
  <si>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</si>
  <si>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</si>
  <si>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</si>
  <si>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</si>
  <si>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</si>
  <si>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</si>
  <si>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</si>
  <si>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</si>
  <si>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</si>
  <si>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</si>
  <si>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</si>
  <si>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</si>
  <si>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</si>
  <si>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</si>
  <si>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</si>
  <si>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</si>
  <si>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</si>
  <si>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</si>
  <si>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</si>
  <si>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</si>
  <si>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</si>
  <si>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</si>
  <si>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</si>
  <si>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</si>
  <si>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</si>
  <si>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</si>
  <si>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</si>
  <si>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</si>
  <si>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</si>
  <si>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</si>
  <si>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</si>
  <si>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</si>
  <si>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</si>
  <si>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</si>
  <si>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</si>
  <si>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</si>
  <si>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</si>
  <si>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</si>
  <si>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</si>
  <si>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</si>
  <si>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</si>
  <si>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</si>
  <si>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</si>
  <si>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</si>
  <si>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</si>
  <si>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</si>
  <si>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</si>
  <si>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</si>
  <si>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</si>
  <si>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</si>
  <si>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</si>
  <si>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</si>
  <si>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</si>
  <si>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</si>
  <si>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</si>
  <si>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</si>
  <si>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</si>
  <si>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</si>
  <si>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</si>
  <si>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</si>
  <si>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</si>
  <si>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</si>
  <si>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</si>
  <si>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</si>
  <si>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</si>
  <si>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</si>
  <si>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</si>
  <si>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</si>
  <si>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</si>
  <si>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</si>
  <si>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</si>
  <si>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</si>
  <si>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</si>
  <si>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</si>
  <si>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</si>
  <si>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</si>
  <si>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</si>
  <si>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</si>
  <si>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</si>
  <si>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</si>
  <si>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</si>
  <si>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</si>
  <si>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</si>
  <si>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</si>
  <si>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</si>
  <si>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</si>
  <si>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</si>
  <si>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</si>
  <si>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</si>
  <si>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</si>
  <si>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</si>
  <si>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</si>
  <si>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</si>
  <si>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</si>
  <si>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</si>
  <si>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</si>
  <si>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</si>
  <si>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</si>
  <si>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</si>
  <si>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</si>
  <si>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</si>
  <si>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</si>
  <si>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</si>
  <si>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</si>
  <si>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</si>
  <si>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</si>
  <si>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</si>
  <si>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</si>
  <si>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</si>
  <si>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</si>
  <si>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</si>
  <si>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</si>
  <si>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</si>
  <si>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</si>
  <si>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</si>
  <si>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</si>
  <si>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</si>
  <si>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</si>
  <si>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</si>
  <si>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</si>
  <si>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</si>
  <si>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</si>
  <si>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</si>
  <si>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</si>
  <si>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</si>
  <si>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</si>
  <si>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</si>
  <si>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</si>
  <si>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</si>
  <si>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</si>
  <si>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</si>
  <si>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</si>
  <si>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</si>
  <si>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</si>
  <si>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</si>
  <si>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</si>
  <si>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</si>
  <si>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</si>
  <si>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Cycling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</si>
  <si>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</si>
  <si>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</si>
  <si>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</si>
  <si>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</si>
  <si>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</si>
  <si>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</si>
  <si>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</si>
  <si>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</si>
  <si>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</si>
  <si>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</si>
  <si>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</si>
  <si>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Ave.</t>
  </si>
  <si>
    <t>Proportion of residents who cycle (any length or purpose) at least once a month</t>
  </si>
  <si>
    <t>Proportion of residents who cycle (any length or purpose) at least once a week</t>
  </si>
  <si>
    <t>Proportion of residents who cycle (any length or purpose) at least 3 times a week</t>
  </si>
  <si>
    <t>Proportion of residents who cycle (any length or purpose) at least 5 times a week</t>
  </si>
  <si>
    <t>2017/18</t>
  </si>
  <si>
    <t>Bournemouth, Christchurch and Poole</t>
  </si>
  <si>
    <t>Dorset Council</t>
  </si>
  <si>
    <t>East Suffolk</t>
  </si>
  <si>
    <t>Somerset West and Taunton</t>
  </si>
  <si>
    <t>West Suffolk</t>
  </si>
  <si>
    <t>2018/19</t>
  </si>
  <si>
    <t>Bournemouth, Christchurch &amp; Poole</t>
  </si>
  <si>
    <t xml:space="preserve">Predominantly Rural </t>
  </si>
  <si>
    <t>Somerset West &amp; Taunton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</si>
</sst>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sz val="10"/>
      <color theme="1"/>
      <name val="Arial"/>
      <family val="2"/>
    </font>
    <font>
      <sz val="10"/>
      <name val="Tahoma"/>
      <family val="2"/>
    </font>
    <font>
      <b/>
      <sz val="12"/>
      <name val="Tahoma"/>
      <family val="2"/>
    </font>
    <font>
      <b/>
      <sz val="10"/>
      <name val="Tahoma"/>
      <family val="2"/>
    </font>
    <font>
      <sz val="8"/>
      <color theme="0" tint="-0.34998626667073579"/>
      <name val="Tahoma"/>
      <family val="2"/>
    </font>
    <font>
      <b/>
      <sz val="10"/>
      <color theme="1"/>
      <name val="Tahoma"/>
      <family val="2"/>
    </font>
    <font>
      <sz val="8"/>
      <name val="Tahoma"/>
      <family val="2"/>
    </font>
    <font>
      <b/>
      <u/>
      <sz val="11"/>
      <color theme="7" tint="-0.249977111117893"/>
      <name val="Tahoma"/>
      <family val="2"/>
    </font>
    <font>
      <b/>
      <u/>
      <sz val="12"/>
      <color theme="7" tint="-0.249977111117893"/>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s>
  <fills count="2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DDDDDD"/>
        <bgColor indexed="64"/>
      </patternFill>
    </fill>
    <fill>
      <patternFill patternType="solid">
        <fgColor rgb="FFC0C0C0"/>
        <bgColor indexed="64"/>
      </patternFill>
    </fill>
    <fill>
      <patternFill patternType="solid">
        <fgColor rgb="FFF8F8F8"/>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17"/>
      </top>
      <bottom style="thin">
        <color indexed="64"/>
      </bottom>
      <diagonal/>
    </border>
  </borders>
  <cellStyleXfs count="63">
    <xf numFmtId="0" fontId="0" fillId="0" borderId="0"/>
    <xf numFmtId="43" fontId="13" fillId="0" borderId="0" applyFont="0" applyFill="0" applyBorder="0" applyAlignment="0" applyProtection="0"/>
    <xf numFmtId="0" fontId="20" fillId="0" borderId="0"/>
    <xf numFmtId="0" fontId="20" fillId="0" borderId="0"/>
    <xf numFmtId="9" fontId="14" fillId="0" borderId="0" applyFont="0" applyFill="0" applyBorder="0" applyAlignment="0" applyProtection="0"/>
    <xf numFmtId="0" fontId="24" fillId="0" borderId="0"/>
    <xf numFmtId="0" fontId="9" fillId="0" borderId="0"/>
    <xf numFmtId="0" fontId="8" fillId="3"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2" borderId="10" applyNumberFormat="0" applyFont="0" applyAlignment="0" applyProtection="0"/>
    <xf numFmtId="0" fontId="8" fillId="2"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34" fillId="0" borderId="0"/>
    <xf numFmtId="44" fontId="34" fillId="0" borderId="0" applyFont="0" applyFill="0" applyBorder="0" applyAlignment="0" applyProtection="0"/>
    <xf numFmtId="169" fontId="9" fillId="0" borderId="0" applyFont="0" applyFill="0" applyBorder="0" applyAlignment="0" applyProtection="0"/>
    <xf numFmtId="0" fontId="43" fillId="18"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56">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3" fillId="0" borderId="0" xfId="0" applyFont="1" applyAlignment="1">
      <alignment wrapText="1"/>
    </xf>
    <xf numFmtId="0" fontId="23"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25"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1" fillId="0" borderId="0" xfId="0" applyFont="1" applyFill="1" applyAlignment="1">
      <alignment horizontal="left"/>
    </xf>
    <xf numFmtId="0" fontId="26" fillId="0" borderId="0" xfId="0" applyFont="1"/>
    <xf numFmtId="0" fontId="21" fillId="0" borderId="0" xfId="0" applyFont="1" applyFill="1" applyBorder="1"/>
    <xf numFmtId="0" fontId="22"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1"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1" fillId="0" borderId="0" xfId="0" applyFont="1" applyFill="1" applyBorder="1" applyAlignment="1">
      <alignment horizontal="left"/>
    </xf>
    <xf numFmtId="0" fontId="0" fillId="17" borderId="0" xfId="0" applyFont="1" applyFill="1"/>
    <xf numFmtId="0" fontId="15" fillId="0" borderId="0" xfId="0" applyFont="1" applyFill="1" applyBorder="1"/>
    <xf numFmtId="0" fontId="21"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31" fillId="17" borderId="0" xfId="0" applyFont="1" applyFill="1"/>
    <xf numFmtId="0" fontId="30" fillId="0" borderId="0" xfId="0" applyFont="1" applyFill="1"/>
    <xf numFmtId="0" fontId="30" fillId="0" borderId="4" xfId="0" applyFont="1" applyFill="1" applyBorder="1"/>
    <xf numFmtId="0" fontId="31" fillId="0" borderId="0" xfId="0" applyFont="1" applyFill="1"/>
    <xf numFmtId="0" fontId="31" fillId="0" borderId="0" xfId="0" quotePrefix="1" applyFont="1" applyFill="1"/>
    <xf numFmtId="0" fontId="0" fillId="17" borderId="1" xfId="0" applyFill="1" applyBorder="1"/>
    <xf numFmtId="0" fontId="10" fillId="17" borderId="0" xfId="0" applyNumberFormat="1" applyFont="1" applyFill="1" applyBorder="1" applyAlignment="1">
      <alignment horizontal="right"/>
    </xf>
    <xf numFmtId="0" fontId="0" fillId="17" borderId="8" xfId="0" applyFill="1" applyBorder="1"/>
    <xf numFmtId="0" fontId="10" fillId="17" borderId="0" xfId="0" applyFont="1" applyFill="1" applyBorder="1" applyAlignment="1">
      <alignment horizontal="left"/>
    </xf>
    <xf numFmtId="0" fontId="21" fillId="17" borderId="1" xfId="0" applyFont="1" applyFill="1" applyBorder="1"/>
    <xf numFmtId="0" fontId="10" fillId="17" borderId="0" xfId="0" applyFont="1" applyFill="1"/>
    <xf numFmtId="0" fontId="0" fillId="16" borderId="11" xfId="0" applyFill="1" applyBorder="1"/>
    <xf numFmtId="37" fontId="10" fillId="0" borderId="0" xfId="51" applyFont="1"/>
    <xf numFmtId="37" fontId="9" fillId="0" borderId="0" xfId="51"/>
    <xf numFmtId="37" fontId="9" fillId="0" borderId="0" xfId="51" applyFont="1"/>
    <xf numFmtId="37" fontId="0" fillId="0" borderId="0" xfId="51" applyFont="1"/>
    <xf numFmtId="2" fontId="0" fillId="17" borderId="0" xfId="0" applyNumberFormat="1" applyFill="1" applyBorder="1"/>
    <xf numFmtId="2" fontId="10"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5" fillId="17" borderId="0" xfId="0" applyNumberFormat="1" applyFont="1" applyFill="1" applyBorder="1"/>
    <xf numFmtId="0" fontId="15" fillId="17" borderId="0" xfId="0" applyNumberFormat="1" applyFont="1" applyFill="1" applyBorder="1" applyAlignment="1">
      <alignment vertical="top"/>
    </xf>
    <xf numFmtId="0" fontId="21" fillId="0" borderId="1" xfId="0" applyNumberFormat="1" applyFont="1" applyFill="1" applyBorder="1" applyAlignment="1">
      <alignment wrapText="1"/>
    </xf>
    <xf numFmtId="0" fontId="21" fillId="0" borderId="0" xfId="0" applyNumberFormat="1" applyFont="1" applyFill="1" applyBorder="1" applyAlignment="1">
      <alignment wrapText="1"/>
    </xf>
    <xf numFmtId="165" fontId="33" fillId="0" borderId="0" xfId="54" applyNumberFormat="1" applyFont="1" applyFill="1" applyBorder="1" applyAlignment="1">
      <alignment horizontal="right"/>
    </xf>
    <xf numFmtId="0" fontId="0" fillId="17" borderId="0" xfId="4" applyNumberFormat="1" applyFont="1" applyFill="1"/>
    <xf numFmtId="0" fontId="10" fillId="17"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5" fillId="0" borderId="0" xfId="0" applyNumberFormat="1" applyFont="1" applyFill="1"/>
    <xf numFmtId="2" fontId="0" fillId="0" borderId="0" xfId="0" applyNumberFormat="1" applyFont="1" applyFill="1"/>
    <xf numFmtId="0" fontId="10" fillId="17" borderId="0" xfId="4" applyNumberFormat="1" applyFont="1" applyFill="1"/>
    <xf numFmtId="0" fontId="10" fillId="17" borderId="0" xfId="4" applyNumberFormat="1" applyFont="1" applyFill="1" applyBorder="1"/>
    <xf numFmtId="0" fontId="9"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1" fillId="0" borderId="0" xfId="0" applyFont="1"/>
    <xf numFmtId="0" fontId="9" fillId="0" borderId="0" xfId="0" applyFont="1" applyFill="1" applyBorder="1"/>
    <xf numFmtId="168" fontId="42" fillId="0" borderId="0" xfId="37" applyNumberFormat="1" applyFont="1" applyFill="1" applyBorder="1" applyAlignment="1" applyProtection="1">
      <alignment horizontal="left"/>
    </xf>
    <xf numFmtId="0" fontId="22" fillId="0" borderId="0" xfId="0" applyFont="1" applyFill="1" applyBorder="1"/>
    <xf numFmtId="0" fontId="35" fillId="0" borderId="0" xfId="37" applyFont="1" applyFill="1" applyBorder="1" applyAlignment="1" applyProtection="1">
      <alignment horizontal="left" vertical="top" wrapText="1" readingOrder="1"/>
      <protection locked="0"/>
    </xf>
    <xf numFmtId="0" fontId="36" fillId="0" borderId="0" xfId="0" applyFont="1" applyFill="1" applyBorder="1" applyAlignment="1" applyProtection="1">
      <alignment vertical="top" wrapText="1" readingOrder="1"/>
      <protection locked="0"/>
    </xf>
    <xf numFmtId="167" fontId="37" fillId="0" borderId="0" xfId="37" applyNumberFormat="1" applyFont="1" applyFill="1" applyBorder="1" applyAlignment="1" applyProtection="1">
      <alignment horizontal="right" vertical="top" wrapText="1" readingOrder="1"/>
      <protection locked="0"/>
    </xf>
    <xf numFmtId="0" fontId="38" fillId="0" borderId="0" xfId="0" applyFont="1" applyFill="1" applyBorder="1" applyAlignment="1" applyProtection="1">
      <alignment vertical="top" wrapText="1" readingOrder="1"/>
      <protection locked="0"/>
    </xf>
    <xf numFmtId="0" fontId="0" fillId="0" borderId="0" xfId="0" applyFont="1" applyFill="1" applyBorder="1"/>
    <xf numFmtId="167" fontId="39" fillId="0" borderId="0" xfId="37" applyNumberFormat="1" applyFont="1" applyFill="1" applyBorder="1" applyAlignment="1" applyProtection="1">
      <alignment horizontal="right" vertical="top" wrapText="1" readingOrder="1"/>
      <protection locked="0"/>
    </xf>
    <xf numFmtId="0" fontId="38"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44" fillId="0" borderId="0" xfId="58" applyNumberFormat="1" applyFont="1" applyFill="1" applyBorder="1" applyAlignment="1">
      <alignment horizontal="right"/>
    </xf>
    <xf numFmtId="0" fontId="40" fillId="0" borderId="0" xfId="0" applyFont="1" applyFill="1" applyBorder="1"/>
    <xf numFmtId="0" fontId="21" fillId="17" borderId="0" xfId="0" applyFont="1" applyFill="1"/>
    <xf numFmtId="0" fontId="21" fillId="0" borderId="0" xfId="0" applyFont="1" applyFill="1"/>
    <xf numFmtId="0" fontId="0" fillId="17" borderId="0" xfId="0" quotePrefix="1" applyFill="1"/>
    <xf numFmtId="0" fontId="10" fillId="17" borderId="13" xfId="0" applyFont="1" applyFill="1" applyBorder="1"/>
    <xf numFmtId="0" fontId="10" fillId="17" borderId="4" xfId="0" applyFont="1" applyFill="1" applyBorder="1"/>
    <xf numFmtId="0" fontId="0" fillId="17" borderId="4" xfId="0" applyFont="1" applyFill="1" applyBorder="1"/>
    <xf numFmtId="0" fontId="35"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9" fillId="0" borderId="0" xfId="37" applyFill="1" applyBorder="1"/>
    <xf numFmtId="0" fontId="12" fillId="17" borderId="0" xfId="0" applyFont="1" applyFill="1" applyBorder="1"/>
    <xf numFmtId="0" fontId="38" fillId="0" borderId="0" xfId="37"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horizontal="right" vertical="top" wrapText="1" readingOrder="1"/>
      <protection locked="0"/>
    </xf>
    <xf numFmtId="0" fontId="10" fillId="19" borderId="15" xfId="60" applyFont="1" applyFill="1" applyBorder="1" applyProtection="1"/>
    <xf numFmtId="170" fontId="10" fillId="19" borderId="15" xfId="60" applyNumberFormat="1" applyFont="1" applyFill="1" applyBorder="1" applyAlignment="1" applyProtection="1">
      <alignment horizontal="left"/>
    </xf>
    <xf numFmtId="0" fontId="9" fillId="19" borderId="0" xfId="0" applyFont="1" applyFill="1" applyBorder="1"/>
    <xf numFmtId="0" fontId="10" fillId="19" borderId="21" xfId="60" applyFont="1" applyFill="1" applyBorder="1" applyAlignment="1" applyProtection="1">
      <protection locked="0"/>
    </xf>
    <xf numFmtId="0" fontId="10" fillId="19" borderId="16" xfId="60" applyFont="1" applyFill="1" applyBorder="1" applyAlignment="1" applyProtection="1">
      <alignment wrapText="1"/>
    </xf>
    <xf numFmtId="0" fontId="10" fillId="19" borderId="16" xfId="60" applyFont="1" applyFill="1" applyBorder="1" applyAlignment="1" applyProtection="1"/>
    <xf numFmtId="0" fontId="5" fillId="0" borderId="17" xfId="60" applyFill="1" applyBorder="1" applyAlignment="1" applyProtection="1">
      <protection locked="0"/>
    </xf>
    <xf numFmtId="0" fontId="10" fillId="19" borderId="15" xfId="60" applyFont="1" applyFill="1" applyBorder="1" applyAlignment="1" applyProtection="1">
      <alignment horizontal="left"/>
    </xf>
    <xf numFmtId="0" fontId="33" fillId="19" borderId="20" xfId="60" applyFont="1" applyFill="1" applyBorder="1" applyAlignment="1" applyProtection="1">
      <protection locked="0"/>
    </xf>
    <xf numFmtId="167" fontId="36" fillId="0" borderId="0" xfId="37" applyNumberFormat="1" applyFont="1" applyFill="1" applyBorder="1" applyAlignment="1" applyProtection="1">
      <alignment horizontal="right" vertical="top" wrapText="1" readingOrder="1"/>
      <protection locked="0"/>
    </xf>
    <xf numFmtId="0" fontId="11" fillId="17" borderId="0" xfId="0" applyFont="1" applyFill="1" applyBorder="1"/>
    <xf numFmtId="0" fontId="33" fillId="0" borderId="0" xfId="0" applyFont="1" applyFill="1" applyBorder="1" applyAlignment="1" applyProtection="1">
      <alignment vertical="top" wrapText="1" readingOrder="1"/>
      <protection locked="0"/>
    </xf>
    <xf numFmtId="0" fontId="0" fillId="19" borderId="0" xfId="0" applyFont="1" applyFill="1" applyBorder="1"/>
    <xf numFmtId="0" fontId="39" fillId="0" borderId="0" xfId="37" applyFont="1" applyFill="1" applyBorder="1" applyAlignment="1" applyProtection="1">
      <alignment horizontal="right" vertical="top" wrapText="1" readingOrder="1"/>
      <protection locked="0"/>
    </xf>
    <xf numFmtId="0" fontId="35" fillId="0" borderId="0" xfId="37" applyFont="1" applyFill="1" applyBorder="1" applyAlignment="1" applyProtection="1">
      <alignment vertical="top" wrapText="1" readingOrder="1"/>
      <protection locked="0"/>
    </xf>
    <xf numFmtId="0" fontId="38" fillId="0" borderId="0" xfId="37"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167" fontId="36" fillId="0" borderId="0" xfId="37" applyNumberFormat="1"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vertical="top" wrapText="1" readingOrder="1"/>
      <protection locked="0"/>
    </xf>
    <xf numFmtId="167" fontId="36" fillId="0" borderId="0" xfId="37" applyNumberFormat="1" applyFont="1" applyFill="1" applyBorder="1" applyAlignment="1" applyProtection="1">
      <alignment vertical="top" wrapText="1" readingOrder="1"/>
      <protection locked="0"/>
    </xf>
    <xf numFmtId="0" fontId="41" fillId="0" borderId="0" xfId="37" applyFont="1" applyFill="1" applyBorder="1" applyAlignment="1" applyProtection="1">
      <alignment vertical="top" wrapText="1" readingOrder="1"/>
      <protection locked="0"/>
    </xf>
    <xf numFmtId="0" fontId="35" fillId="0" borderId="0" xfId="37" applyFont="1" applyFill="1" applyBorder="1" applyAlignment="1" applyProtection="1">
      <alignment wrapText="1" readingOrder="1"/>
      <protection locked="0"/>
    </xf>
    <xf numFmtId="167" fontId="37" fillId="0" borderId="0" xfId="37" applyNumberFormat="1" applyFont="1" applyAlignment="1" applyProtection="1">
      <alignment horizontal="right" vertical="top" wrapText="1" readingOrder="1"/>
      <protection locked="0"/>
    </xf>
    <xf numFmtId="0" fontId="39" fillId="0" borderId="0" xfId="37" applyFont="1" applyAlignment="1" applyProtection="1">
      <alignment horizontal="right" vertical="top" wrapText="1" readingOrder="1"/>
      <protection locked="0"/>
    </xf>
    <xf numFmtId="167" fontId="39" fillId="0" borderId="0" xfId="37" applyNumberFormat="1" applyFont="1" applyAlignment="1" applyProtection="1">
      <alignment horizontal="right" vertical="top" wrapText="1" readingOrder="1"/>
      <protection locked="0"/>
    </xf>
    <xf numFmtId="0" fontId="39" fillId="0" borderId="4" xfId="37" applyFont="1" applyBorder="1" applyAlignment="1" applyProtection="1">
      <alignment horizontal="right" vertical="top" wrapText="1" readingOrder="1"/>
      <protection locked="0"/>
    </xf>
    <xf numFmtId="0" fontId="39" fillId="0" borderId="0" xfId="37" applyFont="1" applyBorder="1" applyAlignment="1" applyProtection="1">
      <alignment horizontal="right" vertical="top" wrapText="1" readingOrder="1"/>
      <protection locked="0"/>
    </xf>
    <xf numFmtId="0" fontId="35" fillId="0" borderId="0" xfId="37" applyFont="1" applyBorder="1" applyAlignment="1" applyProtection="1">
      <alignment wrapText="1" readingOrder="1"/>
      <protection locked="0"/>
    </xf>
    <xf numFmtId="0" fontId="35"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5" xfId="60" applyFont="1" applyFill="1" applyBorder="1" applyProtection="1">
      <protection locked="0"/>
    </xf>
    <xf numFmtId="0" fontId="38" fillId="0" borderId="4" xfId="37" applyFont="1" applyBorder="1" applyAlignment="1" applyProtection="1">
      <alignment horizontal="right" vertical="top" wrapText="1" readingOrder="1"/>
      <protection locked="0"/>
    </xf>
    <xf numFmtId="0" fontId="38" fillId="0" borderId="0" xfId="37" applyFont="1" applyBorder="1" applyAlignment="1" applyProtection="1">
      <alignment horizontal="right" vertical="top" wrapText="1" readingOrder="1"/>
      <protection locked="0"/>
    </xf>
    <xf numFmtId="0" fontId="45" fillId="17" borderId="0" xfId="0" applyNumberFormat="1" applyFont="1" applyFill="1"/>
    <xf numFmtId="0" fontId="46" fillId="17" borderId="0" xfId="0" applyFont="1" applyFill="1"/>
    <xf numFmtId="0" fontId="46" fillId="17" borderId="0" xfId="0" applyFont="1" applyFill="1" applyAlignment="1">
      <alignment horizontal="right"/>
    </xf>
    <xf numFmtId="10" fontId="9" fillId="17" borderId="0" xfId="4" applyNumberFormat="1" applyFont="1" applyFill="1" applyAlignment="1">
      <alignment horizontal="right"/>
    </xf>
    <xf numFmtId="0" fontId="9" fillId="19" borderId="0" xfId="0" applyFont="1" applyFill="1" applyBorder="1" applyAlignment="1">
      <alignment wrapText="1"/>
    </xf>
    <xf numFmtId="0" fontId="11" fillId="17" borderId="4" xfId="0" applyFont="1" applyFill="1" applyBorder="1"/>
    <xf numFmtId="0" fontId="10" fillId="19" borderId="22"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47" fillId="17" borderId="1" xfId="0" applyFont="1" applyFill="1" applyBorder="1"/>
    <xf numFmtId="0" fontId="47" fillId="17" borderId="0" xfId="0" applyFont="1" applyFill="1"/>
    <xf numFmtId="0" fontId="47" fillId="17" borderId="1" xfId="0" applyNumberFormat="1" applyFont="1" applyFill="1" applyBorder="1" applyAlignment="1">
      <alignment horizontal="left"/>
    </xf>
    <xf numFmtId="165" fontId="48" fillId="17" borderId="0" xfId="54" applyNumberFormat="1" applyFont="1" applyFill="1" applyBorder="1" applyAlignment="1">
      <alignment horizontal="right"/>
    </xf>
    <xf numFmtId="0" fontId="48" fillId="17" borderId="0" xfId="0" applyFont="1" applyFill="1" applyBorder="1"/>
    <xf numFmtId="0" fontId="48" fillId="17" borderId="3" xfId="0" applyFont="1" applyFill="1" applyBorder="1"/>
    <xf numFmtId="0" fontId="48" fillId="17" borderId="4" xfId="0" applyFont="1" applyFill="1" applyBorder="1"/>
    <xf numFmtId="0" fontId="47" fillId="17" borderId="0" xfId="0" applyFont="1" applyFill="1" applyBorder="1"/>
    <xf numFmtId="1" fontId="47" fillId="17" borderId="0" xfId="0" applyNumberFormat="1" applyFont="1" applyFill="1" applyBorder="1" applyAlignment="1">
      <alignment horizontal="left"/>
    </xf>
    <xf numFmtId="0" fontId="47" fillId="17" borderId="0" xfId="0" applyNumberFormat="1" applyFont="1" applyFill="1" applyBorder="1" applyAlignment="1">
      <alignment horizontal="left"/>
    </xf>
    <xf numFmtId="0" fontId="47" fillId="17" borderId="1" xfId="0" applyNumberFormat="1" applyFont="1" applyFill="1" applyBorder="1" applyAlignment="1">
      <alignment wrapText="1"/>
    </xf>
    <xf numFmtId="0" fontId="47" fillId="17" borderId="0" xfId="0" applyNumberFormat="1" applyFont="1" applyFill="1" applyBorder="1" applyAlignment="1">
      <alignment wrapText="1"/>
    </xf>
    <xf numFmtId="1" fontId="47" fillId="17" borderId="1" xfId="0" applyNumberFormat="1" applyFont="1" applyFill="1" applyBorder="1" applyAlignment="1">
      <alignment horizontal="left"/>
    </xf>
    <xf numFmtId="0" fontId="38" fillId="0" borderId="0" xfId="37"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17" borderId="8" xfId="0" applyFont="1" applyFill="1" applyBorder="1"/>
    <xf numFmtId="0" fontId="10" fillId="17" borderId="7" xfId="0" applyFont="1" applyFill="1" applyBorder="1"/>
    <xf numFmtId="0" fontId="50" fillId="0" borderId="25" xfId="60" applyFont="1" applyFill="1" applyBorder="1" applyAlignment="1" applyProtection="1">
      <alignment wrapText="1"/>
      <protection locked="0"/>
    </xf>
    <xf numFmtId="0" fontId="50" fillId="0" borderId="26" xfId="60" applyFont="1" applyFill="1" applyBorder="1" applyAlignment="1" applyProtection="1">
      <alignment wrapText="1"/>
      <protection locked="0"/>
    </xf>
    <xf numFmtId="0" fontId="50" fillId="0" borderId="27" xfId="60" applyFont="1" applyFill="1" applyBorder="1" applyAlignment="1" applyProtection="1">
      <alignment wrapText="1"/>
      <protection locked="0"/>
    </xf>
    <xf numFmtId="0" fontId="50" fillId="0" borderId="23" xfId="60" applyFont="1" applyFill="1" applyBorder="1" applyAlignment="1" applyProtection="1">
      <alignment wrapText="1"/>
      <protection locked="0"/>
    </xf>
    <xf numFmtId="0" fontId="50" fillId="0" borderId="28" xfId="60" applyFont="1" applyFill="1" applyBorder="1" applyAlignment="1" applyProtection="1">
      <alignment wrapText="1"/>
      <protection locked="0"/>
    </xf>
    <xf numFmtId="0" fontId="50" fillId="0" borderId="24" xfId="60" applyFont="1" applyFill="1" applyBorder="1" applyAlignment="1" applyProtection="1">
      <alignment wrapText="1"/>
      <protection locked="0"/>
    </xf>
    <xf numFmtId="0" fontId="50" fillId="0" borderId="29" xfId="60" applyFont="1" applyFill="1" applyBorder="1" applyAlignment="1" applyProtection="1">
      <alignment wrapText="1"/>
      <protection locked="0"/>
    </xf>
    <xf numFmtId="0" fontId="50" fillId="0" borderId="30" xfId="60" applyFont="1" applyFill="1" applyBorder="1" applyAlignment="1" applyProtection="1">
      <alignment vertical="top" wrapText="1"/>
      <protection locked="0"/>
    </xf>
    <xf numFmtId="0" fontId="10" fillId="17" borderId="31" xfId="0" applyFont="1" applyFill="1" applyBorder="1"/>
    <xf numFmtId="0" fontId="50" fillId="0" borderId="32" xfId="60" applyFont="1" applyFill="1" applyBorder="1" applyAlignment="1" applyProtection="1">
      <alignment wrapText="1"/>
      <protection locked="0"/>
    </xf>
    <xf numFmtId="0" fontId="50" fillId="0" borderId="33" xfId="60" applyFont="1" applyFill="1" applyBorder="1" applyAlignment="1" applyProtection="1">
      <alignment vertical="top" wrapText="1"/>
      <protection locked="0"/>
    </xf>
    <xf numFmtId="0" fontId="0" fillId="19" borderId="0" xfId="0" applyFill="1"/>
    <xf numFmtId="0" fontId="50" fillId="0" borderId="31" xfId="60" applyFont="1" applyFill="1" applyBorder="1" applyAlignment="1" applyProtection="1">
      <alignment wrapText="1"/>
      <protection locked="0"/>
    </xf>
    <xf numFmtId="0" fontId="50" fillId="0" borderId="35" xfId="60" applyFont="1" applyFill="1" applyBorder="1" applyAlignment="1" applyProtection="1">
      <alignment wrapText="1"/>
      <protection locked="0"/>
    </xf>
    <xf numFmtId="0" fontId="0" fillId="0" borderId="34" xfId="0" applyBorder="1" applyAlignment="1">
      <alignment horizontal="center"/>
    </xf>
    <xf numFmtId="0" fontId="49"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4" fillId="0" borderId="15" xfId="60" applyFont="1" applyFill="1" applyBorder="1" applyAlignment="1" applyProtection="1">
      <alignment wrapText="1"/>
      <protection locked="0"/>
    </xf>
    <xf numFmtId="0" fontId="50" fillId="0" borderId="0" xfId="0" applyFont="1"/>
    <xf numFmtId="0" fontId="0" fillId="22" borderId="0" xfId="0" applyFill="1"/>
    <xf numFmtId="0" fontId="31" fillId="22" borderId="0" xfId="0" quotePrefix="1" applyFont="1" applyFill="1"/>
    <xf numFmtId="0" fontId="0" fillId="22" borderId="1" xfId="0" applyFill="1" applyBorder="1"/>
    <xf numFmtId="0" fontId="0" fillId="22" borderId="0" xfId="0" applyFill="1" applyBorder="1"/>
    <xf numFmtId="0" fontId="0" fillId="22" borderId="0" xfId="0" applyFont="1" applyFill="1" applyBorder="1"/>
    <xf numFmtId="0" fontId="0" fillId="22" borderId="2" xfId="0" applyFill="1" applyBorder="1"/>
    <xf numFmtId="0" fontId="0" fillId="22" borderId="3" xfId="0" applyFill="1" applyBorder="1"/>
    <xf numFmtId="0" fontId="0" fillId="22" borderId="4" xfId="0" applyFill="1" applyBorder="1"/>
    <xf numFmtId="0" fontId="0" fillId="22" borderId="5" xfId="0" applyFill="1" applyBorder="1"/>
    <xf numFmtId="43" fontId="18" fillId="22" borderId="6" xfId="54" applyNumberFormat="1" applyFont="1" applyFill="1" applyBorder="1"/>
    <xf numFmtId="43" fontId="32" fillId="22" borderId="6" xfId="54" applyNumberFormat="1" applyFont="1" applyFill="1" applyBorder="1" applyAlignment="1">
      <alignment horizontal="center"/>
    </xf>
    <xf numFmtId="0" fontId="17" fillId="22" borderId="6" xfId="0" applyFont="1" applyFill="1" applyBorder="1" applyAlignment="1">
      <alignment horizontal="center"/>
    </xf>
    <xf numFmtId="0" fontId="9" fillId="22" borderId="0" xfId="0" applyFont="1" applyFill="1" applyAlignment="1">
      <alignment vertical="top" wrapText="1"/>
    </xf>
    <xf numFmtId="43" fontId="16" fillId="22" borderId="6" xfId="54" applyNumberFormat="1" applyFont="1" applyFill="1" applyBorder="1" applyAlignment="1">
      <alignment horizontal="center"/>
    </xf>
    <xf numFmtId="0" fontId="16" fillId="22" borderId="6" xfId="0" applyFont="1" applyFill="1" applyBorder="1" applyAlignment="1">
      <alignment horizontal="center"/>
    </xf>
    <xf numFmtId="43" fontId="9" fillId="22" borderId="0" xfId="54" applyNumberFormat="1" applyFont="1" applyFill="1" applyBorder="1" applyAlignment="1">
      <alignment vertical="center" textRotation="90"/>
    </xf>
    <xf numFmtId="43" fontId="16" fillId="22" borderId="14" xfId="54" applyNumberFormat="1" applyFont="1" applyFill="1" applyBorder="1" applyAlignment="1">
      <alignment horizontal="center"/>
    </xf>
    <xf numFmtId="0" fontId="9" fillId="22" borderId="0" xfId="0" applyFont="1" applyFill="1" applyBorder="1" applyAlignment="1">
      <alignment horizontal="center" vertical="center" textRotation="90"/>
    </xf>
    <xf numFmtId="0" fontId="16" fillId="22" borderId="0" xfId="0" applyFont="1" applyFill="1" applyBorder="1" applyAlignment="1">
      <alignment horizontal="center"/>
    </xf>
    <xf numFmtId="2" fontId="0" fillId="22" borderId="0" xfId="0" applyNumberFormat="1" applyFill="1" applyBorder="1" applyAlignment="1">
      <alignment horizontal="center"/>
    </xf>
    <xf numFmtId="2" fontId="0" fillId="22" borderId="0" xfId="0" applyNumberFormat="1" applyFill="1" applyBorder="1" applyAlignment="1"/>
    <xf numFmtId="0" fontId="0" fillId="22" borderId="0" xfId="0" applyFill="1" applyBorder="1" applyAlignment="1">
      <alignment horizontal="center"/>
    </xf>
    <xf numFmtId="0" fontId="9" fillId="22" borderId="0" xfId="0" applyFont="1" applyFill="1" applyBorder="1" applyAlignment="1">
      <alignment horizontal="center"/>
    </xf>
    <xf numFmtId="0" fontId="9" fillId="22" borderId="4" xfId="0" applyFont="1" applyFill="1" applyBorder="1" applyAlignment="1">
      <alignment vertical="top" wrapText="1"/>
    </xf>
    <xf numFmtId="0" fontId="0" fillId="22" borderId="1" xfId="0" applyFont="1" applyFill="1" applyBorder="1"/>
    <xf numFmtId="10" fontId="0" fillId="22" borderId="0" xfId="0" applyNumberFormat="1" applyFont="1" applyFill="1"/>
    <xf numFmtId="0" fontId="0" fillId="22" borderId="0" xfId="0" applyFont="1" applyFill="1"/>
    <xf numFmtId="0" fontId="0" fillId="22" borderId="3" xfId="0" applyFont="1" applyFill="1" applyBorder="1"/>
    <xf numFmtId="0" fontId="0" fillId="22" borderId="4" xfId="0" applyFont="1" applyFill="1" applyBorder="1"/>
    <xf numFmtId="0" fontId="0" fillId="22" borderId="7" xfId="0" applyFill="1" applyBorder="1"/>
    <xf numFmtId="43" fontId="51" fillId="22" borderId="6" xfId="54" applyNumberFormat="1" applyFont="1" applyFill="1" applyBorder="1"/>
    <xf numFmtId="43" fontId="51" fillId="22" borderId="6" xfId="54" applyNumberFormat="1" applyFont="1" applyFill="1" applyBorder="1" applyAlignment="1"/>
    <xf numFmtId="0" fontId="52" fillId="22" borderId="0" xfId="0" applyFont="1" applyFill="1"/>
    <xf numFmtId="0" fontId="52" fillId="22" borderId="0" xfId="0" applyFont="1" applyFill="1" applyAlignment="1">
      <alignment horizontal="left"/>
    </xf>
    <xf numFmtId="0" fontId="55" fillId="22" borderId="0" xfId="0" quotePrefix="1" applyFont="1" applyFill="1"/>
    <xf numFmtId="43" fontId="56" fillId="22" borderId="6" xfId="54" applyNumberFormat="1" applyFont="1" applyFill="1" applyBorder="1"/>
    <xf numFmtId="0" fontId="52" fillId="22" borderId="0" xfId="0" applyFont="1" applyFill="1" applyAlignment="1">
      <alignment vertical="top" wrapText="1"/>
    </xf>
    <xf numFmtId="43" fontId="52" fillId="22" borderId="6" xfId="54" applyNumberFormat="1" applyFont="1" applyFill="1" applyBorder="1"/>
    <xf numFmtId="43" fontId="52" fillId="22" borderId="6" xfId="54" applyNumberFormat="1" applyFont="1" applyFill="1" applyBorder="1" applyAlignment="1"/>
    <xf numFmtId="43" fontId="52" fillId="22" borderId="0" xfId="54" applyNumberFormat="1" applyFont="1" applyFill="1"/>
    <xf numFmtId="43" fontId="52" fillId="22" borderId="6" xfId="54" applyNumberFormat="1" applyFont="1" applyFill="1" applyBorder="1" applyAlignment="1">
      <alignment horizontal="center"/>
    </xf>
    <xf numFmtId="43" fontId="52" fillId="22" borderId="38" xfId="54" applyNumberFormat="1" applyFont="1" applyFill="1" applyBorder="1"/>
    <xf numFmtId="0" fontId="54" fillId="22" borderId="0" xfId="0" applyFont="1" applyFill="1"/>
    <xf numFmtId="0" fontId="54" fillId="22" borderId="0" xfId="0" applyFont="1" applyFill="1" applyAlignment="1"/>
    <xf numFmtId="0" fontId="52" fillId="22" borderId="0" xfId="0" applyFont="1" applyFill="1" applyAlignment="1"/>
    <xf numFmtId="0" fontId="60" fillId="22" borderId="0" xfId="0" applyFont="1" applyFill="1" applyAlignment="1"/>
    <xf numFmtId="0" fontId="52" fillId="22" borderId="0" xfId="0" applyFont="1" applyFill="1" applyAlignment="1">
      <alignment horizontal="center"/>
    </xf>
    <xf numFmtId="2" fontId="52" fillId="22" borderId="0" xfId="0" applyNumberFormat="1" applyFont="1" applyFill="1" applyAlignment="1">
      <alignment horizontal="center"/>
    </xf>
    <xf numFmtId="0" fontId="62" fillId="22" borderId="0" xfId="0" applyFont="1" applyFill="1"/>
    <xf numFmtId="2" fontId="61" fillId="22" borderId="0" xfId="0" applyNumberFormat="1" applyFont="1" applyFill="1" applyAlignment="1"/>
    <xf numFmtId="0" fontId="63" fillId="22" borderId="0" xfId="0" applyFont="1" applyFill="1"/>
    <xf numFmtId="0" fontId="3" fillId="0" borderId="16" xfId="60" applyFont="1" applyFill="1" applyBorder="1" applyAlignment="1" applyProtection="1">
      <protection locked="0"/>
    </xf>
    <xf numFmtId="0" fontId="54" fillId="22" borderId="0" xfId="0" applyFont="1" applyFill="1" applyAlignment="1">
      <alignment horizontal="left"/>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43" fontId="57" fillId="22" borderId="0" xfId="54" applyNumberFormat="1" applyFont="1" applyFill="1" applyBorder="1" applyAlignment="1">
      <alignment vertical="center" textRotation="90"/>
    </xf>
    <xf numFmtId="43" fontId="52" fillId="22" borderId="14" xfId="54" applyNumberFormat="1" applyFont="1" applyFill="1" applyBorder="1"/>
    <xf numFmtId="43" fontId="52" fillId="22" borderId="14" xfId="54" applyNumberFormat="1" applyFont="1" applyFill="1" applyBorder="1" applyAlignment="1"/>
    <xf numFmtId="43" fontId="0" fillId="22" borderId="0" xfId="54" applyNumberFormat="1" applyFont="1" applyFill="1" applyBorder="1"/>
    <xf numFmtId="43" fontId="16" fillId="22" borderId="0" xfId="54" applyNumberFormat="1" applyFont="1" applyFill="1" applyBorder="1" applyAlignment="1">
      <alignment horizontal="center"/>
    </xf>
    <xf numFmtId="43" fontId="0" fillId="22" borderId="0" xfId="54" applyNumberFormat="1" applyFont="1" applyFill="1" applyBorder="1" applyAlignment="1"/>
    <xf numFmtId="0" fontId="9" fillId="0" borderId="0" xfId="0" applyFont="1" applyAlignment="1">
      <alignment horizontal="left"/>
    </xf>
    <xf numFmtId="0" fontId="9" fillId="0" borderId="0" xfId="5" applyFont="1" applyAlignment="1">
      <alignment horizontal="center"/>
    </xf>
    <xf numFmtId="0" fontId="25" fillId="0" borderId="0" xfId="0" applyFont="1"/>
    <xf numFmtId="0" fontId="0" fillId="0" borderId="0" xfId="0" applyAlignment="1">
      <alignment horizontal="left"/>
    </xf>
    <xf numFmtId="2" fontId="0" fillId="22" borderId="0" xfId="4" applyNumberFormat="1" applyFont="1" applyFill="1" applyAlignment="1">
      <alignment horizontal="left" vertical="top"/>
    </xf>
    <xf numFmtId="0" fontId="0" fillId="22" borderId="0" xfId="0" applyFill="1" applyBorder="1" applyAlignment="1">
      <alignment horizontal="center"/>
    </xf>
    <xf numFmtId="2" fontId="52" fillId="22" borderId="0" xfId="52" applyNumberFormat="1" applyFont="1" applyFill="1" applyAlignment="1">
      <alignment horizontal="right"/>
    </xf>
    <xf numFmtId="2" fontId="52" fillId="22" borderId="0" xfId="52" applyNumberFormat="1" applyFont="1" applyFill="1" applyAlignment="1">
      <alignment horizontal="center"/>
    </xf>
    <xf numFmtId="1" fontId="52" fillId="22" borderId="0" xfId="0" applyNumberFormat="1" applyFont="1" applyFill="1" applyAlignment="1">
      <alignment horizontal="center"/>
    </xf>
    <xf numFmtId="0" fontId="52" fillId="22" borderId="0" xfId="0" applyFont="1" applyFill="1" applyAlignment="1">
      <alignment horizontal="center"/>
    </xf>
    <xf numFmtId="0" fontId="52" fillId="22" borderId="0" xfId="0" applyFont="1" applyFill="1" applyAlignment="1">
      <alignment horizontal="left"/>
    </xf>
    <xf numFmtId="0" fontId="54" fillId="22" borderId="0" xfId="0" applyFont="1" applyFill="1" applyAlignment="1">
      <alignment horizontal="left"/>
    </xf>
    <xf numFmtId="0" fontId="60" fillId="22" borderId="0" xfId="0" applyFont="1" applyFill="1" applyAlignment="1">
      <alignment horizontal="center"/>
    </xf>
    <xf numFmtId="0" fontId="54" fillId="22" borderId="0" xfId="0" applyFont="1" applyFill="1" applyAlignment="1">
      <alignment horizontal="center"/>
    </xf>
    <xf numFmtId="2" fontId="54" fillId="22" borderId="0" xfId="4" applyNumberFormat="1" applyFont="1" applyFill="1" applyAlignment="1">
      <alignment horizontal="center"/>
    </xf>
    <xf numFmtId="0" fontId="52" fillId="22" borderId="8" xfId="0" applyFont="1" applyFill="1" applyBorder="1" applyAlignment="1">
      <alignment horizontal="left"/>
    </xf>
    <xf numFmtId="0" fontId="52" fillId="22" borderId="9" xfId="0" applyFont="1" applyFill="1" applyBorder="1" applyAlignment="1">
      <alignment horizontal="left"/>
    </xf>
    <xf numFmtId="0" fontId="52" fillId="22" borderId="7" xfId="0" applyFont="1" applyFill="1" applyBorder="1" applyAlignment="1">
      <alignment horizontal="left"/>
    </xf>
    <xf numFmtId="0" fontId="53" fillId="20" borderId="1" xfId="0" applyFont="1" applyFill="1" applyBorder="1" applyAlignment="1" applyProtection="1">
      <alignment horizontal="center" vertical="center" wrapText="1"/>
      <protection locked="0"/>
    </xf>
    <xf numFmtId="0" fontId="53" fillId="20" borderId="0" xfId="0" applyFont="1" applyFill="1" applyBorder="1" applyAlignment="1" applyProtection="1">
      <alignment horizontal="center" vertical="center" wrapText="1"/>
      <protection locked="0"/>
    </xf>
    <xf numFmtId="0" fontId="53" fillId="20" borderId="2" xfId="0" applyFont="1" applyFill="1" applyBorder="1" applyAlignment="1" applyProtection="1">
      <alignment horizontal="center" vertical="center" wrapText="1"/>
      <protection locked="0"/>
    </xf>
    <xf numFmtId="0" fontId="54" fillId="22" borderId="3" xfId="0" applyFont="1" applyFill="1" applyBorder="1" applyAlignment="1" applyProtection="1">
      <alignment horizontal="center" vertical="center" wrapText="1"/>
      <protection locked="0"/>
    </xf>
    <xf numFmtId="0" fontId="54" fillId="22" borderId="4" xfId="0" applyFont="1" applyFill="1" applyBorder="1" applyAlignment="1" applyProtection="1">
      <alignment horizontal="center" vertical="center" wrapText="1"/>
      <protection locked="0"/>
    </xf>
    <xf numFmtId="0" fontId="54" fillId="22" borderId="5" xfId="0" applyFont="1" applyFill="1" applyBorder="1" applyAlignment="1" applyProtection="1">
      <alignment horizontal="center" vertical="center" wrapText="1"/>
      <protection locked="0"/>
    </xf>
    <xf numFmtId="0" fontId="52" fillId="22" borderId="1" xfId="0" applyFont="1" applyFill="1" applyBorder="1" applyAlignment="1" applyProtection="1">
      <alignment horizontal="left" vertical="center" wrapText="1"/>
      <protection locked="0"/>
    </xf>
    <xf numFmtId="0" fontId="52" fillId="22" borderId="0" xfId="0" applyFont="1" applyFill="1" applyBorder="1" applyAlignment="1" applyProtection="1">
      <alignment horizontal="left" vertical="center" wrapText="1"/>
      <protection locked="0"/>
    </xf>
    <xf numFmtId="0" fontId="52" fillId="22"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56" fillId="22" borderId="6" xfId="54" applyNumberFormat="1" applyFont="1" applyFill="1" applyBorder="1" applyAlignment="1">
      <alignment horizontal="center"/>
    </xf>
    <xf numFmtId="0" fontId="10" fillId="22" borderId="8" xfId="0" applyFont="1" applyFill="1" applyBorder="1" applyAlignment="1">
      <alignment horizontal="left" vertical="top"/>
    </xf>
    <xf numFmtId="0" fontId="10" fillId="22" borderId="9" xfId="0" applyFont="1" applyFill="1" applyBorder="1" applyAlignment="1">
      <alignment horizontal="left" vertical="top"/>
    </xf>
    <xf numFmtId="0" fontId="10" fillId="22" borderId="7" xfId="0" applyFont="1" applyFill="1" applyBorder="1" applyAlignment="1">
      <alignment horizontal="left" vertical="top"/>
    </xf>
    <xf numFmtId="0" fontId="10" fillId="22" borderId="1" xfId="0" applyFont="1" applyFill="1" applyBorder="1" applyAlignment="1">
      <alignment horizontal="left" vertical="top"/>
    </xf>
    <xf numFmtId="0" fontId="10" fillId="22" borderId="0" xfId="0" applyFont="1" applyFill="1" applyBorder="1" applyAlignment="1">
      <alignment horizontal="left" vertical="top"/>
    </xf>
    <xf numFmtId="0" fontId="10" fillId="22" borderId="2" xfId="0" applyFont="1" applyFill="1" applyBorder="1" applyAlignment="1">
      <alignment horizontal="left" vertical="top"/>
    </xf>
    <xf numFmtId="0" fontId="12" fillId="22" borderId="4" xfId="0" applyFont="1" applyFill="1" applyBorder="1" applyAlignment="1">
      <alignment horizontal="center"/>
    </xf>
    <xf numFmtId="1" fontId="11" fillId="22" borderId="4" xfId="4" applyNumberFormat="1" applyFont="1" applyFill="1" applyBorder="1" applyAlignment="1">
      <alignment horizontal="center"/>
    </xf>
    <xf numFmtId="0" fontId="0" fillId="22" borderId="4" xfId="0" applyFont="1" applyFill="1" applyBorder="1" applyAlignment="1">
      <alignment horizontal="center"/>
    </xf>
    <xf numFmtId="0" fontId="53" fillId="20" borderId="0" xfId="0" applyFont="1" applyFill="1" applyAlignment="1" applyProtection="1">
      <alignment horizontal="left" vertical="top" wrapText="1"/>
      <protection locked="0"/>
    </xf>
    <xf numFmtId="2" fontId="0" fillId="22" borderId="0" xfId="0" applyNumberFormat="1" applyFill="1" applyBorder="1" applyAlignment="1">
      <alignment horizontal="center"/>
    </xf>
    <xf numFmtId="0" fontId="52" fillId="22" borderId="0" xfId="0" applyFont="1" applyFill="1" applyAlignment="1">
      <alignment horizontal="left" vertical="top" wrapText="1"/>
    </xf>
    <xf numFmtId="0" fontId="52" fillId="22" borderId="0" xfId="0" quotePrefix="1" applyNumberFormat="1" applyFont="1" applyFill="1" applyAlignment="1">
      <alignment horizontal="center"/>
    </xf>
    <xf numFmtId="0" fontId="58" fillId="21" borderId="0" xfId="0" applyFont="1" applyFill="1" applyAlignment="1">
      <alignment horizontal="center" vertical="center"/>
    </xf>
    <xf numFmtId="43" fontId="52" fillId="22" borderId="14" xfId="54" applyNumberFormat="1" applyFont="1" applyFill="1" applyBorder="1" applyAlignment="1">
      <alignment horizontal="center"/>
    </xf>
    <xf numFmtId="164" fontId="52" fillId="22" borderId="6" xfId="54" applyNumberFormat="1" applyFont="1" applyFill="1" applyBorder="1" applyAlignment="1">
      <alignment horizontal="center"/>
    </xf>
    <xf numFmtId="43" fontId="52" fillId="22" borderId="6" xfId="54" applyNumberFormat="1" applyFont="1" applyFill="1" applyBorder="1" applyAlignment="1">
      <alignment horizontal="center"/>
    </xf>
    <xf numFmtId="43" fontId="9" fillId="22" borderId="0" xfId="54" applyNumberFormat="1" applyFont="1" applyFill="1" applyBorder="1" applyAlignment="1">
      <alignment horizontal="center"/>
    </xf>
    <xf numFmtId="164" fontId="52" fillId="22" borderId="14" xfId="54" applyNumberFormat="1" applyFont="1" applyFill="1" applyBorder="1" applyAlignment="1">
      <alignment horizontal="center"/>
    </xf>
    <xf numFmtId="164" fontId="0" fillId="22" borderId="0" xfId="54" applyNumberFormat="1" applyFont="1" applyFill="1" applyBorder="1" applyAlignment="1">
      <alignment horizontal="center"/>
    </xf>
    <xf numFmtId="43" fontId="57" fillId="22" borderId="14" xfId="54" applyNumberFormat="1" applyFont="1" applyFill="1" applyBorder="1" applyAlignment="1">
      <alignment horizontal="center" vertical="center" textRotation="90"/>
    </xf>
    <xf numFmtId="43" fontId="57" fillId="22" borderId="0" xfId="54" applyNumberFormat="1" applyFont="1" applyFill="1" applyBorder="1" applyAlignment="1">
      <alignment horizontal="center" vertical="center" textRotation="90"/>
    </xf>
    <xf numFmtId="0" fontId="59" fillId="21" borderId="0" xfId="0" applyFont="1" applyFill="1" applyAlignment="1">
      <alignment horizontal="center" vertical="center"/>
    </xf>
    <xf numFmtId="0" fontId="10" fillId="22" borderId="9" xfId="0" applyFont="1" applyFill="1" applyBorder="1" applyAlignment="1">
      <alignment horizontal="left" vertical="center" wrapText="1"/>
    </xf>
    <xf numFmtId="0" fontId="10" fillId="22" borderId="7" xfId="0" applyFont="1" applyFill="1" applyBorder="1" applyAlignment="1">
      <alignment horizontal="left" vertical="center" wrapText="1"/>
    </xf>
    <xf numFmtId="0" fontId="10" fillId="22" borderId="0" xfId="0" applyFont="1" applyFill="1" applyBorder="1" applyAlignment="1">
      <alignment horizontal="left" vertical="center" wrapText="1"/>
    </xf>
    <xf numFmtId="0" fontId="10" fillId="22" borderId="2" xfId="0" applyFont="1" applyFill="1" applyBorder="1" applyAlignment="1">
      <alignment horizontal="left" vertical="center" wrapText="1"/>
    </xf>
    <xf numFmtId="0" fontId="10" fillId="22" borderId="8" xfId="0" applyFont="1" applyFill="1" applyBorder="1" applyAlignment="1">
      <alignment horizontal="center" vertical="center"/>
    </xf>
    <xf numFmtId="0" fontId="10" fillId="22" borderId="9" xfId="0" applyFont="1" applyFill="1" applyBorder="1" applyAlignment="1">
      <alignment horizontal="center" vertical="center"/>
    </xf>
    <xf numFmtId="0" fontId="10" fillId="22" borderId="1" xfId="0" applyFont="1" applyFill="1" applyBorder="1" applyAlignment="1">
      <alignment horizontal="center" vertical="center"/>
    </xf>
    <xf numFmtId="0" fontId="10" fillId="22" borderId="0" xfId="0" applyFont="1" applyFill="1" applyBorder="1" applyAlignment="1">
      <alignment horizontal="center" vertical="center"/>
    </xf>
    <xf numFmtId="43" fontId="0" fillId="22" borderId="0" xfId="54" applyNumberFormat="1" applyFont="1" applyFill="1" applyBorder="1" applyAlignment="1">
      <alignment horizontal="center"/>
    </xf>
    <xf numFmtId="0" fontId="54" fillId="20" borderId="1" xfId="0" applyFont="1" applyFill="1" applyBorder="1" applyAlignment="1" applyProtection="1">
      <alignment horizontal="center" vertical="center" wrapText="1"/>
      <protection locked="0"/>
    </xf>
    <xf numFmtId="0" fontId="54" fillId="20" borderId="0" xfId="0" applyFont="1" applyFill="1" applyBorder="1" applyAlignment="1" applyProtection="1">
      <alignment horizontal="center" vertical="center" wrapText="1"/>
      <protection locked="0"/>
    </xf>
    <xf numFmtId="0" fontId="54" fillId="20" borderId="2" xfId="0" applyFont="1" applyFill="1" applyBorder="1" applyAlignment="1" applyProtection="1">
      <alignment horizontal="center" vertical="center" wrapText="1"/>
      <protection locked="0"/>
    </xf>
    <xf numFmtId="2" fontId="54" fillId="22" borderId="0" xfId="4" applyNumberFormat="1" applyFont="1" applyFill="1" applyAlignment="1">
      <alignment horizontal="right"/>
    </xf>
    <xf numFmtId="166" fontId="0" fillId="22" borderId="0" xfId="54" applyNumberFormat="1" applyFont="1" applyFill="1" applyAlignment="1">
      <alignment horizontal="center"/>
    </xf>
    <xf numFmtId="0" fontId="61" fillId="22" borderId="0" xfId="0" quotePrefix="1" applyNumberFormat="1" applyFont="1" applyFill="1" applyAlignment="1">
      <alignment horizontal="center"/>
    </xf>
    <xf numFmtId="0" fontId="21" fillId="17" borderId="1" xfId="0" applyNumberFormat="1" applyFont="1" applyFill="1" applyBorder="1" applyAlignment="1">
      <alignment horizontal="left" wrapText="1"/>
    </xf>
    <xf numFmtId="0" fontId="21" fillId="17" borderId="0" xfId="0" applyNumberFormat="1" applyFont="1" applyFill="1" applyBorder="1" applyAlignment="1">
      <alignment horizontal="left" wrapText="1"/>
    </xf>
    <xf numFmtId="0" fontId="47" fillId="17" borderId="1" xfId="0" applyFont="1" applyFill="1" applyBorder="1" applyAlignment="1">
      <alignment horizontal="left" vertical="top" wrapText="1"/>
    </xf>
    <xf numFmtId="0" fontId="47" fillId="17" borderId="0" xfId="0" applyFont="1" applyFill="1" applyBorder="1" applyAlignment="1">
      <alignment horizontal="left" vertical="top" wrapText="1"/>
    </xf>
    <xf numFmtId="0" fontId="47" fillId="17" borderId="2" xfId="0" applyFont="1" applyFill="1" applyBorder="1" applyAlignment="1">
      <alignment horizontal="left" vertical="top" wrapText="1"/>
    </xf>
    <xf numFmtId="0" fontId="10" fillId="19" borderId="18" xfId="60" applyFont="1" applyFill="1" applyBorder="1" applyAlignment="1" applyProtection="1">
      <alignment horizontal="left" vertical="center" wrapText="1"/>
    </xf>
    <xf numFmtId="0" fontId="10" fillId="19" borderId="19" xfId="60" applyFont="1" applyFill="1" applyBorder="1" applyAlignment="1" applyProtection="1">
      <alignment horizontal="left" vertical="center" wrapText="1"/>
    </xf>
    <xf numFmtId="167" fontId="36"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color theme="0"/>
      </font>
      <fill>
        <patternFill>
          <bgColor theme="7" tint="0.39994506668294322"/>
        </patternFill>
      </fill>
    </dxf>
    <dxf>
      <font>
        <color theme="0"/>
      </font>
      <fill>
        <patternFill>
          <bgColor theme="7" tint="0.39994506668294322"/>
        </patternFill>
      </fill>
    </dxf>
    <dxf>
      <font>
        <b val="0"/>
        <i val="0"/>
        <color auto="1"/>
      </font>
      <numFmt numFmtId="0" formatCode="General"/>
      <fill>
        <patternFill patternType="solid">
          <bgColor rgb="FFF8F8F8"/>
        </patternFill>
      </fill>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00B050"/>
      </font>
      <fill>
        <patternFill>
          <fgColor auto="1"/>
          <bgColor theme="7" tint="-0.24994659260841701"/>
        </patternFill>
      </fill>
      <border>
        <left style="thin">
          <color rgb="FF336600"/>
        </left>
        <right style="thin">
          <color rgb="FF336600"/>
        </right>
        <top style="thin">
          <color rgb="FF336600"/>
        </top>
        <bottom style="thin">
          <color rgb="FF33660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6600"/>
        </left>
        <right style="thin">
          <color rgb="FFFF6600"/>
        </right>
        <top style="thin">
          <color rgb="FFFF6600"/>
        </top>
        <bottom style="thin">
          <color rgb="FFFF66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CF305"/>
      <color rgb="FFFF9900"/>
      <color rgb="FFFF6600"/>
      <color rgb="FF336600"/>
      <color rgb="FFFFFF00"/>
      <color rgb="FFFFCC00"/>
      <color rgb="FF008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38"/>
        </c:manualLayout>
      </c:layout>
      <c:barChart>
        <c:barDir val="col"/>
        <c:grouping val="clustered"/>
        <c:varyColors val="0"/>
        <c:ser>
          <c:idx val="0"/>
          <c:order val="0"/>
          <c:tx>
            <c:strRef>
              <c:f>Profile!$E$32</c:f>
              <c:strCache>
                <c:ptCount val="1"/>
                <c:pt idx="0">
                  <c:v>Top Quartile</c:v>
                </c:pt>
              </c:strCache>
            </c:strRef>
          </c:tx>
          <c:spPr>
            <a:solidFill>
              <a:schemeClr val="accent4">
                <a:lumMod val="75000"/>
                <a:alpha val="50000"/>
              </a:schemeClr>
            </a:solidFill>
            <a:ln w="38100">
              <a:solidFill>
                <a:srgbClr val="00B050"/>
              </a:solidFill>
            </a:ln>
          </c:spPr>
          <c:invertIfNegative val="0"/>
          <c:cat>
            <c:strRef>
              <c:f>[0]!Marker</c:f>
              <c:strCache>
                <c:ptCount val="16"/>
                <c:pt idx="15">
                  <c:v>u</c:v>
                </c:pt>
              </c:strCache>
            </c:strRef>
          </c:cat>
          <c:val>
            <c:numRef>
              <c:f>[0]!TopQuart</c:f>
              <c:numCache>
                <c:formatCode>General</c:formatCode>
                <c:ptCount val="27"/>
                <c:pt idx="0">
                  <c:v>30.572479096813858</c:v>
                </c:pt>
                <c:pt idx="1">
                  <c:v>27.360615780317239</c:v>
                </c:pt>
                <c:pt idx="2">
                  <c:v>20.569845842883787</c:v>
                </c:pt>
                <c:pt idx="3">
                  <c:v>20.423132463684833</c:v>
                </c:pt>
                <c:pt idx="4">
                  <c:v>19.776634494001861</c:v>
                </c:pt>
                <c:pt idx="5">
                  <c:v>19.764917133210222</c:v>
                </c:pt>
                <c:pt idx="6">
                  <c:v>18.924173536281611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6C79-456B-9B67-7B15E62372E8}"/>
            </c:ext>
          </c:extLst>
        </c:ser>
        <c:ser>
          <c:idx val="1"/>
          <c:order val="1"/>
          <c:tx>
            <c:strRef>
              <c:f>Profile!$N$32</c:f>
              <c:strCache>
                <c:ptCount val="1"/>
                <c:pt idx="0">
                  <c:v>2nd Quartile</c:v>
                </c:pt>
              </c:strCache>
            </c:strRef>
          </c:tx>
          <c:spPr>
            <a:solidFill>
              <a:schemeClr val="accent4">
                <a:lumMod val="60000"/>
                <a:lumOff val="40000"/>
                <a:alpha val="50000"/>
              </a:schemeClr>
            </a:solidFill>
            <a:ln w="31750">
              <a:solidFill>
                <a:srgbClr val="FFFF99"/>
              </a:solidFill>
            </a:ln>
          </c:spPr>
          <c:invertIfNegative val="0"/>
          <c:cat>
            <c:strRef>
              <c:f>[0]!Marker</c:f>
              <c:strCache>
                <c:ptCount val="16"/>
                <c:pt idx="15">
                  <c:v>u</c:v>
                </c:pt>
              </c:strCache>
            </c:strRef>
          </c:cat>
          <c:val>
            <c:numRef>
              <c:f>[0]!SecQuart</c:f>
              <c:numCache>
                <c:formatCode>General</c:formatCode>
                <c:ptCount val="27"/>
                <c:pt idx="0">
                  <c:v>0</c:v>
                </c:pt>
                <c:pt idx="1">
                  <c:v>0</c:v>
                </c:pt>
                <c:pt idx="2">
                  <c:v>0</c:v>
                </c:pt>
                <c:pt idx="3">
                  <c:v>0</c:v>
                </c:pt>
                <c:pt idx="4">
                  <c:v>0</c:v>
                </c:pt>
                <c:pt idx="5">
                  <c:v>0</c:v>
                </c:pt>
                <c:pt idx="6">
                  <c:v>0</c:v>
                </c:pt>
                <c:pt idx="7">
                  <c:v>18.584095297011689</c:v>
                </c:pt>
                <c:pt idx="8">
                  <c:v>18.088342558486225</c:v>
                </c:pt>
                <c:pt idx="9">
                  <c:v>18.082494954980437</c:v>
                </c:pt>
                <c:pt idx="10">
                  <c:v>17.595316909409966</c:v>
                </c:pt>
                <c:pt idx="11">
                  <c:v>17.475104043290408</c:v>
                </c:pt>
                <c:pt idx="12">
                  <c:v>16.292922014594303</c:v>
                </c:pt>
                <c:pt idx="13">
                  <c:v>16.26259547069758</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6C79-456B-9B67-7B15E62372E8}"/>
            </c:ext>
          </c:extLst>
        </c:ser>
        <c:ser>
          <c:idx val="2"/>
          <c:order val="2"/>
          <c:tx>
            <c:strRef>
              <c:f>Profile!$X$32</c:f>
              <c:strCache>
                <c:ptCount val="1"/>
                <c:pt idx="0">
                  <c:v>3rd Quartile</c:v>
                </c:pt>
              </c:strCache>
            </c:strRef>
          </c:tx>
          <c:spPr>
            <a:solidFill>
              <a:schemeClr val="accent4">
                <a:lumMod val="40000"/>
                <a:lumOff val="60000"/>
                <a:alpha val="50000"/>
              </a:schemeClr>
            </a:solidFill>
            <a:ln w="31750">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16.036007901999703</c:v>
                </c:pt>
                <c:pt idx="15">
                  <c:v>16.018311396308022</c:v>
                </c:pt>
                <c:pt idx="16">
                  <c:v>15.712468668373536</c:v>
                </c:pt>
                <c:pt idx="17">
                  <c:v>15.573799350980138</c:v>
                </c:pt>
                <c:pt idx="18">
                  <c:v>15.032629506703366</c:v>
                </c:pt>
                <c:pt idx="19">
                  <c:v>14.894377995293434</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6C79-456B-9B67-7B15E62372E8}"/>
            </c:ext>
          </c:extLst>
        </c:ser>
        <c:ser>
          <c:idx val="3"/>
          <c:order val="3"/>
          <c:tx>
            <c:strRef>
              <c:f>Profile!$AF$32</c:f>
              <c:strCache>
                <c:ptCount val="1"/>
                <c:pt idx="0">
                  <c:v>Bottom Quartile</c:v>
                </c:pt>
              </c:strCache>
            </c:strRef>
          </c:tx>
          <c:spPr>
            <a:solidFill>
              <a:schemeClr val="accent4">
                <a:lumMod val="20000"/>
                <a:lumOff val="80000"/>
                <a:alpha val="50000"/>
              </a:schemeClr>
            </a:solidFill>
            <a:ln w="31750">
              <a:solidFill>
                <a:srgbClr val="FF0000"/>
              </a:solidFill>
            </a:ln>
          </c:spPr>
          <c:invertIfNegative val="0"/>
          <c:cat>
            <c:strRef>
              <c:f>[0]!Marker</c:f>
              <c:strCache>
                <c:ptCount val="16"/>
                <c:pt idx="15">
                  <c:v>u</c:v>
                </c:pt>
              </c:strCache>
            </c:strRef>
          </c:cat>
          <c:val>
            <c:numRef>
              <c:f>[0]!BotQuart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14.778256892169054</c:v>
                </c:pt>
                <c:pt idx="21">
                  <c:v>13.91293811582649</c:v>
                </c:pt>
                <c:pt idx="22">
                  <c:v>13.818832595268283</c:v>
                </c:pt>
                <c:pt idx="23">
                  <c:v>13.772899630201854</c:v>
                </c:pt>
                <c:pt idx="24">
                  <c:v>13.756921881703718</c:v>
                </c:pt>
                <c:pt idx="25">
                  <c:v>13.005470928067698</c:v>
                </c:pt>
                <c:pt idx="26">
                  <c:v>0</c:v>
                </c:pt>
              </c:numCache>
            </c:numRef>
          </c:val>
          <c:extLst>
            <c:ext xmlns:c16="http://schemas.microsoft.com/office/drawing/2014/chart" uri="{C3380CC4-5D6E-409C-BE32-E72D297353CC}">
              <c16:uniqueId val="{00000003-6C79-456B-9B67-7B15E62372E8}"/>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
                <c:pt idx="15">
                  <c:v>u</c:v>
                </c:pt>
              </c:strCache>
            </c:strRef>
          </c:cat>
          <c:val>
            <c:numRef>
              <c:f>[0]!MarkData</c:f>
              <c:numCache>
                <c:formatCode>0.00</c:formatCode>
                <c:ptCount val="27"/>
                <c:pt idx="0">
                  <c:v>30.572479096813858</c:v>
                </c:pt>
                <c:pt idx="1">
                  <c:v>27.360615780317239</c:v>
                </c:pt>
                <c:pt idx="2">
                  <c:v>20.569845842883787</c:v>
                </c:pt>
                <c:pt idx="3">
                  <c:v>20.423132463684833</c:v>
                </c:pt>
                <c:pt idx="4">
                  <c:v>19.776634494001861</c:v>
                </c:pt>
                <c:pt idx="5">
                  <c:v>19.764917133210222</c:v>
                </c:pt>
                <c:pt idx="6">
                  <c:v>18.924173536281611</c:v>
                </c:pt>
                <c:pt idx="7">
                  <c:v>18.584095297011689</c:v>
                </c:pt>
                <c:pt idx="8">
                  <c:v>18.088342558486225</c:v>
                </c:pt>
                <c:pt idx="9">
                  <c:v>18.082494954980437</c:v>
                </c:pt>
                <c:pt idx="10">
                  <c:v>17.595316909409966</c:v>
                </c:pt>
                <c:pt idx="11">
                  <c:v>17.475104043290408</c:v>
                </c:pt>
                <c:pt idx="12">
                  <c:v>16.292922014594303</c:v>
                </c:pt>
                <c:pt idx="13">
                  <c:v>16.26259547069758</c:v>
                </c:pt>
                <c:pt idx="14">
                  <c:v>16.036007901999703</c:v>
                </c:pt>
                <c:pt idx="15">
                  <c:v>16.018311396308022</c:v>
                </c:pt>
                <c:pt idx="16">
                  <c:v>15.712468668373536</c:v>
                </c:pt>
                <c:pt idx="17">
                  <c:v>15.573799350980138</c:v>
                </c:pt>
                <c:pt idx="18">
                  <c:v>15.032629506703366</c:v>
                </c:pt>
                <c:pt idx="19">
                  <c:v>14.894377995293434</c:v>
                </c:pt>
                <c:pt idx="20">
                  <c:v>14.778256892169054</c:v>
                </c:pt>
                <c:pt idx="21">
                  <c:v>13.91293811582649</c:v>
                </c:pt>
                <c:pt idx="22">
                  <c:v>13.818832595268283</c:v>
                </c:pt>
                <c:pt idx="23">
                  <c:v>13.772899630201854</c:v>
                </c:pt>
                <c:pt idx="24">
                  <c:v>13.756921881703718</c:v>
                </c:pt>
                <c:pt idx="25">
                  <c:v>13.005470928067698</c:v>
                </c:pt>
                <c:pt idx="26">
                  <c:v>0</c:v>
                </c:pt>
              </c:numCache>
            </c:numRef>
          </c:val>
          <c:extLst>
            <c:ext xmlns:c16="http://schemas.microsoft.com/office/drawing/2014/chart" uri="{C3380CC4-5D6E-409C-BE32-E72D297353CC}">
              <c16:uniqueId val="{00000004-6C79-456B-9B67-7B15E62372E8}"/>
            </c:ext>
          </c:extLst>
        </c:ser>
        <c:dLbls>
          <c:showLegendKey val="0"/>
          <c:showVal val="0"/>
          <c:showCatName val="0"/>
          <c:showSerName val="0"/>
          <c:showPercent val="0"/>
          <c:showBubbleSize val="0"/>
        </c:dLbls>
        <c:gapWidth val="0"/>
        <c:overlap val="100"/>
        <c:axId val="256461440"/>
        <c:axId val="256487808"/>
      </c:barChart>
      <c:catAx>
        <c:axId val="256461440"/>
        <c:scaling>
          <c:orientation val="minMax"/>
        </c:scaling>
        <c:delete val="0"/>
        <c:axPos val="b"/>
        <c:numFmt formatCode="General" sourceLinked="1"/>
        <c:majorTickMark val="none"/>
        <c:minorTickMark val="none"/>
        <c:tickLblPos val="none"/>
        <c:crossAx val="256487808"/>
        <c:crosses val="autoZero"/>
        <c:auto val="1"/>
        <c:lblAlgn val="ctr"/>
        <c:lblOffset val="100"/>
        <c:noMultiLvlLbl val="0"/>
      </c:catAx>
      <c:valAx>
        <c:axId val="256487808"/>
        <c:scaling>
          <c:orientation val="minMax"/>
        </c:scaling>
        <c:delete val="0"/>
        <c:axPos val="l"/>
        <c:numFmt formatCode="0" sourceLinked="0"/>
        <c:majorTickMark val="out"/>
        <c:minorTickMark val="none"/>
        <c:tickLblPos val="nextTo"/>
        <c:txPr>
          <a:bodyPr rot="0" vert="horz"/>
          <a:lstStyle/>
          <a:p>
            <a:pPr>
              <a:defRPr/>
            </a:pPr>
            <a:endParaRPr lang="en-US"/>
          </a:p>
        </c:txPr>
        <c:crossAx val="256461440"/>
        <c:crosses val="autoZero"/>
        <c:crossBetween val="between"/>
      </c:valAx>
      <c:spPr>
        <a:ln>
          <a:noFill/>
        </a:ln>
      </c:spPr>
    </c:plotArea>
    <c:plotVisOnly val="1"/>
    <c:dispBlanksAs val="gap"/>
    <c:showDLblsOverMax val="0"/>
  </c:chart>
  <c:spPr>
    <a:ln>
      <a:noFill/>
    </a:ln>
  </c:spPr>
  <c:printSettings>
    <c:headerFooter alignWithMargins="0"/>
    <c:pageMargins b="0.75000000000000389" l="0.70000000000000062" r="0.70000000000000062" t="0.750000000000003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38"/>
        </c:manualLayout>
      </c:layout>
      <c:barChart>
        <c:barDir val="col"/>
        <c:grouping val="clustered"/>
        <c:varyColors val="0"/>
        <c:ser>
          <c:idx val="9"/>
          <c:order val="0"/>
          <c:tx>
            <c:v>Block Data</c:v>
          </c:tx>
          <c:spPr>
            <a:solidFill>
              <a:srgbClr val="8064A2">
                <a:lumMod val="75000"/>
                <a:alpha val="50000"/>
              </a:srgbClr>
            </a:solidFill>
          </c:spPr>
          <c:invertIfNegative val="0"/>
          <c:dPt>
            <c:idx val="0"/>
            <c:invertIfNegative val="0"/>
            <c:bubble3D val="0"/>
            <c:spPr>
              <a:solidFill>
                <a:srgbClr val="8064A2">
                  <a:lumMod val="75000"/>
                  <a:alpha val="75000"/>
                </a:srgbClr>
              </a:solidFill>
            </c:spPr>
            <c:extLst>
              <c:ext xmlns:c16="http://schemas.microsoft.com/office/drawing/2014/chart" uri="{C3380CC4-5D6E-409C-BE32-E72D297353CC}">
                <c16:uniqueId val="{00000000-94AA-465D-82D6-1F25F83F7291}"/>
              </c:ext>
            </c:extLst>
          </c:dPt>
          <c:cat>
            <c:strRef>
              <c:f>Profile!$D$47:$D$50</c:f>
              <c:strCache>
                <c:ptCount val="3"/>
                <c:pt idx="0">
                  <c:v>Cumbria</c:v>
                </c:pt>
                <c:pt idx="1">
                  <c:v>Counties</c:v>
                </c:pt>
                <c:pt idx="2">
                  <c:v>Regional</c:v>
                </c:pt>
              </c:strCache>
            </c:strRef>
          </c:cat>
          <c:val>
            <c:numRef>
              <c:f>Profile!$E$47:$E$49</c:f>
              <c:numCache>
                <c:formatCode>0.00</c:formatCode>
                <c:ptCount val="3"/>
                <c:pt idx="0">
                  <c:v>16.018311396308022</c:v>
                </c:pt>
                <c:pt idx="1">
                  <c:v>16.892058683650347</c:v>
                </c:pt>
                <c:pt idx="2">
                  <c:v>14.88761663900587</c:v>
                </c:pt>
              </c:numCache>
            </c:numRef>
          </c:val>
          <c:extLst>
            <c:ext xmlns:c16="http://schemas.microsoft.com/office/drawing/2014/chart" uri="{C3380CC4-5D6E-409C-BE32-E72D297353CC}">
              <c16:uniqueId val="{00000001-94AA-465D-82D6-1F25F83F7291}"/>
            </c:ext>
          </c:extLst>
        </c:ser>
        <c:dLbls>
          <c:showLegendKey val="0"/>
          <c:showVal val="0"/>
          <c:showCatName val="0"/>
          <c:showSerName val="0"/>
          <c:showPercent val="0"/>
          <c:showBubbleSize val="0"/>
        </c:dLbls>
        <c:gapWidth val="39"/>
        <c:overlap val="100"/>
        <c:axId val="141236480"/>
        <c:axId val="141242368"/>
      </c:barChart>
      <c:lineChart>
        <c:grouping val="standard"/>
        <c:varyColors val="0"/>
        <c:ser>
          <c:idx val="0"/>
          <c:order val="1"/>
          <c:tx>
            <c:v>Top Quartile Benchmark</c:v>
          </c:tx>
          <c:spPr>
            <a:ln>
              <a:solidFill>
                <a:schemeClr val="bg2">
                  <a:lumMod val="25000"/>
                </a:schemeClr>
              </a:solidFill>
            </a:ln>
          </c:spPr>
          <c:marker>
            <c:symbol val="none"/>
          </c:marker>
          <c:val>
            <c:numRef>
              <c:f>(Profile!$K$47,Profile!$K$48,Profile!$K$49)</c:f>
              <c:numCache>
                <c:formatCode>General</c:formatCode>
                <c:ptCount val="3"/>
                <c:pt idx="0">
                  <c:v>18.75413441664665</c:v>
                </c:pt>
                <c:pt idx="1">
                  <c:v>18.75413441664665</c:v>
                </c:pt>
                <c:pt idx="2">
                  <c:v>18.75413441664665</c:v>
                </c:pt>
              </c:numCache>
            </c:numRef>
          </c:val>
          <c:smooth val="0"/>
          <c:extLst>
            <c:ext xmlns:c16="http://schemas.microsoft.com/office/drawing/2014/chart" uri="{C3380CC4-5D6E-409C-BE32-E72D297353CC}">
              <c16:uniqueId val="{00000002-94AA-465D-82D6-1F25F83F7291}"/>
            </c:ext>
          </c:extLst>
        </c:ser>
        <c:ser>
          <c:idx val="1"/>
          <c:order val="2"/>
          <c:tx>
            <c:v>Median</c:v>
          </c:tx>
          <c:spPr>
            <a:ln>
              <a:solidFill>
                <a:srgbClr val="FFFF00"/>
              </a:solidFill>
            </a:ln>
          </c:spPr>
          <c:marker>
            <c:symbol val="none"/>
          </c:marker>
          <c:val>
            <c:numRef>
              <c:f>(Profile!$M$47,Profile!$M$48,Profile!$M$49)</c:f>
              <c:numCache>
                <c:formatCode>General</c:formatCode>
                <c:ptCount val="3"/>
                <c:pt idx="0">
                  <c:v>16.26259547069758</c:v>
                </c:pt>
                <c:pt idx="1">
                  <c:v>16.26259547069758</c:v>
                </c:pt>
                <c:pt idx="2">
                  <c:v>16.26259547069758</c:v>
                </c:pt>
              </c:numCache>
            </c:numRef>
          </c:val>
          <c:smooth val="0"/>
          <c:extLst>
            <c:ext xmlns:c16="http://schemas.microsoft.com/office/drawing/2014/chart" uri="{C3380CC4-5D6E-409C-BE32-E72D297353CC}">
              <c16:uniqueId val="{00000003-94AA-465D-82D6-1F25F83F7291}"/>
            </c:ext>
          </c:extLst>
        </c:ser>
        <c:ser>
          <c:idx val="2"/>
          <c:order val="3"/>
          <c:tx>
            <c:v>Bottom Quartile Benchmark</c:v>
          </c:tx>
          <c:spPr>
            <a:ln>
              <a:solidFill>
                <a:srgbClr val="FF0000"/>
              </a:solidFill>
            </a:ln>
          </c:spPr>
          <c:marker>
            <c:symbol val="none"/>
          </c:marker>
          <c:val>
            <c:numRef>
              <c:f>(Profile!$O$47,Profile!$O$48,Profile!$O$49)</c:f>
              <c:numCache>
                <c:formatCode>General</c:formatCode>
                <c:ptCount val="3"/>
                <c:pt idx="0">
                  <c:v>14.836317443731243</c:v>
                </c:pt>
                <c:pt idx="1">
                  <c:v>14.836317443731243</c:v>
                </c:pt>
                <c:pt idx="2">
                  <c:v>14.836317443731243</c:v>
                </c:pt>
              </c:numCache>
            </c:numRef>
          </c:val>
          <c:smooth val="0"/>
          <c:extLst>
            <c:ext xmlns:c16="http://schemas.microsoft.com/office/drawing/2014/chart" uri="{C3380CC4-5D6E-409C-BE32-E72D297353CC}">
              <c16:uniqueId val="{00000004-94AA-465D-82D6-1F25F83F7291}"/>
            </c:ext>
          </c:extLst>
        </c:ser>
        <c:dLbls>
          <c:showLegendKey val="0"/>
          <c:showVal val="0"/>
          <c:showCatName val="0"/>
          <c:showSerName val="0"/>
          <c:showPercent val="0"/>
          <c:showBubbleSize val="0"/>
        </c:dLbls>
        <c:marker val="1"/>
        <c:smooth val="0"/>
        <c:axId val="141236480"/>
        <c:axId val="141242368"/>
      </c:lineChart>
      <c:catAx>
        <c:axId val="1412364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242368"/>
        <c:crosses val="autoZero"/>
        <c:auto val="1"/>
        <c:lblAlgn val="ctr"/>
        <c:lblOffset val="100"/>
        <c:noMultiLvlLbl val="0"/>
      </c:catAx>
      <c:valAx>
        <c:axId val="14124236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1236480"/>
        <c:crosses val="autoZero"/>
        <c:crossBetween val="between"/>
      </c:valAx>
    </c:plotArea>
    <c:legend>
      <c:legendPos val="b"/>
      <c:legendEntry>
        <c:idx val="0"/>
        <c:delete val="1"/>
      </c:legendEntry>
      <c:layout>
        <c:manualLayout>
          <c:xMode val="edge"/>
          <c:yMode val="edge"/>
          <c:x val="0.10120783739241854"/>
          <c:y val="0.90916944591436211"/>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99E-2"/>
          <c:y val="6.0725521892544924E-2"/>
          <c:w val="0.93589299789538694"/>
          <c:h val="0.66660374406841871"/>
        </c:manualLayout>
      </c:layout>
      <c:barChart>
        <c:barDir val="col"/>
        <c:grouping val="clustered"/>
        <c:varyColors val="0"/>
        <c:ser>
          <c:idx val="0"/>
          <c:order val="0"/>
          <c:spPr>
            <a:solidFill>
              <a:srgbClr val="8064A2">
                <a:lumMod val="75000"/>
                <a:alpha val="50000"/>
              </a:srgbClr>
            </a:solidFill>
          </c:spPr>
          <c:invertIfNegative val="0"/>
          <c:dPt>
            <c:idx val="0"/>
            <c:invertIfNegative val="0"/>
            <c:bubble3D val="0"/>
            <c:spPr>
              <a:solidFill>
                <a:srgbClr val="8064A2">
                  <a:lumMod val="75000"/>
                  <a:alpha val="76000"/>
                </a:srgbClr>
              </a:solidFill>
            </c:spPr>
            <c:extLst>
              <c:ext xmlns:c16="http://schemas.microsoft.com/office/drawing/2014/chart" uri="{C3380CC4-5D6E-409C-BE32-E72D297353CC}">
                <c16:uniqueId val="{00000000-D191-4D08-BACB-02CA818FB3D7}"/>
              </c:ext>
            </c:extLst>
          </c:dPt>
          <c:cat>
            <c:strRef>
              <c:f>Profile!$F$117:$F$120</c:f>
              <c:strCache>
                <c:ptCount val="4"/>
                <c:pt idx="0">
                  <c:v>Cumbria</c:v>
                </c:pt>
                <c:pt idx="1">
                  <c:v>Predominantly Rural</c:v>
                </c:pt>
                <c:pt idx="2">
                  <c:v>Predominantly Urban</c:v>
                </c:pt>
                <c:pt idx="3">
                  <c:v>Significant Rural</c:v>
                </c:pt>
              </c:strCache>
            </c:strRef>
          </c:cat>
          <c:val>
            <c:numRef>
              <c:f>Profile!$G$117:$G$120</c:f>
              <c:numCache>
                <c:formatCode>0.00</c:formatCode>
                <c:ptCount val="4"/>
                <c:pt idx="0">
                  <c:v>16.018311396308022</c:v>
                </c:pt>
                <c:pt idx="1">
                  <c:v>18.626964915900135</c:v>
                </c:pt>
                <c:pt idx="2">
                  <c:v>17.998465907332488</c:v>
                </c:pt>
                <c:pt idx="3">
                  <c:v>15.587933565659533</c:v>
                </c:pt>
              </c:numCache>
            </c:numRef>
          </c:val>
          <c:extLst>
            <c:ext xmlns:c16="http://schemas.microsoft.com/office/drawing/2014/chart" uri="{C3380CC4-5D6E-409C-BE32-E72D297353CC}">
              <c16:uniqueId val="{00000001-D191-4D08-BACB-02CA818FB3D7}"/>
            </c:ext>
          </c:extLst>
        </c:ser>
        <c:dLbls>
          <c:showLegendKey val="0"/>
          <c:showVal val="0"/>
          <c:showCatName val="0"/>
          <c:showSerName val="0"/>
          <c:showPercent val="0"/>
          <c:showBubbleSize val="0"/>
        </c:dLbls>
        <c:gapWidth val="39"/>
        <c:overlap val="100"/>
        <c:axId val="141281920"/>
        <c:axId val="255431040"/>
      </c:barChart>
      <c:lineChart>
        <c:grouping val="standard"/>
        <c:varyColors val="0"/>
        <c:ser>
          <c:idx val="1"/>
          <c:order val="1"/>
          <c:tx>
            <c:v>Top Quartile Benchmark</c:v>
          </c:tx>
          <c:spPr>
            <a:ln>
              <a:solidFill>
                <a:schemeClr val="bg2">
                  <a:lumMod val="25000"/>
                </a:schemeClr>
              </a:solidFill>
            </a:ln>
          </c:spPr>
          <c:marker>
            <c:symbol val="none"/>
          </c:marker>
          <c:val>
            <c:numRef>
              <c:f>(Profile!$M$117,Profile!$M$118,Profile!$M$119,Profile!$M$120)</c:f>
              <c:numCache>
                <c:formatCode>General</c:formatCode>
                <c:ptCount val="4"/>
                <c:pt idx="0">
                  <c:v>18.75413441664665</c:v>
                </c:pt>
                <c:pt idx="1">
                  <c:v>18.75413441664665</c:v>
                </c:pt>
                <c:pt idx="2">
                  <c:v>18.75413441664665</c:v>
                </c:pt>
                <c:pt idx="3">
                  <c:v>18.75413441664665</c:v>
                </c:pt>
              </c:numCache>
            </c:numRef>
          </c:val>
          <c:smooth val="0"/>
          <c:extLst>
            <c:ext xmlns:c16="http://schemas.microsoft.com/office/drawing/2014/chart" uri="{C3380CC4-5D6E-409C-BE32-E72D297353CC}">
              <c16:uniqueId val="{00000002-D191-4D08-BACB-02CA818FB3D7}"/>
            </c:ext>
          </c:extLst>
        </c:ser>
        <c:ser>
          <c:idx val="2"/>
          <c:order val="2"/>
          <c:tx>
            <c:v>Median</c:v>
          </c:tx>
          <c:spPr>
            <a:ln>
              <a:solidFill>
                <a:srgbClr val="FFFF00"/>
              </a:solidFill>
            </a:ln>
          </c:spPr>
          <c:marker>
            <c:symbol val="none"/>
          </c:marker>
          <c:val>
            <c:numRef>
              <c:f>(Profile!$O$117,Profile!$O$118,Profile!$O$119,Profile!$O$120)</c:f>
              <c:numCache>
                <c:formatCode>General</c:formatCode>
                <c:ptCount val="4"/>
                <c:pt idx="0">
                  <c:v>16.26259547069758</c:v>
                </c:pt>
                <c:pt idx="1">
                  <c:v>16.26259547069758</c:v>
                </c:pt>
                <c:pt idx="2">
                  <c:v>16.26259547069758</c:v>
                </c:pt>
                <c:pt idx="3">
                  <c:v>16.26259547069758</c:v>
                </c:pt>
              </c:numCache>
            </c:numRef>
          </c:val>
          <c:smooth val="0"/>
          <c:extLst>
            <c:ext xmlns:c16="http://schemas.microsoft.com/office/drawing/2014/chart" uri="{C3380CC4-5D6E-409C-BE32-E72D297353CC}">
              <c16:uniqueId val="{00000003-D191-4D08-BACB-02CA818FB3D7}"/>
            </c:ext>
          </c:extLst>
        </c:ser>
        <c:ser>
          <c:idx val="3"/>
          <c:order val="3"/>
          <c:tx>
            <c:v>Bottom Quartile Benchmark</c:v>
          </c:tx>
          <c:spPr>
            <a:ln>
              <a:solidFill>
                <a:srgbClr val="FF0000"/>
              </a:solidFill>
            </a:ln>
          </c:spPr>
          <c:marker>
            <c:symbol val="none"/>
          </c:marker>
          <c:val>
            <c:numRef>
              <c:f>(Profile!$Q$117,Profile!$Q$118,Profile!$Q$119,Profile!$Q$120)</c:f>
              <c:numCache>
                <c:formatCode>General</c:formatCode>
                <c:ptCount val="4"/>
                <c:pt idx="0">
                  <c:v>14.836317443731243</c:v>
                </c:pt>
                <c:pt idx="1">
                  <c:v>14.836317443731243</c:v>
                </c:pt>
                <c:pt idx="2">
                  <c:v>14.836317443731243</c:v>
                </c:pt>
                <c:pt idx="3">
                  <c:v>14.836317443731243</c:v>
                </c:pt>
              </c:numCache>
            </c:numRef>
          </c:val>
          <c:smooth val="0"/>
          <c:extLst>
            <c:ext xmlns:c16="http://schemas.microsoft.com/office/drawing/2014/chart" uri="{C3380CC4-5D6E-409C-BE32-E72D297353CC}">
              <c16:uniqueId val="{00000004-D191-4D08-BACB-02CA818FB3D7}"/>
            </c:ext>
          </c:extLst>
        </c:ser>
        <c:dLbls>
          <c:showLegendKey val="0"/>
          <c:showVal val="0"/>
          <c:showCatName val="0"/>
          <c:showSerName val="0"/>
          <c:showPercent val="0"/>
          <c:showBubbleSize val="0"/>
        </c:dLbls>
        <c:marker val="1"/>
        <c:smooth val="0"/>
        <c:axId val="141281920"/>
        <c:axId val="255431040"/>
      </c:lineChart>
      <c:catAx>
        <c:axId val="1412819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55431040"/>
        <c:crosses val="autoZero"/>
        <c:auto val="1"/>
        <c:lblAlgn val="ctr"/>
        <c:lblOffset val="100"/>
        <c:noMultiLvlLbl val="0"/>
      </c:catAx>
      <c:valAx>
        <c:axId val="25543104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12819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43</xdr:row>
      <xdr:rowOff>28574</xdr:rowOff>
    </xdr:from>
    <xdr:to>
      <xdr:col>38</xdr:col>
      <xdr:colOff>76200</xdr:colOff>
      <xdr:row>55</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113</xdr:row>
      <xdr:rowOff>142875</xdr:rowOff>
    </xdr:from>
    <xdr:to>
      <xdr:col>38</xdr:col>
      <xdr:colOff>104775</xdr:colOff>
      <xdr:row>132</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42</xdr:row>
      <xdr:rowOff>66675</xdr:rowOff>
    </xdr:from>
    <xdr:to>
      <xdr:col>3</xdr:col>
      <xdr:colOff>95249</xdr:colOff>
      <xdr:row>44</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113</xdr:row>
      <xdr:rowOff>19050</xdr:rowOff>
    </xdr:from>
    <xdr:to>
      <xdr:col>3</xdr:col>
      <xdr:colOff>38099</xdr:colOff>
      <xdr:row>114</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51" customFormat="1" ht="19.5" customHeight="1">
      <c r="B1" s="331" t="str">
        <f>VLOOKUP('Filtered Data'!D1,'Filtered Data'!L1:O6,3,FALSE)</f>
        <v>County</v>
      </c>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row>
    <row r="2" spans="2:40" s="251" customFormat="1"/>
    <row r="3" spans="2:40" s="251" customFormat="1" ht="19.5" customHeight="1">
      <c r="B3" s="322" t="str">
        <f>Data!B3</f>
        <v>Cycling Statistics</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2:40" s="251" customFormat="1">
      <c r="D4" s="252"/>
      <c r="E4" s="252"/>
    </row>
    <row r="5" spans="2:40" s="251" customFormat="1" ht="15.75" customHeight="1">
      <c r="B5" s="290" t="s">
        <v>334</v>
      </c>
      <c r="C5" s="290"/>
      <c r="D5" s="290"/>
      <c r="E5" s="290"/>
      <c r="J5" s="318" t="s">
        <v>306</v>
      </c>
      <c r="K5" s="318"/>
      <c r="L5" s="318"/>
      <c r="M5" s="318"/>
      <c r="N5" s="318"/>
      <c r="O5" s="318"/>
      <c r="P5" s="318"/>
      <c r="Q5" s="318"/>
      <c r="R5" s="318"/>
      <c r="S5" s="318"/>
      <c r="W5" s="295" t="s">
        <v>362</v>
      </c>
      <c r="X5" s="296"/>
      <c r="Y5" s="296"/>
      <c r="Z5" s="296"/>
      <c r="AA5" s="296"/>
      <c r="AB5" s="296"/>
      <c r="AC5" s="296"/>
      <c r="AD5" s="296"/>
      <c r="AE5" s="296"/>
      <c r="AF5" s="296"/>
      <c r="AG5" s="296"/>
      <c r="AH5" s="296"/>
      <c r="AI5" s="296"/>
      <c r="AJ5" s="296"/>
      <c r="AK5" s="296"/>
      <c r="AL5" s="296"/>
      <c r="AM5" s="297"/>
    </row>
    <row r="6" spans="2:40" s="251" customFormat="1" ht="17.25" customHeight="1">
      <c r="J6" s="318"/>
      <c r="K6" s="318"/>
      <c r="L6" s="318"/>
      <c r="M6" s="318"/>
      <c r="N6" s="318"/>
      <c r="O6" s="318"/>
      <c r="P6" s="318"/>
      <c r="Q6" s="318"/>
      <c r="R6" s="318"/>
      <c r="S6" s="318"/>
      <c r="W6" s="298" t="s">
        <v>901</v>
      </c>
      <c r="X6" s="299"/>
      <c r="Y6" s="299"/>
      <c r="Z6" s="299"/>
      <c r="AA6" s="299"/>
      <c r="AB6" s="299"/>
      <c r="AC6" s="299"/>
      <c r="AD6" s="299"/>
      <c r="AE6" s="299"/>
      <c r="AF6" s="299"/>
      <c r="AG6" s="299"/>
      <c r="AH6" s="299"/>
      <c r="AI6" s="299"/>
      <c r="AJ6" s="299"/>
      <c r="AK6" s="299"/>
      <c r="AL6" s="299"/>
      <c r="AM6" s="300"/>
    </row>
    <row r="7" spans="2:40" s="251" customFormat="1" ht="12.75" customHeight="1">
      <c r="W7" s="298"/>
      <c r="X7" s="299"/>
      <c r="Y7" s="299"/>
      <c r="Z7" s="299"/>
      <c r="AA7" s="299"/>
      <c r="AB7" s="299"/>
      <c r="AC7" s="299"/>
      <c r="AD7" s="299"/>
      <c r="AE7" s="299"/>
      <c r="AF7" s="299"/>
      <c r="AG7" s="299"/>
      <c r="AH7" s="299"/>
      <c r="AI7" s="299"/>
      <c r="AJ7" s="299"/>
      <c r="AK7" s="299"/>
      <c r="AL7" s="299"/>
      <c r="AM7" s="300"/>
    </row>
    <row r="8" spans="2:40" s="251" customFormat="1" ht="12.75" customHeight="1">
      <c r="B8" s="290" t="str">
        <f>IF('Filtered Data'!D1="L","County:","Type of Authority:")</f>
        <v>Type of Authority:</v>
      </c>
      <c r="C8" s="290"/>
      <c r="D8" s="290"/>
      <c r="E8" s="290"/>
      <c r="F8" s="290"/>
      <c r="G8" s="290"/>
      <c r="H8" s="290"/>
      <c r="I8" s="290"/>
      <c r="J8" s="252" t="str">
        <f>IF('Filtered Data'!D1="L",'Filtered Data'!I3,VLOOKUP('Filtered Data'!D1,'Filtered Data'!L1:O5,3,FALSE))</f>
        <v>County</v>
      </c>
      <c r="K8" s="252"/>
      <c r="L8" s="252"/>
      <c r="M8" s="252"/>
      <c r="N8" s="252"/>
      <c r="O8" s="252"/>
      <c r="P8" s="252"/>
      <c r="Q8" s="252"/>
      <c r="R8" s="252"/>
      <c r="W8" s="298"/>
      <c r="X8" s="299"/>
      <c r="Y8" s="299"/>
      <c r="Z8" s="299"/>
      <c r="AA8" s="299"/>
      <c r="AB8" s="299"/>
      <c r="AC8" s="299"/>
      <c r="AD8" s="299"/>
      <c r="AE8" s="299"/>
      <c r="AF8" s="299"/>
      <c r="AG8" s="299"/>
      <c r="AH8" s="299"/>
      <c r="AI8" s="299"/>
      <c r="AJ8" s="299"/>
      <c r="AK8" s="299"/>
      <c r="AL8" s="299"/>
      <c r="AM8" s="300"/>
    </row>
    <row r="9" spans="2:40" s="251" customFormat="1" ht="12.75" customHeight="1">
      <c r="B9" s="290" t="str">
        <f>IF('Filtered Data'!D1="L","Rural Classification:","Region:")</f>
        <v>Region:</v>
      </c>
      <c r="C9" s="290"/>
      <c r="D9" s="290"/>
      <c r="E9" s="290"/>
      <c r="F9" s="290"/>
      <c r="G9" s="290"/>
      <c r="H9" s="290"/>
      <c r="I9" s="290"/>
      <c r="J9" s="252" t="str">
        <f>IF('Filtered Data'!D1="L",'Filtered Data'!H3,'Filtered Data'!G3)</f>
        <v>North West</v>
      </c>
      <c r="K9" s="252"/>
      <c r="L9" s="252"/>
      <c r="M9" s="252"/>
      <c r="N9" s="252"/>
      <c r="O9" s="252"/>
      <c r="P9" s="252"/>
      <c r="Q9" s="252"/>
      <c r="R9" s="252"/>
      <c r="W9" s="298"/>
      <c r="X9" s="299"/>
      <c r="Y9" s="299"/>
      <c r="Z9" s="299"/>
      <c r="AA9" s="299"/>
      <c r="AB9" s="299"/>
      <c r="AC9" s="299"/>
      <c r="AD9" s="299"/>
      <c r="AE9" s="299"/>
      <c r="AF9" s="299"/>
      <c r="AG9" s="299"/>
      <c r="AH9" s="299"/>
      <c r="AI9" s="299"/>
      <c r="AJ9" s="299"/>
      <c r="AK9" s="299"/>
      <c r="AL9" s="299"/>
      <c r="AM9" s="300"/>
    </row>
    <row r="10" spans="2:40" s="251" customFormat="1" ht="12.75" customHeight="1">
      <c r="B10" s="290" t="str">
        <f>IF('Filtered Data'!D1="L","",IF('Filtered Data'!D1="SC","Rural Classification:",IF('Filtered Data'!D1="UA","Rural Classification:","County:")))</f>
        <v>Rural Classification:</v>
      </c>
      <c r="C10" s="290"/>
      <c r="D10" s="290"/>
      <c r="E10" s="290"/>
      <c r="F10" s="290"/>
      <c r="G10" s="290"/>
      <c r="H10" s="290"/>
      <c r="I10" s="290"/>
      <c r="J10" s="290" t="str">
        <f>IF('Filtered Data'!D1="L","",IF('Filtered Data'!D1="MD",'Filtered Data'!I3,IF('Filtered Data'!D1="SD",'Filtered Data'!I3,'Filtered Data'!H3)))</f>
        <v>Predominantly Rural</v>
      </c>
      <c r="K10" s="290"/>
      <c r="L10" s="290"/>
      <c r="M10" s="290"/>
      <c r="N10" s="290"/>
      <c r="O10" s="290"/>
      <c r="P10" s="290"/>
      <c r="Q10" s="290"/>
      <c r="R10" s="290"/>
      <c r="W10" s="298"/>
      <c r="X10" s="299"/>
      <c r="Y10" s="299"/>
      <c r="Z10" s="299"/>
      <c r="AA10" s="299"/>
      <c r="AB10" s="299"/>
      <c r="AC10" s="299"/>
      <c r="AD10" s="299"/>
      <c r="AE10" s="299"/>
      <c r="AF10" s="299"/>
      <c r="AG10" s="299"/>
      <c r="AH10" s="299"/>
      <c r="AI10" s="299"/>
      <c r="AJ10" s="299"/>
      <c r="AK10" s="299"/>
      <c r="AL10" s="299"/>
      <c r="AM10" s="300"/>
    </row>
    <row r="11" spans="2:40" s="251" customFormat="1" ht="12.75" customHeight="1">
      <c r="B11" s="290" t="str">
        <f>IF('Filtered Data'!D1="L","",IF('Filtered Data'!D1="SC","",IF('Filtered Data'!D1="UA","","Rural Classification:")))</f>
        <v/>
      </c>
      <c r="C11" s="290"/>
      <c r="D11" s="290"/>
      <c r="E11" s="290"/>
      <c r="F11" s="290"/>
      <c r="G11" s="290"/>
      <c r="H11" s="290"/>
      <c r="I11" s="290"/>
      <c r="J11" s="252" t="str">
        <f>IF('Filtered Data'!D1="MD",'Filtered Data'!H3,IF('Filtered Data'!D1="SD",'Filtered Data'!H3,""))</f>
        <v/>
      </c>
      <c r="K11" s="252"/>
      <c r="W11" s="304" t="s">
        <v>365</v>
      </c>
      <c r="X11" s="305"/>
      <c r="Y11" s="305"/>
      <c r="Z11" s="305"/>
      <c r="AA11" s="305"/>
      <c r="AB11" s="305"/>
      <c r="AC11" s="305"/>
      <c r="AD11" s="305"/>
      <c r="AE11" s="305"/>
      <c r="AF11" s="305"/>
      <c r="AG11" s="305"/>
      <c r="AH11" s="305"/>
      <c r="AI11" s="305"/>
      <c r="AJ11" s="305"/>
      <c r="AK11" s="305"/>
      <c r="AL11" s="305"/>
      <c r="AM11" s="306"/>
    </row>
    <row r="12" spans="2:40" s="251" customFormat="1" ht="12.75" customHeight="1">
      <c r="W12" s="341" t="s">
        <v>911</v>
      </c>
      <c r="X12" s="342"/>
      <c r="Y12" s="342"/>
      <c r="Z12" s="342"/>
      <c r="AA12" s="342"/>
      <c r="AB12" s="342"/>
      <c r="AC12" s="342"/>
      <c r="AD12" s="342"/>
      <c r="AE12" s="342"/>
      <c r="AF12" s="342"/>
      <c r="AG12" s="342"/>
      <c r="AH12" s="342"/>
      <c r="AI12" s="342"/>
      <c r="AJ12" s="342"/>
      <c r="AK12" s="342"/>
      <c r="AL12" s="342"/>
      <c r="AM12" s="343"/>
    </row>
    <row r="13" spans="2:40" s="251" customFormat="1" ht="12.75" customHeight="1">
      <c r="B13" s="252"/>
      <c r="C13" s="252"/>
      <c r="D13" s="252"/>
      <c r="E13" s="252"/>
      <c r="F13" s="252"/>
      <c r="G13" s="252"/>
      <c r="H13" s="252"/>
      <c r="I13" s="252"/>
      <c r="J13" s="252"/>
      <c r="K13" s="252"/>
      <c r="L13" s="252"/>
      <c r="M13" s="252"/>
      <c r="N13" s="252"/>
      <c r="O13" s="252"/>
      <c r="P13" s="252"/>
      <c r="Q13" s="252"/>
      <c r="R13" s="252"/>
      <c r="W13" s="304" t="s">
        <v>366</v>
      </c>
      <c r="X13" s="305"/>
      <c r="Y13" s="305"/>
      <c r="Z13" s="305"/>
      <c r="AA13" s="305"/>
      <c r="AB13" s="305"/>
      <c r="AC13" s="305"/>
      <c r="AD13" s="305"/>
      <c r="AE13" s="305"/>
      <c r="AF13" s="305"/>
      <c r="AG13" s="305"/>
      <c r="AH13" s="305"/>
      <c r="AI13" s="305"/>
      <c r="AJ13" s="305"/>
      <c r="AK13" s="305"/>
      <c r="AL13" s="305"/>
      <c r="AM13" s="306"/>
    </row>
    <row r="14" spans="2:40" s="251" customFormat="1" ht="25.5" customHeight="1">
      <c r="B14" s="252"/>
      <c r="C14" s="252"/>
      <c r="D14" s="252"/>
      <c r="E14" s="252"/>
      <c r="F14" s="252"/>
      <c r="G14" s="252"/>
      <c r="H14" s="252"/>
      <c r="I14" s="252"/>
      <c r="J14" s="252"/>
      <c r="K14" s="252"/>
      <c r="L14" s="252"/>
      <c r="M14" s="252"/>
      <c r="N14" s="252"/>
      <c r="O14" s="252"/>
      <c r="P14" s="252"/>
      <c r="Q14" s="252"/>
      <c r="R14" s="252"/>
      <c r="W14" s="301" t="str">
        <f>HLOOKUP(W6,Data!4:6,3,FALSE)</f>
        <v>Department for Transport statistics</v>
      </c>
      <c r="X14" s="302"/>
      <c r="Y14" s="302"/>
      <c r="Z14" s="302"/>
      <c r="AA14" s="302"/>
      <c r="AB14" s="302"/>
      <c r="AC14" s="302"/>
      <c r="AD14" s="302"/>
      <c r="AE14" s="302"/>
      <c r="AF14" s="302"/>
      <c r="AG14" s="302"/>
      <c r="AH14" s="302"/>
      <c r="AI14" s="302"/>
      <c r="AJ14" s="302"/>
      <c r="AK14" s="302"/>
      <c r="AL14" s="302"/>
      <c r="AM14" s="303"/>
    </row>
    <row r="15" spans="2:40" s="251" customFormat="1"/>
    <row r="16" spans="2:40">
      <c r="B16" s="309" t="str">
        <f>W6&amp;" - "&amp;W12</f>
        <v>Proportion of residents who cycle (any length or purpose) at least once a month - 2018/19</v>
      </c>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1"/>
    </row>
    <row r="17" spans="2:42">
      <c r="B17" s="312"/>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3"/>
      <c r="AL17" s="313"/>
      <c r="AM17" s="314"/>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5" t="s">
        <v>341</v>
      </c>
      <c r="F32" s="317"/>
      <c r="G32" s="317"/>
      <c r="H32" s="317"/>
      <c r="I32" s="317"/>
      <c r="J32" s="317"/>
      <c r="K32" s="316">
        <f>IF('Filtered Data'!$H$8="..",'Filtered Data'!O10,'Filtered Data'!O10/100)</f>
        <v>18.75413441664665</v>
      </c>
      <c r="L32" s="316"/>
      <c r="M32" s="316"/>
      <c r="N32" s="315" t="s">
        <v>352</v>
      </c>
      <c r="O32" s="315"/>
      <c r="P32" s="315"/>
      <c r="Q32" s="315"/>
      <c r="R32" s="315"/>
      <c r="S32" s="315"/>
      <c r="T32" s="316">
        <f>IF('Filtered Data'!$H$8="..",'Filtered Data'!P10,'Filtered Data'!P10/100)</f>
        <v>16.26259547069758</v>
      </c>
      <c r="U32" s="316"/>
      <c r="V32" s="316"/>
      <c r="W32" s="316"/>
      <c r="X32" s="315" t="s">
        <v>353</v>
      </c>
      <c r="Y32" s="315"/>
      <c r="Z32" s="315"/>
      <c r="AA32" s="315"/>
      <c r="AB32" s="315"/>
      <c r="AC32" s="316">
        <f>IF('Filtered Data'!$H$8="..",'Filtered Data'!Q10,'Filtered Data'!Q10/100)</f>
        <v>14.836317443731243</v>
      </c>
      <c r="AD32" s="316"/>
      <c r="AE32" s="316"/>
      <c r="AF32" s="315" t="s">
        <v>342</v>
      </c>
      <c r="AG32" s="315"/>
      <c r="AH32" s="315"/>
      <c r="AI32" s="315"/>
      <c r="AJ32" s="315"/>
      <c r="AK32" s="315"/>
      <c r="AL32" s="315"/>
      <c r="AM32" s="227"/>
      <c r="AP32" s="220"/>
    </row>
    <row r="33" spans="2:42" s="251" customFormat="1">
      <c r="B33" s="251" t="str">
        <f>"The graph &amp; quartile information show data for all "&amp;V37&amp;" "&amp;VLOOKUP('Filtered Data'!D1,'Filtered Data'!L1:O6,3,FALSE)&amp;" councils in England."</f>
        <v>The graph &amp; quartile information show data for all 27 County councils in England.</v>
      </c>
      <c r="AP33" s="253"/>
    </row>
    <row r="34" spans="2:42" s="251" customFormat="1">
      <c r="AP34" s="253"/>
    </row>
    <row r="35" spans="2:42">
      <c r="B35" s="249" t="str">
        <f>J5</f>
        <v>Cumbria</v>
      </c>
      <c r="C35" s="249"/>
      <c r="D35" s="254"/>
      <c r="E35" s="249"/>
      <c r="F35" s="249"/>
      <c r="G35" s="249"/>
      <c r="H35" s="249"/>
      <c r="I35" s="249"/>
      <c r="J35" s="228"/>
      <c r="K35" s="229" t="s">
        <v>356</v>
      </c>
      <c r="L35" s="308">
        <f>IF(ISERROR(IF('Filtered Data'!$H$8="%.",(VLOOKUP(J5,'Filtered Data'!C:H,4,FALSE))/100,(VLOOKUP(J5,'Filtered Data'!C:H,4,FALSE)))),"",(IF('Filtered Data'!$H$8="%.",(VLOOKUP(J5,'Filtered Data'!C:H,4,FALSE))/100,(VLOOKUP(J5,'Filtered Data'!C:H,4,FALSE)))))</f>
        <v>16.018311396308022</v>
      </c>
      <c r="M35" s="308"/>
      <c r="N35" s="308"/>
      <c r="O35" s="308"/>
      <c r="P35" s="250"/>
      <c r="Q35" s="308" t="s">
        <v>354</v>
      </c>
      <c r="R35" s="308"/>
      <c r="S35" s="308"/>
      <c r="T35" s="308"/>
      <c r="U35" s="308"/>
      <c r="V35" s="308"/>
      <c r="W35" s="308"/>
      <c r="AP35" s="220"/>
    </row>
    <row r="36" spans="2:42" ht="12.75" customHeight="1">
      <c r="B36" s="307" t="str">
        <f>'Filtered Data'!R8&amp;" Quartile"</f>
        <v>Third Quartile</v>
      </c>
      <c r="C36" s="307"/>
      <c r="D36" s="307"/>
      <c r="E36" s="307"/>
      <c r="F36" s="307"/>
      <c r="G36" s="307"/>
      <c r="H36" s="307"/>
      <c r="I36" s="307"/>
      <c r="J36" s="307"/>
      <c r="K36" s="307"/>
      <c r="L36" s="307"/>
      <c r="M36" s="307"/>
      <c r="N36" s="307"/>
      <c r="O36" s="307"/>
      <c r="P36" s="307"/>
      <c r="Q36" s="307"/>
      <c r="R36" s="307"/>
      <c r="S36" s="307"/>
      <c r="T36" s="307"/>
      <c r="U36" s="307"/>
      <c r="V36" s="307"/>
      <c r="W36" s="307"/>
      <c r="Z36" s="230" t="s">
        <v>358</v>
      </c>
      <c r="AB36" s="320" t="s">
        <v>360</v>
      </c>
      <c r="AC36" s="320"/>
      <c r="AD36" s="320"/>
      <c r="AE36" s="320"/>
      <c r="AF36" s="320"/>
      <c r="AG36" s="320"/>
      <c r="AH36" s="320"/>
      <c r="AI36" s="320"/>
      <c r="AJ36" s="320"/>
      <c r="AK36" s="320"/>
      <c r="AL36" s="320"/>
      <c r="AM36" s="255"/>
      <c r="AP36" s="220"/>
    </row>
    <row r="37" spans="2:42" ht="12.75" customHeight="1">
      <c r="B37" s="256" t="str">
        <f>VLOOKUP('Filtered Data'!D1,'Filtered Data'!L1:O6,2,FALSE)</f>
        <v>Counties</v>
      </c>
      <c r="C37" s="256"/>
      <c r="D37" s="256"/>
      <c r="E37" s="256"/>
      <c r="F37" s="256"/>
      <c r="G37" s="256"/>
      <c r="H37" s="256"/>
      <c r="I37" s="256"/>
      <c r="J37" s="329" t="s">
        <v>900</v>
      </c>
      <c r="K37" s="232" t="str">
        <f>IF(Q37="","",IF('Filtered Data'!I8="D",IF($L$35&gt;=L37,"J","L"),IF('Filtered Data'!I8="A",IF($L$35&lt;=L37,"J","L"))))</f>
        <v>L</v>
      </c>
      <c r="L37" s="325">
        <f>'Filtered Data'!M9</f>
        <v>16.892058683650347</v>
      </c>
      <c r="M37" s="325"/>
      <c r="N37" s="325"/>
      <c r="O37" s="325"/>
      <c r="P37" s="257"/>
      <c r="Q37" s="324">
        <f>VLOOKUP(J5,'Filtered Data'!C:I,7,FALSE)</f>
        <v>16</v>
      </c>
      <c r="R37" s="324"/>
      <c r="S37" s="260"/>
      <c r="T37" s="259" t="s">
        <v>355</v>
      </c>
      <c r="U37" s="259"/>
      <c r="V37" s="324">
        <f>COUNT('Filtered Data'!I11:I363)</f>
        <v>27</v>
      </c>
      <c r="W37" s="324"/>
      <c r="AB37" s="320"/>
      <c r="AC37" s="320"/>
      <c r="AD37" s="320"/>
      <c r="AE37" s="320"/>
      <c r="AF37" s="320"/>
      <c r="AG37" s="320"/>
      <c r="AH37" s="320"/>
      <c r="AI37" s="320"/>
      <c r="AJ37" s="320"/>
      <c r="AK37" s="320"/>
      <c r="AL37" s="320"/>
      <c r="AM37" s="255"/>
      <c r="AP37" s="220"/>
    </row>
    <row r="38" spans="2:42">
      <c r="B38" s="256" t="str">
        <f>IF('Filtered Data'!D1="L","",IF('Filtered Data'!D1="SD",J10,"Regional"))</f>
        <v>Regional</v>
      </c>
      <c r="C38" s="256"/>
      <c r="D38" s="256"/>
      <c r="E38" s="256"/>
      <c r="F38" s="256"/>
      <c r="G38" s="256"/>
      <c r="H38" s="256"/>
      <c r="I38" s="256"/>
      <c r="J38" s="330"/>
      <c r="K38" s="232" t="str">
        <f>IF(Q38="","",IF('Filtered Data'!I8="D",IF($L$35&gt;=L38,"J","L"),IF('Filtered Data'!I8="A",IF($L$35&lt;=L38,"J","L"))))</f>
        <v>J</v>
      </c>
      <c r="L38" s="325">
        <f>IF('Filtered Data'!D1="L","",IF('Filtered Data'!D1="SD",'Filtered Data'!AJ9,'Filtered Data'!AQ9))</f>
        <v>14.88761663900587</v>
      </c>
      <c r="M38" s="325"/>
      <c r="N38" s="325"/>
      <c r="O38" s="325"/>
      <c r="P38" s="257"/>
      <c r="Q38" s="324">
        <f>IF(ISERROR(IF('Filtered Data'!D1="L","",IF('Filtered Data'!D1="SD",VLOOKUP(J5,'Filtered Data'!L:AK,26,FALSE),(VLOOKUP(J5,'Filtered Data'!L:AR,33,FALSE))))),"",(IF('Filtered Data'!D1="L","",IF('Filtered Data'!D1="SD",VLOOKUP(J5,'Filtered Data'!L:AK,26,FALSE),(VLOOKUP(J5,'Filtered Data'!L:AR,33,FALSE))))))</f>
        <v>1</v>
      </c>
      <c r="R38" s="324"/>
      <c r="S38" s="258"/>
      <c r="T38" s="259" t="str">
        <f>IF(B38="","","out of")</f>
        <v>out of</v>
      </c>
      <c r="U38" s="259"/>
      <c r="V38" s="324">
        <f>IF('Filtered Data'!D1="L","",IF('Filtered Data'!D1="SD",COUNT('Filtered Data'!AK11:AK363),(COUNT('Filtered Data'!AQ11:AQ363))))</f>
        <v>2</v>
      </c>
      <c r="W38" s="324"/>
      <c r="Z38" s="233" t="s">
        <v>359</v>
      </c>
      <c r="AB38" s="320" t="s">
        <v>361</v>
      </c>
      <c r="AC38" s="320"/>
      <c r="AD38" s="320"/>
      <c r="AE38" s="320"/>
      <c r="AF38" s="320"/>
      <c r="AG38" s="320"/>
      <c r="AH38" s="320"/>
      <c r="AI38" s="320"/>
      <c r="AJ38" s="320"/>
      <c r="AK38" s="320"/>
      <c r="AL38" s="320"/>
      <c r="AM38" s="320"/>
      <c r="AP38" s="220"/>
    </row>
    <row r="39" spans="2:42" ht="12.75" customHeight="1">
      <c r="B39" s="275"/>
      <c r="C39" s="275"/>
      <c r="D39" s="275"/>
      <c r="E39" s="275"/>
      <c r="F39" s="275"/>
      <c r="G39" s="275"/>
      <c r="H39" s="275"/>
      <c r="I39" s="275"/>
      <c r="J39" s="274"/>
      <c r="K39" s="235"/>
      <c r="L39" s="323"/>
      <c r="M39" s="323"/>
      <c r="N39" s="323"/>
      <c r="O39" s="323"/>
      <c r="P39" s="276"/>
      <c r="Q39" s="327"/>
      <c r="R39" s="327"/>
      <c r="S39" s="323"/>
      <c r="T39" s="323"/>
      <c r="U39" s="323"/>
      <c r="V39" s="327"/>
      <c r="W39" s="327"/>
      <c r="AB39" s="320"/>
      <c r="AC39" s="320"/>
      <c r="AD39" s="320"/>
      <c r="AE39" s="320"/>
      <c r="AF39" s="320"/>
      <c r="AG39" s="320"/>
      <c r="AH39" s="320"/>
      <c r="AI39" s="320"/>
      <c r="AJ39" s="320"/>
      <c r="AK39" s="320"/>
      <c r="AL39" s="320"/>
      <c r="AM39" s="320"/>
      <c r="AP39" s="220"/>
    </row>
    <row r="40" spans="2:42">
      <c r="B40" s="277"/>
      <c r="C40" s="277"/>
      <c r="D40" s="277"/>
      <c r="E40" s="277"/>
      <c r="F40" s="277"/>
      <c r="G40" s="277"/>
      <c r="H40" s="277"/>
      <c r="I40" s="277"/>
      <c r="J40" s="234"/>
      <c r="K40" s="278" t="str">
        <f>IF(B40="","",IF('Filtered Data'!D1="UA","",(IF($L$35&gt;=L40,"J","L"))))</f>
        <v/>
      </c>
      <c r="L40" s="340"/>
      <c r="M40" s="340"/>
      <c r="N40" s="340"/>
      <c r="O40" s="340"/>
      <c r="P40" s="279"/>
      <c r="Q40" s="328"/>
      <c r="R40" s="328"/>
      <c r="S40" s="326"/>
      <c r="T40" s="326"/>
      <c r="U40" s="326"/>
      <c r="V40" s="328"/>
      <c r="W40" s="328"/>
      <c r="AB40" s="231"/>
      <c r="AC40" s="231"/>
      <c r="AD40" s="231"/>
      <c r="AE40" s="231"/>
      <c r="AF40" s="231"/>
      <c r="AG40" s="231"/>
      <c r="AH40" s="231"/>
      <c r="AI40" s="231"/>
      <c r="AJ40" s="231"/>
      <c r="AK40" s="231"/>
      <c r="AL40" s="231"/>
      <c r="AM40" s="231"/>
      <c r="AP40" s="220"/>
    </row>
    <row r="41" spans="2:42">
      <c r="B41" s="222"/>
      <c r="C41" s="222"/>
      <c r="D41" s="222"/>
      <c r="E41" s="222"/>
      <c r="F41" s="222"/>
      <c r="G41" s="222"/>
      <c r="H41" s="222"/>
      <c r="I41" s="222"/>
      <c r="J41" s="236"/>
      <c r="K41" s="237"/>
      <c r="L41" s="238"/>
      <c r="M41" s="238"/>
      <c r="N41" s="238"/>
      <c r="O41" s="238"/>
      <c r="P41" s="239"/>
      <c r="Q41" s="240"/>
      <c r="R41" s="240"/>
      <c r="S41" s="241"/>
      <c r="T41" s="240"/>
      <c r="U41" s="240"/>
      <c r="V41" s="240"/>
      <c r="W41" s="240"/>
      <c r="AB41" s="242"/>
      <c r="AC41" s="242"/>
      <c r="AD41" s="242"/>
      <c r="AE41" s="242"/>
      <c r="AF41" s="242"/>
      <c r="AG41" s="242"/>
      <c r="AH41" s="242"/>
      <c r="AI41" s="242"/>
      <c r="AJ41" s="242"/>
      <c r="AK41" s="242"/>
      <c r="AL41" s="242"/>
      <c r="AM41" s="242"/>
      <c r="AP41" s="220"/>
    </row>
    <row r="42" spans="2:42">
      <c r="B42" s="336" t="s">
        <v>357</v>
      </c>
      <c r="C42" s="337"/>
      <c r="D42" s="337"/>
      <c r="E42" s="337"/>
      <c r="F42" s="337"/>
      <c r="G42" s="337"/>
      <c r="H42" s="337"/>
      <c r="I42" s="337"/>
      <c r="J42" s="337"/>
      <c r="K42" s="337"/>
      <c r="L42" s="337"/>
      <c r="M42" s="337"/>
      <c r="N42" s="337"/>
      <c r="O42" s="332" t="str">
        <f>W6&amp;" - "&amp;W12</f>
        <v>Proportion of residents who cycle (any length or purpose) at least once a month - 2018/19</v>
      </c>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3"/>
      <c r="AP42" s="220"/>
    </row>
    <row r="43" spans="2:42">
      <c r="B43" s="338"/>
      <c r="C43" s="339"/>
      <c r="D43" s="339"/>
      <c r="E43" s="339"/>
      <c r="F43" s="339"/>
      <c r="G43" s="339"/>
      <c r="H43" s="339"/>
      <c r="I43" s="339"/>
      <c r="J43" s="339"/>
      <c r="K43" s="339"/>
      <c r="L43" s="339"/>
      <c r="M43" s="339"/>
      <c r="N43" s="339"/>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5"/>
      <c r="AP43" s="220"/>
    </row>
    <row r="44" spans="2:42">
      <c r="B44" s="243"/>
      <c r="C44" s="223"/>
      <c r="D44" s="223"/>
      <c r="E44" s="223"/>
      <c r="F44" s="223"/>
      <c r="G44" s="222"/>
      <c r="H44" s="222"/>
      <c r="I44" s="222"/>
      <c r="J44" s="222"/>
      <c r="K44" s="239"/>
      <c r="L44" s="239"/>
      <c r="M44" s="239"/>
      <c r="N44" s="239"/>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4"/>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t="e">
        <f>IF((VLOOKUP(Profile!W6,'Indicator info'!A:B,4,FALSE))=".","",(VLOOKUP(Profile!W6,'Indicator info'!A:B,4,FALSE)))</f>
        <v>#REF!</v>
      </c>
      <c r="E46" s="223"/>
      <c r="F46" s="223"/>
      <c r="G46" s="222"/>
      <c r="H46" s="222"/>
      <c r="I46" s="222"/>
      <c r="J46" s="222"/>
      <c r="K46" s="239" t="s">
        <v>795</v>
      </c>
      <c r="L46" s="239"/>
      <c r="M46" s="239" t="s">
        <v>796</v>
      </c>
      <c r="N46" s="239"/>
      <c r="O46" s="222" t="s">
        <v>797</v>
      </c>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44" t="str">
        <f>B35</f>
        <v>Cumbria</v>
      </c>
      <c r="E47" s="319">
        <f>IF('Filtered Data'!$H$8="..",L35,L35*100)</f>
        <v>16.018311396308022</v>
      </c>
      <c r="F47" s="319"/>
      <c r="G47" s="319"/>
      <c r="H47" s="319"/>
      <c r="I47" s="222"/>
      <c r="J47" s="222"/>
      <c r="K47" s="285">
        <f>IF('Filtered Data'!$H$8="..",K$32,K$32*100)</f>
        <v>18.75413441664665</v>
      </c>
      <c r="L47" s="285"/>
      <c r="M47" s="285">
        <f>IF('Filtered Data'!$H$8="..",T$32,T$32*100)</f>
        <v>16.26259547069758</v>
      </c>
      <c r="N47" s="285"/>
      <c r="O47" s="285">
        <f>IF('Filtered Data'!$H$8="..",AC$32,AC$32*100)</f>
        <v>14.836317443731243</v>
      </c>
      <c r="P47" s="285"/>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5" t="str">
        <f>B37</f>
        <v>Counties</v>
      </c>
      <c r="E48" s="319">
        <f>IF('Filtered Data'!$H$8="..",L37,L37*100)</f>
        <v>16.892058683650347</v>
      </c>
      <c r="F48" s="319"/>
      <c r="G48" s="319"/>
      <c r="H48" s="319"/>
      <c r="I48" s="222"/>
      <c r="J48" s="222"/>
      <c r="K48" s="285">
        <f>IF('Filtered Data'!$H$8="..",K$32,K$32*100)</f>
        <v>18.75413441664665</v>
      </c>
      <c r="L48" s="285"/>
      <c r="M48" s="285">
        <f>IF('Filtered Data'!$H$8="..",T$32,T$32*100)</f>
        <v>16.26259547069758</v>
      </c>
      <c r="N48" s="285"/>
      <c r="O48" s="285">
        <f>IF('Filtered Data'!$H$8="..",AC$32,AC$32*100)</f>
        <v>14.836317443731243</v>
      </c>
      <c r="P48" s="285"/>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4" t="str">
        <f>B38</f>
        <v>Regional</v>
      </c>
      <c r="E49" s="319">
        <f>IF('Filtered Data'!$H$8="..",L38,L38*100)</f>
        <v>14.88761663900587</v>
      </c>
      <c r="F49" s="319"/>
      <c r="G49" s="319"/>
      <c r="H49" s="319"/>
      <c r="I49" s="222"/>
      <c r="J49" s="222"/>
      <c r="K49" s="285">
        <f>IF('Filtered Data'!$H$8="..",K$32,K$32*100)</f>
        <v>18.75413441664665</v>
      </c>
      <c r="L49" s="285"/>
      <c r="M49" s="285">
        <f>IF('Filtered Data'!$H$8="..",T$32,T$32*100)</f>
        <v>16.26259547069758</v>
      </c>
      <c r="N49" s="285"/>
      <c r="O49" s="285">
        <f>IF('Filtered Data'!$H$8="..",AC$32,AC$32*100)</f>
        <v>14.836317443731243</v>
      </c>
      <c r="P49" s="285"/>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c r="E50" s="319"/>
      <c r="F50" s="319"/>
      <c r="G50" s="319"/>
      <c r="H50" s="319"/>
      <c r="I50" s="222"/>
      <c r="J50" s="222"/>
      <c r="K50" s="285"/>
      <c r="L50" s="285"/>
      <c r="M50" s="285"/>
      <c r="N50" s="285"/>
      <c r="O50" s="285"/>
      <c r="P50" s="285"/>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45"/>
      <c r="E51" s="319"/>
      <c r="F51" s="319"/>
      <c r="G51" s="319"/>
      <c r="H51" s="319"/>
      <c r="I51" s="222"/>
      <c r="J51" s="222"/>
      <c r="K51" s="285"/>
      <c r="L51" s="285"/>
      <c r="M51" s="285"/>
      <c r="N51" s="285"/>
      <c r="O51" s="285"/>
      <c r="P51" s="285"/>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45"/>
      <c r="F52" s="345"/>
      <c r="G52" s="345"/>
      <c r="H52" s="345"/>
      <c r="I52" s="222"/>
      <c r="J52" s="222"/>
      <c r="K52" s="285"/>
      <c r="L52" s="285"/>
      <c r="M52" s="285"/>
      <c r="N52" s="285"/>
      <c r="O52" s="285"/>
      <c r="P52" s="285"/>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23"/>
      <c r="E53" s="223"/>
      <c r="F53" s="223"/>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6"/>
      <c r="C56" s="247"/>
      <c r="D56" s="247"/>
      <c r="E56" s="247"/>
      <c r="F56" s="247"/>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7"/>
      <c r="AP56" s="220"/>
    </row>
    <row r="57" spans="2:42">
      <c r="B57" s="223"/>
      <c r="C57" s="223"/>
      <c r="D57" s="223"/>
      <c r="E57" s="223"/>
      <c r="F57" s="223"/>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P57" s="220"/>
    </row>
    <row r="58" spans="2:42" s="251" customFormat="1" ht="19.5" customHeight="1">
      <c r="B58" s="322" t="str">
        <f>B3</f>
        <v>Cycling Statistics</v>
      </c>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P58" s="253"/>
    </row>
    <row r="59" spans="2:42" s="251" customFormat="1">
      <c r="AP59" s="253"/>
    </row>
    <row r="60" spans="2:42" s="251" customFormat="1" ht="12" customHeight="1">
      <c r="B60" s="261" t="str">
        <f>W6&amp;" - "&amp;W12</f>
        <v>Proportion of residents who cycle (any length or purpose) at least once a month - 2018/19</v>
      </c>
      <c r="AP60" s="253"/>
    </row>
    <row r="61" spans="2:42" s="251" customFormat="1" ht="12" customHeight="1">
      <c r="AP61" s="253"/>
    </row>
    <row r="62" spans="2:42" s="251" customFormat="1" ht="12" customHeight="1">
      <c r="B62" s="261" t="s">
        <v>363</v>
      </c>
      <c r="AP62" s="253"/>
    </row>
    <row r="63" spans="2:42" s="251" customFormat="1" ht="12" customHeight="1">
      <c r="AP63" s="253"/>
    </row>
    <row r="64" spans="2:42" s="251" customFormat="1" ht="12" customHeight="1">
      <c r="B64" s="293" t="s">
        <v>354</v>
      </c>
      <c r="C64" s="293"/>
      <c r="D64" s="293"/>
      <c r="E64" s="291" t="s">
        <v>333</v>
      </c>
      <c r="F64" s="291"/>
      <c r="G64" s="291"/>
      <c r="H64" s="291"/>
      <c r="I64" s="291"/>
      <c r="J64" s="291"/>
      <c r="K64" s="291"/>
      <c r="L64" s="291"/>
      <c r="M64" s="291"/>
      <c r="N64" s="291"/>
      <c r="O64" s="291"/>
      <c r="P64" s="291"/>
      <c r="Q64" s="291"/>
      <c r="R64" s="291"/>
      <c r="S64" s="291"/>
      <c r="T64" s="291"/>
      <c r="U64" s="293" t="s">
        <v>364</v>
      </c>
      <c r="V64" s="293"/>
      <c r="W64" s="293"/>
      <c r="X64" s="293"/>
      <c r="Y64" s="262"/>
      <c r="Z64" s="262"/>
      <c r="AA64" s="262"/>
      <c r="AB64" s="262"/>
      <c r="AC64" s="263"/>
      <c r="AD64" s="262"/>
      <c r="AE64" s="262"/>
      <c r="AF64" s="262"/>
      <c r="AG64" s="262"/>
      <c r="AH64" s="263"/>
      <c r="AI64" s="262"/>
      <c r="AJ64" s="262"/>
      <c r="AK64" s="262"/>
      <c r="AL64" s="262"/>
      <c r="AP64" s="253"/>
    </row>
    <row r="65" spans="2:42" s="251" customFormat="1" ht="12" customHeight="1">
      <c r="B65" s="321">
        <v>1</v>
      </c>
      <c r="C65" s="289"/>
      <c r="D65" s="289"/>
      <c r="E65" s="290" t="str">
        <f>VLOOKUP(B65,'Filtered Data'!K:L,2,FALSE)</f>
        <v>Cambridgeshire</v>
      </c>
      <c r="F65" s="290"/>
      <c r="G65" s="290"/>
      <c r="H65" s="290"/>
      <c r="I65" s="290"/>
      <c r="J65" s="290"/>
      <c r="K65" s="290"/>
      <c r="L65" s="290"/>
      <c r="M65" s="290"/>
      <c r="N65" s="290"/>
      <c r="O65" s="290"/>
      <c r="P65" s="290"/>
      <c r="Q65" s="290"/>
      <c r="R65" s="290"/>
      <c r="S65" s="290"/>
      <c r="T65" s="290"/>
      <c r="U65" s="287">
        <f>IF('Filtered Data'!$H$8="%.",(VLOOKUP(B65,'Filtered Data'!K:M,3,FALSE))/100,VLOOKUP(B65,'Filtered Data'!K:M,3,FALSE))</f>
        <v>30.572479096813858</v>
      </c>
      <c r="V65" s="287"/>
      <c r="W65" s="287"/>
      <c r="X65" s="287"/>
      <c r="Y65" s="264" t="str">
        <f>IF((VLOOKUP(E65,classifications!C:K,9,FALSE))="Sparse","S","")</f>
        <v/>
      </c>
      <c r="Z65" s="264"/>
      <c r="AA65" s="264"/>
      <c r="AB65" s="264"/>
      <c r="AC65" s="264"/>
      <c r="AD65" s="292"/>
      <c r="AE65" s="292"/>
      <c r="AF65" s="292"/>
      <c r="AG65" s="292"/>
      <c r="AH65" s="292"/>
      <c r="AI65" s="292"/>
      <c r="AJ65" s="292"/>
      <c r="AK65" s="292"/>
      <c r="AL65" s="292"/>
      <c r="AP65" s="253"/>
    </row>
    <row r="66" spans="2:42" s="251" customFormat="1" ht="12" customHeight="1">
      <c r="B66" s="321">
        <v>2</v>
      </c>
      <c r="C66" s="289"/>
      <c r="D66" s="289"/>
      <c r="E66" s="290" t="str">
        <f>VLOOKUP(B66,'Filtered Data'!K:L,2,FALSE)</f>
        <v>Oxfordshire</v>
      </c>
      <c r="F66" s="290"/>
      <c r="G66" s="290"/>
      <c r="H66" s="290"/>
      <c r="I66" s="290"/>
      <c r="J66" s="290"/>
      <c r="K66" s="290"/>
      <c r="L66" s="290"/>
      <c r="M66" s="290"/>
      <c r="N66" s="290"/>
      <c r="O66" s="290"/>
      <c r="P66" s="290"/>
      <c r="Q66" s="290"/>
      <c r="R66" s="290"/>
      <c r="S66" s="290"/>
      <c r="T66" s="290"/>
      <c r="U66" s="287">
        <f>IF('Filtered Data'!$H$8="%.",(VLOOKUP(B66,'Filtered Data'!K:M,3,FALSE))/100,VLOOKUP(B66,'Filtered Data'!K:M,3,FALSE))</f>
        <v>27.360615780317239</v>
      </c>
      <c r="V66" s="287"/>
      <c r="W66" s="287"/>
      <c r="X66" s="287"/>
      <c r="Y66" s="264" t="str">
        <f>IF((VLOOKUP(E66,classifications!C:K,9,FALSE))="Sparse","S","")</f>
        <v/>
      </c>
      <c r="Z66" s="264"/>
      <c r="AA66" s="264"/>
      <c r="AB66" s="264"/>
      <c r="AC66" s="264"/>
      <c r="AD66" s="292"/>
      <c r="AE66" s="292"/>
      <c r="AF66" s="292"/>
      <c r="AG66" s="292"/>
      <c r="AH66" s="292"/>
      <c r="AI66" s="292"/>
      <c r="AJ66" s="292"/>
      <c r="AK66" s="292"/>
      <c r="AL66" s="292"/>
      <c r="AP66" s="253"/>
    </row>
    <row r="67" spans="2:42" s="251" customFormat="1" ht="12" customHeight="1">
      <c r="B67" s="321">
        <v>3</v>
      </c>
      <c r="C67" s="289"/>
      <c r="D67" s="289"/>
      <c r="E67" s="290" t="str">
        <f>VLOOKUP(B67,'Filtered Data'!K:L,2,FALSE)</f>
        <v>Devon</v>
      </c>
      <c r="F67" s="290"/>
      <c r="G67" s="290"/>
      <c r="H67" s="290"/>
      <c r="I67" s="290"/>
      <c r="J67" s="290"/>
      <c r="K67" s="290"/>
      <c r="L67" s="290"/>
      <c r="M67" s="290"/>
      <c r="N67" s="290"/>
      <c r="O67" s="290"/>
      <c r="P67" s="290"/>
      <c r="Q67" s="290"/>
      <c r="R67" s="290"/>
      <c r="S67" s="290"/>
      <c r="T67" s="290"/>
      <c r="U67" s="287">
        <f>IF('Filtered Data'!$H$8="%.",(VLOOKUP(B67,'Filtered Data'!K:M,3,FALSE))/100,VLOOKUP(B67,'Filtered Data'!K:M,3,FALSE))</f>
        <v>20.569845842883787</v>
      </c>
      <c r="V67" s="287"/>
      <c r="W67" s="287"/>
      <c r="X67" s="287"/>
      <c r="Y67" s="264" t="str">
        <f>IF((VLOOKUP(E67,classifications!C:K,9,FALSE))="Sparse","S","")</f>
        <v>S</v>
      </c>
      <c r="Z67" s="264"/>
      <c r="AA67" s="264"/>
      <c r="AB67" s="264"/>
      <c r="AC67" s="264"/>
      <c r="AD67" s="292"/>
      <c r="AE67" s="292"/>
      <c r="AF67" s="292"/>
      <c r="AG67" s="292"/>
      <c r="AH67" s="292"/>
      <c r="AI67" s="292"/>
      <c r="AJ67" s="292"/>
      <c r="AK67" s="292"/>
      <c r="AL67" s="292"/>
      <c r="AP67" s="253"/>
    </row>
    <row r="68" spans="2:42" s="251" customFormat="1" ht="12" customHeight="1">
      <c r="B68" s="321">
        <v>4</v>
      </c>
      <c r="C68" s="289"/>
      <c r="D68" s="289"/>
      <c r="E68" s="290" t="str">
        <f>VLOOKUP(B68,'Filtered Data'!K:L,2,FALSE)</f>
        <v>Surrey</v>
      </c>
      <c r="F68" s="290"/>
      <c r="G68" s="290"/>
      <c r="H68" s="290"/>
      <c r="I68" s="290"/>
      <c r="J68" s="290"/>
      <c r="K68" s="290"/>
      <c r="L68" s="290"/>
      <c r="M68" s="290"/>
      <c r="N68" s="290"/>
      <c r="O68" s="290"/>
      <c r="P68" s="290"/>
      <c r="Q68" s="290"/>
      <c r="R68" s="290"/>
      <c r="S68" s="290"/>
      <c r="T68" s="290"/>
      <c r="U68" s="287">
        <f>IF('Filtered Data'!$H$8="%.",(VLOOKUP(B68,'Filtered Data'!K:M,3,FALSE))/100,VLOOKUP(B68,'Filtered Data'!K:M,3,FALSE))</f>
        <v>20.423132463684833</v>
      </c>
      <c r="V68" s="287"/>
      <c r="W68" s="287"/>
      <c r="X68" s="287"/>
      <c r="Y68" s="264" t="str">
        <f>IF((VLOOKUP(E68,classifications!C:K,9,FALSE))="Sparse","S","")</f>
        <v/>
      </c>
      <c r="Z68" s="264"/>
      <c r="AA68" s="264"/>
      <c r="AB68" s="264"/>
      <c r="AC68" s="264"/>
      <c r="AD68" s="292"/>
      <c r="AE68" s="292"/>
      <c r="AF68" s="292"/>
      <c r="AG68" s="292"/>
      <c r="AH68" s="292"/>
      <c r="AI68" s="292"/>
      <c r="AJ68" s="292"/>
      <c r="AK68" s="292"/>
      <c r="AL68" s="292"/>
      <c r="AP68" s="253"/>
    </row>
    <row r="69" spans="2:42" s="251" customFormat="1" ht="12" customHeight="1">
      <c r="B69" s="321">
        <v>5</v>
      </c>
      <c r="C69" s="289"/>
      <c r="D69" s="289"/>
      <c r="E69" s="290" t="str">
        <f>VLOOKUP(B69,'Filtered Data'!K:L,2,FALSE)</f>
        <v>Norfolk</v>
      </c>
      <c r="F69" s="290"/>
      <c r="G69" s="290"/>
      <c r="H69" s="290"/>
      <c r="I69" s="290"/>
      <c r="J69" s="290"/>
      <c r="K69" s="290"/>
      <c r="L69" s="290"/>
      <c r="M69" s="290"/>
      <c r="N69" s="290"/>
      <c r="O69" s="290"/>
      <c r="P69" s="290"/>
      <c r="Q69" s="290"/>
      <c r="R69" s="290"/>
      <c r="S69" s="290"/>
      <c r="T69" s="290"/>
      <c r="U69" s="287">
        <f>IF('Filtered Data'!$H$8="%.",(VLOOKUP(B69,'Filtered Data'!K:M,3,FALSE))/100,VLOOKUP(B69,'Filtered Data'!K:M,3,FALSE))</f>
        <v>19.776634494001861</v>
      </c>
      <c r="V69" s="287"/>
      <c r="W69" s="287"/>
      <c r="X69" s="287"/>
      <c r="Y69" s="264" t="str">
        <f>IF((VLOOKUP(E69,classifications!C:K,9,FALSE))="Sparse","S","")</f>
        <v>S</v>
      </c>
      <c r="Z69" s="264"/>
      <c r="AA69" s="264"/>
      <c r="AB69" s="264"/>
      <c r="AC69" s="264"/>
      <c r="AD69" s="292"/>
      <c r="AE69" s="292"/>
      <c r="AF69" s="292"/>
      <c r="AG69" s="292"/>
      <c r="AH69" s="292"/>
      <c r="AI69" s="292"/>
      <c r="AJ69" s="292"/>
      <c r="AK69" s="292"/>
      <c r="AL69" s="292"/>
      <c r="AP69" s="253"/>
    </row>
    <row r="70" spans="2:42" s="251" customFormat="1" ht="12" customHeight="1">
      <c r="B70" s="321">
        <v>6</v>
      </c>
      <c r="C70" s="289"/>
      <c r="D70" s="289"/>
      <c r="E70" s="290" t="str">
        <f>VLOOKUP(B70,'Filtered Data'!K:L,2,FALSE)</f>
        <v>Suffolk</v>
      </c>
      <c r="F70" s="290"/>
      <c r="G70" s="290"/>
      <c r="H70" s="290"/>
      <c r="I70" s="290"/>
      <c r="J70" s="290"/>
      <c r="K70" s="290"/>
      <c r="L70" s="290"/>
      <c r="M70" s="290"/>
      <c r="N70" s="290"/>
      <c r="O70" s="290"/>
      <c r="P70" s="290"/>
      <c r="Q70" s="290"/>
      <c r="R70" s="290"/>
      <c r="S70" s="290"/>
      <c r="T70" s="290"/>
      <c r="U70" s="287">
        <f>IF('Filtered Data'!$H$8="%.",(VLOOKUP(B70,'Filtered Data'!K:M,3,FALSE))/100,VLOOKUP(B70,'Filtered Data'!K:M,3,FALSE))</f>
        <v>19.764917133210222</v>
      </c>
      <c r="V70" s="287"/>
      <c r="W70" s="287"/>
      <c r="X70" s="287"/>
      <c r="Y70" s="264" t="str">
        <f>IF((VLOOKUP(E70,classifications!C:K,9,FALSE))="Sparse","S","")</f>
        <v>S</v>
      </c>
      <c r="Z70" s="264"/>
      <c r="AA70" s="264"/>
      <c r="AB70" s="264"/>
      <c r="AC70" s="264"/>
      <c r="AD70" s="292"/>
      <c r="AE70" s="292"/>
      <c r="AF70" s="292"/>
      <c r="AG70" s="292"/>
      <c r="AH70" s="292"/>
      <c r="AI70" s="292"/>
      <c r="AJ70" s="292"/>
      <c r="AK70" s="292"/>
      <c r="AL70" s="292"/>
      <c r="AP70" s="253"/>
    </row>
    <row r="71" spans="2:42" s="251" customFormat="1" ht="12" customHeight="1">
      <c r="B71" s="321">
        <v>7</v>
      </c>
      <c r="C71" s="289"/>
      <c r="D71" s="289"/>
      <c r="E71" s="290" t="str">
        <f>VLOOKUP(B71,'Filtered Data'!K:L,2,FALSE)</f>
        <v>Hampshire</v>
      </c>
      <c r="F71" s="290"/>
      <c r="G71" s="290"/>
      <c r="H71" s="290"/>
      <c r="I71" s="290"/>
      <c r="J71" s="290"/>
      <c r="K71" s="290"/>
      <c r="L71" s="290"/>
      <c r="M71" s="290"/>
      <c r="N71" s="290"/>
      <c r="O71" s="290"/>
      <c r="P71" s="290"/>
      <c r="Q71" s="290"/>
      <c r="R71" s="290"/>
      <c r="S71" s="290"/>
      <c r="T71" s="290"/>
      <c r="U71" s="287">
        <f>IF('Filtered Data'!$H$8="%.",(VLOOKUP(B71,'Filtered Data'!K:M,3,FALSE))/100,VLOOKUP(B71,'Filtered Data'!K:M,3,FALSE))</f>
        <v>18.924173536281611</v>
      </c>
      <c r="V71" s="287"/>
      <c r="W71" s="287"/>
      <c r="X71" s="287"/>
      <c r="Y71" s="264" t="str">
        <f>IF((VLOOKUP(E71,classifications!C:K,9,FALSE))="Sparse","S","")</f>
        <v>S</v>
      </c>
      <c r="Z71" s="264"/>
      <c r="AA71" s="264"/>
      <c r="AB71" s="264"/>
      <c r="AC71" s="264"/>
      <c r="AD71" s="292"/>
      <c r="AE71" s="292"/>
      <c r="AF71" s="292"/>
      <c r="AG71" s="292"/>
      <c r="AH71" s="292"/>
      <c r="AI71" s="292"/>
      <c r="AJ71" s="292"/>
      <c r="AK71" s="292"/>
      <c r="AL71" s="292"/>
      <c r="AP71" s="253"/>
    </row>
    <row r="72" spans="2:42" s="251" customFormat="1" ht="12" customHeight="1">
      <c r="B72" s="321">
        <v>8</v>
      </c>
      <c r="C72" s="289"/>
      <c r="D72" s="289"/>
      <c r="E72" s="290" t="str">
        <f>VLOOKUP(B72,'Filtered Data'!K:L,2,FALSE)</f>
        <v>West Sussex</v>
      </c>
      <c r="F72" s="290"/>
      <c r="G72" s="290"/>
      <c r="H72" s="290"/>
      <c r="I72" s="290"/>
      <c r="J72" s="290"/>
      <c r="K72" s="290"/>
      <c r="L72" s="290"/>
      <c r="M72" s="290"/>
      <c r="N72" s="290"/>
      <c r="O72" s="290"/>
      <c r="P72" s="290"/>
      <c r="Q72" s="290"/>
      <c r="R72" s="290"/>
      <c r="S72" s="290"/>
      <c r="T72" s="290"/>
      <c r="U72" s="287">
        <f>IF('Filtered Data'!$H$8="%.",(VLOOKUP(B72,'Filtered Data'!K:M,3,FALSE))/100,VLOOKUP(B72,'Filtered Data'!K:M,3,FALSE))</f>
        <v>18.584095297011689</v>
      </c>
      <c r="V72" s="287"/>
      <c r="W72" s="287"/>
      <c r="X72" s="287"/>
      <c r="Y72" s="264" t="str">
        <f>IF((VLOOKUP(E72,classifications!C:K,9,FALSE))="Sparse","S","")</f>
        <v/>
      </c>
      <c r="Z72" s="264"/>
      <c r="AA72" s="264"/>
      <c r="AB72" s="264"/>
      <c r="AC72" s="264"/>
      <c r="AD72" s="292"/>
      <c r="AE72" s="292"/>
      <c r="AF72" s="292"/>
      <c r="AG72" s="292"/>
      <c r="AH72" s="292"/>
      <c r="AI72" s="292"/>
      <c r="AJ72" s="292"/>
      <c r="AK72" s="292"/>
      <c r="AL72" s="292"/>
      <c r="AP72" s="253"/>
    </row>
    <row r="73" spans="2:42" s="251" customFormat="1" ht="12" customHeight="1">
      <c r="B73" s="321">
        <v>9</v>
      </c>
      <c r="C73" s="289"/>
      <c r="D73" s="289"/>
      <c r="E73" s="290" t="str">
        <f>VLOOKUP(B73,'Filtered Data'!K:L,2,FALSE)</f>
        <v>North Yorkshire</v>
      </c>
      <c r="F73" s="290"/>
      <c r="G73" s="290"/>
      <c r="H73" s="290"/>
      <c r="I73" s="290"/>
      <c r="J73" s="290"/>
      <c r="K73" s="290"/>
      <c r="L73" s="290"/>
      <c r="M73" s="290"/>
      <c r="N73" s="290"/>
      <c r="O73" s="290"/>
      <c r="P73" s="290"/>
      <c r="Q73" s="290"/>
      <c r="R73" s="290"/>
      <c r="S73" s="290"/>
      <c r="T73" s="290"/>
      <c r="U73" s="287">
        <f>IF('Filtered Data'!$H$8="%.",(VLOOKUP(B73,'Filtered Data'!K:M,3,FALSE))/100,VLOOKUP(B73,'Filtered Data'!K:M,3,FALSE))</f>
        <v>18.088342558486225</v>
      </c>
      <c r="V73" s="287"/>
      <c r="W73" s="287"/>
      <c r="X73" s="287"/>
      <c r="Y73" s="264" t="str">
        <f>IF((VLOOKUP(E73,classifications!C:K,9,FALSE))="Sparse","S","")</f>
        <v>S</v>
      </c>
      <c r="Z73" s="264"/>
      <c r="AA73" s="264"/>
      <c r="AB73" s="264"/>
      <c r="AC73" s="264"/>
      <c r="AD73" s="292"/>
      <c r="AE73" s="292"/>
      <c r="AF73" s="292"/>
      <c r="AG73" s="292"/>
      <c r="AH73" s="292"/>
      <c r="AI73" s="292"/>
      <c r="AJ73" s="292"/>
      <c r="AK73" s="292"/>
      <c r="AL73" s="292"/>
      <c r="AP73" s="253"/>
    </row>
    <row r="74" spans="2:42" s="251" customFormat="1" ht="12" customHeight="1">
      <c r="B74" s="321">
        <v>10</v>
      </c>
      <c r="C74" s="289"/>
      <c r="D74" s="289"/>
      <c r="E74" s="290" t="str">
        <f>VLOOKUP(B74,'Filtered Data'!K:L,2,FALSE)</f>
        <v>Somerset</v>
      </c>
      <c r="F74" s="290"/>
      <c r="G74" s="290"/>
      <c r="H74" s="290"/>
      <c r="I74" s="290"/>
      <c r="J74" s="290"/>
      <c r="K74" s="290"/>
      <c r="L74" s="290"/>
      <c r="M74" s="290"/>
      <c r="N74" s="290"/>
      <c r="O74" s="290"/>
      <c r="P74" s="290"/>
      <c r="Q74" s="290"/>
      <c r="R74" s="290"/>
      <c r="S74" s="290"/>
      <c r="T74" s="290"/>
      <c r="U74" s="287">
        <f>IF('Filtered Data'!$H$8="%.",(VLOOKUP(B74,'Filtered Data'!K:M,3,FALSE))/100,VLOOKUP(B74,'Filtered Data'!K:M,3,FALSE))</f>
        <v>18.082494954980437</v>
      </c>
      <c r="V74" s="287"/>
      <c r="W74" s="287"/>
      <c r="X74" s="287"/>
      <c r="Y74" s="264" t="str">
        <f>IF((VLOOKUP(E74,classifications!C:K,9,FALSE))="Sparse","S","")</f>
        <v/>
      </c>
      <c r="Z74" s="264"/>
      <c r="AA74" s="264"/>
      <c r="AB74" s="264"/>
      <c r="AC74" s="264"/>
      <c r="AD74" s="292"/>
      <c r="AE74" s="292"/>
      <c r="AF74" s="292"/>
      <c r="AG74" s="292"/>
      <c r="AH74" s="292"/>
      <c r="AI74" s="292"/>
      <c r="AJ74" s="292"/>
      <c r="AK74" s="292"/>
      <c r="AL74" s="292"/>
      <c r="AP74" s="253"/>
    </row>
    <row r="75" spans="2:42" s="251" customFormat="1" ht="12" customHeight="1">
      <c r="B75" s="321">
        <v>11</v>
      </c>
      <c r="C75" s="289"/>
      <c r="D75" s="289"/>
      <c r="E75" s="290" t="str">
        <f>VLOOKUP(B75,'Filtered Data'!K:L,2,FALSE)</f>
        <v>Buckinghamshire</v>
      </c>
      <c r="F75" s="290"/>
      <c r="G75" s="290"/>
      <c r="H75" s="290"/>
      <c r="I75" s="290"/>
      <c r="J75" s="290"/>
      <c r="K75" s="290"/>
      <c r="L75" s="290"/>
      <c r="M75" s="290"/>
      <c r="N75" s="290"/>
      <c r="O75" s="290"/>
      <c r="P75" s="290"/>
      <c r="Q75" s="290"/>
      <c r="R75" s="290"/>
      <c r="S75" s="290"/>
      <c r="T75" s="290"/>
      <c r="U75" s="287">
        <f>IF('Filtered Data'!$H$8="%.",(VLOOKUP(B75,'Filtered Data'!K:M,3,FALSE))/100,VLOOKUP(B75,'Filtered Data'!K:M,3,FALSE))</f>
        <v>17.595316909409966</v>
      </c>
      <c r="V75" s="287"/>
      <c r="W75" s="287"/>
      <c r="X75" s="287"/>
      <c r="Y75" s="264" t="str">
        <f>IF((VLOOKUP(E75,classifications!C:K,9,FALSE))="Sparse","S","")</f>
        <v/>
      </c>
      <c r="Z75" s="264"/>
      <c r="AA75" s="264"/>
      <c r="AB75" s="264"/>
      <c r="AC75" s="264"/>
      <c r="AD75" s="292"/>
      <c r="AE75" s="292"/>
      <c r="AF75" s="292"/>
      <c r="AG75" s="292"/>
      <c r="AH75" s="292"/>
      <c r="AI75" s="292"/>
      <c r="AJ75" s="292"/>
      <c r="AK75" s="292"/>
      <c r="AL75" s="292"/>
      <c r="AP75" s="253"/>
    </row>
    <row r="76" spans="2:42" s="251" customFormat="1" ht="12" customHeight="1">
      <c r="B76" s="321">
        <v>12</v>
      </c>
      <c r="C76" s="289"/>
      <c r="D76" s="289"/>
      <c r="E76" s="290" t="str">
        <f>VLOOKUP(B76,'Filtered Data'!K:L,2,FALSE)</f>
        <v>Gloucestershire</v>
      </c>
      <c r="F76" s="290"/>
      <c r="G76" s="290"/>
      <c r="H76" s="290"/>
      <c r="I76" s="290"/>
      <c r="J76" s="290"/>
      <c r="K76" s="290"/>
      <c r="L76" s="290"/>
      <c r="M76" s="290"/>
      <c r="N76" s="290"/>
      <c r="O76" s="290"/>
      <c r="P76" s="290"/>
      <c r="Q76" s="290"/>
      <c r="R76" s="290"/>
      <c r="S76" s="290"/>
      <c r="T76" s="290"/>
      <c r="U76" s="287">
        <f>IF('Filtered Data'!$H$8="%.",(VLOOKUP(B76,'Filtered Data'!K:M,3,FALSE))/100,VLOOKUP(B76,'Filtered Data'!K:M,3,FALSE))</f>
        <v>17.475104043290408</v>
      </c>
      <c r="V76" s="287"/>
      <c r="W76" s="287"/>
      <c r="X76" s="287"/>
      <c r="Y76" s="264" t="str">
        <f>IF((VLOOKUP(E76,classifications!C:K,9,FALSE))="Sparse","S","")</f>
        <v/>
      </c>
      <c r="Z76" s="264"/>
      <c r="AA76" s="264"/>
      <c r="AB76" s="264"/>
      <c r="AC76" s="264"/>
      <c r="AD76" s="292"/>
      <c r="AE76" s="292"/>
      <c r="AF76" s="292"/>
      <c r="AG76" s="292"/>
      <c r="AH76" s="292"/>
      <c r="AI76" s="292"/>
      <c r="AJ76" s="292"/>
      <c r="AK76" s="292"/>
      <c r="AL76" s="292"/>
      <c r="AP76" s="253"/>
    </row>
    <row r="77" spans="2:42" s="251" customFormat="1" ht="12" customHeight="1">
      <c r="B77" s="321">
        <v>13</v>
      </c>
      <c r="C77" s="289"/>
      <c r="D77" s="289"/>
      <c r="E77" s="290" t="str">
        <f>VLOOKUP(B77,'Filtered Data'!K:L,2,FALSE)</f>
        <v>Nottinghamshire</v>
      </c>
      <c r="F77" s="290"/>
      <c r="G77" s="290"/>
      <c r="H77" s="290"/>
      <c r="I77" s="290"/>
      <c r="J77" s="290"/>
      <c r="K77" s="290"/>
      <c r="L77" s="290"/>
      <c r="M77" s="290"/>
      <c r="N77" s="290"/>
      <c r="O77" s="290"/>
      <c r="P77" s="290"/>
      <c r="Q77" s="290"/>
      <c r="R77" s="290"/>
      <c r="S77" s="290"/>
      <c r="T77" s="290"/>
      <c r="U77" s="287">
        <f>IF('Filtered Data'!$H$8="%.",(VLOOKUP(B77,'Filtered Data'!K:M,3,FALSE))/100,VLOOKUP(B77,'Filtered Data'!K:M,3,FALSE))</f>
        <v>16.292922014594303</v>
      </c>
      <c r="V77" s="287"/>
      <c r="W77" s="287"/>
      <c r="X77" s="287"/>
      <c r="Y77" s="264" t="str">
        <f>IF((VLOOKUP(E77,classifications!C:K,9,FALSE))="Sparse","S","")</f>
        <v>S</v>
      </c>
      <c r="Z77" s="264"/>
      <c r="AA77" s="264"/>
      <c r="AB77" s="264"/>
      <c r="AC77" s="264"/>
      <c r="AD77" s="292"/>
      <c r="AE77" s="292"/>
      <c r="AF77" s="292"/>
      <c r="AG77" s="292"/>
      <c r="AH77" s="292"/>
      <c r="AI77" s="292"/>
      <c r="AJ77" s="292"/>
      <c r="AK77" s="292"/>
      <c r="AL77" s="292"/>
      <c r="AP77" s="253"/>
    </row>
    <row r="78" spans="2:42" s="251" customFormat="1" ht="12" customHeight="1">
      <c r="B78" s="321">
        <v>14</v>
      </c>
      <c r="C78" s="289"/>
      <c r="D78" s="289"/>
      <c r="E78" s="290" t="str">
        <f>VLOOKUP(B78,'Filtered Data'!K:L,2,FALSE)</f>
        <v>Kent</v>
      </c>
      <c r="F78" s="290"/>
      <c r="G78" s="290"/>
      <c r="H78" s="290"/>
      <c r="I78" s="290"/>
      <c r="J78" s="290"/>
      <c r="K78" s="290"/>
      <c r="L78" s="290"/>
      <c r="M78" s="290"/>
      <c r="N78" s="290"/>
      <c r="O78" s="290"/>
      <c r="P78" s="290"/>
      <c r="Q78" s="290"/>
      <c r="R78" s="290"/>
      <c r="S78" s="290"/>
      <c r="T78" s="290"/>
      <c r="U78" s="287">
        <f>IF('Filtered Data'!$H$8="%.",(VLOOKUP(B78,'Filtered Data'!K:M,3,FALSE))/100,VLOOKUP(B78,'Filtered Data'!K:M,3,FALSE))</f>
        <v>16.26259547069758</v>
      </c>
      <c r="V78" s="287"/>
      <c r="W78" s="287"/>
      <c r="X78" s="287"/>
      <c r="Y78" s="264" t="str">
        <f>IF((VLOOKUP(E78,classifications!C:K,9,FALSE))="Sparse","S","")</f>
        <v/>
      </c>
      <c r="Z78" s="264"/>
      <c r="AA78" s="264"/>
      <c r="AB78" s="264"/>
      <c r="AC78" s="264"/>
      <c r="AD78" s="292"/>
      <c r="AE78" s="292"/>
      <c r="AF78" s="292"/>
      <c r="AG78" s="292"/>
      <c r="AH78" s="292"/>
      <c r="AI78" s="292"/>
      <c r="AJ78" s="292"/>
      <c r="AK78" s="292"/>
      <c r="AL78" s="292"/>
      <c r="AP78" s="253"/>
    </row>
    <row r="79" spans="2:42" s="251" customFormat="1" ht="12" customHeight="1">
      <c r="B79" s="321">
        <v>15</v>
      </c>
      <c r="C79" s="289"/>
      <c r="D79" s="289"/>
      <c r="E79" s="290" t="str">
        <f>VLOOKUP(B79,'Filtered Data'!K:L,2,FALSE)</f>
        <v>Lincolnshire</v>
      </c>
      <c r="F79" s="290"/>
      <c r="G79" s="290"/>
      <c r="H79" s="290"/>
      <c r="I79" s="290"/>
      <c r="J79" s="290"/>
      <c r="K79" s="290"/>
      <c r="L79" s="290"/>
      <c r="M79" s="290"/>
      <c r="N79" s="290"/>
      <c r="O79" s="290"/>
      <c r="P79" s="290"/>
      <c r="Q79" s="290"/>
      <c r="R79" s="290"/>
      <c r="S79" s="290"/>
      <c r="T79" s="290"/>
      <c r="U79" s="287">
        <f>IF('Filtered Data'!$H$8="%.",(VLOOKUP(B79,'Filtered Data'!K:M,3,FALSE))/100,VLOOKUP(B79,'Filtered Data'!K:M,3,FALSE))</f>
        <v>16.036007901999703</v>
      </c>
      <c r="V79" s="287"/>
      <c r="W79" s="287"/>
      <c r="X79" s="287"/>
      <c r="Y79" s="264" t="str">
        <f>IF((VLOOKUP(E79,classifications!C:K,9,FALSE))="Sparse","S","")</f>
        <v>S</v>
      </c>
      <c r="Z79" s="264"/>
      <c r="AA79" s="264"/>
      <c r="AB79" s="264"/>
      <c r="AC79" s="264"/>
      <c r="AD79" s="292"/>
      <c r="AE79" s="292"/>
      <c r="AF79" s="292"/>
      <c r="AG79" s="292"/>
      <c r="AH79" s="292"/>
      <c r="AI79" s="292"/>
      <c r="AJ79" s="292"/>
      <c r="AK79" s="292"/>
      <c r="AL79" s="292"/>
      <c r="AP79" s="253"/>
    </row>
    <row r="80" spans="2:42" s="251" customFormat="1" ht="12" customHeight="1">
      <c r="B80" s="321">
        <v>16</v>
      </c>
      <c r="C80" s="289"/>
      <c r="D80" s="289"/>
      <c r="E80" s="290" t="str">
        <f>VLOOKUP(B80,'Filtered Data'!K:L,2,FALSE)</f>
        <v>Cumbria</v>
      </c>
      <c r="F80" s="290"/>
      <c r="G80" s="290"/>
      <c r="H80" s="290"/>
      <c r="I80" s="290"/>
      <c r="J80" s="290"/>
      <c r="K80" s="290"/>
      <c r="L80" s="290"/>
      <c r="M80" s="290"/>
      <c r="N80" s="290"/>
      <c r="O80" s="290"/>
      <c r="P80" s="290"/>
      <c r="Q80" s="290"/>
      <c r="R80" s="290"/>
      <c r="S80" s="290"/>
      <c r="T80" s="290"/>
      <c r="U80" s="287">
        <f>IF('Filtered Data'!$H$8="%.",(VLOOKUP(B80,'Filtered Data'!K:M,3,FALSE))/100,VLOOKUP(B80,'Filtered Data'!K:M,3,FALSE))</f>
        <v>16.018311396308022</v>
      </c>
      <c r="V80" s="287"/>
      <c r="W80" s="287"/>
      <c r="X80" s="287"/>
      <c r="Y80" s="264" t="str">
        <f>IF((VLOOKUP(E80,classifications!C:K,9,FALSE))="Sparse","S","")</f>
        <v>S</v>
      </c>
      <c r="Z80" s="264"/>
      <c r="AA80" s="264"/>
      <c r="AB80" s="264"/>
      <c r="AC80" s="264"/>
      <c r="AD80" s="292"/>
      <c r="AE80" s="292"/>
      <c r="AF80" s="292"/>
      <c r="AG80" s="292"/>
      <c r="AH80" s="292"/>
      <c r="AI80" s="292"/>
      <c r="AJ80" s="292"/>
      <c r="AK80" s="292"/>
      <c r="AL80" s="292"/>
      <c r="AP80" s="253"/>
    </row>
    <row r="81" spans="2:48" s="251" customFormat="1" ht="12" customHeight="1">
      <c r="B81" s="321">
        <v>17</v>
      </c>
      <c r="C81" s="289"/>
      <c r="D81" s="289"/>
      <c r="E81" s="290" t="str">
        <f>VLOOKUP(B81,'Filtered Data'!K:L,2,FALSE)</f>
        <v>Warwickshire</v>
      </c>
      <c r="F81" s="290"/>
      <c r="G81" s="290"/>
      <c r="H81" s="290"/>
      <c r="I81" s="290"/>
      <c r="J81" s="290"/>
      <c r="K81" s="290"/>
      <c r="L81" s="290"/>
      <c r="M81" s="290"/>
      <c r="N81" s="290"/>
      <c r="O81" s="290"/>
      <c r="P81" s="290"/>
      <c r="Q81" s="290"/>
      <c r="R81" s="290"/>
      <c r="S81" s="290"/>
      <c r="T81" s="290"/>
      <c r="U81" s="287">
        <f>IF('Filtered Data'!$H$8="%.",(VLOOKUP(B81,'Filtered Data'!K:M,3,FALSE))/100,VLOOKUP(B81,'Filtered Data'!K:M,3,FALSE))</f>
        <v>15.712468668373536</v>
      </c>
      <c r="V81" s="287"/>
      <c r="W81" s="287"/>
      <c r="X81" s="287"/>
      <c r="Y81" s="264" t="str">
        <f>IF((VLOOKUP(E81,classifications!C:K,9,FALSE))="Sparse","S","")</f>
        <v>S</v>
      </c>
      <c r="Z81" s="264"/>
      <c r="AA81" s="264"/>
      <c r="AB81" s="264"/>
      <c r="AC81" s="264"/>
      <c r="AD81" s="292"/>
      <c r="AE81" s="292"/>
      <c r="AF81" s="292"/>
      <c r="AG81" s="292"/>
      <c r="AH81" s="292"/>
      <c r="AI81" s="292"/>
      <c r="AJ81" s="292"/>
      <c r="AK81" s="292"/>
      <c r="AL81" s="292"/>
      <c r="AP81" s="253"/>
    </row>
    <row r="82" spans="2:48" s="251" customFormat="1" ht="12" customHeight="1">
      <c r="B82" s="321">
        <v>18</v>
      </c>
      <c r="C82" s="289"/>
      <c r="D82" s="289"/>
      <c r="E82" s="290" t="str">
        <f>VLOOKUP(B82,'Filtered Data'!K:L,2,FALSE)</f>
        <v>Hertfordshire</v>
      </c>
      <c r="F82" s="290"/>
      <c r="G82" s="290"/>
      <c r="H82" s="290"/>
      <c r="I82" s="290"/>
      <c r="J82" s="290"/>
      <c r="K82" s="290"/>
      <c r="L82" s="290"/>
      <c r="M82" s="290"/>
      <c r="N82" s="290"/>
      <c r="O82" s="290"/>
      <c r="P82" s="290"/>
      <c r="Q82" s="290"/>
      <c r="R82" s="290"/>
      <c r="S82" s="290"/>
      <c r="T82" s="290"/>
      <c r="U82" s="287">
        <f>IF('Filtered Data'!$H$8="%.",(VLOOKUP(B82,'Filtered Data'!K:M,3,FALSE))/100,VLOOKUP(B82,'Filtered Data'!K:M,3,FALSE))</f>
        <v>15.573799350980138</v>
      </c>
      <c r="V82" s="287"/>
      <c r="W82" s="287"/>
      <c r="X82" s="287"/>
      <c r="Y82" s="264" t="str">
        <f>IF((VLOOKUP(E82,classifications!C:K,9,FALSE))="Sparse","S","")</f>
        <v/>
      </c>
      <c r="Z82" s="264"/>
      <c r="AA82" s="264"/>
      <c r="AB82" s="264"/>
      <c r="AC82" s="264"/>
      <c r="AD82" s="292"/>
      <c r="AE82" s="292"/>
      <c r="AF82" s="292"/>
      <c r="AG82" s="292"/>
      <c r="AH82" s="292"/>
      <c r="AI82" s="292"/>
      <c r="AJ82" s="292"/>
      <c r="AK82" s="292"/>
      <c r="AL82" s="292"/>
      <c r="AP82" s="253"/>
    </row>
    <row r="83" spans="2:48" s="251" customFormat="1" ht="12" customHeight="1">
      <c r="B83" s="321">
        <v>19</v>
      </c>
      <c r="C83" s="289"/>
      <c r="D83" s="289"/>
      <c r="E83" s="290" t="str">
        <f>VLOOKUP(B83,'Filtered Data'!K:L,2,FALSE)</f>
        <v>Leicestershire</v>
      </c>
      <c r="F83" s="290"/>
      <c r="G83" s="290"/>
      <c r="H83" s="290"/>
      <c r="I83" s="290"/>
      <c r="J83" s="290"/>
      <c r="K83" s="290"/>
      <c r="L83" s="290"/>
      <c r="M83" s="290"/>
      <c r="N83" s="290"/>
      <c r="O83" s="290"/>
      <c r="P83" s="290"/>
      <c r="Q83" s="290"/>
      <c r="R83" s="290"/>
      <c r="S83" s="290"/>
      <c r="T83" s="290"/>
      <c r="U83" s="287">
        <f>IF('Filtered Data'!$H$8="%.",(VLOOKUP(B83,'Filtered Data'!K:M,3,FALSE))/100,VLOOKUP(B83,'Filtered Data'!K:M,3,FALSE))</f>
        <v>15.032629506703366</v>
      </c>
      <c r="V83" s="287"/>
      <c r="W83" s="287"/>
      <c r="X83" s="287"/>
      <c r="Y83" s="264" t="str">
        <f>IF((VLOOKUP(E83,classifications!C:K,9,FALSE))="Sparse","S","")</f>
        <v>S</v>
      </c>
      <c r="Z83" s="264"/>
      <c r="AA83" s="264"/>
      <c r="AB83" s="264"/>
      <c r="AC83" s="264"/>
      <c r="AD83" s="292"/>
      <c r="AE83" s="292"/>
      <c r="AF83" s="292"/>
      <c r="AG83" s="292"/>
      <c r="AH83" s="292"/>
      <c r="AI83" s="292"/>
      <c r="AJ83" s="292"/>
      <c r="AK83" s="292"/>
      <c r="AL83" s="292"/>
      <c r="AP83" s="253"/>
    </row>
    <row r="84" spans="2:48" s="251" customFormat="1" ht="12" customHeight="1">
      <c r="B84" s="321">
        <v>20</v>
      </c>
      <c r="C84" s="321"/>
      <c r="D84" s="321"/>
      <c r="E84" s="290" t="str">
        <f>VLOOKUP(B84,'Filtered Data'!K:L,2,FALSE)</f>
        <v>Essex</v>
      </c>
      <c r="F84" s="290"/>
      <c r="G84" s="290"/>
      <c r="H84" s="290"/>
      <c r="I84" s="290"/>
      <c r="J84" s="290"/>
      <c r="K84" s="290"/>
      <c r="L84" s="290"/>
      <c r="M84" s="290"/>
      <c r="N84" s="290"/>
      <c r="O84" s="290"/>
      <c r="P84" s="290"/>
      <c r="Q84" s="290"/>
      <c r="R84" s="290"/>
      <c r="S84" s="290"/>
      <c r="T84" s="290"/>
      <c r="U84" s="287">
        <f>IF('Filtered Data'!$H$8="%.",(VLOOKUP(B84,'Filtered Data'!K:M,3,FALSE))/100,VLOOKUP(B84,'Filtered Data'!K:M,3,FALSE))</f>
        <v>14.894377995293434</v>
      </c>
      <c r="V84" s="287"/>
      <c r="W84" s="287"/>
      <c r="X84" s="287"/>
      <c r="Y84" s="264" t="str">
        <f>IF((VLOOKUP(E84,classifications!C:K,9,FALSE))="Sparse","S","")</f>
        <v>S</v>
      </c>
      <c r="Z84" s="264"/>
      <c r="AA84" s="264"/>
      <c r="AB84" s="264"/>
      <c r="AC84" s="264"/>
      <c r="AD84" s="292"/>
      <c r="AE84" s="292"/>
      <c r="AF84" s="292"/>
      <c r="AG84" s="292"/>
      <c r="AH84" s="292"/>
      <c r="AI84" s="292"/>
      <c r="AJ84" s="292"/>
      <c r="AK84" s="292"/>
      <c r="AL84" s="292"/>
      <c r="AP84" s="253"/>
    </row>
    <row r="85" spans="2:48" s="251" customFormat="1" ht="12" customHeight="1">
      <c r="B85" s="346" t="str">
        <f>IF(Q37&lt;=MAX(B65:D84),"",Q37)</f>
        <v/>
      </c>
      <c r="C85" s="346"/>
      <c r="D85" s="346"/>
      <c r="E85" s="290" t="str">
        <f>IF(B85="","",VLOOKUP(B85,'Filtered Data'!K:L,2,FALSE))</f>
        <v/>
      </c>
      <c r="F85" s="290"/>
      <c r="G85" s="290"/>
      <c r="H85" s="290"/>
      <c r="I85" s="290"/>
      <c r="J85" s="290"/>
      <c r="K85" s="290"/>
      <c r="L85" s="290"/>
      <c r="M85" s="290"/>
      <c r="N85" s="290"/>
      <c r="O85" s="290"/>
      <c r="P85" s="290"/>
      <c r="Q85" s="290"/>
      <c r="R85" s="290"/>
      <c r="S85" s="290"/>
      <c r="T85" s="290"/>
      <c r="U85" s="294" t="str">
        <f>IF(B85="","",L35)</f>
        <v/>
      </c>
      <c r="V85" s="294"/>
      <c r="W85" s="294"/>
      <c r="X85" s="294"/>
      <c r="Y85" s="264" t="str">
        <f>IF(B85="","",IF((VLOOKUP(E85,classifications!C:K,9,FALSE))="Sparse","S",""))</f>
        <v/>
      </c>
      <c r="Z85" s="264"/>
      <c r="AA85" s="264"/>
      <c r="AB85" s="264"/>
      <c r="AC85" s="264"/>
      <c r="AD85" s="293"/>
      <c r="AE85" s="293"/>
      <c r="AF85" s="293"/>
      <c r="AG85" s="293"/>
      <c r="AH85" s="293"/>
      <c r="AI85" s="293"/>
      <c r="AJ85" s="293"/>
      <c r="AK85" s="293"/>
      <c r="AL85" s="293"/>
      <c r="AP85" s="253"/>
    </row>
    <row r="86" spans="2:48" s="251" customFormat="1" ht="12" customHeight="1">
      <c r="B86" s="265"/>
      <c r="C86" s="265"/>
      <c r="D86" s="265"/>
      <c r="E86" s="252"/>
      <c r="F86" s="252"/>
      <c r="G86" s="252"/>
      <c r="H86" s="252"/>
      <c r="I86" s="252"/>
      <c r="J86" s="252"/>
      <c r="K86" s="252"/>
      <c r="L86" s="252"/>
      <c r="M86" s="252"/>
      <c r="N86" s="252"/>
      <c r="O86" s="252"/>
      <c r="P86" s="252"/>
      <c r="Q86" s="252"/>
      <c r="R86" s="252"/>
      <c r="S86" s="252"/>
      <c r="T86" s="252"/>
      <c r="U86" s="266"/>
      <c r="V86" s="266"/>
      <c r="W86" s="266"/>
      <c r="X86" s="266"/>
      <c r="AP86" s="253"/>
    </row>
    <row r="87" spans="2:48" s="251" customFormat="1" ht="12" customHeight="1">
      <c r="AP87" s="253"/>
    </row>
    <row r="88" spans="2:48" s="251" customFormat="1" ht="12" customHeight="1">
      <c r="B88" s="261" t="str">
        <f>IF('Filtered Data'!D1="MD","",IF('Filtered Data'!D1="SC","",IF('Filtered Data'!D1="UA","Regional Authorites:","County Authorities:")))</f>
        <v/>
      </c>
      <c r="L88" s="261" t="str">
        <f>IF('Filtered Data'!D1="SC",J9,J10)</f>
        <v>North West</v>
      </c>
      <c r="U88" s="261"/>
      <c r="AD88" s="261"/>
      <c r="AP88" s="253"/>
    </row>
    <row r="89" spans="2:48" s="251" customFormat="1" ht="12" customHeight="1">
      <c r="B89" s="261"/>
      <c r="AP89" s="253"/>
    </row>
    <row r="90" spans="2:48" s="251" customFormat="1" ht="12" customHeight="1">
      <c r="B90" s="293" t="str">
        <f>IF('Filtered Data'!D1="MD","","Rank")</f>
        <v>Rank</v>
      </c>
      <c r="C90" s="293"/>
      <c r="D90" s="293"/>
      <c r="E90" s="291" t="str">
        <f>IF('Filtered Data'!D1="MD","","Authority")</f>
        <v>Authority</v>
      </c>
      <c r="F90" s="291"/>
      <c r="G90" s="291"/>
      <c r="H90" s="291"/>
      <c r="I90" s="291"/>
      <c r="J90" s="291"/>
      <c r="K90" s="291"/>
      <c r="L90" s="291"/>
      <c r="M90" s="291"/>
      <c r="N90" s="291"/>
      <c r="O90" s="271"/>
      <c r="P90" s="271"/>
      <c r="Q90" s="271"/>
      <c r="R90" s="271"/>
      <c r="S90" s="271"/>
      <c r="T90" s="271"/>
      <c r="U90" s="293" t="str">
        <f>IF('Filtered Data'!D1="MD","","Value")</f>
        <v>Value</v>
      </c>
      <c r="V90" s="293"/>
      <c r="W90" s="293"/>
      <c r="X90" s="293"/>
      <c r="AA90" s="293"/>
      <c r="AB90" s="293"/>
      <c r="AC90" s="293"/>
      <c r="AD90" s="291"/>
      <c r="AE90" s="291"/>
      <c r="AF90" s="291"/>
      <c r="AG90" s="291"/>
      <c r="AH90" s="291"/>
      <c r="AI90" s="291"/>
      <c r="AJ90" s="291"/>
      <c r="AK90" s="291"/>
      <c r="AL90" s="291"/>
      <c r="AM90" s="291"/>
      <c r="AN90" s="293"/>
      <c r="AO90" s="293"/>
      <c r="AP90" s="293"/>
      <c r="AV90" s="253"/>
    </row>
    <row r="91" spans="2:48" s="251" customFormat="1" ht="12" customHeight="1">
      <c r="B91" s="321">
        <f>IF('Filtered Data'!$D$1="MD","",IF('Filtered Data'!$D$1="SC",'Filtered Data'!AS11,'Filtered Data'!AL11))</f>
        <v>1</v>
      </c>
      <c r="C91" s="289"/>
      <c r="D91" s="289"/>
      <c r="E91" s="290" t="str">
        <f>IF(B91="","",IF('Filtered Data'!$D$1="SC",VLOOKUP(B91,'Filtered Data'!AS:AU,2,FALSE),VLOOKUP(B91,'Filtered Data'!AL:AN,2,FALSE)))</f>
        <v>Cumbria</v>
      </c>
      <c r="F91" s="290"/>
      <c r="G91" s="290"/>
      <c r="H91" s="290"/>
      <c r="I91" s="290"/>
      <c r="J91" s="290"/>
      <c r="K91" s="290"/>
      <c r="L91" s="290"/>
      <c r="M91" s="290"/>
      <c r="N91" s="290"/>
      <c r="O91" s="290"/>
      <c r="P91" s="290"/>
      <c r="Q91" s="290"/>
      <c r="R91" s="290"/>
      <c r="S91" s="290"/>
      <c r="T91" s="290"/>
      <c r="U91" s="287">
        <f>IF(B91="","",IF('Filtered Data'!$D$1&amp;'Filtered Data'!$H$8="SC%.",(VLOOKUP(B91,'Filtered Data'!AS:AU,3,FALSE))/100,IF('Filtered Data'!$D$1&amp;'Filtered Data'!$H$8="SC%%",(VLOOKUP(B91,'Filtered Data'!AS:AU,3,FALSE)),IF('Filtered Data'!$D$1&amp;'Filtered Data'!$H$8="SC..",(VLOOKUP(B91,'Filtered Data'!AS:AU,3,FALSE)),IF('Filtered Data'!$H$8="%.",VLOOKUP(B91,'Filtered Data'!AL:AN,3,FALSE)/100,VLOOKUP(B91,'Filtered Data'!AL:AN,3,FALSE))))))</f>
        <v>16.018311396308022</v>
      </c>
      <c r="V91" s="287"/>
      <c r="W91" s="287"/>
      <c r="X91" s="287"/>
      <c r="Y91" s="267" t="str">
        <f>IF(E91="","",IF((VLOOKUP(E91,classifications!C:K,9,FALSE))="Sparse","S",""))</f>
        <v>S</v>
      </c>
      <c r="AA91" s="288"/>
      <c r="AB91" s="289"/>
      <c r="AC91" s="289"/>
      <c r="AD91" s="290"/>
      <c r="AE91" s="290"/>
      <c r="AF91" s="290"/>
      <c r="AG91" s="290"/>
      <c r="AH91" s="290"/>
      <c r="AI91" s="290"/>
      <c r="AJ91" s="290"/>
      <c r="AK91" s="290"/>
      <c r="AL91" s="290"/>
      <c r="AM91" s="290"/>
      <c r="AN91" s="286"/>
      <c r="AO91" s="286"/>
      <c r="AP91" s="286"/>
      <c r="AQ91" s="286"/>
      <c r="AR91" s="267"/>
      <c r="AV91" s="253"/>
    </row>
    <row r="92" spans="2:48" s="251" customFormat="1" ht="12" customHeight="1">
      <c r="B92" s="321">
        <f>IF('Filtered Data'!$D$1="MD","",IF('Filtered Data'!$D$1="SC",'Filtered Data'!AS12,'Filtered Data'!AL12))</f>
        <v>2</v>
      </c>
      <c r="C92" s="289"/>
      <c r="D92" s="289"/>
      <c r="E92" s="290" t="str">
        <f>IF(B92="","",IF('Filtered Data'!$D$1="SC",VLOOKUP(B92,'Filtered Data'!AS:AU,2,FALSE),VLOOKUP(B92,'Filtered Data'!AL:AN,2,FALSE)))</f>
        <v>Lancashire</v>
      </c>
      <c r="F92" s="290"/>
      <c r="G92" s="290"/>
      <c r="H92" s="290"/>
      <c r="I92" s="290"/>
      <c r="J92" s="290"/>
      <c r="K92" s="290"/>
      <c r="L92" s="290"/>
      <c r="M92" s="290"/>
      <c r="N92" s="290"/>
      <c r="O92" s="290"/>
      <c r="P92" s="290"/>
      <c r="Q92" s="290"/>
      <c r="R92" s="290"/>
      <c r="S92" s="290"/>
      <c r="T92" s="290"/>
      <c r="U92" s="287">
        <f>IF(B92="","",IF('Filtered Data'!$D$1&amp;'Filtered Data'!$H$8="SC%.",(VLOOKUP(B92,'Filtered Data'!AS:AU,3,FALSE))/100,IF('Filtered Data'!$D$1&amp;'Filtered Data'!$H$8="SC%%",(VLOOKUP(B92,'Filtered Data'!AS:AU,3,FALSE)),IF('Filtered Data'!$D$1&amp;'Filtered Data'!$H$8="SC..",(VLOOKUP(B92,'Filtered Data'!AS:AU,3,FALSE)),IF('Filtered Data'!$H$8="%.",VLOOKUP(B92,'Filtered Data'!AL:AN,3,FALSE)/100,VLOOKUP(B92,'Filtered Data'!AL:AN,3,FALSE))))))</f>
        <v>13.756921881703718</v>
      </c>
      <c r="V92" s="287"/>
      <c r="W92" s="287"/>
      <c r="X92" s="287"/>
      <c r="Y92" s="267" t="str">
        <f>IF(E92="","",IF((VLOOKUP(E92,classifications!C:K,9,FALSE))="Sparse","S",""))</f>
        <v>S</v>
      </c>
      <c r="AA92" s="288"/>
      <c r="AB92" s="289"/>
      <c r="AC92" s="289"/>
      <c r="AD92" s="290"/>
      <c r="AE92" s="290"/>
      <c r="AF92" s="290"/>
      <c r="AG92" s="290"/>
      <c r="AH92" s="290"/>
      <c r="AI92" s="290"/>
      <c r="AJ92" s="290"/>
      <c r="AK92" s="290"/>
      <c r="AL92" s="290"/>
      <c r="AM92" s="290"/>
      <c r="AN92" s="286"/>
      <c r="AO92" s="286"/>
      <c r="AP92" s="286"/>
      <c r="AQ92" s="286"/>
      <c r="AR92" s="267"/>
      <c r="AV92" s="253"/>
    </row>
    <row r="93" spans="2:48" s="251" customFormat="1" ht="12" customHeight="1">
      <c r="B93" s="321" t="str">
        <f>IF('Filtered Data'!$D$1="MD","",IF('Filtered Data'!$D$1="SC",'Filtered Data'!AS13,'Filtered Data'!AL13))</f>
        <v/>
      </c>
      <c r="C93" s="289"/>
      <c r="D93" s="289"/>
      <c r="E93" s="290" t="str">
        <f>IF(B93="","",IF('Filtered Data'!$D$1="SC",VLOOKUP(B93,'Filtered Data'!AS:AU,2,FALSE),VLOOKUP(B93,'Filtered Data'!AL:AN,2,FALSE)))</f>
        <v/>
      </c>
      <c r="F93" s="290"/>
      <c r="G93" s="290"/>
      <c r="H93" s="290"/>
      <c r="I93" s="290"/>
      <c r="J93" s="290"/>
      <c r="K93" s="290"/>
      <c r="L93" s="290"/>
      <c r="M93" s="290"/>
      <c r="N93" s="290"/>
      <c r="O93" s="290"/>
      <c r="P93" s="290"/>
      <c r="Q93" s="290"/>
      <c r="R93" s="290"/>
      <c r="S93" s="290"/>
      <c r="T93" s="290"/>
      <c r="U93" s="287" t="str">
        <f>IF(B93="","",IF('Filtered Data'!$D$1&amp;'Filtered Data'!$H$8="SC%.",(VLOOKUP(B93,'Filtered Data'!AS:AU,3,FALSE))/100,IF('Filtered Data'!$D$1&amp;'Filtered Data'!$H$8="SC%%",(VLOOKUP(B93,'Filtered Data'!AS:AU,3,FALSE)),IF('Filtered Data'!$D$1&amp;'Filtered Data'!$H$8="SC..",(VLOOKUP(B93,'Filtered Data'!AS:AU,3,FALSE)),IF('Filtered Data'!$H$8="%.",VLOOKUP(B93,'Filtered Data'!AL:AN,3,FALSE)/100,VLOOKUP(B93,'Filtered Data'!AL:AN,3,FALSE))))))</f>
        <v/>
      </c>
      <c r="V93" s="287"/>
      <c r="W93" s="287"/>
      <c r="X93" s="287"/>
      <c r="Y93" s="267" t="str">
        <f>IF(E93="","",IF((VLOOKUP(E93,classifications!C:K,9,FALSE))="Sparse","S",""))</f>
        <v/>
      </c>
      <c r="AA93" s="288"/>
      <c r="AB93" s="289"/>
      <c r="AC93" s="289"/>
      <c r="AD93" s="290"/>
      <c r="AE93" s="290"/>
      <c r="AF93" s="290"/>
      <c r="AG93" s="290"/>
      <c r="AH93" s="290"/>
      <c r="AI93" s="290"/>
      <c r="AJ93" s="290"/>
      <c r="AK93" s="290"/>
      <c r="AL93" s="290"/>
      <c r="AM93" s="290"/>
      <c r="AN93" s="286"/>
      <c r="AO93" s="286"/>
      <c r="AP93" s="286"/>
      <c r="AQ93" s="286"/>
      <c r="AR93" s="267"/>
      <c r="AV93" s="253"/>
    </row>
    <row r="94" spans="2:48" s="251" customFormat="1" ht="12" customHeight="1">
      <c r="B94" s="321" t="str">
        <f>IF('Filtered Data'!$D$1="MD","",IF('Filtered Data'!$D$1="SC",'Filtered Data'!AS14,'Filtered Data'!AL14))</f>
        <v/>
      </c>
      <c r="C94" s="289"/>
      <c r="D94" s="289"/>
      <c r="E94" s="290" t="str">
        <f>IF(B94="","",IF('Filtered Data'!$D$1="SC",VLOOKUP(B94,'Filtered Data'!AS:AU,2,FALSE),VLOOKUP(B94,'Filtered Data'!AL:AN,2,FALSE)))</f>
        <v/>
      </c>
      <c r="F94" s="290"/>
      <c r="G94" s="290"/>
      <c r="H94" s="290"/>
      <c r="I94" s="290"/>
      <c r="J94" s="290"/>
      <c r="K94" s="290"/>
      <c r="L94" s="290"/>
      <c r="M94" s="290"/>
      <c r="N94" s="290"/>
      <c r="O94" s="290"/>
      <c r="P94" s="290"/>
      <c r="Q94" s="290"/>
      <c r="R94" s="290"/>
      <c r="S94" s="290"/>
      <c r="T94" s="290"/>
      <c r="U94" s="287" t="str">
        <f>IF(B94="","",IF('Filtered Data'!$D$1&amp;'Filtered Data'!$H$8="SC%.",(VLOOKUP(B94,'Filtered Data'!AS:AU,3,FALSE))/100,IF('Filtered Data'!$D$1&amp;'Filtered Data'!$H$8="SC%%",(VLOOKUP(B94,'Filtered Data'!AS:AU,3,FALSE)),IF('Filtered Data'!$D$1&amp;'Filtered Data'!$H$8="SC..",(VLOOKUP(B94,'Filtered Data'!AS:AU,3,FALSE)),IF('Filtered Data'!$H$8="%.",VLOOKUP(B94,'Filtered Data'!AL:AN,3,FALSE)/100,VLOOKUP(B94,'Filtered Data'!AL:AN,3,FALSE))))))</f>
        <v/>
      </c>
      <c r="V94" s="287"/>
      <c r="W94" s="287"/>
      <c r="X94" s="287"/>
      <c r="Y94" s="267" t="str">
        <f>IF(E94="","",IF((VLOOKUP(E94,classifications!C:K,9,FALSE))="Sparse","S",""))</f>
        <v/>
      </c>
      <c r="AA94" s="288"/>
      <c r="AB94" s="289"/>
      <c r="AC94" s="289"/>
      <c r="AD94" s="290"/>
      <c r="AE94" s="290"/>
      <c r="AF94" s="290"/>
      <c r="AG94" s="290"/>
      <c r="AH94" s="290"/>
      <c r="AI94" s="290"/>
      <c r="AJ94" s="290"/>
      <c r="AK94" s="290"/>
      <c r="AL94" s="290"/>
      <c r="AM94" s="290"/>
      <c r="AN94" s="286"/>
      <c r="AO94" s="286"/>
      <c r="AP94" s="286"/>
      <c r="AQ94" s="286"/>
      <c r="AR94" s="267"/>
      <c r="AV94" s="253"/>
    </row>
    <row r="95" spans="2:48" s="251" customFormat="1" ht="12" customHeight="1">
      <c r="B95" s="321" t="str">
        <f>IF('Filtered Data'!$D$1="MD","",IF('Filtered Data'!$D$1="SC",'Filtered Data'!AS15,'Filtered Data'!AL15))</f>
        <v/>
      </c>
      <c r="C95" s="289"/>
      <c r="D95" s="289"/>
      <c r="E95" s="290" t="str">
        <f>IF(B95="","",IF('Filtered Data'!$D$1="SC",VLOOKUP(B95,'Filtered Data'!AS:AU,2,FALSE),VLOOKUP(B95,'Filtered Data'!AL:AN,2,FALSE)))</f>
        <v/>
      </c>
      <c r="F95" s="290"/>
      <c r="G95" s="290"/>
      <c r="H95" s="290"/>
      <c r="I95" s="290"/>
      <c r="J95" s="290"/>
      <c r="K95" s="290"/>
      <c r="L95" s="290"/>
      <c r="M95" s="290"/>
      <c r="N95" s="290"/>
      <c r="O95" s="290"/>
      <c r="P95" s="290"/>
      <c r="Q95" s="290"/>
      <c r="R95" s="290"/>
      <c r="S95" s="290"/>
      <c r="T95" s="290"/>
      <c r="U95" s="287" t="str">
        <f>IF(B95="","",IF('Filtered Data'!$D$1&amp;'Filtered Data'!$H$8="SC%.",(VLOOKUP(B95,'Filtered Data'!AS:AU,3,FALSE))/100,IF('Filtered Data'!$D$1&amp;'Filtered Data'!$H$8="SC%%",(VLOOKUP(B95,'Filtered Data'!AS:AU,3,FALSE)),IF('Filtered Data'!$D$1&amp;'Filtered Data'!$H$8="SC..",(VLOOKUP(B95,'Filtered Data'!AS:AU,3,FALSE)),IF('Filtered Data'!$H$8="%.",VLOOKUP(B95,'Filtered Data'!AL:AN,3,FALSE)/100,VLOOKUP(B95,'Filtered Data'!AL:AN,3,FALSE))))))</f>
        <v/>
      </c>
      <c r="V95" s="287"/>
      <c r="W95" s="287"/>
      <c r="X95" s="287"/>
      <c r="Y95" s="267" t="str">
        <f>IF(E95="","",IF((VLOOKUP(E95,classifications!C:K,9,FALSE))="Sparse","S",""))</f>
        <v/>
      </c>
      <c r="AA95" s="288"/>
      <c r="AB95" s="289"/>
      <c r="AC95" s="289"/>
      <c r="AD95" s="290"/>
      <c r="AE95" s="290"/>
      <c r="AF95" s="290"/>
      <c r="AG95" s="290"/>
      <c r="AH95" s="290"/>
      <c r="AI95" s="290"/>
      <c r="AJ95" s="290"/>
      <c r="AK95" s="290"/>
      <c r="AL95" s="290"/>
      <c r="AM95" s="290"/>
      <c r="AN95" s="286"/>
      <c r="AO95" s="286"/>
      <c r="AP95" s="286"/>
      <c r="AQ95" s="286"/>
      <c r="AR95" s="267"/>
      <c r="AV95" s="253"/>
    </row>
    <row r="96" spans="2:48" s="251" customFormat="1" ht="12" customHeight="1">
      <c r="B96" s="321" t="str">
        <f>IF('Filtered Data'!$D$1="MD","",IF('Filtered Data'!$D$1="SC",'Filtered Data'!AS16,'Filtered Data'!AL16))</f>
        <v/>
      </c>
      <c r="C96" s="289"/>
      <c r="D96" s="289"/>
      <c r="E96" s="290" t="str">
        <f>IF(B96="","",IF('Filtered Data'!$D$1="SC",VLOOKUP(B96,'Filtered Data'!AS:AU,2,FALSE),VLOOKUP(B96,'Filtered Data'!AL:AN,2,FALSE)))</f>
        <v/>
      </c>
      <c r="F96" s="290"/>
      <c r="G96" s="290"/>
      <c r="H96" s="290"/>
      <c r="I96" s="290"/>
      <c r="J96" s="290"/>
      <c r="K96" s="290"/>
      <c r="L96" s="290"/>
      <c r="M96" s="290"/>
      <c r="N96" s="290"/>
      <c r="O96" s="290"/>
      <c r="P96" s="290"/>
      <c r="Q96" s="290"/>
      <c r="R96" s="290"/>
      <c r="S96" s="290"/>
      <c r="T96" s="290"/>
      <c r="U96" s="287" t="str">
        <f>IF(B96="","",IF('Filtered Data'!$D$1&amp;'Filtered Data'!$H$8="SC%.",(VLOOKUP(B96,'Filtered Data'!AS:AU,3,FALSE))/100,IF('Filtered Data'!$D$1&amp;'Filtered Data'!$H$8="SC%%",(VLOOKUP(B96,'Filtered Data'!AS:AU,3,FALSE)),IF('Filtered Data'!$D$1&amp;'Filtered Data'!$H$8="SC..",(VLOOKUP(B96,'Filtered Data'!AS:AU,3,FALSE)),IF('Filtered Data'!$H$8="%.",VLOOKUP(B96,'Filtered Data'!AL:AN,3,FALSE)/100,VLOOKUP(B96,'Filtered Data'!AL:AN,3,FALSE))))))</f>
        <v/>
      </c>
      <c r="V96" s="287"/>
      <c r="W96" s="287"/>
      <c r="X96" s="287"/>
      <c r="Y96" s="267" t="str">
        <f>IF(E96="","",IF((VLOOKUP(E96,classifications!C:K,9,FALSE))="Sparse","S",""))</f>
        <v/>
      </c>
      <c r="AA96" s="288"/>
      <c r="AB96" s="289"/>
      <c r="AC96" s="289"/>
      <c r="AD96" s="290"/>
      <c r="AE96" s="290"/>
      <c r="AF96" s="290"/>
      <c r="AG96" s="290"/>
      <c r="AH96" s="290"/>
      <c r="AI96" s="290"/>
      <c r="AJ96" s="290"/>
      <c r="AK96" s="290"/>
      <c r="AL96" s="290"/>
      <c r="AM96" s="290"/>
      <c r="AN96" s="286"/>
      <c r="AO96" s="286"/>
      <c r="AP96" s="286"/>
      <c r="AQ96" s="286"/>
      <c r="AR96" s="267"/>
      <c r="AV96" s="253"/>
    </row>
    <row r="97" spans="2:48" s="251" customFormat="1" ht="12" customHeight="1">
      <c r="B97" s="321" t="str">
        <f>IF('Filtered Data'!$D$1="MD","",IF('Filtered Data'!$D$1="SC",'Filtered Data'!AS17,'Filtered Data'!AL17))</f>
        <v/>
      </c>
      <c r="C97" s="289"/>
      <c r="D97" s="289"/>
      <c r="E97" s="290" t="str">
        <f>IF(B97="","",IF('Filtered Data'!$D$1="SC",VLOOKUP(B97,'Filtered Data'!AS:AU,2,FALSE),VLOOKUP(B97,'Filtered Data'!AL:AN,2,FALSE)))</f>
        <v/>
      </c>
      <c r="F97" s="290"/>
      <c r="G97" s="290"/>
      <c r="H97" s="290"/>
      <c r="I97" s="290"/>
      <c r="J97" s="290"/>
      <c r="K97" s="290"/>
      <c r="L97" s="290"/>
      <c r="M97" s="290"/>
      <c r="N97" s="290"/>
      <c r="O97" s="290"/>
      <c r="P97" s="290"/>
      <c r="Q97" s="290"/>
      <c r="R97" s="290"/>
      <c r="S97" s="290"/>
      <c r="T97" s="290"/>
      <c r="U97" s="287" t="str">
        <f>IF(B97="","",IF('Filtered Data'!$D$1&amp;'Filtered Data'!$H$8="SC%.",(VLOOKUP(B97,'Filtered Data'!AS:AU,3,FALSE))/100,IF('Filtered Data'!$D$1&amp;'Filtered Data'!$H$8="SC%%",(VLOOKUP(B97,'Filtered Data'!AS:AU,3,FALSE)),IF('Filtered Data'!$D$1&amp;'Filtered Data'!$H$8="SC..",(VLOOKUP(B97,'Filtered Data'!AS:AU,3,FALSE)),IF('Filtered Data'!$H$8="%.",VLOOKUP(B97,'Filtered Data'!AL:AN,3,FALSE)/100,VLOOKUP(B97,'Filtered Data'!AL:AN,3,FALSE))))))</f>
        <v/>
      </c>
      <c r="V97" s="287"/>
      <c r="W97" s="287"/>
      <c r="X97" s="287"/>
      <c r="Y97" s="267" t="str">
        <f>IF(E97="","",IF((VLOOKUP(E97,classifications!C:K,9,FALSE))="Sparse","S",""))</f>
        <v/>
      </c>
      <c r="AA97" s="288"/>
      <c r="AB97" s="289"/>
      <c r="AC97" s="289"/>
      <c r="AD97" s="290"/>
      <c r="AE97" s="290"/>
      <c r="AF97" s="290"/>
      <c r="AG97" s="290"/>
      <c r="AH97" s="290"/>
      <c r="AI97" s="290"/>
      <c r="AJ97" s="290"/>
      <c r="AK97" s="290"/>
      <c r="AL97" s="290"/>
      <c r="AM97" s="290"/>
      <c r="AN97" s="286"/>
      <c r="AO97" s="286"/>
      <c r="AP97" s="286"/>
      <c r="AQ97" s="286"/>
      <c r="AR97" s="267"/>
      <c r="AV97" s="253"/>
    </row>
    <row r="98" spans="2:48" s="251" customFormat="1" ht="12" customHeight="1">
      <c r="B98" s="321" t="str">
        <f>IF('Filtered Data'!$D$1="MD","",IF('Filtered Data'!$D$1="SC",'Filtered Data'!AS18,'Filtered Data'!AL18))</f>
        <v/>
      </c>
      <c r="C98" s="289"/>
      <c r="D98" s="289"/>
      <c r="E98" s="290" t="str">
        <f>IF(B98="","",IF('Filtered Data'!$D$1="SC",VLOOKUP(B98,'Filtered Data'!AS:AU,2,FALSE),VLOOKUP(B98,'Filtered Data'!AL:AN,2,FALSE)))</f>
        <v/>
      </c>
      <c r="F98" s="290"/>
      <c r="G98" s="290"/>
      <c r="H98" s="290"/>
      <c r="I98" s="290"/>
      <c r="J98" s="290"/>
      <c r="K98" s="290"/>
      <c r="L98" s="290"/>
      <c r="M98" s="290"/>
      <c r="N98" s="290"/>
      <c r="O98" s="290"/>
      <c r="P98" s="290"/>
      <c r="Q98" s="290"/>
      <c r="R98" s="290"/>
      <c r="S98" s="290"/>
      <c r="T98" s="290"/>
      <c r="U98" s="287" t="str">
        <f>IF(B98="","",IF('Filtered Data'!$D$1&amp;'Filtered Data'!$H$8="SC%.",(VLOOKUP(B98,'Filtered Data'!AS:AU,3,FALSE))/100,IF('Filtered Data'!$D$1&amp;'Filtered Data'!$H$8="SC%%",(VLOOKUP(B98,'Filtered Data'!AS:AU,3,FALSE)),IF('Filtered Data'!$D$1&amp;'Filtered Data'!$H$8="SC..",(VLOOKUP(B98,'Filtered Data'!AS:AU,3,FALSE)),IF('Filtered Data'!$H$8="%.",VLOOKUP(B98,'Filtered Data'!AL:AN,3,FALSE)/100,VLOOKUP(B98,'Filtered Data'!AL:AN,3,FALSE))))))</f>
        <v/>
      </c>
      <c r="V98" s="287"/>
      <c r="W98" s="287"/>
      <c r="X98" s="287"/>
      <c r="Y98" s="267" t="str">
        <f>IF(E98="","",IF((VLOOKUP(E98,classifications!C:K,9,FALSE))="Sparse","S",""))</f>
        <v/>
      </c>
      <c r="AA98" s="288"/>
      <c r="AB98" s="289"/>
      <c r="AC98" s="289"/>
      <c r="AD98" s="290"/>
      <c r="AE98" s="290"/>
      <c r="AF98" s="290"/>
      <c r="AG98" s="290"/>
      <c r="AH98" s="290"/>
      <c r="AI98" s="290"/>
      <c r="AJ98" s="290"/>
      <c r="AK98" s="290"/>
      <c r="AL98" s="290"/>
      <c r="AM98" s="290"/>
      <c r="AN98" s="286"/>
      <c r="AO98" s="286"/>
      <c r="AP98" s="286"/>
      <c r="AQ98" s="286"/>
      <c r="AR98" s="267"/>
      <c r="AV98" s="253"/>
    </row>
    <row r="99" spans="2:48" s="251" customFormat="1" ht="12" customHeight="1">
      <c r="B99" s="321" t="str">
        <f>IF('Filtered Data'!$D$1="MD","",IF('Filtered Data'!$D$1="SC",'Filtered Data'!AS19,'Filtered Data'!AL19))</f>
        <v/>
      </c>
      <c r="C99" s="289"/>
      <c r="D99" s="289"/>
      <c r="E99" s="290" t="str">
        <f>IF(B99="","",IF('Filtered Data'!$D$1="SC",VLOOKUP(B99,'Filtered Data'!AS:AU,2,FALSE),VLOOKUP(B99,'Filtered Data'!AL:AN,2,FALSE)))</f>
        <v/>
      </c>
      <c r="F99" s="290"/>
      <c r="G99" s="290"/>
      <c r="H99" s="290"/>
      <c r="I99" s="290"/>
      <c r="J99" s="290"/>
      <c r="K99" s="290"/>
      <c r="L99" s="290"/>
      <c r="M99" s="290"/>
      <c r="N99" s="290"/>
      <c r="O99" s="290"/>
      <c r="P99" s="290"/>
      <c r="Q99" s="290"/>
      <c r="R99" s="290"/>
      <c r="S99" s="290"/>
      <c r="T99" s="290"/>
      <c r="U99" s="287" t="str">
        <f>IF(B99="","",IF('Filtered Data'!$D$1&amp;'Filtered Data'!$H$8="SC%.",(VLOOKUP(B99,'Filtered Data'!AS:AU,3,FALSE))/100,IF('Filtered Data'!$D$1&amp;'Filtered Data'!$H$8="SC%%",(VLOOKUP(B99,'Filtered Data'!AS:AU,3,FALSE)),IF('Filtered Data'!$D$1&amp;'Filtered Data'!$H$8="SC..",(VLOOKUP(B99,'Filtered Data'!AS:AU,3,FALSE)),IF('Filtered Data'!$H$8="%.",VLOOKUP(B99,'Filtered Data'!AL:AN,3,FALSE)/100,VLOOKUP(B99,'Filtered Data'!AL:AN,3,FALSE))))))</f>
        <v/>
      </c>
      <c r="V99" s="287"/>
      <c r="W99" s="287"/>
      <c r="X99" s="287"/>
      <c r="Y99" s="267" t="str">
        <f>IF(E99="","",IF((VLOOKUP(E99,classifications!C:K,9,FALSE))="Sparse","S",""))</f>
        <v/>
      </c>
      <c r="AA99" s="288"/>
      <c r="AB99" s="289"/>
      <c r="AC99" s="289"/>
      <c r="AD99" s="290"/>
      <c r="AE99" s="290"/>
      <c r="AF99" s="290"/>
      <c r="AG99" s="290"/>
      <c r="AH99" s="290"/>
      <c r="AI99" s="290"/>
      <c r="AJ99" s="290"/>
      <c r="AK99" s="290"/>
      <c r="AL99" s="290"/>
      <c r="AM99" s="290"/>
      <c r="AN99" s="286"/>
      <c r="AO99" s="286"/>
      <c r="AP99" s="286"/>
      <c r="AQ99" s="286"/>
      <c r="AR99" s="267"/>
      <c r="AV99" s="253"/>
    </row>
    <row r="100" spans="2:48" s="251" customFormat="1" ht="12" customHeight="1">
      <c r="B100" s="321" t="str">
        <f>IF('Filtered Data'!$D$1="MD","",IF('Filtered Data'!$D$1="SC",'Filtered Data'!AS20,'Filtered Data'!AL20))</f>
        <v/>
      </c>
      <c r="C100" s="289"/>
      <c r="D100" s="289"/>
      <c r="E100" s="290" t="str">
        <f>IF(B100="","",IF('Filtered Data'!$D$1="SC",VLOOKUP(B100,'Filtered Data'!AS:AU,2,FALSE),VLOOKUP(B100,'Filtered Data'!AL:AN,2,FALSE)))</f>
        <v/>
      </c>
      <c r="F100" s="290"/>
      <c r="G100" s="290"/>
      <c r="H100" s="290"/>
      <c r="I100" s="290"/>
      <c r="J100" s="290"/>
      <c r="K100" s="290"/>
      <c r="L100" s="290"/>
      <c r="M100" s="290"/>
      <c r="N100" s="290"/>
      <c r="O100" s="290"/>
      <c r="P100" s="290"/>
      <c r="Q100" s="290"/>
      <c r="R100" s="290"/>
      <c r="S100" s="290"/>
      <c r="T100" s="290"/>
      <c r="U100" s="287" t="str">
        <f>IF(B100="","",IF('Filtered Data'!$D$1&amp;'Filtered Data'!$H$8="SC%.",(VLOOKUP(B100,'Filtered Data'!AS:AU,3,FALSE))/100,IF('Filtered Data'!$D$1&amp;'Filtered Data'!$H$8="SC%%",(VLOOKUP(B100,'Filtered Data'!AS:AU,3,FALSE)),IF('Filtered Data'!$D$1&amp;'Filtered Data'!$H$8="SC..",(VLOOKUP(B100,'Filtered Data'!AS:AU,3,FALSE)),IF('Filtered Data'!$H$8="%.",VLOOKUP(B100,'Filtered Data'!AL:AN,3,FALSE)/100,VLOOKUP(B100,'Filtered Data'!AL:AN,3,FALSE))))))</f>
        <v/>
      </c>
      <c r="V100" s="287"/>
      <c r="W100" s="287"/>
      <c r="X100" s="287"/>
      <c r="Y100" s="267" t="str">
        <f>IF(E100="","",IF((VLOOKUP(E100,classifications!C:K,9,FALSE))="Sparse","S",""))</f>
        <v/>
      </c>
      <c r="AA100" s="288"/>
      <c r="AB100" s="289"/>
      <c r="AC100" s="289"/>
      <c r="AD100" s="290"/>
      <c r="AE100" s="290"/>
      <c r="AF100" s="290"/>
      <c r="AG100" s="290"/>
      <c r="AH100" s="290"/>
      <c r="AI100" s="290"/>
      <c r="AJ100" s="290"/>
      <c r="AK100" s="290"/>
      <c r="AL100" s="290"/>
      <c r="AM100" s="290"/>
      <c r="AN100" s="286"/>
      <c r="AO100" s="286"/>
      <c r="AP100" s="286"/>
      <c r="AQ100" s="286"/>
      <c r="AR100" s="267"/>
      <c r="AV100" s="253"/>
    </row>
    <row r="101" spans="2:48" s="251" customFormat="1" ht="12" customHeight="1">
      <c r="B101" s="321" t="str">
        <f>IF('Filtered Data'!$D$1="MD","",IF('Filtered Data'!$D$1="SC",'Filtered Data'!AS21,'Filtered Data'!AL21))</f>
        <v/>
      </c>
      <c r="C101" s="289"/>
      <c r="D101" s="289"/>
      <c r="E101" s="290" t="str">
        <f>IF(B101="","",IF('Filtered Data'!$D$1="SC",VLOOKUP(B101,'Filtered Data'!AS:AU,2,FALSE),VLOOKUP(B101,'Filtered Data'!AL:AN,2,FALSE)))</f>
        <v/>
      </c>
      <c r="F101" s="290"/>
      <c r="G101" s="290"/>
      <c r="H101" s="290"/>
      <c r="I101" s="290"/>
      <c r="J101" s="290"/>
      <c r="K101" s="290"/>
      <c r="L101" s="290"/>
      <c r="M101" s="290"/>
      <c r="N101" s="290"/>
      <c r="O101" s="290"/>
      <c r="P101" s="290"/>
      <c r="Q101" s="290"/>
      <c r="R101" s="290"/>
      <c r="S101" s="290"/>
      <c r="T101" s="290"/>
      <c r="U101" s="287" t="str">
        <f>IF(B101="","",IF('Filtered Data'!$D$1&amp;'Filtered Data'!$H$8="SC%.",(VLOOKUP(B101,'Filtered Data'!AS:AU,3,FALSE))/100,IF('Filtered Data'!$D$1&amp;'Filtered Data'!$H$8="SC%%",(VLOOKUP(B101,'Filtered Data'!AS:AU,3,FALSE)),IF('Filtered Data'!$D$1&amp;'Filtered Data'!$H$8="SC..",(VLOOKUP(B101,'Filtered Data'!AS:AU,3,FALSE)),IF('Filtered Data'!$H$8="%.",VLOOKUP(B101,'Filtered Data'!AL:AN,3,FALSE)/100,VLOOKUP(B101,'Filtered Data'!AL:AN,3,FALSE))))))</f>
        <v/>
      </c>
      <c r="V101" s="287"/>
      <c r="W101" s="287"/>
      <c r="X101" s="287"/>
      <c r="Y101" s="267" t="str">
        <f>IF(E101="","",IF((VLOOKUP(E101,classifications!C:K,9,FALSE))="Sparse","S",""))</f>
        <v/>
      </c>
      <c r="AA101" s="288"/>
      <c r="AB101" s="289"/>
      <c r="AC101" s="289"/>
      <c r="AD101" s="290"/>
      <c r="AE101" s="290"/>
      <c r="AF101" s="290"/>
      <c r="AG101" s="290"/>
      <c r="AH101" s="290"/>
      <c r="AI101" s="290"/>
      <c r="AJ101" s="290"/>
      <c r="AK101" s="290"/>
      <c r="AL101" s="290"/>
      <c r="AM101" s="290"/>
      <c r="AN101" s="286"/>
      <c r="AO101" s="286"/>
      <c r="AP101" s="286"/>
      <c r="AQ101" s="286"/>
      <c r="AR101" s="267"/>
      <c r="AV101" s="253"/>
    </row>
    <row r="102" spans="2:48" s="251" customFormat="1" ht="12" customHeight="1">
      <c r="B102" s="321" t="str">
        <f>IF('Filtered Data'!$D$1="MD","",IF('Filtered Data'!$D$1="SC",'Filtered Data'!AS22,'Filtered Data'!AL22))</f>
        <v/>
      </c>
      <c r="C102" s="289"/>
      <c r="D102" s="289"/>
      <c r="E102" s="290" t="str">
        <f>IF(B102="","",IF('Filtered Data'!$D$1="SC",VLOOKUP(B102,'Filtered Data'!AS:AU,2,FALSE),VLOOKUP(B102,'Filtered Data'!AL:AN,2,FALSE)))</f>
        <v/>
      </c>
      <c r="F102" s="290"/>
      <c r="G102" s="290"/>
      <c r="H102" s="290"/>
      <c r="I102" s="290"/>
      <c r="J102" s="290"/>
      <c r="K102" s="290"/>
      <c r="L102" s="290"/>
      <c r="M102" s="290"/>
      <c r="N102" s="290"/>
      <c r="O102" s="290"/>
      <c r="P102" s="290"/>
      <c r="Q102" s="290"/>
      <c r="R102" s="290"/>
      <c r="S102" s="290"/>
      <c r="T102" s="290"/>
      <c r="U102" s="287" t="str">
        <f>IF(B102="","",IF('Filtered Data'!$D$1&amp;'Filtered Data'!$H$8="SC%.",(VLOOKUP(B102,'Filtered Data'!AS:AU,3,FALSE))/100,IF('Filtered Data'!$D$1&amp;'Filtered Data'!$H$8="SC%%",(VLOOKUP(B102,'Filtered Data'!AS:AU,3,FALSE)),IF('Filtered Data'!$D$1&amp;'Filtered Data'!$H$8="SC..",(VLOOKUP(B102,'Filtered Data'!AS:AU,3,FALSE)),IF('Filtered Data'!$H$8="%.",VLOOKUP(B102,'Filtered Data'!AL:AN,3,FALSE)/100,VLOOKUP(B102,'Filtered Data'!AL:AN,3,FALSE))))))</f>
        <v/>
      </c>
      <c r="V102" s="287"/>
      <c r="W102" s="287"/>
      <c r="X102" s="287"/>
      <c r="Y102" s="267" t="str">
        <f>IF(E102="","",IF((VLOOKUP(E102,classifications!C:K,9,FALSE))="Sparse","S",""))</f>
        <v/>
      </c>
      <c r="AA102" s="288"/>
      <c r="AB102" s="289"/>
      <c r="AC102" s="289"/>
      <c r="AD102" s="290"/>
      <c r="AE102" s="290"/>
      <c r="AF102" s="290"/>
      <c r="AG102" s="290"/>
      <c r="AH102" s="290"/>
      <c r="AI102" s="290"/>
      <c r="AJ102" s="290"/>
      <c r="AK102" s="290"/>
      <c r="AL102" s="290"/>
      <c r="AM102" s="290"/>
      <c r="AN102" s="286"/>
      <c r="AO102" s="286"/>
      <c r="AP102" s="286"/>
      <c r="AQ102" s="286"/>
      <c r="AR102" s="267"/>
      <c r="AV102" s="253"/>
    </row>
    <row r="103" spans="2:48" s="251" customFormat="1" ht="12" customHeight="1">
      <c r="B103" s="321" t="str">
        <f>IF('Filtered Data'!$D$1="MD","",IF('Filtered Data'!$D$1="SC",'Filtered Data'!AS23,'Filtered Data'!AL23))</f>
        <v/>
      </c>
      <c r="C103" s="289"/>
      <c r="D103" s="289"/>
      <c r="E103" s="290" t="str">
        <f>IF(B103="","",IF('Filtered Data'!$D$1="SC",VLOOKUP(B103,'Filtered Data'!AS:AU,2,FALSE),VLOOKUP(B103,'Filtered Data'!AL:AN,2,FALSE)))</f>
        <v/>
      </c>
      <c r="F103" s="290"/>
      <c r="G103" s="290"/>
      <c r="H103" s="290"/>
      <c r="I103" s="290"/>
      <c r="J103" s="290"/>
      <c r="K103" s="290"/>
      <c r="L103" s="290"/>
      <c r="M103" s="290"/>
      <c r="N103" s="290"/>
      <c r="O103" s="290"/>
      <c r="P103" s="290"/>
      <c r="Q103" s="290"/>
      <c r="R103" s="290"/>
      <c r="S103" s="290"/>
      <c r="T103" s="290"/>
      <c r="U103" s="287" t="str">
        <f>IF(B103="","",IF('Filtered Data'!$D$1&amp;'Filtered Data'!$H$8="SC%.",(VLOOKUP(B103,'Filtered Data'!AS:AU,3,FALSE))/100,IF('Filtered Data'!$D$1&amp;'Filtered Data'!$H$8="SC%%",(VLOOKUP(B103,'Filtered Data'!AS:AU,3,FALSE)),IF('Filtered Data'!$D$1&amp;'Filtered Data'!$H$8="SC..",(VLOOKUP(B103,'Filtered Data'!AS:AU,3,FALSE)),IF('Filtered Data'!$H$8="%.",VLOOKUP(B103,'Filtered Data'!AL:AN,3,FALSE)/100,VLOOKUP(B103,'Filtered Data'!AL:AN,3,FALSE))))))</f>
        <v/>
      </c>
      <c r="V103" s="287"/>
      <c r="W103" s="287"/>
      <c r="X103" s="287"/>
      <c r="Y103" s="267" t="str">
        <f>IF(E103="","",IF((VLOOKUP(E103,classifications!C:K,9,FALSE))="Sparse","S",""))</f>
        <v/>
      </c>
      <c r="AA103" s="288"/>
      <c r="AB103" s="289"/>
      <c r="AC103" s="289"/>
      <c r="AD103" s="290"/>
      <c r="AE103" s="290"/>
      <c r="AF103" s="290"/>
      <c r="AG103" s="290"/>
      <c r="AH103" s="290"/>
      <c r="AI103" s="290"/>
      <c r="AJ103" s="290"/>
      <c r="AK103" s="290"/>
      <c r="AL103" s="290"/>
      <c r="AM103" s="290"/>
      <c r="AN103" s="286"/>
      <c r="AO103" s="286"/>
      <c r="AP103" s="286"/>
      <c r="AQ103" s="286"/>
      <c r="AR103" s="267"/>
      <c r="AV103" s="253"/>
    </row>
    <row r="104" spans="2:48" s="251" customFormat="1" ht="12" customHeight="1">
      <c r="B104" s="321" t="str">
        <f>IF('Filtered Data'!$D$1="MD","",IF('Filtered Data'!$D$1="SC",'Filtered Data'!AS24,'Filtered Data'!AL24))</f>
        <v/>
      </c>
      <c r="C104" s="289"/>
      <c r="D104" s="289"/>
      <c r="E104" s="290" t="str">
        <f>IF(B104="","",IF('Filtered Data'!$D$1="SC",VLOOKUP(B104,'Filtered Data'!AS:AU,2,FALSE),VLOOKUP(B104,'Filtered Data'!AL:AN,2,FALSE)))</f>
        <v/>
      </c>
      <c r="F104" s="290"/>
      <c r="G104" s="290"/>
      <c r="H104" s="290"/>
      <c r="I104" s="290"/>
      <c r="J104" s="290"/>
      <c r="K104" s="290"/>
      <c r="L104" s="290"/>
      <c r="M104" s="290"/>
      <c r="N104" s="290"/>
      <c r="O104" s="290"/>
      <c r="P104" s="290"/>
      <c r="Q104" s="290"/>
      <c r="R104" s="290"/>
      <c r="S104" s="290"/>
      <c r="T104" s="290"/>
      <c r="U104" s="287" t="str">
        <f>IF(B104="","",IF('Filtered Data'!$D$1&amp;'Filtered Data'!$H$8="SC%.",(VLOOKUP(B104,'Filtered Data'!AS:AU,3,FALSE))/100,IF('Filtered Data'!$D$1&amp;'Filtered Data'!$H$8="SC%%",(VLOOKUP(B104,'Filtered Data'!AS:AU,3,FALSE)),IF('Filtered Data'!$D$1&amp;'Filtered Data'!$H$8="SC..",(VLOOKUP(B104,'Filtered Data'!AS:AU,3,FALSE)),IF('Filtered Data'!$H$8="%.",VLOOKUP(B104,'Filtered Data'!AL:AN,3,FALSE)/100,VLOOKUP(B104,'Filtered Data'!AL:AN,3,FALSE))))))</f>
        <v/>
      </c>
      <c r="V104" s="287"/>
      <c r="W104" s="287"/>
      <c r="X104" s="287"/>
      <c r="Y104" s="267" t="str">
        <f>IF(E104="","",IF((VLOOKUP(E104,classifications!C:K,9,FALSE))="Sparse","S",""))</f>
        <v/>
      </c>
      <c r="AA104" s="288"/>
      <c r="AB104" s="289"/>
      <c r="AC104" s="289"/>
      <c r="AD104" s="290"/>
      <c r="AE104" s="290"/>
      <c r="AF104" s="290"/>
      <c r="AG104" s="290"/>
      <c r="AH104" s="290"/>
      <c r="AI104" s="290"/>
      <c r="AJ104" s="290"/>
      <c r="AK104" s="290"/>
      <c r="AL104" s="290"/>
      <c r="AM104" s="290"/>
      <c r="AN104" s="286"/>
      <c r="AO104" s="286"/>
      <c r="AP104" s="286"/>
      <c r="AQ104" s="286"/>
      <c r="AR104" s="267"/>
      <c r="AV104" s="253"/>
    </row>
    <row r="105" spans="2:48" s="251" customFormat="1" ht="12" customHeight="1">
      <c r="B105" s="321" t="str">
        <f>IF('Filtered Data'!$D$1="MD","",IF('Filtered Data'!$D$1="SC",'Filtered Data'!AS25,'Filtered Data'!AL25))</f>
        <v/>
      </c>
      <c r="C105" s="289"/>
      <c r="D105" s="289"/>
      <c r="E105" s="290" t="str">
        <f>IF(B105="","",IF('Filtered Data'!$D$1="SC",VLOOKUP(B105,'Filtered Data'!AS:AU,2,FALSE),VLOOKUP(B105,'Filtered Data'!AL:AN,2,FALSE)))</f>
        <v/>
      </c>
      <c r="F105" s="290"/>
      <c r="G105" s="290"/>
      <c r="H105" s="290"/>
      <c r="I105" s="290"/>
      <c r="J105" s="290"/>
      <c r="K105" s="290"/>
      <c r="L105" s="290"/>
      <c r="M105" s="290"/>
      <c r="N105" s="290"/>
      <c r="O105" s="290"/>
      <c r="P105" s="290"/>
      <c r="Q105" s="290"/>
      <c r="R105" s="290"/>
      <c r="S105" s="290"/>
      <c r="T105" s="290"/>
      <c r="U105" s="287" t="str">
        <f>IF(B105="","",IF('Filtered Data'!$D$1&amp;'Filtered Data'!$H$8="SC%.",(VLOOKUP(B105,'Filtered Data'!AS:AU,3,FALSE))/100,IF('Filtered Data'!$D$1&amp;'Filtered Data'!$H$8="SC%%",(VLOOKUP(B105,'Filtered Data'!AS:AU,3,FALSE)),IF('Filtered Data'!$D$1&amp;'Filtered Data'!$H$8="SC..",(VLOOKUP(B105,'Filtered Data'!AS:AU,3,FALSE)),IF('Filtered Data'!$H$8="%.",VLOOKUP(B105,'Filtered Data'!AL:AN,3,FALSE)/100,VLOOKUP(B105,'Filtered Data'!AL:AN,3,FALSE))))))</f>
        <v/>
      </c>
      <c r="V105" s="287"/>
      <c r="W105" s="287"/>
      <c r="X105" s="287"/>
      <c r="Y105" s="267" t="str">
        <f>IF(E105="","",IF((VLOOKUP(E105,classifications!C:K,9,FALSE))="Sparse","S",""))</f>
        <v/>
      </c>
      <c r="AA105" s="288"/>
      <c r="AB105" s="289"/>
      <c r="AC105" s="289"/>
      <c r="AD105" s="290"/>
      <c r="AE105" s="290"/>
      <c r="AF105" s="290"/>
      <c r="AG105" s="290"/>
      <c r="AH105" s="290"/>
      <c r="AI105" s="290"/>
      <c r="AJ105" s="290"/>
      <c r="AK105" s="290"/>
      <c r="AL105" s="290"/>
      <c r="AM105" s="290"/>
      <c r="AN105" s="286"/>
      <c r="AO105" s="286"/>
      <c r="AP105" s="286"/>
      <c r="AQ105" s="286"/>
      <c r="AR105" s="267"/>
      <c r="AV105" s="253"/>
    </row>
    <row r="106" spans="2:48" s="251" customFormat="1" ht="12" customHeight="1">
      <c r="B106" s="321" t="str">
        <f>IF('Filtered Data'!$D$1="MD","",IF('Filtered Data'!$D$1="SC",'Filtered Data'!AS26,'Filtered Data'!AL26))</f>
        <v/>
      </c>
      <c r="C106" s="289"/>
      <c r="D106" s="289"/>
      <c r="E106" s="290" t="str">
        <f>IF(B106="","",IF('Filtered Data'!$D$1="SC",VLOOKUP(B106,'Filtered Data'!AS:AU,2,FALSE),VLOOKUP(B106,'Filtered Data'!AL:AN,2,FALSE)))</f>
        <v/>
      </c>
      <c r="F106" s="290"/>
      <c r="G106" s="290"/>
      <c r="H106" s="290"/>
      <c r="I106" s="290"/>
      <c r="J106" s="290"/>
      <c r="K106" s="290"/>
      <c r="L106" s="290"/>
      <c r="M106" s="290"/>
      <c r="N106" s="290"/>
      <c r="O106" s="290"/>
      <c r="P106" s="290"/>
      <c r="Q106" s="290"/>
      <c r="R106" s="290"/>
      <c r="S106" s="290"/>
      <c r="T106" s="290"/>
      <c r="U106" s="287" t="str">
        <f>IF(B106="","",IF('Filtered Data'!$D$1&amp;'Filtered Data'!$H$8="SC%.",(VLOOKUP(B106,'Filtered Data'!AS:AU,3,FALSE))/100,IF('Filtered Data'!$D$1&amp;'Filtered Data'!$H$8="SC%%",(VLOOKUP(B106,'Filtered Data'!AS:AU,3,FALSE)),IF('Filtered Data'!$D$1&amp;'Filtered Data'!$H$8="SC..",(VLOOKUP(B106,'Filtered Data'!AS:AU,3,FALSE)),IF('Filtered Data'!$H$8="%.",VLOOKUP(B106,'Filtered Data'!AL:AN,3,FALSE)/100,VLOOKUP(B106,'Filtered Data'!AL:AN,3,FALSE))))))</f>
        <v/>
      </c>
      <c r="V106" s="287"/>
      <c r="W106" s="287"/>
      <c r="X106" s="287"/>
      <c r="Y106" s="267" t="str">
        <f>IF(E106="","",IF((VLOOKUP(E106,classifications!C:K,9,FALSE))="Sparse","S",""))</f>
        <v/>
      </c>
      <c r="AA106" s="288"/>
      <c r="AB106" s="289"/>
      <c r="AC106" s="289"/>
      <c r="AD106" s="290"/>
      <c r="AE106" s="290"/>
      <c r="AF106" s="290"/>
      <c r="AG106" s="290"/>
      <c r="AH106" s="290"/>
      <c r="AI106" s="290"/>
      <c r="AJ106" s="290"/>
      <c r="AK106" s="290"/>
      <c r="AL106" s="290"/>
      <c r="AM106" s="290"/>
      <c r="AN106" s="286"/>
      <c r="AO106" s="286"/>
      <c r="AP106" s="286"/>
      <c r="AQ106" s="286"/>
      <c r="AR106" s="267"/>
      <c r="AV106" s="253"/>
    </row>
    <row r="107" spans="2:48" s="251" customFormat="1" ht="12" customHeight="1">
      <c r="B107" s="289"/>
      <c r="C107" s="289"/>
      <c r="D107" s="289"/>
      <c r="E107" s="291" t="s">
        <v>340</v>
      </c>
      <c r="F107" s="291"/>
      <c r="G107" s="291"/>
      <c r="H107" s="291"/>
      <c r="I107" s="291"/>
      <c r="J107" s="291"/>
      <c r="K107" s="291"/>
      <c r="L107" s="291"/>
      <c r="M107" s="291"/>
      <c r="N107" s="291"/>
      <c r="O107" s="271"/>
      <c r="P107" s="271"/>
      <c r="Q107" s="271"/>
      <c r="R107" s="271"/>
      <c r="S107" s="271"/>
      <c r="T107" s="271"/>
      <c r="U107" s="294">
        <f>L38</f>
        <v>14.88761663900587</v>
      </c>
      <c r="V107" s="294"/>
      <c r="W107" s="294"/>
      <c r="X107" s="294"/>
      <c r="Y107" s="267"/>
      <c r="AA107" s="289"/>
      <c r="AB107" s="289"/>
      <c r="AC107" s="289"/>
      <c r="AD107" s="262"/>
      <c r="AE107" s="262"/>
      <c r="AF107" s="262"/>
      <c r="AG107" s="262"/>
      <c r="AH107" s="262"/>
      <c r="AI107" s="262"/>
      <c r="AJ107" s="262"/>
      <c r="AK107" s="262"/>
      <c r="AL107" s="262"/>
      <c r="AM107" s="268"/>
      <c r="AN107" s="344"/>
      <c r="AO107" s="344"/>
      <c r="AP107" s="344"/>
      <c r="AQ107" s="344"/>
      <c r="AV107" s="253"/>
    </row>
    <row r="108" spans="2:48" s="251" customFormat="1" ht="12" customHeight="1">
      <c r="W108" s="269">
        <f>COUNT(AA91:AB106)</f>
        <v>0</v>
      </c>
    </row>
    <row r="109" spans="2:48" s="251" customFormat="1" ht="19.5" customHeight="1">
      <c r="B109" s="322" t="str">
        <f>B3</f>
        <v>Cycling Statistics</v>
      </c>
      <c r="C109" s="322"/>
      <c r="D109" s="322"/>
      <c r="E109" s="322"/>
      <c r="F109" s="322"/>
      <c r="G109" s="322"/>
      <c r="H109" s="322"/>
      <c r="I109" s="322"/>
      <c r="J109" s="322"/>
      <c r="K109" s="322"/>
      <c r="L109" s="322"/>
      <c r="M109" s="322"/>
      <c r="N109" s="322"/>
      <c r="O109" s="322"/>
      <c r="P109" s="322"/>
      <c r="Q109" s="322"/>
      <c r="R109" s="322"/>
      <c r="S109" s="322"/>
      <c r="T109" s="322"/>
      <c r="U109" s="322"/>
      <c r="V109" s="322"/>
      <c r="W109" s="322"/>
      <c r="X109" s="322"/>
      <c r="Y109" s="322"/>
      <c r="Z109" s="322"/>
      <c r="AA109" s="322"/>
      <c r="AB109" s="322"/>
      <c r="AC109" s="322"/>
      <c r="AD109" s="322"/>
      <c r="AE109" s="322"/>
      <c r="AF109" s="322"/>
      <c r="AG109" s="322"/>
      <c r="AH109" s="322"/>
      <c r="AI109" s="322"/>
      <c r="AJ109" s="322"/>
      <c r="AK109" s="322"/>
      <c r="AL109" s="322"/>
      <c r="AM109" s="322"/>
      <c r="AN109" s="322"/>
    </row>
    <row r="110" spans="2:48" s="251" customFormat="1" ht="12" customHeight="1"/>
    <row r="111" spans="2:48" s="251" customFormat="1" ht="12" customHeight="1">
      <c r="B111" s="291" t="s">
        <v>372</v>
      </c>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row>
    <row r="112" spans="2:48" ht="12" customHeight="1"/>
    <row r="113" spans="2:40" ht="12" customHeight="1">
      <c r="B113" s="309" t="str">
        <f>W6&amp;" - "&amp;W12</f>
        <v>Proportion of residents who cycle (any length or purpose) at least once a month - 2018/19</v>
      </c>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248"/>
    </row>
    <row r="114" spans="2:40" ht="12" customHeight="1">
      <c r="B114" s="312"/>
      <c r="C114" s="313"/>
      <c r="D114" s="313"/>
      <c r="E114" s="313"/>
      <c r="F114" s="313"/>
      <c r="G114" s="313"/>
      <c r="H114" s="313"/>
      <c r="I114" s="313"/>
      <c r="J114" s="313"/>
      <c r="K114" s="313"/>
      <c r="L114" s="313"/>
      <c r="M114" s="313"/>
      <c r="N114" s="313"/>
      <c r="O114" s="313"/>
      <c r="P114" s="313"/>
      <c r="Q114" s="313"/>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3"/>
      <c r="AM114" s="313"/>
      <c r="AN114" s="224"/>
    </row>
    <row r="115" spans="2:40" ht="12" customHeight="1">
      <c r="B115" s="221"/>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4"/>
    </row>
    <row r="116" spans="2:40" ht="12" customHeight="1">
      <c r="B116" s="221"/>
      <c r="C116" s="222"/>
      <c r="D116" s="222"/>
      <c r="E116" s="222"/>
      <c r="L116" s="222"/>
      <c r="M116" s="239" t="s">
        <v>795</v>
      </c>
      <c r="N116" s="239"/>
      <c r="O116" s="239" t="s">
        <v>796</v>
      </c>
      <c r="P116" s="239"/>
      <c r="Q116" s="222" t="s">
        <v>797</v>
      </c>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F117" s="219" t="str">
        <f>J5</f>
        <v>Cumbria</v>
      </c>
      <c r="G117" s="284">
        <f>IF('Filtered Data'!H8="..",L35,L35*100)</f>
        <v>16.018311396308022</v>
      </c>
      <c r="H117" s="284"/>
      <c r="I117" s="284"/>
      <c r="J117" s="284"/>
      <c r="K117" s="284"/>
      <c r="L117" s="222"/>
      <c r="M117" s="285">
        <f>K$47</f>
        <v>18.75413441664665</v>
      </c>
      <c r="N117" s="285"/>
      <c r="O117" s="285">
        <f>M$47</f>
        <v>16.26259547069758</v>
      </c>
      <c r="P117" s="285"/>
      <c r="Q117" s="285">
        <f>O$47</f>
        <v>14.836317443731243</v>
      </c>
      <c r="R117" s="285"/>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
        <v>382</v>
      </c>
      <c r="G118" s="284">
        <f>IF('Filtered Data'!H8="%%",(AVERAGEIF('Filtered Data'!AA$10:AA$500,$F118,'Filtered Data'!M$10:M$500))*100,(AVERAGEIF('Filtered Data'!AA$10:AA$500,$F118,'Filtered Data'!M$10:M$500)))</f>
        <v>18.626964915900135</v>
      </c>
      <c r="H118" s="284"/>
      <c r="I118" s="284"/>
      <c r="J118" s="284"/>
      <c r="K118" s="284"/>
      <c r="L118" s="222"/>
      <c r="M118" s="285">
        <f>K$47</f>
        <v>18.75413441664665</v>
      </c>
      <c r="N118" s="285"/>
      <c r="O118" s="285">
        <f>M$47</f>
        <v>16.26259547069758</v>
      </c>
      <c r="P118" s="285"/>
      <c r="Q118" s="285">
        <f>O$47</f>
        <v>14.836317443731243</v>
      </c>
      <c r="R118" s="285"/>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384</v>
      </c>
      <c r="G119" s="284">
        <f>IF('Filtered Data'!H8="%%",(AVERAGEIF('Filtered Data'!AA$10:AA$500,$F119,'Filtered Data'!M$10:M$500))*100,(AVERAGEIF('Filtered Data'!AA$10:AA$500,$F119,'Filtered Data'!M$10:M$500)))</f>
        <v>17.998465907332488</v>
      </c>
      <c r="H119" s="284"/>
      <c r="I119" s="284"/>
      <c r="J119" s="284"/>
      <c r="K119" s="284"/>
      <c r="L119" s="222"/>
      <c r="M119" s="285">
        <f>K$47</f>
        <v>18.75413441664665</v>
      </c>
      <c r="N119" s="285"/>
      <c r="O119" s="285">
        <f>M$47</f>
        <v>16.26259547069758</v>
      </c>
      <c r="P119" s="285"/>
      <c r="Q119" s="285">
        <f>O$47</f>
        <v>14.836317443731243</v>
      </c>
      <c r="R119" s="285"/>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371</v>
      </c>
      <c r="G120" s="284">
        <f>IF('Filtered Data'!H8="%%",(AVERAGEIF('Filtered Data'!AA$10:AA$500,$F120,'Filtered Data'!M$10:M$500))*100,(AVERAGEIF('Filtered Data'!AA$10:AA$500,$F120,'Filtered Data'!M$10:M$500)))</f>
        <v>15.587933565659533</v>
      </c>
      <c r="H120" s="284"/>
      <c r="I120" s="284"/>
      <c r="J120" s="284"/>
      <c r="K120" s="284"/>
      <c r="L120" s="222"/>
      <c r="M120" s="285">
        <f>K$47</f>
        <v>18.75413441664665</v>
      </c>
      <c r="N120" s="285"/>
      <c r="O120" s="285">
        <f>M$47</f>
        <v>16.26259547069758</v>
      </c>
      <c r="P120" s="285"/>
      <c r="Q120" s="285">
        <f>O$47</f>
        <v>14.836317443731243</v>
      </c>
      <c r="R120" s="285"/>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22"/>
      <c r="G121" s="284"/>
      <c r="H121" s="284"/>
      <c r="I121" s="284"/>
      <c r="J121" s="284"/>
      <c r="K121" s="284"/>
      <c r="L121" s="222"/>
      <c r="M121" s="285"/>
      <c r="N121" s="285"/>
      <c r="O121" s="285"/>
      <c r="P121" s="285"/>
      <c r="Q121" s="285"/>
      <c r="R121" s="285"/>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84"/>
      <c r="H122" s="284"/>
      <c r="I122" s="284"/>
      <c r="J122" s="284"/>
      <c r="K122" s="284"/>
      <c r="L122" s="222"/>
      <c r="M122" s="285"/>
      <c r="N122" s="285"/>
      <c r="O122" s="285"/>
      <c r="P122" s="285"/>
      <c r="Q122" s="285"/>
      <c r="R122" s="285"/>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84"/>
      <c r="H123" s="284"/>
      <c r="I123" s="284"/>
      <c r="J123" s="284"/>
      <c r="K123" s="284"/>
      <c r="L123" s="222"/>
      <c r="M123" s="285"/>
      <c r="N123" s="285"/>
      <c r="O123" s="285"/>
      <c r="P123" s="285"/>
      <c r="Q123" s="285"/>
      <c r="R123" s="285"/>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5"/>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7"/>
    </row>
    <row r="134" spans="2:40" ht="12" customHeight="1"/>
    <row r="135" spans="2:40" ht="12" customHeight="1"/>
    <row r="136" spans="2:40" hidden="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sheetData>
  <sheetProtection algorithmName="SHA-512" hashValue="Iq3VjBzYBBoHlUbc5MJKmxzA8Ji0jDcjaPxXBNZuLFVLkfc/dP3g/9eAemNIiVrLeJwqIJkPGg7cgn+ytKx8UQ==" saltValue="DVMPzZcsT71+1HKTcKTLpQ==" spinCount="100000" sheet="1" objects="1" scenarios="1" selectLockedCells="1"/>
  <protectedRanges>
    <protectedRange sqref="W12" name="Range3"/>
    <protectedRange sqref="W6" name="Range2"/>
    <protectedRange sqref="J5:S6" name="Range1"/>
  </protectedRanges>
  <mergeCells count="295">
    <mergeCell ref="E104:T104"/>
    <mergeCell ref="E105:T105"/>
    <mergeCell ref="E106:T106"/>
    <mergeCell ref="U90:X90"/>
    <mergeCell ref="B93:D93"/>
    <mergeCell ref="B94:D94"/>
    <mergeCell ref="B95:D95"/>
    <mergeCell ref="B98:D98"/>
    <mergeCell ref="U97:X97"/>
    <mergeCell ref="E97:T97"/>
    <mergeCell ref="E98:T98"/>
    <mergeCell ref="E99:T99"/>
    <mergeCell ref="U101:X101"/>
    <mergeCell ref="U99:X99"/>
    <mergeCell ref="B101:D101"/>
    <mergeCell ref="B99:D99"/>
    <mergeCell ref="B100:D100"/>
    <mergeCell ref="B97:D97"/>
    <mergeCell ref="B96:D96"/>
    <mergeCell ref="U100:X100"/>
    <mergeCell ref="B76:D76"/>
    <mergeCell ref="B90:D90"/>
    <mergeCell ref="B91:D91"/>
    <mergeCell ref="B79:D79"/>
    <mergeCell ref="E76:T76"/>
    <mergeCell ref="B81:D81"/>
    <mergeCell ref="B77:D77"/>
    <mergeCell ref="B83:D83"/>
    <mergeCell ref="B84:D84"/>
    <mergeCell ref="E84:T84"/>
    <mergeCell ref="E81:T81"/>
    <mergeCell ref="E80:T80"/>
    <mergeCell ref="E83:T83"/>
    <mergeCell ref="B78:D78"/>
    <mergeCell ref="E85:T85"/>
    <mergeCell ref="B85:D85"/>
    <mergeCell ref="E91:T91"/>
    <mergeCell ref="B72:D72"/>
    <mergeCell ref="E67:T67"/>
    <mergeCell ref="M47:N47"/>
    <mergeCell ref="M48:N48"/>
    <mergeCell ref="M49:N49"/>
    <mergeCell ref="M50:N50"/>
    <mergeCell ref="M51:N51"/>
    <mergeCell ref="M52:N52"/>
    <mergeCell ref="O47:P47"/>
    <mergeCell ref="O48:P48"/>
    <mergeCell ref="O49:P49"/>
    <mergeCell ref="O50:P50"/>
    <mergeCell ref="O51:P51"/>
    <mergeCell ref="O52:P52"/>
    <mergeCell ref="E49:H49"/>
    <mergeCell ref="E50:H50"/>
    <mergeCell ref="E51:H51"/>
    <mergeCell ref="E52:H52"/>
    <mergeCell ref="E64:T64"/>
    <mergeCell ref="E48:H48"/>
    <mergeCell ref="G117:K117"/>
    <mergeCell ref="B113:AM114"/>
    <mergeCell ref="B111:AN111"/>
    <mergeCell ref="B107:D107"/>
    <mergeCell ref="AD102:AM102"/>
    <mergeCell ref="AD103:AM103"/>
    <mergeCell ref="AD104:AM104"/>
    <mergeCell ref="AA107:AC107"/>
    <mergeCell ref="U107:X107"/>
    <mergeCell ref="B106:D106"/>
    <mergeCell ref="B102:D102"/>
    <mergeCell ref="B103:D103"/>
    <mergeCell ref="B104:D104"/>
    <mergeCell ref="B105:D105"/>
    <mergeCell ref="AA105:AC105"/>
    <mergeCell ref="AD105:AM105"/>
    <mergeCell ref="U104:X104"/>
    <mergeCell ref="AA103:AC103"/>
    <mergeCell ref="AA104:AC104"/>
    <mergeCell ref="AN106:AQ106"/>
    <mergeCell ref="AN107:AQ107"/>
    <mergeCell ref="B109:AN109"/>
    <mergeCell ref="U105:X105"/>
    <mergeCell ref="AD106:AM106"/>
    <mergeCell ref="B1:AN1"/>
    <mergeCell ref="AD70:AL70"/>
    <mergeCell ref="B69:D69"/>
    <mergeCell ref="B65:D65"/>
    <mergeCell ref="B66:D66"/>
    <mergeCell ref="B67:D67"/>
    <mergeCell ref="E65:T65"/>
    <mergeCell ref="E66:T66"/>
    <mergeCell ref="O42:AM43"/>
    <mergeCell ref="B42:N43"/>
    <mergeCell ref="B64:D64"/>
    <mergeCell ref="B68:D68"/>
    <mergeCell ref="AD65:AL65"/>
    <mergeCell ref="U65:X65"/>
    <mergeCell ref="L40:O40"/>
    <mergeCell ref="B58:AN58"/>
    <mergeCell ref="K47:L47"/>
    <mergeCell ref="K48:L48"/>
    <mergeCell ref="W12:AM12"/>
    <mergeCell ref="K49:L49"/>
    <mergeCell ref="K50:L50"/>
    <mergeCell ref="K51:L51"/>
    <mergeCell ref="K52:L52"/>
    <mergeCell ref="AB38:AM39"/>
    <mergeCell ref="U66:X66"/>
    <mergeCell ref="E70:T70"/>
    <mergeCell ref="E69:T69"/>
    <mergeCell ref="AF32:AL32"/>
    <mergeCell ref="L39:O39"/>
    <mergeCell ref="L38:O38"/>
    <mergeCell ref="Q39:R39"/>
    <mergeCell ref="Q40:R40"/>
    <mergeCell ref="V40:W40"/>
    <mergeCell ref="V39:W39"/>
    <mergeCell ref="U69:X69"/>
    <mergeCell ref="U68:X68"/>
    <mergeCell ref="J37:J38"/>
    <mergeCell ref="U81:X81"/>
    <mergeCell ref="AD97:AM97"/>
    <mergeCell ref="AD94:AM94"/>
    <mergeCell ref="AD95:AM95"/>
    <mergeCell ref="B3:AN3"/>
    <mergeCell ref="B70:D70"/>
    <mergeCell ref="B71:D71"/>
    <mergeCell ref="U71:X71"/>
    <mergeCell ref="S39:U39"/>
    <mergeCell ref="E71:T71"/>
    <mergeCell ref="AD67:AL67"/>
    <mergeCell ref="AD68:AL68"/>
    <mergeCell ref="Q38:R38"/>
    <mergeCell ref="Q37:R37"/>
    <mergeCell ref="V37:W37"/>
    <mergeCell ref="L37:O37"/>
    <mergeCell ref="U70:X70"/>
    <mergeCell ref="N32:S32"/>
    <mergeCell ref="AC32:AE32"/>
    <mergeCell ref="V38:W38"/>
    <mergeCell ref="S40:U40"/>
    <mergeCell ref="U80:X80"/>
    <mergeCell ref="E90:N90"/>
    <mergeCell ref="U67:X67"/>
    <mergeCell ref="AD77:AL77"/>
    <mergeCell ref="E74:T74"/>
    <mergeCell ref="E75:T75"/>
    <mergeCell ref="E68:T68"/>
    <mergeCell ref="B80:D80"/>
    <mergeCell ref="B82:D82"/>
    <mergeCell ref="E78:T78"/>
    <mergeCell ref="B92:D92"/>
    <mergeCell ref="E79:T79"/>
    <mergeCell ref="E82:T82"/>
    <mergeCell ref="B75:D75"/>
    <mergeCell ref="B73:D73"/>
    <mergeCell ref="B74:D74"/>
    <mergeCell ref="U75:X75"/>
    <mergeCell ref="U73:X73"/>
    <mergeCell ref="E77:T77"/>
    <mergeCell ref="U78:X78"/>
    <mergeCell ref="U74:X74"/>
    <mergeCell ref="E73:T73"/>
    <mergeCell ref="AD71:AL71"/>
    <mergeCell ref="AD73:AL73"/>
    <mergeCell ref="AD76:AL76"/>
    <mergeCell ref="E72:T72"/>
    <mergeCell ref="U76:X76"/>
    <mergeCell ref="W5:AM5"/>
    <mergeCell ref="W6:AM10"/>
    <mergeCell ref="W14:AM14"/>
    <mergeCell ref="W11:AM11"/>
    <mergeCell ref="B36:W36"/>
    <mergeCell ref="AD66:AL66"/>
    <mergeCell ref="L35:O35"/>
    <mergeCell ref="B16:AM17"/>
    <mergeCell ref="X32:AB32"/>
    <mergeCell ref="Q35:W35"/>
    <mergeCell ref="B5:E5"/>
    <mergeCell ref="J10:R10"/>
    <mergeCell ref="K32:M32"/>
    <mergeCell ref="T32:W32"/>
    <mergeCell ref="E32:J32"/>
    <mergeCell ref="J5:S6"/>
    <mergeCell ref="B8:I8"/>
    <mergeCell ref="B9:I9"/>
    <mergeCell ref="B11:I11"/>
    <mergeCell ref="E47:H47"/>
    <mergeCell ref="U64:X64"/>
    <mergeCell ref="B10:I10"/>
    <mergeCell ref="W13:AM13"/>
    <mergeCell ref="AB36:AL37"/>
    <mergeCell ref="AD72:AL72"/>
    <mergeCell ref="AD69:AL69"/>
    <mergeCell ref="AA93:AC93"/>
    <mergeCell ref="U91:X91"/>
    <mergeCell ref="U92:X92"/>
    <mergeCell ref="AN97:AQ97"/>
    <mergeCell ref="U96:X96"/>
    <mergeCell ref="AA97:AC97"/>
    <mergeCell ref="AD74:AL74"/>
    <mergeCell ref="AD75:AL75"/>
    <mergeCell ref="AA91:AC91"/>
    <mergeCell ref="AN90:AP90"/>
    <mergeCell ref="U85:X85"/>
    <mergeCell ref="AN91:AQ91"/>
    <mergeCell ref="AA90:AC90"/>
    <mergeCell ref="AD90:AM90"/>
    <mergeCell ref="U82:X82"/>
    <mergeCell ref="U84:X84"/>
    <mergeCell ref="AD80:AL80"/>
    <mergeCell ref="U77:X77"/>
    <mergeCell ref="U79:X79"/>
    <mergeCell ref="U72:X72"/>
    <mergeCell ref="U83:X83"/>
    <mergeCell ref="U94:X94"/>
    <mergeCell ref="AD78:AL78"/>
    <mergeCell ref="AD79:AL79"/>
    <mergeCell ref="AN99:AQ99"/>
    <mergeCell ref="AN100:AQ100"/>
    <mergeCell ref="AN101:AQ101"/>
    <mergeCell ref="AN102:AQ102"/>
    <mergeCell ref="AD81:AL81"/>
    <mergeCell ref="AD82:AL82"/>
    <mergeCell ref="AA99:AC99"/>
    <mergeCell ref="AD100:AM100"/>
    <mergeCell ref="AA94:AC94"/>
    <mergeCell ref="AD84:AL84"/>
    <mergeCell ref="AD85:AL85"/>
    <mergeCell ref="AD83:AL83"/>
    <mergeCell ref="AN92:AQ92"/>
    <mergeCell ref="AN93:AQ93"/>
    <mergeCell ref="AN94:AQ94"/>
    <mergeCell ref="AD91:AM91"/>
    <mergeCell ref="AN103:AQ103"/>
    <mergeCell ref="AA102:AC102"/>
    <mergeCell ref="AN96:AQ96"/>
    <mergeCell ref="AN98:AQ98"/>
    <mergeCell ref="AD93:AM93"/>
    <mergeCell ref="AD92:AM92"/>
    <mergeCell ref="E92:T92"/>
    <mergeCell ref="E93:T93"/>
    <mergeCell ref="E94:T94"/>
    <mergeCell ref="E95:T95"/>
    <mergeCell ref="E96:T96"/>
    <mergeCell ref="E100:T100"/>
    <mergeCell ref="E101:T101"/>
    <mergeCell ref="E102:T102"/>
    <mergeCell ref="E103:T103"/>
    <mergeCell ref="AN105:AQ105"/>
    <mergeCell ref="U106:X106"/>
    <mergeCell ref="M117:N117"/>
    <mergeCell ref="O117:P117"/>
    <mergeCell ref="Q117:R117"/>
    <mergeCell ref="U103:X103"/>
    <mergeCell ref="AA96:AC96"/>
    <mergeCell ref="AA92:AC92"/>
    <mergeCell ref="U102:X102"/>
    <mergeCell ref="AD101:AM101"/>
    <mergeCell ref="U93:X93"/>
    <mergeCell ref="AA101:AC101"/>
    <mergeCell ref="U98:X98"/>
    <mergeCell ref="AA98:AC98"/>
    <mergeCell ref="AA100:AC100"/>
    <mergeCell ref="U95:X95"/>
    <mergeCell ref="E107:N107"/>
    <mergeCell ref="AA106:AC106"/>
    <mergeCell ref="AN95:AQ95"/>
    <mergeCell ref="AD99:AM99"/>
    <mergeCell ref="AA95:AC95"/>
    <mergeCell ref="AD98:AM98"/>
    <mergeCell ref="AD96:AM96"/>
    <mergeCell ref="AN104:AQ104"/>
    <mergeCell ref="G118:K118"/>
    <mergeCell ref="G119:K119"/>
    <mergeCell ref="G120:K120"/>
    <mergeCell ref="G121:K121"/>
    <mergeCell ref="G122:K122"/>
    <mergeCell ref="G123:K123"/>
    <mergeCell ref="M118:N118"/>
    <mergeCell ref="O118:P118"/>
    <mergeCell ref="Q118:R118"/>
    <mergeCell ref="M119:N119"/>
    <mergeCell ref="O119:P119"/>
    <mergeCell ref="Q119:R119"/>
    <mergeCell ref="M123:N123"/>
    <mergeCell ref="O123:P123"/>
    <mergeCell ref="Q123:R123"/>
    <mergeCell ref="M120:N120"/>
    <mergeCell ref="O120:P120"/>
    <mergeCell ref="Q120:R120"/>
    <mergeCell ref="M121:N121"/>
    <mergeCell ref="O121:P121"/>
    <mergeCell ref="Q121:R121"/>
    <mergeCell ref="M122:N122"/>
    <mergeCell ref="O122:P122"/>
    <mergeCell ref="Q122:R122"/>
  </mergeCells>
  <phoneticPr fontId="19" type="noConversion"/>
  <conditionalFormatting sqref="B91:D106">
    <cfRule type="expression" dxfId="30" priority="47">
      <formula>IF(E91="",TRUE,FALSE)</formula>
    </cfRule>
  </conditionalFormatting>
  <conditionalFormatting sqref="Z38 Z36 K37:K41">
    <cfRule type="containsText" dxfId="29" priority="103" operator="containsText" text="L">
      <formula>NOT(ISERROR(SEARCH("L",K36)))</formula>
    </cfRule>
    <cfRule type="containsText" dxfId="28" priority="104" operator="containsText" text="J">
      <formula>NOT(ISERROR(SEARCH("J",K36)))</formula>
    </cfRule>
  </conditionalFormatting>
  <conditionalFormatting sqref="Z38 Z36 K37:K41">
    <cfRule type="containsText" dxfId="27" priority="101" operator="containsText" text="y">
      <formula>NOT(ISERROR(SEARCH("y",K36)))</formula>
    </cfRule>
    <cfRule type="containsText" dxfId="26" priority="102" operator="containsText" text="n">
      <formula>NOT(ISERROR(SEARCH("n",K36)))</formula>
    </cfRule>
  </conditionalFormatting>
  <conditionalFormatting sqref="B36">
    <cfRule type="containsText" dxfId="25" priority="3" operator="containsText" text="Bottom Quartile">
      <formula>NOT(ISERROR(SEARCH("Bottom Quartile",B36)))</formula>
    </cfRule>
    <cfRule type="containsText" dxfId="24" priority="88" operator="containsText" text="third quartile">
      <formula>NOT(ISERROR(SEARCH("third quartile",B36)))</formula>
    </cfRule>
    <cfRule type="containsText" dxfId="23" priority="89" operator="containsText" text="second quartile">
      <formula>NOT(ISERROR(SEARCH("second quartile",B36)))</formula>
    </cfRule>
    <cfRule type="containsText" dxfId="22" priority="90" operator="containsText" text="top quartile">
      <formula>NOT(ISERROR(SEARCH("top quartile",B36)))</formula>
    </cfRule>
  </conditionalFormatting>
  <conditionalFormatting sqref="E65:T85">
    <cfRule type="cellIs" dxfId="21" priority="62" stopIfTrue="1" operator="equal">
      <formula>$J$5</formula>
    </cfRule>
  </conditionalFormatting>
  <conditionalFormatting sqref="U85:X85">
    <cfRule type="expression" dxfId="20" priority="55">
      <formula>IF(E85=$J$5,TRUE,FALSE)</formula>
    </cfRule>
  </conditionalFormatting>
  <conditionalFormatting sqref="F91:K105 E91:G106 E106:N106 L91:T106">
    <cfRule type="expression" dxfId="19" priority="45">
      <formula>IF(ISNA(E106),TRUE,FALSE)</formula>
    </cfRule>
  </conditionalFormatting>
  <conditionalFormatting sqref="U65:X84">
    <cfRule type="expression" dxfId="18" priority="38">
      <formula>IF(E65=$J$5,TRUE,FALSE)</formula>
    </cfRule>
  </conditionalFormatting>
  <conditionalFormatting sqref="F101:G102 H91:K106">
    <cfRule type="expression" dxfId="17" priority="141">
      <formula>IF(ISNA(F107),TRUE,FALSE)</formula>
    </cfRule>
  </conditionalFormatting>
  <conditionalFormatting sqref="F103:G103">
    <cfRule type="expression" dxfId="16" priority="145">
      <formula>IF(ISNA(F123),TRUE,FALSE)</formula>
    </cfRule>
  </conditionalFormatting>
  <conditionalFormatting sqref="AD91:AM106 E91:T106">
    <cfRule type="cellIs" dxfId="15" priority="24" operator="equal">
      <formula>$J$5</formula>
    </cfRule>
  </conditionalFormatting>
  <conditionalFormatting sqref="AA91:AC106 B91:D106">
    <cfRule type="expression" dxfId="14" priority="23">
      <formula>IF(E91=$J$5,TRUE,FALSE)</formula>
    </cfRule>
  </conditionalFormatting>
  <conditionalFormatting sqref="U91:X106">
    <cfRule type="expression" dxfId="13" priority="21">
      <formula>IF(E91=$J$5,TRUE,FALSE)</formula>
    </cfRule>
  </conditionalFormatting>
  <conditionalFormatting sqref="U92:X106">
    <cfRule type="expression" dxfId="12" priority="20">
      <formula>IF(E92=$J$5,TRUE,FALSE)</formula>
    </cfRule>
  </conditionalFormatting>
  <conditionalFormatting sqref="AN91:AQ106">
    <cfRule type="expression" dxfId="11" priority="19">
      <formula>IF(AD91=$J$5,TRUE,FALSE)</formula>
    </cfRule>
  </conditionalFormatting>
  <conditionalFormatting sqref="Y85:AC85">
    <cfRule type="expression" dxfId="10" priority="16">
      <formula>IF(E85=$J$5,TRUE,FALSE)</formula>
    </cfRule>
  </conditionalFormatting>
  <conditionalFormatting sqref="Y65:AC84">
    <cfRule type="expression" dxfId="9" priority="15">
      <formula>IF(E65=$J$5,TRUE,FALSE)</formula>
    </cfRule>
  </conditionalFormatting>
  <conditionalFormatting sqref="Y91:Y106">
    <cfRule type="expression" dxfId="8" priority="13">
      <formula>IF(E91=$J$5,TRUE,FALSE)</formula>
    </cfRule>
  </conditionalFormatting>
  <conditionalFormatting sqref="AR91">
    <cfRule type="expression" dxfId="7" priority="12">
      <formula>IF(AD91=$J$5,TRUE,FALSE)</formula>
    </cfRule>
  </conditionalFormatting>
  <conditionalFormatting sqref="AR92:AR106">
    <cfRule type="expression" dxfId="6" priority="11">
      <formula>IF(AD92=$J$5,TRUE,FALSE)</formula>
    </cfRule>
  </conditionalFormatting>
  <conditionalFormatting sqref="K32:M32 T32 AC32:AE32 L35:O35 L37:O39">
    <cfRule type="expression" dxfId="5" priority="9">
      <formula>IF($D$22="%",TRUE,FALSE)</formula>
    </cfRule>
  </conditionalFormatting>
  <conditionalFormatting sqref="U65:X85 AN91:AQ107 U91:X107">
    <cfRule type="expression" dxfId="4" priority="6">
      <formula>IF($D$22="%",TRUE,FALSE)</formula>
    </cfRule>
  </conditionalFormatting>
  <conditionalFormatting sqref="B85:D85">
    <cfRule type="expression" dxfId="3" priority="4">
      <formula>IF($U$85="",TRUE,FALSE)</formula>
    </cfRule>
  </conditionalFormatting>
  <conditionalFormatting sqref="B65:D84">
    <cfRule type="expression" dxfId="2" priority="2">
      <formula>IF(E65=$J$5,TRUE,FALSE)</formula>
    </cfRule>
  </conditionalFormatting>
  <conditionalFormatting sqref="B85:Y85">
    <cfRule type="expression" dxfId="1" priority="1">
      <formula>IF(E85=$J$5,TRUE,FALSE)</formula>
    </cfRule>
  </conditionalFormatting>
  <dataValidations count="4">
    <dataValidation type="list" allowBlank="1" showInputMessage="1" showErrorMessage="1" sqref="D58:E58 D109:E109 D1:E1 D3:E4" xr:uid="{00000000-0002-0000-0000-000000000000}">
      <formula1>#REF!</formula1>
    </dataValidation>
    <dataValidation type="list" allowBlank="1" showInputMessage="1" showErrorMessage="1" sqref="W6:AM10" xr:uid="{00000000-0002-0000-0000-000001000000}">
      <formula1>Indicators</formula1>
    </dataValidation>
    <dataValidation type="list" allowBlank="1" showInputMessage="1" showErrorMessage="1" sqref="W12:AM12" xr:uid="{00000000-0002-0000-0000-000002000000}">
      <formula1>Years</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7" max="16383"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workbookViewId="0">
      <selection activeCell="A348"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378</v>
      </c>
      <c r="D1" s="64" t="s">
        <v>389</v>
      </c>
      <c r="E1" s="24"/>
      <c r="F1" s="24"/>
      <c r="G1" s="24"/>
      <c r="H1" s="72"/>
      <c r="I1" s="73"/>
      <c r="K1" s="58"/>
      <c r="L1" s="25" t="s">
        <v>359</v>
      </c>
      <c r="M1" s="87" t="s">
        <v>383</v>
      </c>
      <c r="N1" s="87" t="s">
        <v>383</v>
      </c>
      <c r="O1" s="87"/>
      <c r="P1" s="87"/>
      <c r="Q1" s="87"/>
      <c r="R1" s="87"/>
      <c r="T1" s="349" t="s">
        <v>823</v>
      </c>
      <c r="U1" s="350"/>
      <c r="V1" s="350"/>
      <c r="W1" s="351"/>
      <c r="X1" s="58"/>
      <c r="AA1" s="349" t="s">
        <v>822</v>
      </c>
      <c r="AB1" s="350"/>
      <c r="AC1" s="350"/>
      <c r="AD1" s="351"/>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386</v>
      </c>
      <c r="M2" s="87" t="s">
        <v>414</v>
      </c>
      <c r="N2" s="87" t="s">
        <v>420</v>
      </c>
      <c r="O2" s="87"/>
      <c r="P2" s="88"/>
      <c r="Q2" s="88"/>
      <c r="R2" s="88"/>
      <c r="S2" s="59"/>
      <c r="T2" s="349"/>
      <c r="U2" s="350"/>
      <c r="V2" s="350"/>
      <c r="W2" s="351"/>
      <c r="X2" s="347"/>
      <c r="Y2" s="348"/>
      <c r="Z2" s="348"/>
      <c r="AA2" s="349"/>
      <c r="AB2" s="350"/>
      <c r="AC2" s="350"/>
      <c r="AD2" s="351"/>
      <c r="AE2" s="58"/>
      <c r="AF2" s="61"/>
      <c r="AG2" s="61"/>
      <c r="AI2" s="58"/>
      <c r="AL2" s="24"/>
      <c r="AP2" s="58"/>
      <c r="AQ2" s="69"/>
      <c r="AR2" s="24"/>
      <c r="AS2" s="24"/>
      <c r="AT2" s="24"/>
      <c r="AU2" s="24"/>
      <c r="AV2" s="24"/>
      <c r="AW2" s="79"/>
      <c r="AX2" s="42"/>
      <c r="AZ2" s="42"/>
      <c r="ABG2" s="62" t="s">
        <v>405</v>
      </c>
    </row>
    <row r="3" spans="1:735" s="25" customFormat="1">
      <c r="A3" s="53"/>
      <c r="B3" s="53"/>
      <c r="C3" s="25" t="s">
        <v>408</v>
      </c>
      <c r="D3" s="25" t="str">
        <f>Profile!J5</f>
        <v>Cumbria</v>
      </c>
      <c r="F3" s="73" t="str">
        <f>VLOOKUP(D3,classifications!C:G,4,FALSE)</f>
        <v>SC</v>
      </c>
      <c r="G3" s="25" t="str">
        <f>VLOOKUP(D3,classifications!C:E,3,FALSE)</f>
        <v>North West</v>
      </c>
      <c r="H3" s="81" t="str">
        <f>VLOOKUP(D3,classifications!C:H,6,FALSE)</f>
        <v>Predominantly Rural</v>
      </c>
      <c r="I3" s="25" t="str">
        <f>VLOOKUP(D3,classifications!C:J,8,FALSE)</f>
        <v>Cumbria</v>
      </c>
      <c r="J3" s="24" t="str">
        <f>VLOOKUP(D3,classifications!C:I,7,FALSE)</f>
        <v>Predominantly Rural</v>
      </c>
      <c r="K3" s="58"/>
      <c r="L3" s="25" t="s">
        <v>387</v>
      </c>
      <c r="M3" s="87" t="s">
        <v>415</v>
      </c>
      <c r="N3" s="87" t="s">
        <v>396</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389</v>
      </c>
      <c r="M4" s="87" t="s">
        <v>416</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406</v>
      </c>
      <c r="D5" s="82" t="str">
        <f>Profile!W6</f>
        <v>Proportion of residents who cycle (any length or purpose) at least once a month</v>
      </c>
      <c r="E5" s="82"/>
      <c r="F5" s="24"/>
      <c r="G5" s="24"/>
      <c r="H5" s="72"/>
      <c r="I5" s="73"/>
      <c r="K5" s="58" t="s">
        <v>3</v>
      </c>
      <c r="L5" s="25" t="s">
        <v>381</v>
      </c>
      <c r="M5" s="87" t="s">
        <v>417</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407</v>
      </c>
      <c r="D6" s="83" t="str">
        <f>Profile!W12</f>
        <v>2018/19</v>
      </c>
      <c r="E6" s="83"/>
      <c r="F6" s="24"/>
      <c r="G6" s="24"/>
      <c r="H6" s="72"/>
      <c r="I6" s="74"/>
      <c r="K6" s="58" t="s">
        <v>3</v>
      </c>
      <c r="L6" s="25" t="s">
        <v>418</v>
      </c>
      <c r="M6" s="87" t="s">
        <v>419</v>
      </c>
      <c r="N6" s="87" t="s">
        <v>421</v>
      </c>
      <c r="O6" s="87"/>
      <c r="P6" s="97" t="s">
        <v>402</v>
      </c>
      <c r="Q6" s="97" t="s">
        <v>403</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30.572479096813858</v>
      </c>
      <c r="Q7" s="98">
        <f>IF(I8="A",MAX(N11:N363),MIN(N11:N363))</f>
        <v>0</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794</v>
      </c>
      <c r="D8" s="165" t="str">
        <f>VLOOKUP(D5,'Indicator info'!A:D,2,FALSE)</f>
        <v>.</v>
      </c>
      <c r="E8" s="165"/>
      <c r="F8" s="83" t="s">
        <v>793</v>
      </c>
      <c r="G8" s="166" t="str">
        <f>VLOOKUP(D5,'Indicator info'!A:D,3,FALSE)</f>
        <v>.</v>
      </c>
      <c r="H8" s="167" t="str">
        <f>D8&amp;G8</f>
        <v>..</v>
      </c>
      <c r="I8" s="168" t="str">
        <f>VLOOKUP(D5,'Indicator info'!A:D,4,FALSE)</f>
        <v>D</v>
      </c>
      <c r="K8" s="58"/>
      <c r="M8" s="100"/>
      <c r="N8" s="100"/>
      <c r="O8" s="100"/>
      <c r="P8" s="75" t="str">
        <f>D3</f>
        <v>Cumbria</v>
      </c>
      <c r="Q8" s="99">
        <f>VLOOKUP(D3,L11:N363,3,FALSE)</f>
        <v>16.018311396308022</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SC Authorities only</v>
      </c>
      <c r="I9" s="76"/>
      <c r="J9" s="18"/>
      <c r="K9" s="31" t="str">
        <f>"Rank &amp; Quartiles for all "&amp;D1&amp;" Authorities"</f>
        <v>Rank &amp; Quartiles for all SC Authorities</v>
      </c>
      <c r="L9" s="32"/>
      <c r="M9" s="86">
        <f>IF($H$8="%.",(AVERAGE(M11:M363))/100,(AVERAGE(M11:M363)))</f>
        <v>16.892058683650347</v>
      </c>
      <c r="N9" s="86"/>
      <c r="O9" s="89" t="s">
        <v>341</v>
      </c>
      <c r="P9" s="89" t="s">
        <v>352</v>
      </c>
      <c r="Q9" s="89" t="s">
        <v>353</v>
      </c>
      <c r="R9" s="91" t="s">
        <v>401</v>
      </c>
      <c r="S9" s="30"/>
      <c r="T9" s="178" t="s">
        <v>818</v>
      </c>
      <c r="U9" s="179">
        <f>IF($H$8="%.",(AVERAGE(U11:U363))/100,(AVERAGE(U11:U363)))</f>
        <v>16.273940716323207</v>
      </c>
      <c r="V9" s="180"/>
      <c r="W9" s="180"/>
      <c r="X9" s="84" t="str">
        <f>"Lower Level Ranking for Authorites in "&amp;H3&amp;" &amp; are a "&amp;F3</f>
        <v>Lower Level Ranking for Authorites in Predominantly Rural &amp; are a SC</v>
      </c>
      <c r="Y9" s="86" t="e">
        <f>IF($H$8="%.",(AVERAGE(Y11:Y363))/100,(AVERAGE(Y11:Y363)))</f>
        <v>#DIV/0!</v>
      </c>
      <c r="Z9" s="85"/>
      <c r="AA9" s="186" t="s">
        <v>380</v>
      </c>
      <c r="AB9" s="179">
        <f>IF($H$8="%.",(AVERAGE(AB11:AB363))/100,(AVERAGE(AB11:AB363)))</f>
        <v>18.626964915900135</v>
      </c>
      <c r="AC9" s="187"/>
      <c r="AD9" s="187"/>
      <c r="AE9" s="31" t="s">
        <v>410</v>
      </c>
      <c r="AG9" s="86">
        <f>IF($H$8="%.",(AVERAGE(AG11:AG363))/100,(AVERAGE(AG11:AG363)))</f>
        <v>15.518954145787426</v>
      </c>
      <c r="AI9" s="84" t="str">
        <f>"County Ranking &amp; Top Authorites in "&amp;I3&amp;" &amp; are a "&amp;F3</f>
        <v>County Ranking &amp; Top Authorites in Cumbria &amp; are a SC</v>
      </c>
      <c r="AJ9" s="86">
        <f>IF($H$8="%.",(AVERAGE(AJ11:AJ363))/100,(AVERAGE(AJ11:AJ363)))</f>
        <v>16.018311396308022</v>
      </c>
      <c r="AK9" s="85"/>
      <c r="AL9" s="44"/>
      <c r="AM9" s="8"/>
      <c r="AN9" s="8"/>
      <c r="AP9" s="84" t="str">
        <f>"Regional Ranking in for "&amp;F3</f>
        <v>Regional Ranking in for SC</v>
      </c>
      <c r="AQ9" s="86">
        <f>IF($H$8="%.",(AVERAGE(AQ11:AQ363))/100,(AVERAGE(AQ11:AQ363)))</f>
        <v>14.88761663900587</v>
      </c>
      <c r="AR9" s="85"/>
      <c r="AS9" s="85"/>
      <c r="AT9" s="85"/>
      <c r="AU9" s="85"/>
      <c r="AV9" s="26"/>
      <c r="AW9" s="79"/>
      <c r="AX9" s="125" t="str">
        <f>Profile!$W$6</f>
        <v>Proportion of residents who cycle (any length or purpose) at least once a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411</v>
      </c>
      <c r="B10" s="55"/>
      <c r="C10" s="20" t="s">
        <v>399</v>
      </c>
      <c r="D10" s="20" t="s">
        <v>378</v>
      </c>
      <c r="E10" s="20" t="s">
        <v>373</v>
      </c>
      <c r="F10" s="20" t="s">
        <v>374</v>
      </c>
      <c r="H10" s="52" t="s">
        <v>374</v>
      </c>
      <c r="I10" s="52" t="s">
        <v>354</v>
      </c>
      <c r="K10" s="47" t="s">
        <v>354</v>
      </c>
      <c r="L10" s="48" t="s">
        <v>333</v>
      </c>
      <c r="M10" s="92" t="s">
        <v>374</v>
      </c>
      <c r="N10" s="92" t="s">
        <v>799</v>
      </c>
      <c r="O10" s="93">
        <f>IF(I8="A",QUARTILE(N:N,1),QUARTILE(N:N,3))</f>
        <v>18.75413441664665</v>
      </c>
      <c r="P10" s="93">
        <f>QUARTILE(N:N,2)</f>
        <v>16.26259547069758</v>
      </c>
      <c r="Q10" s="93">
        <f>IF(I8="A",QUARTILE(N:N,3),QUARTILE(N:N,1))</f>
        <v>14.836317443731243</v>
      </c>
      <c r="R10" s="92"/>
      <c r="S10" s="49"/>
      <c r="T10" s="181" t="s">
        <v>373</v>
      </c>
      <c r="U10" s="182" t="s">
        <v>374</v>
      </c>
      <c r="V10" s="182" t="s">
        <v>354</v>
      </c>
      <c r="W10" s="182"/>
      <c r="X10" s="50" t="s">
        <v>379</v>
      </c>
      <c r="Y10" s="20" t="s">
        <v>374</v>
      </c>
      <c r="Z10" s="20" t="s">
        <v>354</v>
      </c>
      <c r="AA10" s="181" t="s">
        <v>380</v>
      </c>
      <c r="AB10" s="182" t="s">
        <v>374</v>
      </c>
      <c r="AC10" s="182" t="s">
        <v>354</v>
      </c>
      <c r="AD10" s="182"/>
      <c r="AE10" s="50" t="s">
        <v>354</v>
      </c>
      <c r="AF10" s="20" t="s">
        <v>409</v>
      </c>
      <c r="AG10" s="70" t="s">
        <v>374</v>
      </c>
      <c r="AI10" s="50" t="s">
        <v>301</v>
      </c>
      <c r="AJ10" s="20" t="s">
        <v>374</v>
      </c>
      <c r="AK10" s="51" t="s">
        <v>354</v>
      </c>
      <c r="AL10" s="51" t="s">
        <v>375</v>
      </c>
      <c r="AM10" s="20" t="s">
        <v>409</v>
      </c>
      <c r="AN10" s="20" t="s">
        <v>374</v>
      </c>
      <c r="AO10" s="52"/>
      <c r="AP10" s="50" t="s">
        <v>339</v>
      </c>
      <c r="AQ10" s="70" t="s">
        <v>374</v>
      </c>
      <c r="AR10" s="20" t="s">
        <v>354</v>
      </c>
      <c r="AS10" s="51" t="s">
        <v>375</v>
      </c>
      <c r="AT10" s="20" t="s">
        <v>409</v>
      </c>
      <c r="AU10" s="20" t="s">
        <v>374</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SC1</v>
      </c>
      <c r="B11" s="57" t="str">
        <f>IF(ISERROR(VLOOKUP(A11,classifications!A:C,3,FALSE)),0,VLOOKUP(A11,classifications!A:C,3,FALSE))</f>
        <v>Cumbria</v>
      </c>
      <c r="C11" s="8" t="s">
        <v>4</v>
      </c>
      <c r="D11" s="26" t="str">
        <f>VLOOKUP($C11,classifications!$C:$J,4,FALSE)</f>
        <v>SD</v>
      </c>
      <c r="E11" s="26">
        <f>VLOOKUP(C11,classifications!C:K,9,FALSE)</f>
        <v>0</v>
      </c>
      <c r="F11" s="36">
        <f t="shared" ref="F11:F74" si="0">HLOOKUP($D$6,AX$10:ZX$368,ROW()-9,FALSE)</f>
        <v>23.116266695615074</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Cambridgeshire</v>
      </c>
      <c r="M11" s="102">
        <f>IF(L11="","",IF(VLOOKUP(L11,C:D,2,FALSE)=$F$3,VLOOKUP(L11,C:H,6,FALSE),""))</f>
        <v>30.572479096813858</v>
      </c>
      <c r="N11" s="101">
        <f>IF(L11="","",IF($H$8="%%",M11*100,M11))</f>
        <v>30.572479096813858</v>
      </c>
      <c r="O11" s="94">
        <f>IF(I$8="A",IF(N11&gt;=$P$7,IF(N11&lt;=$O$10,N11,""),""),IF(N11&lt;=$P$7,IF(N11&gt;=$O$10,N11,""),""))</f>
        <v>30.572479096813858</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Predominantly Rural</v>
      </c>
      <c r="Y11" s="26" t="b">
        <f t="shared" ref="Y11:Y74" si="3">IF($D$1="UA",IF(X11="Largely Rural (rural including hub towns 50-79%) ",M11,IF(X11="Mainly Rural (rural including hub towns &gt;=80%) ",M11,IF(X11="Urban with Significant Rural (rural including hub towns 26-49%)",M11,""))),IF($D$1="SD",IF(X11=$H$3,M11,"")))</f>
        <v>0</v>
      </c>
      <c r="Z11" s="34" t="e">
        <f>IF(Y11="","",IF(I$8="A",(RANK(Y11,Y$11:Y$368,1)+COUNTIF(Y$11:Y11,Y11)-1),(RANK(Y11,Y$11:Y$368)+COUNTIF(Y$11:Y11,Y11)-1)))</f>
        <v>#N/A</v>
      </c>
      <c r="AA11" s="188" t="str">
        <f>IF(L11="","",VLOOKUP($L11,classifications!C:I,7,FALSE))</f>
        <v>Predominantly Rural</v>
      </c>
      <c r="AB11" s="184">
        <f>IF(AA11=$J$3,M11,"")</f>
        <v>30.572479096813858</v>
      </c>
      <c r="AC11" s="184">
        <f>IF(AB11="","",IF($I$8="A",(RANK(AB11,AB$11:AB$368)+COUNTIF(AB$11:AB11,AB11)-1),(RANK(AB11,AB$11:AB$368,1)+COUNTIF(AB$11:AB11,AB11)-1)))</f>
        <v>10</v>
      </c>
      <c r="AD11" s="184"/>
      <c r="AE11" s="45">
        <f>IF(I$8="A",(RANK(AG11,AG$11:AG$368,1)+COUNTIF(AG$11:AG11,AG11)-1),(RANK(AG11,AG$11:AG$368)+COUNTIF(AG$11:AG11,AG11)-1))</f>
        <v>9</v>
      </c>
      <c r="AF11" s="43" t="str">
        <f>'Filtered Data'!D3</f>
        <v>Cumbria</v>
      </c>
      <c r="AG11" s="95">
        <f>VLOOKUP(Profile!$J$5,$C$11:$H$368,4,FALSE)</f>
        <v>16.018311396308022</v>
      </c>
      <c r="AH11" s="46">
        <f>AE11</f>
        <v>9</v>
      </c>
      <c r="AI11" s="38" t="str">
        <f>IF(L11="","",VLOOKUP($L11,classifications!$C:$J,8,FALSE))</f>
        <v>Cambridgeshire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Cumbria</v>
      </c>
      <c r="AN11" s="8">
        <f>(VLOOKUP(AM11,L:M,2,FALSE))</f>
        <v>16.018311396308022</v>
      </c>
      <c r="AP11" s="38" t="str">
        <f>IF(L11="","",VLOOKUP($L11,classifications!$C:$E,3,FALSE))</f>
        <v>East of England</v>
      </c>
      <c r="AQ11" s="39" t="str">
        <f>IF(AP11=$G$3,$M11,"")</f>
        <v/>
      </c>
      <c r="AR11" s="34" t="str">
        <f>IF(AQ11="","",IF(I$8="A",(RANK(AQ11,AQ$11:AQ$368,1)+COUNTIF(AQ$11:AQ11,AQ11)-1),(RANK(AQ11,AQ$11:AQ$368)+COUNTIF(AQ$11:AQ11,AQ11)-1)))</f>
        <v/>
      </c>
      <c r="AS11" s="34">
        <v>1</v>
      </c>
      <c r="AT11" s="34" t="str">
        <f t="shared" ref="AT11:AT74" si="6">IF(AS11="","",INDEX(L$11:L$368,MATCH(AS11,AR$11:AR$368,0)))</f>
        <v>Cumbria</v>
      </c>
      <c r="AU11" s="39">
        <f>IF(AT11="","",VLOOKUP(AT11,L:M,2,FALSE))</f>
        <v>16.018311396308022</v>
      </c>
      <c r="AX11" s="21">
        <f>HLOOKUP($AX$9&amp;$AX$10,Data!$A$1:$ZZ$2000,(MATCH($C11,Data!$A$1:$A$2000,0)),FALSE)</f>
        <v>23.116266695615074</v>
      </c>
      <c r="AY11" s="103"/>
      <c r="AZ11" s="21"/>
    </row>
    <row r="12" spans="1:735">
      <c r="A12" s="56" t="str">
        <f>$D$1&amp;2</f>
        <v>SC2</v>
      </c>
      <c r="B12" s="57" t="str">
        <f>IF(ISERROR(VLOOKUP(A12,classifications!A:C,3,FALSE)),0,VLOOKUP(A12,classifications!A:C,3,FALSE))</f>
        <v>Derbyshire</v>
      </c>
      <c r="C12" s="8" t="s">
        <v>6</v>
      </c>
      <c r="D12" s="26" t="str">
        <f>VLOOKUP($C12,classifications!$C:$J,4,FALSE)</f>
        <v>SD</v>
      </c>
      <c r="E12" s="26" t="str">
        <f>VLOOKUP(C12,classifications!C:K,9,FALSE)</f>
        <v>Sparse</v>
      </c>
      <c r="F12" s="36">
        <f t="shared" si="0"/>
        <v>14.883829464061252</v>
      </c>
      <c r="G12" s="71"/>
      <c r="H12" s="37" t="str">
        <f t="shared" si="1"/>
        <v/>
      </c>
      <c r="I12" s="77" t="str">
        <f>IF(H12="","",IF($I$8="A",(RANK(H12,H$11:H$368,1)+COUNTIF(H$11:H12,H12)-1),(RANK(H12,H$11:H$368)+COUNTIF(H$11:H12,H12)-1)))</f>
        <v/>
      </c>
      <c r="J12" s="35"/>
      <c r="K12" s="28">
        <f t="shared" ref="K12:K75" si="7">IF(K11="","",IF(K11+1&gt;(COUNT(H$11:H$368)),"",K11+1))</f>
        <v>2</v>
      </c>
      <c r="L12" s="36" t="str">
        <f t="shared" si="2"/>
        <v>Oxfordshire</v>
      </c>
      <c r="M12" s="102">
        <f>IF(L12="","",IF(VLOOKUP(L12,C:D,2,FALSE)=$F$3,VLOOKUP(L12,C:H,6,FALSE),""))</f>
        <v>27.360615780317239</v>
      </c>
      <c r="N12" s="101">
        <f>IF(L12="","",IF($H$8="%%",M12*100,M12))</f>
        <v>27.360615780317239</v>
      </c>
      <c r="O12" s="94">
        <f t="shared" ref="O12:O74" si="8">IF(I$8="A",IF(N12&gt;=$P$7,IF(N12&lt;=$O$10,N12,""),""),IF(N12&lt;=$P$7,IF(N12&gt;=$O$10,N12,""),""))</f>
        <v>27.360615780317239</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Predominantly Rural</v>
      </c>
      <c r="Y12" s="26" t="b">
        <f t="shared" si="3"/>
        <v>0</v>
      </c>
      <c r="Z12" s="34" t="e">
        <f>IF(Y12="","",IF(I$8="A",(RANK(Y12,Y$11:Y$368,1)+COUNTIF(Y$11:Y12,Y12)-1),(RANK(Y12,Y$11:Y$368)+COUNTIF(Y$11:Y12,Y12)-1)))</f>
        <v>#N/A</v>
      </c>
      <c r="AA12" s="188" t="str">
        <f>IF(L12="","",VLOOKUP($L12,classifications!C:I,7,FALSE))</f>
        <v>Predominantly Rural</v>
      </c>
      <c r="AB12" s="184">
        <f t="shared" ref="AB12:AB75" si="11">IF(AA12=$J$3,M12,"")</f>
        <v>27.360615780317239</v>
      </c>
      <c r="AC12" s="184">
        <f>IF(AB12="","",IF($I$8="A",(RANK(AB12,AB$11:AB$368)+COUNTIF(AB$11:AB12,AB12)-1),(RANK(AB12,AB$11:AB$368,1)+COUNTIF(AB$11:AB12,AB12)-1)))</f>
        <v>9</v>
      </c>
      <c r="AD12" s="184"/>
      <c r="AE12" s="45">
        <f>IF(I$8="A",(RANK(AG12,AG$11:AG$368,1)+COUNTIF(AG$11:AG12,AG12)-1),(RANK(AG12,AG$11:AG$368)+COUNTIF(AG$11:AG12,AG12)-1))</f>
        <v>13</v>
      </c>
      <c r="AF12" s="1" t="str">
        <f>VLOOKUP(Profile!$J$5,Families!$C:$R,2,FALSE)</f>
        <v>Derbyshire</v>
      </c>
      <c r="AG12" s="96">
        <f t="shared" ref="AG12:AG26" si="12">VLOOKUP(AF12,$C$11:$H$368,4,FALSE)</f>
        <v>13.91293811582649</v>
      </c>
      <c r="AH12" s="46">
        <f>AE12</f>
        <v>13</v>
      </c>
      <c r="AI12" s="38" t="str">
        <f>IF(L12="","",VLOOKUP($L12,classifications!$C:$J,8,FALSE))</f>
        <v>Oxfordshire</v>
      </c>
      <c r="AJ12" s="39" t="str">
        <f t="shared" si="4"/>
        <v/>
      </c>
      <c r="AK12" s="34" t="str">
        <f>IF(AJ12="","",IF(I$8="A",(RANK(AJ12,AJ$11:AJ$368,1)+COUNTIF(AJ$11:AJ12,AJ12)-1),(RANK(AJ12,AJ$11:AJ$368)+COUNTIF(AJ$11:AJ12,AJ12)-1)))</f>
        <v/>
      </c>
      <c r="AL12" s="29" t="str">
        <f t="shared" ref="AL12:AL75" si="13">IF(AL11="","",IF(AL11+1&gt;(COUNT(AJ$11:AJ$368)),"",AL11+1))</f>
        <v/>
      </c>
      <c r="AM12" s="8" t="str">
        <f t="shared" si="5"/>
        <v/>
      </c>
      <c r="AN12" s="8" t="str">
        <f t="shared" ref="AN12:AN75" si="14">(VLOOKUP(AM12,L:M,2,FALSE))</f>
        <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Lancashire</v>
      </c>
      <c r="AU12" s="39">
        <f t="shared" ref="AU12:AU75" si="17">IF(AT12="","",VLOOKUP(AT12,L:M,2,FALSE))</f>
        <v>13.756921881703718</v>
      </c>
      <c r="AX12" s="21">
        <f>HLOOKUP($AX$9&amp;$AX$10,Data!$A$1:$ZZ$2000,(MATCH($C12,Data!$A$1:$A$2000,0)),FALSE)</f>
        <v>14.883829464061252</v>
      </c>
      <c r="AY12" s="103"/>
      <c r="AZ12" s="21"/>
    </row>
    <row r="13" spans="1:735">
      <c r="A13" s="56" t="str">
        <f>$D$1&amp;3</f>
        <v>SC3</v>
      </c>
      <c r="B13" s="57" t="str">
        <f>IF(ISERROR(VLOOKUP(A13,classifications!A:C,3,FALSE)),0,VLOOKUP(A13,classifications!A:C,3,FALSE))</f>
        <v>Devon</v>
      </c>
      <c r="C13" s="8" t="s">
        <v>7</v>
      </c>
      <c r="D13" s="26" t="str">
        <f>VLOOKUP($C13,classifications!$C:$J,4,FALSE)</f>
        <v>SD</v>
      </c>
      <c r="E13" s="26">
        <f>VLOOKUP(C13,classifications!C:K,9,FALSE)</f>
        <v>0</v>
      </c>
      <c r="F13" s="36">
        <f t="shared" si="0"/>
        <v>14.7481108972597</v>
      </c>
      <c r="G13" s="71"/>
      <c r="H13" s="37" t="str">
        <f t="shared" si="1"/>
        <v/>
      </c>
      <c r="I13" s="77" t="str">
        <f>IF(H13="","",IF($I$8="A",(RANK(H13,H$11:H$368,1)+COUNTIF(H$11:H13,H13)-1),(RANK(H13,H$11:H$368)+COUNTIF(H$11:H13,H13)-1)))</f>
        <v/>
      </c>
      <c r="J13" s="35"/>
      <c r="K13" s="28">
        <f t="shared" si="7"/>
        <v>3</v>
      </c>
      <c r="L13" s="36" t="str">
        <f t="shared" si="2"/>
        <v>Devon</v>
      </c>
      <c r="M13" s="102">
        <f>IF(L13="","",IF(VLOOKUP(L13,C:D,2,FALSE)=$F$3,VLOOKUP(L13,C:H,6,FALSE),""))</f>
        <v>20.569845842883787</v>
      </c>
      <c r="N13" s="101">
        <f>IF(L13="","",IF($H$8="%%",M13*100,M13))</f>
        <v>20.569845842883787</v>
      </c>
      <c r="O13" s="94">
        <f t="shared" si="8"/>
        <v>20.569845842883787</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t="str">
        <f>IF(L13="","",VLOOKUP(L13,classifications!C:K,9,FALSE))</f>
        <v>Sparse</v>
      </c>
      <c r="U13" s="183">
        <f t="shared" si="10"/>
        <v>20.569845842883787</v>
      </c>
      <c r="V13" s="184">
        <f>IF(U13="","",IF($I$8="A",(RANK(U13,U$11:U$368)+COUNTIF(U$11:U13,U13)-1),(RANK(U13,U$11:U$368,1)+COUNTIF(U$11:U13,U13)-1)))</f>
        <v>16</v>
      </c>
      <c r="W13" s="185"/>
      <c r="X13" s="38" t="str">
        <f>IF(L13="","",VLOOKUP($L13,classifications!$C:$J,6,FALSE))</f>
        <v>Predominantly Rural</v>
      </c>
      <c r="Y13" s="26" t="b">
        <f t="shared" si="3"/>
        <v>0</v>
      </c>
      <c r="Z13" s="34" t="e">
        <f>IF(Y13="","",IF(I$8="A",(RANK(Y13,Y$11:Y$368,1)+COUNTIF(Y$11:Y13,Y13)-1),(RANK(Y13,Y$11:Y$368)+COUNTIF(Y$11:Y13,Y13)-1)))</f>
        <v>#N/A</v>
      </c>
      <c r="AA13" s="188" t="str">
        <f>IF(L13="","",VLOOKUP($L13,classifications!C:I,7,FALSE))</f>
        <v>Predominantly Rural</v>
      </c>
      <c r="AB13" s="184">
        <f>IF(AA13=$J$3,M13,"")</f>
        <v>20.569845842883787</v>
      </c>
      <c r="AC13" s="184">
        <f>IF(AB13="","",IF($I$8="A",(RANK(AB13,AB$11:AB$368)+COUNTIF(AB$11:AB13,AB13)-1),(RANK(AB13,AB$11:AB$368,1)+COUNTIF(AB$11:AB13,AB13)-1)))</f>
        <v>8</v>
      </c>
      <c r="AD13" s="184"/>
      <c r="AE13" s="45">
        <f>IF(I$8="A",(RANK(AG13,AG$11:AG$368,1)+COUNTIF(AG$11:AG13,AG13)-1),(RANK(AG13,AG$11:AG$368)+COUNTIF(AG$11:AG13,AG13)-1))</f>
        <v>4</v>
      </c>
      <c r="AF13" s="1" t="str">
        <f>VLOOKUP(Profile!$J$5,Families!$C:$R,3,FALSE)</f>
        <v>North Yorkshire</v>
      </c>
      <c r="AG13" s="96">
        <f t="shared" si="12"/>
        <v>18.088342558486225</v>
      </c>
      <c r="AH13" s="46">
        <f t="shared" ref="AH13:AH26" si="21">AE13</f>
        <v>4</v>
      </c>
      <c r="AI13" s="38" t="str">
        <f>IF(L13="","",VLOOKUP($L13,classifications!$C:$J,8,FALSE))</f>
        <v>Devon</v>
      </c>
      <c r="AJ13" s="39" t="str">
        <f>IF(AI13=$I$3,M13,"")</f>
        <v/>
      </c>
      <c r="AK13" s="34" t="str">
        <f>IF(AJ13="","",IF(I$8="A",(RANK(AJ13,AJ$11:AJ$368,1)+COUNTIF(AJ$11:AJ13,AJ13)-1),(RANK(AJ13,AJ$11:AJ$368)+COUNTIF(AJ$11:AJ13,AJ13)-1)))</f>
        <v/>
      </c>
      <c r="AL13" s="29" t="str">
        <f t="shared" si="13"/>
        <v/>
      </c>
      <c r="AM13" s="8" t="str">
        <f t="shared" si="5"/>
        <v/>
      </c>
      <c r="AN13" s="8" t="str">
        <f t="shared" si="14"/>
        <v/>
      </c>
      <c r="AP13" s="38" t="str">
        <f>IF(L13="","",VLOOKUP($L13,classifications!$C:$E,3,FALSE))</f>
        <v>South West</v>
      </c>
      <c r="AQ13" s="39" t="str">
        <f t="shared" si="15"/>
        <v/>
      </c>
      <c r="AR13" s="34" t="str">
        <f>IF(AQ13="","",IF(I$8="A",(RANK(AQ13,AQ$11:AQ$368,1)+COUNTIF(AQ$11:AQ13,AQ13)-1),(RANK(AQ13,AQ$11:AQ$368)+COUNTIF(AQ$11:AQ13,AQ13)-1)))</f>
        <v/>
      </c>
      <c r="AS13" s="29" t="str">
        <f t="shared" si="16"/>
        <v/>
      </c>
      <c r="AT13" s="34" t="str">
        <f t="shared" si="6"/>
        <v/>
      </c>
      <c r="AU13" s="39" t="str">
        <f t="shared" si="17"/>
        <v/>
      </c>
      <c r="AX13" s="21">
        <f>HLOOKUP($AX$9&amp;$AX$10,Data!$A$1:$ZZ$2000,(MATCH($C13,Data!$A$1:$A$2000,0)),FALSE)</f>
        <v>14.7481108972597</v>
      </c>
      <c r="AY13" s="103"/>
      <c r="AZ13" s="21"/>
    </row>
    <row r="14" spans="1:735">
      <c r="A14" s="56" t="str">
        <f>$D$1&amp;4</f>
        <v>SC4</v>
      </c>
      <c r="B14" s="57" t="str">
        <f>IF(ISERROR(VLOOKUP(A14,classifications!A:C,3,FALSE)),0,VLOOKUP(A14,classifications!A:C,3,FALSE))</f>
        <v>East Sussex</v>
      </c>
      <c r="C14" s="8" t="s">
        <v>8</v>
      </c>
      <c r="D14" s="26" t="str">
        <f>VLOOKUP($C14,classifications!$C:$J,4,FALSE)</f>
        <v>SD</v>
      </c>
      <c r="E14" s="26">
        <f>VLOOKUP(C14,classifications!C:K,9,FALSE)</f>
        <v>0</v>
      </c>
      <c r="F14" s="36">
        <f t="shared" si="0"/>
        <v>20.42654230698858</v>
      </c>
      <c r="G14" s="71"/>
      <c r="H14" s="37" t="str">
        <f t="shared" si="1"/>
        <v/>
      </c>
      <c r="I14" s="77" t="str">
        <f>IF(H14="","",IF($I$8="A",(RANK(H14,H$11:H$368,1)+COUNTIF(H$11:H14,H14)-1),(RANK(H14,H$11:H$368)+COUNTIF(H$11:H14,H14)-1)))</f>
        <v/>
      </c>
      <c r="J14" s="35"/>
      <c r="K14" s="28">
        <f t="shared" si="7"/>
        <v>4</v>
      </c>
      <c r="L14" s="36" t="str">
        <f t="shared" si="2"/>
        <v>Surrey</v>
      </c>
      <c r="M14" s="102">
        <f t="shared" ref="M14:M75" si="22">IF(L14="","",IF(VLOOKUP(L14,C:D,2,FALSE)=$F$3,VLOOKUP(L14,C:H,6,FALSE),""))</f>
        <v>20.423132463684833</v>
      </c>
      <c r="N14" s="101">
        <f t="shared" ref="N14:N75" si="23">IF(L14="","",IF($H$8="%%",M14*100,M14))</f>
        <v>20.423132463684833</v>
      </c>
      <c r="O14" s="94">
        <f t="shared" si="8"/>
        <v>20.423132463684833</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Predominantly Urban</v>
      </c>
      <c r="Y14" s="26" t="b">
        <f t="shared" si="3"/>
        <v>0</v>
      </c>
      <c r="Z14" s="34" t="e">
        <f>IF(Y14="","",IF(I$8="A",(RANK(Y14,Y$11:Y$368,1)+COUNTIF(Y$11:Y14,Y14)-1),(RANK(Y14,Y$11:Y$368)+COUNTIF(Y$11:Y14,Y14)-1)))</f>
        <v>#N/A</v>
      </c>
      <c r="AA14" s="188" t="str">
        <f>IF(L14="","",VLOOKUP($L14,classifications!C:I,7,FALSE))</f>
        <v>Predominantly Urban</v>
      </c>
      <c r="AB14" s="184" t="str">
        <f t="shared" si="11"/>
        <v/>
      </c>
      <c r="AC14" s="184" t="str">
        <f>IF(AB14="","",IF($I$8="A",(RANK(AB14,AB$11:AB$368)+COUNTIF(AB$11:AB14,AB14)-1),(RANK(AB14,AB$11:AB$368,1)+COUNTIF(AB$11:AB14,AB14)-1)))</f>
        <v/>
      </c>
      <c r="AD14" s="184"/>
      <c r="AE14" s="45">
        <f>IF(I$8="A",(RANK(AG14,AG$11:AG$368,1)+COUNTIF(AG$11:AG14,AG14)-1),(RANK(AG14,AG$11:AG$368)+COUNTIF(AG$11:AG14,AG14)-1))</f>
        <v>8</v>
      </c>
      <c r="AF14" s="1" t="str">
        <f>VLOOKUP(Profile!$J$5,Families!$C:$R,4,FALSE)</f>
        <v>Lincolnshire</v>
      </c>
      <c r="AG14" s="96">
        <f t="shared" si="12"/>
        <v>16.036007901999703</v>
      </c>
      <c r="AH14" s="46">
        <f t="shared" si="21"/>
        <v>8</v>
      </c>
      <c r="AI14" s="38" t="str">
        <f>IF(L14="","",VLOOKUP($L14,classifications!$C:$J,8,FALSE))</f>
        <v>Surrey</v>
      </c>
      <c r="AJ14" s="39" t="str">
        <f t="shared" si="4"/>
        <v/>
      </c>
      <c r="AK14" s="34" t="str">
        <f>IF(AJ14="","",IF(I$8="A",(RANK(AJ14,AJ$11:AJ$368,1)+COUNTIF(AJ$11:AJ14,AJ14)-1),(RANK(AJ14,AJ$11:AJ$368)+COUNTIF(AJ$11:AJ14,AJ14)-1)))</f>
        <v/>
      </c>
      <c r="AL14" s="29" t="str">
        <f t="shared" si="13"/>
        <v/>
      </c>
      <c r="AM14" s="8" t="str">
        <f t="shared" si="5"/>
        <v/>
      </c>
      <c r="AN14" s="8" t="str">
        <f t="shared" si="14"/>
        <v/>
      </c>
      <c r="AP14" s="38" t="str">
        <f>IF(L14="","",VLOOKUP($L14,classifications!$C:$E,3,FALSE))</f>
        <v>South East</v>
      </c>
      <c r="AQ14" s="39" t="str">
        <f t="shared" si="15"/>
        <v/>
      </c>
      <c r="AR14" s="34" t="str">
        <f>IF(AQ14="","",IF(I$8="A",(RANK(AQ14,AQ$11:AQ$368,1)+COUNTIF(AQ$11:AQ14,AQ14)-1),(RANK(AQ14,AQ$11:AQ$368)+COUNTIF(AQ$11:AQ14,AQ14)-1)))</f>
        <v/>
      </c>
      <c r="AS14" s="29" t="str">
        <f t="shared" si="16"/>
        <v/>
      </c>
      <c r="AT14" s="34" t="str">
        <f t="shared" si="6"/>
        <v/>
      </c>
      <c r="AU14" s="39" t="str">
        <f t="shared" si="17"/>
        <v/>
      </c>
      <c r="AX14" s="21">
        <f>HLOOKUP($AX$9&amp;$AX$10,Data!$A$1:$ZZ$2000,(MATCH($C14,Data!$A$1:$A$2000,0)),FALSE)</f>
        <v>20.42654230698858</v>
      </c>
      <c r="AY14" s="103"/>
      <c r="AZ14" s="21"/>
    </row>
    <row r="15" spans="1:735">
      <c r="A15" s="56" t="str">
        <f>$D$1&amp;5</f>
        <v>SC5</v>
      </c>
      <c r="B15" s="57" t="str">
        <f>IF(ISERROR(VLOOKUP(A15,classifications!A:C,3,FALSE)),0,VLOOKUP(A15,classifications!A:C,3,FALSE))</f>
        <v>Essex</v>
      </c>
      <c r="C15" s="8" t="s">
        <v>9</v>
      </c>
      <c r="D15" s="26" t="str">
        <f>VLOOKUP($C15,classifications!$C:$J,4,FALSE)</f>
        <v>SD</v>
      </c>
      <c r="E15" s="26">
        <f>VLOOKUP(C15,classifications!C:K,9,FALSE)</f>
        <v>0</v>
      </c>
      <c r="F15" s="36">
        <f t="shared" si="0"/>
        <v>14.192870702068689</v>
      </c>
      <c r="G15" s="71"/>
      <c r="H15" s="37" t="str">
        <f t="shared" si="1"/>
        <v/>
      </c>
      <c r="I15" s="77" t="str">
        <f>IF(H15="","",IF($I$8="A",(RANK(H15,H$11:H$368,1)+COUNTIF(H$11:H15,H15)-1),(RANK(H15,H$11:H$368)+COUNTIF(H$11:H15,H15)-1)))</f>
        <v/>
      </c>
      <c r="J15" s="35"/>
      <c r="K15" s="28">
        <f t="shared" si="7"/>
        <v>5</v>
      </c>
      <c r="L15" s="36" t="str">
        <f t="shared" si="2"/>
        <v>Norfolk</v>
      </c>
      <c r="M15" s="102">
        <f t="shared" si="22"/>
        <v>19.776634494001861</v>
      </c>
      <c r="N15" s="101">
        <f t="shared" si="23"/>
        <v>19.776634494001861</v>
      </c>
      <c r="O15" s="94">
        <f t="shared" si="8"/>
        <v>19.776634494001861</v>
      </c>
      <c r="P15" s="94" t="str">
        <f t="shared" si="18"/>
        <v/>
      </c>
      <c r="Q15" s="94" t="str">
        <f t="shared" si="19"/>
        <v/>
      </c>
      <c r="R15" s="90" t="str">
        <f t="shared" si="20"/>
        <v/>
      </c>
      <c r="S15" s="37" t="str">
        <f t="shared" si="9"/>
        <v/>
      </c>
      <c r="T15" s="176" t="str">
        <f>IF(L15="","",VLOOKUP(L15,classifications!C:K,9,FALSE))</f>
        <v>Sparse</v>
      </c>
      <c r="U15" s="183">
        <f t="shared" si="10"/>
        <v>19.776634494001861</v>
      </c>
      <c r="V15" s="184">
        <f>IF(U15="","",IF($I$8="A",(RANK(U15,U$11:U$368)+COUNTIF(U$11:U15,U15)-1),(RANK(U15,U$11:U$368,1)+COUNTIF(U$11:U15,U15)-1)))</f>
        <v>15</v>
      </c>
      <c r="W15" s="185"/>
      <c r="X15" s="38" t="str">
        <f>IF(L15="","",VLOOKUP($L15,classifications!$C:$J,6,FALSE))</f>
        <v>Predominantly Rural</v>
      </c>
      <c r="Y15" s="26" t="b">
        <f t="shared" si="3"/>
        <v>0</v>
      </c>
      <c r="Z15" s="34" t="e">
        <f>IF(Y15="","",IF(I$8="A",(RANK(Y15,Y$11:Y$368,1)+COUNTIF(Y$11:Y15,Y15)-1),(RANK(Y15,Y$11:Y$368)+COUNTIF(Y$11:Y15,Y15)-1)))</f>
        <v>#N/A</v>
      </c>
      <c r="AA15" s="188" t="str">
        <f>IF(L15="","",VLOOKUP($L15,classifications!C:I,7,FALSE))</f>
        <v>Predominantly Rural</v>
      </c>
      <c r="AB15" s="184">
        <f t="shared" si="11"/>
        <v>19.776634494001861</v>
      </c>
      <c r="AC15" s="184">
        <f>IF(AB15="","",IF($I$8="A",(RANK(AB15,AB$11:AB$368)+COUNTIF(AB$11:AB15,AB15)-1),(RANK(AB15,AB$11:AB$368,1)+COUNTIF(AB$11:AB15,AB15)-1)))</f>
        <v>7</v>
      </c>
      <c r="AD15" s="184"/>
      <c r="AE15" s="45">
        <f>IF(I$8="A",(RANK(AG15,AG$11:AG$368,1)+COUNTIF(AG$11:AG15,AG15)-1),(RANK(AG15,AG$11:AG$368)+COUNTIF(AG$11:AG15,AG15)-1))</f>
        <v>15</v>
      </c>
      <c r="AF15" s="1" t="str">
        <f>VLOOKUP(Profile!$J$5,Families!$C:$R,5,FALSE)</f>
        <v>Staffordshire</v>
      </c>
      <c r="AG15" s="96">
        <f t="shared" si="12"/>
        <v>13.005470928067698</v>
      </c>
      <c r="AH15" s="46">
        <f t="shared" si="21"/>
        <v>15</v>
      </c>
      <c r="AI15" s="38" t="str">
        <f>IF(L15="","",VLOOKUP($L15,classifications!$C:$J,8,FALSE))</f>
        <v>Norfolk</v>
      </c>
      <c r="AJ15" s="39" t="str">
        <f t="shared" si="4"/>
        <v/>
      </c>
      <c r="AK15" s="34" t="str">
        <f>IF(AJ15="","",IF(I$8="A",(RANK(AJ15,AJ$11:AJ$368,1)+COUNTIF(AJ$11:AJ15,AJ15)-1),(RANK(AJ15,AJ$11:AJ$368)+COUNTIF(AJ$11:AJ15,AJ15)-1)))</f>
        <v/>
      </c>
      <c r="AL15" s="29" t="str">
        <f t="shared" si="13"/>
        <v/>
      </c>
      <c r="AM15" s="8" t="str">
        <f t="shared" si="5"/>
        <v/>
      </c>
      <c r="AN15" s="8" t="str">
        <f t="shared" si="14"/>
        <v/>
      </c>
      <c r="AP15" s="38" t="str">
        <f>IF(L15="","",VLOOKUP($L15,classifications!$C:$E,3,FALSE))</f>
        <v>East of England</v>
      </c>
      <c r="AQ15" s="39" t="str">
        <f t="shared" si="15"/>
        <v/>
      </c>
      <c r="AR15" s="34" t="str">
        <f>IF(AQ15="","",IF(I$8="A",(RANK(AQ15,AQ$11:AQ$368,1)+COUNTIF(AQ$11:AQ15,AQ15)-1),(RANK(AQ15,AQ$11:AQ$368)+COUNTIF(AQ$11:AQ15,AQ15)-1)))</f>
        <v/>
      </c>
      <c r="AS15" s="29" t="str">
        <f t="shared" si="16"/>
        <v/>
      </c>
      <c r="AT15" s="34" t="str">
        <f t="shared" si="6"/>
        <v/>
      </c>
      <c r="AU15" s="39" t="str">
        <f t="shared" si="17"/>
        <v/>
      </c>
      <c r="AX15" s="21">
        <f>HLOOKUP($AX$9&amp;$AX$10,Data!$A$1:$ZZ$2000,(MATCH($C15,Data!$A$1:$A$2000,0)),FALSE)</f>
        <v>14.192870702068689</v>
      </c>
      <c r="AY15" s="103"/>
      <c r="AZ15" s="21"/>
    </row>
    <row r="16" spans="1:735">
      <c r="A16" s="56" t="str">
        <f>$D$1&amp;6</f>
        <v>SC6</v>
      </c>
      <c r="B16" s="57" t="str">
        <f>IF(ISERROR(VLOOKUP(A16,classifications!A:C,3,FALSE)),0,VLOOKUP(A16,classifications!A:C,3,FALSE))</f>
        <v>Hampshire</v>
      </c>
      <c r="C16" s="8" t="s">
        <v>10</v>
      </c>
      <c r="D16" s="26" t="str">
        <f>VLOOKUP($C16,classifications!$C:$J,4,FALSE)</f>
        <v>SD</v>
      </c>
      <c r="E16" s="26" t="str">
        <f>VLOOKUP(C16,classifications!C:K,9,FALSE)</f>
        <v>Sparse</v>
      </c>
      <c r="F16" s="36">
        <f t="shared" si="0"/>
        <v>17.022345995580352</v>
      </c>
      <c r="G16" s="71"/>
      <c r="H16" s="37" t="str">
        <f t="shared" si="1"/>
        <v/>
      </c>
      <c r="I16" s="77" t="str">
        <f>IF(H16="","",IF($I$8="A",(RANK(H16,H$11:H$368,1)+COUNTIF(H$11:H16,H16)-1),(RANK(H16,H$11:H$368)+COUNTIF(H$11:H16,H16)-1)))</f>
        <v/>
      </c>
      <c r="J16" s="35"/>
      <c r="K16" s="28">
        <f t="shared" si="7"/>
        <v>6</v>
      </c>
      <c r="L16" s="36" t="str">
        <f t="shared" si="2"/>
        <v>Suffolk</v>
      </c>
      <c r="M16" s="102">
        <f t="shared" si="22"/>
        <v>19.764917133210222</v>
      </c>
      <c r="N16" s="101">
        <f t="shared" si="23"/>
        <v>19.764917133210222</v>
      </c>
      <c r="O16" s="94">
        <f t="shared" si="8"/>
        <v>19.764917133210222</v>
      </c>
      <c r="P16" s="94" t="str">
        <f t="shared" si="18"/>
        <v/>
      </c>
      <c r="Q16" s="94" t="str">
        <f t="shared" si="19"/>
        <v/>
      </c>
      <c r="R16" s="90" t="str">
        <f t="shared" si="20"/>
        <v/>
      </c>
      <c r="S16" s="37" t="str">
        <f t="shared" si="9"/>
        <v/>
      </c>
      <c r="T16" s="176" t="str">
        <f>IF(L16="","",VLOOKUP(L16,classifications!C:K,9,FALSE))</f>
        <v>Sparse</v>
      </c>
      <c r="U16" s="183">
        <f t="shared" si="10"/>
        <v>19.764917133210222</v>
      </c>
      <c r="V16" s="184">
        <f>IF(U16="","",IF($I$8="A",(RANK(U16,U$11:U$368)+COUNTIF(U$11:U16,U16)-1),(RANK(U16,U$11:U$368,1)+COUNTIF(U$11:U16,U16)-1)))</f>
        <v>14</v>
      </c>
      <c r="W16" s="185"/>
      <c r="X16" s="38" t="str">
        <f>IF(L16="","",VLOOKUP($L16,classifications!$C:$J,6,FALSE))</f>
        <v>Predominantly Rural</v>
      </c>
      <c r="Y16" s="26" t="b">
        <f t="shared" si="3"/>
        <v>0</v>
      </c>
      <c r="Z16" s="34" t="e">
        <f>IF(Y16="","",IF(I$8="A",(RANK(Y16,Y$11:Y$368,1)+COUNTIF(Y$11:Y16,Y16)-1),(RANK(Y16,Y$11:Y$368)+COUNTIF(Y$11:Y16,Y16)-1)))</f>
        <v>#N/A</v>
      </c>
      <c r="AA16" s="188" t="str">
        <f>IF(L16="","",VLOOKUP($L16,classifications!C:I,7,FALSE))</f>
        <v>Predominantly Rural</v>
      </c>
      <c r="AB16" s="184">
        <f t="shared" si="11"/>
        <v>19.764917133210222</v>
      </c>
      <c r="AC16" s="184">
        <f>IF(AB16="","",IF($I$8="A",(RANK(AB16,AB$11:AB$368)+COUNTIF(AB$11:AB16,AB16)-1),(RANK(AB16,AB$11:AB$368,1)+COUNTIF(AB$11:AB16,AB16)-1)))</f>
        <v>6</v>
      </c>
      <c r="AD16" s="184"/>
      <c r="AE16" s="45">
        <f>IF(I$8="A",(RANK(AG16,AG$11:AG$368,1)+COUNTIF(AG$11:AG16,AG16)-1),(RANK(AG16,AG$11:AG$368)+COUNTIF(AG$11:AG16,AG16)-1))</f>
        <v>7</v>
      </c>
      <c r="AF16" s="1" t="str">
        <f>VLOOKUP(Profile!$J$5,Families!$C:$R,6,FALSE)</f>
        <v>Nottinghamshire</v>
      </c>
      <c r="AG16" s="96">
        <f t="shared" si="12"/>
        <v>16.292922014594303</v>
      </c>
      <c r="AH16" s="46">
        <f t="shared" si="21"/>
        <v>7</v>
      </c>
      <c r="AI16" s="38" t="str">
        <f>IF(L16="","",VLOOKUP($L16,classifications!$C:$J,8,FALSE))</f>
        <v>Suffolk</v>
      </c>
      <c r="AJ16" s="39" t="str">
        <f t="shared" si="4"/>
        <v/>
      </c>
      <c r="AK16" s="34" t="str">
        <f>IF(AJ16="","",IF(I$8="A",(RANK(AJ16,AJ$11:AJ$368,1)+COUNTIF(AJ$11:AJ16,AJ16)-1),(RANK(AJ16,AJ$11:AJ$368)+COUNTIF(AJ$11:AJ16,AJ16)-1)))</f>
        <v/>
      </c>
      <c r="AL16" s="29" t="str">
        <f t="shared" si="13"/>
        <v/>
      </c>
      <c r="AM16" s="8" t="str">
        <f t="shared" si="5"/>
        <v/>
      </c>
      <c r="AN16" s="8" t="str">
        <f t="shared" si="14"/>
        <v/>
      </c>
      <c r="AP16" s="38" t="str">
        <f>IF(L16="","",VLOOKUP($L16,classifications!$C:$E,3,FALSE))</f>
        <v>East of England</v>
      </c>
      <c r="AQ16" s="39" t="str">
        <f t="shared" si="15"/>
        <v/>
      </c>
      <c r="AR16" s="34" t="str">
        <f>IF(AQ16="","",IF(I$8="A",(RANK(AQ16,AQ$11:AQ$368,1)+COUNTIF(AQ$11:AQ16,AQ16)-1),(RANK(AQ16,AQ$11:AQ$368)+COUNTIF(AQ$11:AQ16,AQ16)-1)))</f>
        <v/>
      </c>
      <c r="AS16" s="29" t="str">
        <f t="shared" si="16"/>
        <v/>
      </c>
      <c r="AT16" s="34" t="str">
        <f t="shared" si="6"/>
        <v/>
      </c>
      <c r="AU16" s="39" t="str">
        <f t="shared" si="17"/>
        <v/>
      </c>
      <c r="AX16" s="21">
        <f>HLOOKUP($AX$9&amp;$AX$10,Data!$A$1:$ZZ$2000,(MATCH($C16,Data!$A$1:$A$2000,0)),FALSE)</f>
        <v>17.022345995580352</v>
      </c>
      <c r="AY16" s="103"/>
      <c r="AZ16" s="21"/>
    </row>
    <row r="17" spans="1:52">
      <c r="A17" s="56" t="str">
        <f>$D$1&amp;7</f>
        <v>SC7</v>
      </c>
      <c r="B17" s="57" t="str">
        <f>IF(ISERROR(VLOOKUP(A17,classifications!A:C,3,FALSE)),0,VLOOKUP(A17,classifications!A:C,3,FALSE))</f>
        <v>Lancashire</v>
      </c>
      <c r="C17" s="8" t="s">
        <v>11</v>
      </c>
      <c r="D17" s="26" t="str">
        <f>VLOOKUP($C17,classifications!$C:$J,4,FALSE)</f>
        <v>SD</v>
      </c>
      <c r="E17" s="26">
        <f>VLOOKUP(C17,classifications!C:K,9,FALSE)</f>
        <v>0</v>
      </c>
      <c r="F17" s="36">
        <f t="shared" si="0"/>
        <v>16.622485099938665</v>
      </c>
      <c r="G17" s="71"/>
      <c r="H17" s="37" t="str">
        <f t="shared" si="1"/>
        <v/>
      </c>
      <c r="I17" s="77" t="str">
        <f>IF(H17="","",IF($I$8="A",(RANK(H17,H$11:H$368,1)+COUNTIF(H$11:H17,H17)-1),(RANK(H17,H$11:H$368)+COUNTIF(H$11:H17,H17)-1)))</f>
        <v/>
      </c>
      <c r="J17" s="35"/>
      <c r="K17" s="28">
        <f t="shared" si="7"/>
        <v>7</v>
      </c>
      <c r="L17" s="36" t="str">
        <f t="shared" si="2"/>
        <v>Hampshire</v>
      </c>
      <c r="M17" s="102">
        <f t="shared" si="22"/>
        <v>18.924173536281611</v>
      </c>
      <c r="N17" s="101">
        <f t="shared" si="23"/>
        <v>18.924173536281611</v>
      </c>
      <c r="O17" s="94">
        <f t="shared" si="8"/>
        <v>18.924173536281611</v>
      </c>
      <c r="P17" s="94" t="str">
        <f t="shared" si="18"/>
        <v/>
      </c>
      <c r="Q17" s="94" t="str">
        <f t="shared" si="19"/>
        <v/>
      </c>
      <c r="R17" s="90" t="str">
        <f t="shared" si="20"/>
        <v/>
      </c>
      <c r="S17" s="37" t="str">
        <f t="shared" si="9"/>
        <v/>
      </c>
      <c r="T17" s="176" t="str">
        <f>IF(L17="","",VLOOKUP(L17,classifications!C:K,9,FALSE))</f>
        <v>Sparse</v>
      </c>
      <c r="U17" s="183">
        <f t="shared" si="10"/>
        <v>18.924173536281611</v>
      </c>
      <c r="V17" s="184">
        <f>IF(U17="","",IF($I$8="A",(RANK(U17,U$11:U$368)+COUNTIF(U$11:U17,U17)-1),(RANK(U17,U$11:U$368,1)+COUNTIF(U$11:U17,U17)-1)))</f>
        <v>13</v>
      </c>
      <c r="W17" s="185"/>
      <c r="X17" s="38" t="str">
        <f>IF(L17="","",VLOOKUP($L17,classifications!$C:$J,6,FALSE))</f>
        <v>Significant Rural</v>
      </c>
      <c r="Y17" s="26" t="b">
        <f t="shared" si="3"/>
        <v>0</v>
      </c>
      <c r="Z17" s="34" t="e">
        <f>IF(Y17="","",IF(I$8="A",(RANK(Y17,Y$11:Y$368,1)+COUNTIF(Y$11:Y17,Y17)-1),(RANK(Y17,Y$11:Y$368)+COUNTIF(Y$11:Y17,Y17)-1)))</f>
        <v>#N/A</v>
      </c>
      <c r="AA17" s="188" t="str">
        <f>IF(L17="","",VLOOKUP($L17,classifications!C:I,7,FALSE))</f>
        <v>Significant Rural</v>
      </c>
      <c r="AB17" s="184" t="str">
        <f t="shared" si="11"/>
        <v/>
      </c>
      <c r="AC17" s="184" t="str">
        <f>IF(AB17="","",IF($I$8="A",(RANK(AB17,AB$11:AB$368)+COUNTIF(AB$11:AB17,AB17)-1),(RANK(AB17,AB$11:AB$368,1)+COUNTIF(AB$11:AB17,AB17)-1)))</f>
        <v/>
      </c>
      <c r="AD17" s="184"/>
      <c r="AE17" s="45">
        <f>IF(I$8="A",(RANK(AG17,AG$11:AG$368,1)+COUNTIF(AG$11:AG17,AG17)-1),(RANK(AG17,AG$11:AG$368)+COUNTIF(AG$11:AG17,AG17)-1))</f>
        <v>3</v>
      </c>
      <c r="AF17" s="1" t="str">
        <f>VLOOKUP(Profile!$J$5,Families!$C:$R,7,FALSE)</f>
        <v>Suffolk</v>
      </c>
      <c r="AG17" s="96">
        <f t="shared" si="12"/>
        <v>19.764917133210222</v>
      </c>
      <c r="AH17" s="46">
        <f t="shared" si="21"/>
        <v>3</v>
      </c>
      <c r="AI17" s="38" t="str">
        <f>IF(L17="","",VLOOKUP($L17,classifications!$C:$J,8,FALSE))</f>
        <v>Hampshire</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South East</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16.622485099938665</v>
      </c>
      <c r="AY17" s="103"/>
      <c r="AZ17" s="21"/>
    </row>
    <row r="18" spans="1:52">
      <c r="A18" s="56" t="str">
        <f>$D$1&amp;8</f>
        <v>SC8</v>
      </c>
      <c r="B18" s="57" t="str">
        <f>IF(ISERROR(VLOOKUP(A18,classifications!A:C,3,FALSE)),0,VLOOKUP(A18,classifications!A:C,3,FALSE))</f>
        <v>Leicestershire</v>
      </c>
      <c r="C18" s="8" t="s">
        <v>12</v>
      </c>
      <c r="D18" s="26" t="str">
        <f>VLOOKUP($C18,classifications!$C:$J,4,FALSE)</f>
        <v>SD</v>
      </c>
      <c r="E18" s="26" t="str">
        <f>VLOOKUP(C18,classifications!C:K,9,FALSE)</f>
        <v>Sparse</v>
      </c>
      <c r="F18" s="36">
        <f t="shared" si="0"/>
        <v>17.86524032826561</v>
      </c>
      <c r="G18" s="71"/>
      <c r="H18" s="37" t="str">
        <f t="shared" si="1"/>
        <v/>
      </c>
      <c r="I18" s="77" t="str">
        <f>IF(H18="","",IF($I$8="A",(RANK(H18,H$11:H$368,1)+COUNTIF(H$11:H18,H18)-1),(RANK(H18,H$11:H$368)+COUNTIF(H$11:H18,H18)-1)))</f>
        <v/>
      </c>
      <c r="J18" s="35"/>
      <c r="K18" s="28">
        <f t="shared" si="7"/>
        <v>8</v>
      </c>
      <c r="L18" s="36" t="str">
        <f t="shared" si="2"/>
        <v>West Sussex</v>
      </c>
      <c r="M18" s="102">
        <f t="shared" si="22"/>
        <v>18.584095297011689</v>
      </c>
      <c r="N18" s="101">
        <f t="shared" si="23"/>
        <v>18.584095297011689</v>
      </c>
      <c r="O18" s="94" t="str">
        <f t="shared" si="8"/>
        <v/>
      </c>
      <c r="P18" s="94">
        <f t="shared" si="18"/>
        <v>18.584095297011689</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Significant Rural</v>
      </c>
      <c r="Y18" s="26" t="b">
        <f t="shared" si="3"/>
        <v>0</v>
      </c>
      <c r="Z18" s="34" t="e">
        <f>IF(Y18="","",IF(I$8="A",(RANK(Y18,Y$11:Y$368,1)+COUNTIF(Y$11:Y18,Y18)-1),(RANK(Y18,Y$11:Y$368)+COUNTIF(Y$11:Y18,Y18)-1)))</f>
        <v>#N/A</v>
      </c>
      <c r="AA18" s="188" t="str">
        <f>IF(L18="","",VLOOKUP($L18,classifications!C:I,7,FALSE))</f>
        <v>Significant Rural</v>
      </c>
      <c r="AB18" s="184" t="str">
        <f t="shared" si="11"/>
        <v/>
      </c>
      <c r="AC18" s="184" t="str">
        <f>IF(AB18="","",IF($I$8="A",(RANK(AB18,AB$11:AB$368)+COUNTIF(AB$11:AB18,AB18)-1),(RANK(AB18,AB$11:AB$368,1)+COUNTIF(AB$11:AB18,AB18)-1)))</f>
        <v/>
      </c>
      <c r="AD18" s="184"/>
      <c r="AE18" s="45">
        <f>IF(I$8="A",(RANK(AG18,AG$11:AG$368,1)+COUNTIF(AG$11:AG18,AG18)-1),(RANK(AG18,AG$11:AG$368)+COUNTIF(AG$11:AG18,AG18)-1))</f>
        <v>12</v>
      </c>
      <c r="AF18" s="1" t="str">
        <f>VLOOKUP(Profile!$J$5,Families!$C:$R,8,FALSE)</f>
        <v>Worcestershire</v>
      </c>
      <c r="AG18" s="96">
        <f t="shared" si="12"/>
        <v>14.778256892169054</v>
      </c>
      <c r="AH18" s="46">
        <f t="shared" si="21"/>
        <v>12</v>
      </c>
      <c r="AI18" s="38" t="str">
        <f>IF(L18="","",VLOOKUP($L18,classifications!$C:$J,8,FALSE))</f>
        <v>West Sussex</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17.86524032826561</v>
      </c>
      <c r="AY18" s="103"/>
      <c r="AZ18" s="21"/>
    </row>
    <row r="19" spans="1:52">
      <c r="A19" s="56" t="str">
        <f>$D$1&amp;9</f>
        <v>SC9</v>
      </c>
      <c r="B19" s="57" t="str">
        <f>IF(ISERROR(VLOOKUP(A19,classifications!A:C,3,FALSE)),0,VLOOKUP(A19,classifications!A:C,3,FALSE))</f>
        <v>Lincolnshire</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North Yorkshire</v>
      </c>
      <c r="M19" s="102">
        <f t="shared" si="22"/>
        <v>18.088342558486225</v>
      </c>
      <c r="N19" s="101">
        <f t="shared" si="23"/>
        <v>18.088342558486225</v>
      </c>
      <c r="O19" s="94" t="str">
        <f t="shared" si="8"/>
        <v/>
      </c>
      <c r="P19" s="94">
        <f t="shared" si="18"/>
        <v>18.088342558486225</v>
      </c>
      <c r="Q19" s="94" t="str">
        <f t="shared" si="19"/>
        <v/>
      </c>
      <c r="R19" s="90" t="str">
        <f t="shared" si="20"/>
        <v/>
      </c>
      <c r="S19" s="37" t="str">
        <f t="shared" si="9"/>
        <v/>
      </c>
      <c r="T19" s="176" t="str">
        <f>IF(L19="","",VLOOKUP(L19,classifications!C:K,9,FALSE))</f>
        <v>Sparse</v>
      </c>
      <c r="U19" s="183">
        <f t="shared" si="10"/>
        <v>18.088342558486225</v>
      </c>
      <c r="V19" s="184">
        <f>IF(U19="","",IF($I$8="A",(RANK(U19,U$11:U$368)+COUNTIF(U$11:U19,U19)-1),(RANK(U19,U$11:U$368,1)+COUNTIF(U$11:U19,U19)-1)))</f>
        <v>12</v>
      </c>
      <c r="W19" s="185"/>
      <c r="X19" s="38" t="str">
        <f>IF(L19="","",VLOOKUP($L19,classifications!$C:$J,6,FALSE))</f>
        <v>Predominantly Rural</v>
      </c>
      <c r="Y19" s="26" t="b">
        <f t="shared" si="3"/>
        <v>0</v>
      </c>
      <c r="Z19" s="34" t="e">
        <f>IF(Y19="","",IF(I$8="A",(RANK(Y19,Y$11:Y$368,1)+COUNTIF(Y$11:Y19,Y19)-1),(RANK(Y19,Y$11:Y$368)+COUNTIF(Y$11:Y19,Y19)-1)))</f>
        <v>#N/A</v>
      </c>
      <c r="AA19" s="188" t="str">
        <f>IF(L19="","",VLOOKUP($L19,classifications!C:I,7,FALSE))</f>
        <v>Predominantly Rural</v>
      </c>
      <c r="AB19" s="184">
        <f t="shared" si="11"/>
        <v>18.088342558486225</v>
      </c>
      <c r="AC19" s="184">
        <f>IF(AB19="","",IF($I$8="A",(RANK(AB19,AB$11:AB$368)+COUNTIF(AB$11:AB19,AB19)-1),(RANK(AB19,AB$11:AB$368,1)+COUNTIF(AB$11:AB19,AB19)-1)))</f>
        <v>5</v>
      </c>
      <c r="AD19" s="184"/>
      <c r="AE19" s="45">
        <f>IF(I$8="A",(RANK(AG19,AG$11:AG$368,1)+COUNTIF(AG$11:AG19,AG19)-1),(RANK(AG19,AG$11:AG$368)+COUNTIF(AG$11:AG19,AG19)-1))</f>
        <v>2</v>
      </c>
      <c r="AF19" s="1" t="str">
        <f>VLOOKUP(Profile!$J$5,Families!$C:$R,9,FALSE)</f>
        <v>Norfolk</v>
      </c>
      <c r="AG19" s="96">
        <f t="shared" si="12"/>
        <v>19.776634494001861</v>
      </c>
      <c r="AH19" s="46">
        <f t="shared" si="21"/>
        <v>2</v>
      </c>
      <c r="AI19" s="38" t="str">
        <f>IF(L19="","",VLOOKUP($L19,classifications!$C:$J,8,FALSE))</f>
        <v>North Yorkshire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Yorkshire &amp; Humberside</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4.8311902623852436</v>
      </c>
      <c r="AY19" s="103"/>
      <c r="AZ19" s="21"/>
    </row>
    <row r="20" spans="1:52">
      <c r="A20" s="56" t="str">
        <f>$D$1&amp;10</f>
        <v>SC10</v>
      </c>
      <c r="B20" s="57" t="str">
        <f>IF(ISERROR(VLOOKUP(A20,classifications!A:C,3,FALSE)),0,VLOOKUP(A20,classifications!A:C,3,FALSE))</f>
        <v>Norfolk</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Somerset</v>
      </c>
      <c r="M20" s="102">
        <f t="shared" si="22"/>
        <v>18.082494954980437</v>
      </c>
      <c r="N20" s="101">
        <f t="shared" si="23"/>
        <v>18.082494954980437</v>
      </c>
      <c r="O20" s="94" t="str">
        <f t="shared" si="8"/>
        <v/>
      </c>
      <c r="P20" s="94">
        <f t="shared" si="18"/>
        <v>18.082494954980437</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Predominantly Rural</v>
      </c>
      <c r="Y20" s="26" t="b">
        <f t="shared" si="3"/>
        <v>0</v>
      </c>
      <c r="Z20" s="34" t="e">
        <f>IF(Y20="","",IF(I$8="A",(RANK(Y20,Y$11:Y$368,1)+COUNTIF(Y$11:Y20,Y20)-1),(RANK(Y20,Y$11:Y$368)+COUNTIF(Y$11:Y20,Y20)-1)))</f>
        <v>#N/A</v>
      </c>
      <c r="AA20" s="188" t="str">
        <f>IF(L20="","",VLOOKUP($L20,classifications!C:I,7,FALSE))</f>
        <v>Predominantly Rural</v>
      </c>
      <c r="AB20" s="184">
        <f t="shared" si="11"/>
        <v>18.082494954980437</v>
      </c>
      <c r="AC20" s="184">
        <f>IF(AB20="","",IF($I$8="A",(RANK(AB20,AB$11:AB$368)+COUNTIF(AB$11:AB20,AB20)-1),(RANK(AB20,AB$11:AB$368,1)+COUNTIF(AB$11:AB20,AB20)-1)))</f>
        <v>4</v>
      </c>
      <c r="AD20" s="184"/>
      <c r="AE20" s="45">
        <f>IF(I$8="A",(RANK(AG20,AG$11:AG$368,1)+COUNTIF(AG$11:AG20,AG20)-1),(RANK(AG20,AG$11:AG$368)+COUNTIF(AG$11:AG20,AG20)-1))</f>
        <v>5</v>
      </c>
      <c r="AF20" s="1" t="str">
        <f>VLOOKUP(Profile!$J$5,Families!$C:$R,10,FALSE)</f>
        <v>Somerset</v>
      </c>
      <c r="AG20" s="96">
        <f t="shared" si="12"/>
        <v>18.082494954980437</v>
      </c>
      <c r="AH20" s="46">
        <f t="shared" si="21"/>
        <v>5</v>
      </c>
      <c r="AI20" s="38" t="str">
        <f>IF(L20="","",VLOOKUP($L20,classifications!$C:$J,8,FALSE))</f>
        <v>Somerset</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West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12.665502192503645</v>
      </c>
      <c r="AY20" s="103"/>
      <c r="AZ20" s="21"/>
    </row>
    <row r="21" spans="1:52">
      <c r="A21" s="56" t="str">
        <f>$D$1&amp;11</f>
        <v>SC11</v>
      </c>
      <c r="B21" s="57" t="str">
        <f>IF(ISERROR(VLOOKUP(A21,classifications!A:C,3,FALSE)),0,VLOOKUP(A21,classifications!A:C,3,FALSE))</f>
        <v>North Yorkshire</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Buckinghamshire</v>
      </c>
      <c r="M21" s="102">
        <f t="shared" si="22"/>
        <v>17.595316909409966</v>
      </c>
      <c r="N21" s="101">
        <f t="shared" si="23"/>
        <v>17.595316909409966</v>
      </c>
      <c r="O21" s="94" t="str">
        <f t="shared" si="8"/>
        <v/>
      </c>
      <c r="P21" s="94">
        <f t="shared" si="18"/>
        <v>17.595316909409966</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Significant Rural</v>
      </c>
      <c r="Y21" s="26" t="b">
        <f t="shared" si="3"/>
        <v>0</v>
      </c>
      <c r="Z21" s="34" t="e">
        <f>IF(Y21="","",IF(I$8="A",(RANK(Y21,Y$11:Y$368,1)+COUNTIF(Y$11:Y21,Y21)-1),(RANK(Y21,Y$11:Y$368)+COUNTIF(Y$11:Y21,Y21)-1)))</f>
        <v>#N/A</v>
      </c>
      <c r="AA21" s="188" t="str">
        <f>IF(L21="","",VLOOKUP($L21,classifications!C:I,7,FALSE))</f>
        <v>Significant Rural</v>
      </c>
      <c r="AB21" s="184" t="str">
        <f t="shared" si="11"/>
        <v/>
      </c>
      <c r="AC21" s="184" t="str">
        <f>IF(AB21="","",IF($I$8="A",(RANK(AB21,AB$11:AB$368)+COUNTIF(AB$11:AB21,AB21)-1),(RANK(AB21,AB$11:AB$368,1)+COUNTIF(AB$11:AB21,AB21)-1)))</f>
        <v/>
      </c>
      <c r="AD21" s="184"/>
      <c r="AE21" s="45">
        <f>IF(I$8="A",(RANK(AG21,AG$11:AG$368,1)+COUNTIF(AG$11:AG21,AG21)-1),(RANK(AG21,AG$11:AG$368)+COUNTIF(AG$11:AG21,AG21)-1))</f>
        <v>10</v>
      </c>
      <c r="AF21" s="1" t="str">
        <f>VLOOKUP(Profile!$J$5,Families!$C:$R,11,FALSE)</f>
        <v>Warwickshire</v>
      </c>
      <c r="AG21" s="96">
        <f t="shared" si="12"/>
        <v>15.712468668373536</v>
      </c>
      <c r="AH21" s="46">
        <f t="shared" si="21"/>
        <v>10</v>
      </c>
      <c r="AI21" s="38" t="str">
        <f>IF(L21="","",VLOOKUP($L21,classifications!$C:$J,8,FALSE))</f>
        <v>Buckinghamshire</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East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9.6213347116322421</v>
      </c>
      <c r="AY21" s="103"/>
      <c r="AZ21" s="21"/>
    </row>
    <row r="22" spans="1:52">
      <c r="A22" s="56" t="str">
        <f>$D$1&amp;12</f>
        <v>SC12</v>
      </c>
      <c r="B22" s="57" t="str">
        <f>IF(ISERROR(VLOOKUP(A22,classifications!A:C,3,FALSE)),0,VLOOKUP(A22,classifications!A:C,3,FALSE))</f>
        <v>Nottinghamshire</v>
      </c>
      <c r="C22" s="8" t="s">
        <v>13</v>
      </c>
      <c r="D22" s="26" t="str">
        <f>VLOOKUP($C22,classifications!$C:$J,4,FALSE)</f>
        <v>SD</v>
      </c>
      <c r="E22" s="26">
        <f>VLOOKUP(C22,classifications!C:K,9,FALSE)</f>
        <v>0</v>
      </c>
      <c r="F22" s="36">
        <f t="shared" si="0"/>
        <v>15.720029078166339</v>
      </c>
      <c r="G22" s="71"/>
      <c r="H22" s="37" t="str">
        <f t="shared" si="1"/>
        <v/>
      </c>
      <c r="I22" s="77" t="str">
        <f>IF(H22="","",IF($I$8="A",(RANK(H22,H$11:H$368,1)+COUNTIF(H$11:H22,H22)-1),(RANK(H22,H$11:H$368)+COUNTIF(H$11:H22,H22)-1)))</f>
        <v/>
      </c>
      <c r="J22" s="35"/>
      <c r="K22" s="28">
        <f t="shared" si="7"/>
        <v>12</v>
      </c>
      <c r="L22" s="36" t="str">
        <f t="shared" si="2"/>
        <v>Gloucestershire</v>
      </c>
      <c r="M22" s="102">
        <f t="shared" si="22"/>
        <v>17.475104043290408</v>
      </c>
      <c r="N22" s="101">
        <f t="shared" si="23"/>
        <v>17.475104043290408</v>
      </c>
      <c r="O22" s="94" t="str">
        <f t="shared" si="8"/>
        <v/>
      </c>
      <c r="P22" s="94">
        <f t="shared" si="18"/>
        <v>17.475104043290408</v>
      </c>
      <c r="Q22" s="94" t="str">
        <f t="shared" si="19"/>
        <v/>
      </c>
      <c r="R22" s="90" t="str">
        <f t="shared" si="20"/>
        <v/>
      </c>
      <c r="S22" s="37" t="str">
        <f t="shared" si="9"/>
        <v/>
      </c>
      <c r="T22" s="176">
        <f>IF(L22="","",VLOOKUP(L22,classifications!C:K,9,FALSE))</f>
        <v>0</v>
      </c>
      <c r="U22" s="183" t="str">
        <f t="shared" si="10"/>
        <v/>
      </c>
      <c r="V22" s="184" t="str">
        <f>IF(U22="","",IF($I$8="A",(RANK(U22,U$11:U$368)+COUNTIF(U$11:U22,U22)-1),(RANK(U22,U$11:U$368,1)+COUNTIF(U$11:U22,U22)-1)))</f>
        <v/>
      </c>
      <c r="W22" s="185"/>
      <c r="X22" s="38" t="str">
        <f>IF(L22="","",VLOOKUP($L22,classifications!$C:$J,6,FALSE))</f>
        <v>Significant Rural</v>
      </c>
      <c r="Y22" s="26" t="b">
        <f t="shared" si="3"/>
        <v>0</v>
      </c>
      <c r="Z22" s="34" t="e">
        <f>IF(Y22="","",IF(I$8="A",(RANK(Y22,Y$11:Y$368,1)+COUNTIF(Y$11:Y22,Y22)-1),(RANK(Y22,Y$11:Y$368)+COUNTIF(Y$11:Y22,Y22)-1)))</f>
        <v>#N/A</v>
      </c>
      <c r="AA22" s="188" t="str">
        <f>IF(L22="","",VLOOKUP($L22,classifications!C:I,7,FALSE))</f>
        <v>Significant Rural</v>
      </c>
      <c r="AB22" s="184" t="str">
        <f t="shared" si="11"/>
        <v/>
      </c>
      <c r="AC22" s="184" t="str">
        <f>IF(AB22="","",IF($I$8="A",(RANK(AB22,AB$11:AB$368)+COUNTIF(AB$11:AB22,AB22)-1),(RANK(AB22,AB$11:AB$368,1)+COUNTIF(AB$11:AB22,AB22)-1)))</f>
        <v/>
      </c>
      <c r="AD22" s="184"/>
      <c r="AE22" s="45">
        <f>IF(I$8="A",(RANK(AG22,AG$11:AG$368,1)+COUNTIF(AG$11:AG22,AG22)-1),(RANK(AG22,AG$11:AG$368)+COUNTIF(AG$11:AG22,AG22)-1))</f>
        <v>6</v>
      </c>
      <c r="AF22" s="1" t="str">
        <f>VLOOKUP(Profile!$J$5,Families!$C:$R,12,FALSE)</f>
        <v>Gloucestershire</v>
      </c>
      <c r="AG22" s="96">
        <f t="shared" si="12"/>
        <v>17.475104043290408</v>
      </c>
      <c r="AH22" s="46">
        <f t="shared" si="21"/>
        <v>6</v>
      </c>
      <c r="AI22" s="38" t="str">
        <f>IF(L22="","",VLOOKUP($L22,classifications!$C:$J,8,FALSE))</f>
        <v>Gloucestershire</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West</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15.720029078166339</v>
      </c>
      <c r="AY22" s="103"/>
      <c r="AZ22" s="21"/>
    </row>
    <row r="23" spans="1:52">
      <c r="A23" s="56" t="str">
        <f>$D$1&amp;13</f>
        <v>SC13</v>
      </c>
      <c r="B23" s="57" t="str">
        <f>IF(ISERROR(VLOOKUP(A23,classifications!A:C,3,FALSE)),0,VLOOKUP(A23,classifications!A:C,3,FALSE))</f>
        <v>Staffordshire</v>
      </c>
      <c r="C23" s="8" t="s">
        <v>14</v>
      </c>
      <c r="D23" s="26" t="str">
        <f>VLOOKUP($C23,classifications!$C:$J,4,FALSE)</f>
        <v>SD</v>
      </c>
      <c r="E23" s="26">
        <f>VLOOKUP(C23,classifications!C:K,9,FALSE)</f>
        <v>0</v>
      </c>
      <c r="F23" s="36">
        <f t="shared" si="0"/>
        <v>9.6576687728514727</v>
      </c>
      <c r="G23" s="71"/>
      <c r="H23" s="37" t="str">
        <f t="shared" si="1"/>
        <v/>
      </c>
      <c r="I23" s="77" t="str">
        <f>IF(H23="","",IF($I$8="A",(RANK(H23,H$11:H$368,1)+COUNTIF(H$11:H23,H23)-1),(RANK(H23,H$11:H$368)+COUNTIF(H$11:H23,H23)-1)))</f>
        <v/>
      </c>
      <c r="J23" s="35"/>
      <c r="K23" s="28">
        <f t="shared" si="7"/>
        <v>13</v>
      </c>
      <c r="L23" s="36" t="str">
        <f t="shared" si="2"/>
        <v>Nottinghamshire</v>
      </c>
      <c r="M23" s="102">
        <f t="shared" si="22"/>
        <v>16.292922014594303</v>
      </c>
      <c r="N23" s="101">
        <f t="shared" si="23"/>
        <v>16.292922014594303</v>
      </c>
      <c r="O23" s="94" t="str">
        <f t="shared" si="8"/>
        <v/>
      </c>
      <c r="P23" s="94">
        <f t="shared" si="18"/>
        <v>16.292922014594303</v>
      </c>
      <c r="Q23" s="94" t="str">
        <f t="shared" si="19"/>
        <v/>
      </c>
      <c r="R23" s="90" t="str">
        <f t="shared" si="20"/>
        <v/>
      </c>
      <c r="S23" s="37" t="str">
        <f t="shared" si="9"/>
        <v/>
      </c>
      <c r="T23" s="176" t="str">
        <f>IF(L23="","",VLOOKUP(L23,classifications!C:K,9,FALSE))</f>
        <v>Sparse</v>
      </c>
      <c r="U23" s="183">
        <f t="shared" si="10"/>
        <v>16.292922014594303</v>
      </c>
      <c r="V23" s="184">
        <f>IF(U23="","",IF($I$8="A",(RANK(U23,U$11:U$368)+COUNTIF(U$11:U23,U23)-1),(RANK(U23,U$11:U$368,1)+COUNTIF(U$11:U23,U23)-1)))</f>
        <v>11</v>
      </c>
      <c r="W23" s="185"/>
      <c r="X23" s="38" t="str">
        <f>IF(L23="","",VLOOKUP($L23,classifications!$C:$J,6,FALSE))</f>
        <v>Significant Rural</v>
      </c>
      <c r="Y23" s="26" t="b">
        <f t="shared" si="3"/>
        <v>0</v>
      </c>
      <c r="Z23" s="34" t="e">
        <f>IF(Y23="","",IF(I$8="A",(RANK(Y23,Y$11:Y$368,1)+COUNTIF(Y$11:Y23,Y23)-1),(RANK(Y23,Y$11:Y$368)+COUNTIF(Y$11:Y23,Y23)-1)))</f>
        <v>#N/A</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1</v>
      </c>
      <c r="AF23" s="1" t="str">
        <f>VLOOKUP(Profile!$J$5,Families!$C:$R,13,FALSE)</f>
        <v>Devon</v>
      </c>
      <c r="AG23" s="96">
        <f t="shared" si="12"/>
        <v>20.569845842883787</v>
      </c>
      <c r="AH23" s="46">
        <f t="shared" si="21"/>
        <v>1</v>
      </c>
      <c r="AI23" s="38" t="str">
        <f>IF(L23="","",VLOOKUP($L23,classifications!$C:$J,8,FALSE))</f>
        <v>Nottinghamshire</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East Midlands</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9.6576687728514727</v>
      </c>
      <c r="AY23" s="103"/>
      <c r="AZ23" s="21"/>
    </row>
    <row r="24" spans="1:52">
      <c r="A24" s="56" t="str">
        <f>$D$1&amp;14</f>
        <v>SC14</v>
      </c>
      <c r="B24" s="57" t="str">
        <f>IF(ISERROR(VLOOKUP(A24,classifications!A:C,3,FALSE)),0,VLOOKUP(A24,classifications!A:C,3,FALSE))</f>
        <v>Suffolk</v>
      </c>
      <c r="C24" s="8" t="s">
        <v>343</v>
      </c>
      <c r="D24" s="26" t="str">
        <f>VLOOKUP($C24,classifications!$C:$J,4,FALSE)</f>
        <v>SD</v>
      </c>
      <c r="E24" s="26">
        <f>VLOOKUP(C24,classifications!C:K,9,FALSE)</f>
        <v>0</v>
      </c>
      <c r="F24" s="36">
        <f t="shared" si="0"/>
        <v>15.602465242270247</v>
      </c>
      <c r="G24" s="71"/>
      <c r="H24" s="37" t="str">
        <f t="shared" si="1"/>
        <v/>
      </c>
      <c r="I24" s="77" t="str">
        <f>IF(H24="","",IF($I$8="A",(RANK(H24,H$11:H$368,1)+COUNTIF(H$11:H24,H24)-1),(RANK(H24,H$11:H$368)+COUNTIF(H$11:H24,H24)-1)))</f>
        <v/>
      </c>
      <c r="J24" s="35"/>
      <c r="K24" s="28">
        <f t="shared" si="7"/>
        <v>14</v>
      </c>
      <c r="L24" s="36" t="str">
        <f t="shared" si="2"/>
        <v>Kent</v>
      </c>
      <c r="M24" s="102">
        <f t="shared" si="22"/>
        <v>16.26259547069758</v>
      </c>
      <c r="N24" s="101">
        <f t="shared" si="23"/>
        <v>16.26259547069758</v>
      </c>
      <c r="O24" s="94" t="str">
        <f t="shared" si="8"/>
        <v/>
      </c>
      <c r="P24" s="94">
        <f t="shared" si="18"/>
        <v>16.26259547069758</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Significant Rural</v>
      </c>
      <c r="Y24" s="26" t="b">
        <f t="shared" si="3"/>
        <v>0</v>
      </c>
      <c r="Z24" s="34" t="e">
        <f>IF(Y24="","",IF(I$8="A",(RANK(Y24,Y$11:Y$368,1)+COUNTIF(Y$11:Y24,Y24)-1),(RANK(Y24,Y$11:Y$368)+COUNTIF(Y$11:Y24,Y24)-1)))</f>
        <v>#N/A</v>
      </c>
      <c r="AA24" s="188" t="str">
        <f>IF(L24="","",VLOOKUP($L24,classifications!C:I,7,FALSE))</f>
        <v>Significant Rural</v>
      </c>
      <c r="AB24" s="184" t="str">
        <f t="shared" si="11"/>
        <v/>
      </c>
      <c r="AC24" s="184" t="str">
        <f>IF(AB24="","",IF($I$8="A",(RANK(AB24,AB$11:AB$368)+COUNTIF(AB$11:AB24,AB24)-1),(RANK(AB24,AB$11:AB$368,1)+COUNTIF(AB$11:AB24,AB24)-1)))</f>
        <v/>
      </c>
      <c r="AD24" s="184"/>
      <c r="AE24" s="45">
        <f>IF(I$8="A",(RANK(AG24,AG$11:AG$368,1)+COUNTIF(AG$11:AG24,AG24)-1),(RANK(AG24,AG$11:AG$368)+COUNTIF(AG$11:AG24,AG24)-1))</f>
        <v>14</v>
      </c>
      <c r="AF24" s="1" t="str">
        <f>VLOOKUP(Profile!$J$5,Families!$C:$R,14,FALSE)</f>
        <v>Lancashire</v>
      </c>
      <c r="AG24" s="96">
        <f t="shared" si="12"/>
        <v>13.756921881703718</v>
      </c>
      <c r="AH24" s="46">
        <f t="shared" si="21"/>
        <v>14</v>
      </c>
      <c r="AI24" s="38" t="str">
        <f>IF(L24="","",VLOOKUP($L24,classifications!$C:$J,8,FALSE))</f>
        <v>Kent</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East of England</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15.602465242270247</v>
      </c>
      <c r="AY24" s="103"/>
      <c r="AZ24" s="21"/>
    </row>
    <row r="25" spans="1:52">
      <c r="A25" s="56" t="str">
        <f>$D$1&amp;15</f>
        <v>SC15</v>
      </c>
      <c r="B25" s="57" t="str">
        <f>IF(ISERROR(VLOOKUP(A25,classifications!A:C,3,FALSE)),0,VLOOKUP(A25,classifications!A:C,3,FALSE))</f>
        <v>Warwickshire</v>
      </c>
      <c r="C25" s="8" t="s">
        <v>15</v>
      </c>
      <c r="D25" s="26" t="str">
        <f>VLOOKUP($C25,classifications!$C:$J,4,FALSE)</f>
        <v>SD</v>
      </c>
      <c r="E25" s="26">
        <f>VLOOKUP(C25,classifications!C:K,9,FALSE)</f>
        <v>0</v>
      </c>
      <c r="F25" s="36">
        <f t="shared" si="0"/>
        <v>14.90442135104581</v>
      </c>
      <c r="G25" s="71"/>
      <c r="H25" s="37" t="str">
        <f t="shared" si="1"/>
        <v/>
      </c>
      <c r="I25" s="77" t="str">
        <f>IF(H25="","",IF($I$8="A",(RANK(H25,H$11:H$368,1)+COUNTIF(H$11:H25,H25)-1),(RANK(H25,H$11:H$368)+COUNTIF(H$11:H25,H25)-1)))</f>
        <v/>
      </c>
      <c r="J25" s="35"/>
      <c r="K25" s="28">
        <f t="shared" si="7"/>
        <v>15</v>
      </c>
      <c r="L25" s="36" t="str">
        <f t="shared" si="2"/>
        <v>Lincolnshire</v>
      </c>
      <c r="M25" s="102">
        <f t="shared" si="22"/>
        <v>16.036007901999703</v>
      </c>
      <c r="N25" s="101">
        <f t="shared" si="23"/>
        <v>16.036007901999703</v>
      </c>
      <c r="O25" s="94" t="str">
        <f t="shared" si="8"/>
        <v/>
      </c>
      <c r="P25" s="94" t="str">
        <f t="shared" si="18"/>
        <v/>
      </c>
      <c r="Q25" s="94">
        <f t="shared" si="19"/>
        <v>16.036007901999703</v>
      </c>
      <c r="R25" s="90" t="str">
        <f t="shared" si="20"/>
        <v/>
      </c>
      <c r="S25" s="37" t="str">
        <f t="shared" si="9"/>
        <v/>
      </c>
      <c r="T25" s="176" t="str">
        <f>IF(L25="","",VLOOKUP(L25,classifications!C:K,9,FALSE))</f>
        <v>Sparse</v>
      </c>
      <c r="U25" s="183">
        <f t="shared" si="10"/>
        <v>16.036007901999703</v>
      </c>
      <c r="V25" s="184">
        <f>IF(U25="","",IF($I$8="A",(RANK(U25,U$11:U$368)+COUNTIF(U$11:U25,U25)-1),(RANK(U25,U$11:U$368,1)+COUNTIF(U$11:U25,U25)-1)))</f>
        <v>10</v>
      </c>
      <c r="W25" s="185"/>
      <c r="X25" s="38" t="str">
        <f>IF(L25="","",VLOOKUP($L25,classifications!$C:$J,6,FALSE))</f>
        <v>Predominantly Rural</v>
      </c>
      <c r="Y25" s="26" t="b">
        <f t="shared" si="3"/>
        <v>0</v>
      </c>
      <c r="Z25" s="34" t="e">
        <f>IF(Y25="","",IF(I$8="A",(RANK(Y25,Y$11:Y$368,1)+COUNTIF(Y$11:Y25,Y25)-1),(RANK(Y25,Y$11:Y$368)+COUNTIF(Y$11:Y25,Y25)-1)))</f>
        <v>#N/A</v>
      </c>
      <c r="AA25" s="188" t="str">
        <f>IF(L25="","",VLOOKUP($L25,classifications!C:I,7,FALSE))</f>
        <v>Predominantly Rural</v>
      </c>
      <c r="AB25" s="184">
        <f t="shared" si="11"/>
        <v>16.036007901999703</v>
      </c>
      <c r="AC25" s="184">
        <f>IF(AB25="","",IF($I$8="A",(RANK(AB25,AB$11:AB$368)+COUNTIF(AB$11:AB25,AB25)-1),(RANK(AB25,AB$11:AB$368,1)+COUNTIF(AB$11:AB25,AB25)-1)))</f>
        <v>3</v>
      </c>
      <c r="AD25" s="184"/>
      <c r="AE25" s="45">
        <f>IF(I$8="A",(RANK(AG25,AG$11:AG$368,1)+COUNTIF(AG$11:AG25,AG25)-1),(RANK(AG25,AG$11:AG$368)+COUNTIF(AG$11:AG25,AG25)-1))</f>
        <v>11</v>
      </c>
      <c r="AF25" s="1" t="str">
        <f>VLOOKUP(Profile!$J$5,Families!$C:$R,15,FALSE)</f>
        <v>Leicestershire</v>
      </c>
      <c r="AG25" s="96">
        <f t="shared" si="12"/>
        <v>15.032629506703366</v>
      </c>
      <c r="AH25" s="46">
        <f t="shared" si="21"/>
        <v>11</v>
      </c>
      <c r="AI25" s="38" t="str">
        <f>IF(L25="","",VLOOKUP($L25,classifications!$C:$J,8,FALSE))</f>
        <v>Lincolnshire</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East Midlands</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14.90442135104581</v>
      </c>
      <c r="AY25" s="103"/>
      <c r="AZ25" s="21"/>
    </row>
    <row r="26" spans="1:52">
      <c r="A26" s="56" t="str">
        <f>$D$1&amp;16</f>
        <v>SC16</v>
      </c>
      <c r="B26" s="57" t="str">
        <f>IF(ISERROR(VLOOKUP(A26,classifications!A:C,3,FALSE)),0,VLOOKUP(A26,classifications!A:C,3,FALSE))</f>
        <v>Worcestershire</v>
      </c>
      <c r="C26" s="8" t="s">
        <v>258</v>
      </c>
      <c r="D26" s="26" t="str">
        <f>VLOOKUP($C26,classifications!$C:$J,4,FALSE)</f>
        <v>UA</v>
      </c>
      <c r="E26" s="26">
        <f>VLOOKUP(C26,classifications!C:K,9,FALSE)</f>
        <v>0</v>
      </c>
      <c r="F26" s="36">
        <f t="shared" si="0"/>
        <v>18.598214660190965</v>
      </c>
      <c r="G26" s="71"/>
      <c r="H26" s="37" t="str">
        <f t="shared" si="1"/>
        <v/>
      </c>
      <c r="I26" s="77" t="str">
        <f>IF(H26="","",IF($I$8="A",(RANK(H26,H$11:H$368,1)+COUNTIF(H$11:H26,H26)-1),(RANK(H26,H$11:H$368)+COUNTIF(H$11:H26,H26)-1)))</f>
        <v/>
      </c>
      <c r="J26" s="35"/>
      <c r="K26" s="28">
        <f t="shared" si="7"/>
        <v>16</v>
      </c>
      <c r="L26" s="36" t="str">
        <f t="shared" si="2"/>
        <v>Cumbria</v>
      </c>
      <c r="M26" s="102">
        <f t="shared" si="22"/>
        <v>16.018311396308022</v>
      </c>
      <c r="N26" s="101">
        <f t="shared" si="23"/>
        <v>16.018311396308022</v>
      </c>
      <c r="O26" s="94" t="str">
        <f t="shared" si="8"/>
        <v/>
      </c>
      <c r="P26" s="94" t="str">
        <f t="shared" si="18"/>
        <v/>
      </c>
      <c r="Q26" s="94">
        <f t="shared" si="19"/>
        <v>16.018311396308022</v>
      </c>
      <c r="R26" s="90" t="str">
        <f t="shared" si="20"/>
        <v/>
      </c>
      <c r="S26" s="37" t="str">
        <f t="shared" si="9"/>
        <v>u</v>
      </c>
      <c r="T26" s="176" t="str">
        <f>IF(L26="","",VLOOKUP(L26,classifications!C:K,9,FALSE))</f>
        <v>Sparse</v>
      </c>
      <c r="U26" s="183">
        <f t="shared" si="10"/>
        <v>16.018311396308022</v>
      </c>
      <c r="V26" s="184">
        <f>IF(U26="","",IF($I$8="A",(RANK(U26,U$11:U$368)+COUNTIF(U$11:U26,U26)-1),(RANK(U26,U$11:U$368,1)+COUNTIF(U$11:U26,U26)-1)))</f>
        <v>9</v>
      </c>
      <c r="W26" s="185"/>
      <c r="X26" s="38" t="str">
        <f>IF(L26="","",VLOOKUP($L26,classifications!$C:$J,6,FALSE))</f>
        <v>Predominantly Rural</v>
      </c>
      <c r="Y26" s="26" t="b">
        <f t="shared" si="3"/>
        <v>0</v>
      </c>
      <c r="Z26" s="34" t="e">
        <f>IF(Y26="","",IF(I$8="A",(RANK(Y26,Y$11:Y$368,1)+COUNTIF(Y$11:Y26,Y26)-1),(RANK(Y26,Y$11:Y$368)+COUNTIF(Y$11:Y26,Y26)-1)))</f>
        <v>#N/A</v>
      </c>
      <c r="AA26" s="188" t="str">
        <f>IF(L26="","",VLOOKUP($L26,classifications!C:I,7,FALSE))</f>
        <v>Predominantly Rural</v>
      </c>
      <c r="AB26" s="184">
        <f t="shared" si="11"/>
        <v>16.018311396308022</v>
      </c>
      <c r="AC26" s="184">
        <f>IF(AB26="","",IF($I$8="A",(RANK(AB26,AB$11:AB$368)+COUNTIF(AB$11:AB26,AB26)-1),(RANK(AB26,AB$11:AB$368,1)+COUNTIF(AB$11:AB26,AB26)-1)))</f>
        <v>2</v>
      </c>
      <c r="AD26" s="184"/>
      <c r="AE26" s="45">
        <f>IF(I$8="A",(RANK(AG26,AG$11:AG$368,1)+COUNTIF(AG$11:AG26,AG26)-1),(RANK(AG26,AG$11:AG$368)+COUNTIF(AG$11:AG26,AG26)-1))</f>
        <v>16</v>
      </c>
      <c r="AF26" s="1" t="str">
        <f>VLOOKUP(Profile!$J$5,Families!$C:$R,16,FALSE)</f>
        <v>Dorset</v>
      </c>
      <c r="AG26" s="96">
        <f t="shared" si="12"/>
        <v>0</v>
      </c>
      <c r="AH26" s="46">
        <f t="shared" si="21"/>
        <v>16</v>
      </c>
      <c r="AI26" s="38" t="str">
        <f>IF(L26="","",VLOOKUP($L26,classifications!$C:$J,8,FALSE))</f>
        <v>Cumbria</v>
      </c>
      <c r="AJ26" s="39">
        <f t="shared" si="4"/>
        <v>16.018311396308022</v>
      </c>
      <c r="AK26" s="34">
        <f>IF(AJ26="","",IF(I$8="A",(RANK(AJ26,AJ$11:AJ$368,1)+COUNTIF(AJ$11:AJ26,AJ26)-1),(RANK(AJ26,AJ$11:AJ$368)+COUNTIF(AJ$11:AJ26,AJ26)-1)))</f>
        <v>1</v>
      </c>
      <c r="AL26" s="29" t="str">
        <f t="shared" si="13"/>
        <v/>
      </c>
      <c r="AM26" s="8" t="str">
        <f t="shared" si="5"/>
        <v/>
      </c>
      <c r="AN26" s="8" t="str">
        <f t="shared" si="14"/>
        <v/>
      </c>
      <c r="AP26" s="38" t="str">
        <f>IF(L26="","",VLOOKUP($L26,classifications!$C:$E,3,FALSE))</f>
        <v>North West</v>
      </c>
      <c r="AQ26" s="39">
        <f t="shared" si="15"/>
        <v>16.018311396308022</v>
      </c>
      <c r="AR26" s="34">
        <f>IF(AQ26="","",IF(I$8="A",(RANK(AQ26,AQ$11:AQ$368,1)+COUNTIF(AQ$11:AQ26,AQ26)-1),(RANK(AQ26,AQ$11:AQ$368)+COUNTIF(AQ$11:AQ26,AQ26)-1)))</f>
        <v>1</v>
      </c>
      <c r="AS26" s="29" t="str">
        <f t="shared" si="16"/>
        <v/>
      </c>
      <c r="AT26" s="34" t="str">
        <f t="shared" si="6"/>
        <v/>
      </c>
      <c r="AU26" s="39" t="str">
        <f t="shared" si="17"/>
        <v/>
      </c>
      <c r="AX26" s="21">
        <f>HLOOKUP($AX$9&amp;$AX$10,Data!$A$1:$ZZ$2000,(MATCH($C26,Data!$A$1:$A$2000,0)),FALSE)</f>
        <v>18.598214660190965</v>
      </c>
      <c r="AY26" s="103"/>
      <c r="AZ26" s="21"/>
    </row>
    <row r="27" spans="1:52">
      <c r="A27" s="56" t="str">
        <f>$D$1&amp;17</f>
        <v>SC17</v>
      </c>
      <c r="B27" s="57">
        <f>IF(ISERROR(VLOOKUP(A27,classifications!A:C,3,FALSE)),0,VLOOKUP(A27,classifications!A:C,3,FALSE))</f>
        <v>0</v>
      </c>
      <c r="C27" s="8" t="s">
        <v>259</v>
      </c>
      <c r="D27" s="26" t="str">
        <f>VLOOKUP($C27,classifications!$C:$J,4,FALSE)</f>
        <v>UA</v>
      </c>
      <c r="E27" s="26">
        <f>VLOOKUP(C27,classifications!C:K,9,FALSE)</f>
        <v>0</v>
      </c>
      <c r="F27" s="36">
        <f t="shared" si="0"/>
        <v>18.454936991064681</v>
      </c>
      <c r="G27" s="71"/>
      <c r="H27" s="37" t="str">
        <f t="shared" si="1"/>
        <v/>
      </c>
      <c r="I27" s="77" t="str">
        <f>IF(H27="","",IF($I$8="A",(RANK(H27,H$11:H$368,1)+COUNTIF(H$11:H27,H27)-1),(RANK(H27,H$11:H$368)+COUNTIF(H$11:H27,H27)-1)))</f>
        <v/>
      </c>
      <c r="J27" s="35"/>
      <c r="K27" s="28">
        <f t="shared" si="7"/>
        <v>17</v>
      </c>
      <c r="L27" s="36" t="str">
        <f t="shared" si="2"/>
        <v>Warwickshire</v>
      </c>
      <c r="M27" s="102">
        <f t="shared" si="22"/>
        <v>15.712468668373536</v>
      </c>
      <c r="N27" s="101">
        <f t="shared" si="23"/>
        <v>15.712468668373536</v>
      </c>
      <c r="O27" s="94" t="str">
        <f t="shared" si="8"/>
        <v/>
      </c>
      <c r="P27" s="94" t="str">
        <f t="shared" si="18"/>
        <v/>
      </c>
      <c r="Q27" s="94">
        <f t="shared" si="19"/>
        <v>15.712468668373536</v>
      </c>
      <c r="R27" s="90" t="str">
        <f t="shared" si="20"/>
        <v/>
      </c>
      <c r="S27" s="37" t="str">
        <f t="shared" si="9"/>
        <v/>
      </c>
      <c r="T27" s="176" t="str">
        <f>IF(L27="","",VLOOKUP(L27,classifications!C:K,9,FALSE))</f>
        <v>Sparse</v>
      </c>
      <c r="U27" s="183">
        <f t="shared" si="10"/>
        <v>15.712468668373536</v>
      </c>
      <c r="V27" s="184">
        <f>IF(U27="","",IF($I$8="A",(RANK(U27,U$11:U$368)+COUNTIF(U$11:U27,U27)-1),(RANK(U27,U$11:U$368,1)+COUNTIF(U$11:U27,U27)-1)))</f>
        <v>8</v>
      </c>
      <c r="W27" s="185"/>
      <c r="X27" s="38" t="str">
        <f>IF(L27="","",VLOOKUP($L27,classifications!$C:$J,6,FALSE))</f>
        <v>Significant Rural</v>
      </c>
      <c r="Y27" s="26" t="b">
        <f t="shared" si="3"/>
        <v>0</v>
      </c>
      <c r="Z27" s="34" t="e">
        <f>IF(Y27="","",IF(I$8="A",(RANK(Y27,Y$11:Y$368,1)+COUNTIF(Y$11:Y27,Y27)-1),(RANK(Y27,Y$11:Y$368)+COUNTIF(Y$11:Y27,Y27)-1)))</f>
        <v>#N/A</v>
      </c>
      <c r="AA27" s="188" t="str">
        <f>IF(L27="","",VLOOKUP($L27,classifications!C:I,7,FALSE))</f>
        <v>Significant Rural</v>
      </c>
      <c r="AB27" s="184" t="str">
        <f t="shared" si="11"/>
        <v/>
      </c>
      <c r="AC27" s="184" t="str">
        <f>IF(AB27="","",IF($I$8="A",(RANK(AB27,AB$11:AB$368)+COUNTIF(AB$11:AB27,AB27)-1),(RANK(AB27,AB$11:AB$368,1)+COUNTIF(AB$11:AB27,AB27)-1)))</f>
        <v/>
      </c>
      <c r="AD27" s="184"/>
      <c r="AE27" s="28"/>
      <c r="AF27" s="1"/>
      <c r="AG27" s="96"/>
      <c r="AH27" s="29"/>
      <c r="AI27" s="38" t="str">
        <f>IF(L27="","",VLOOKUP($L27,classifications!$C:$J,8,FALSE))</f>
        <v>Warwickshire</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West Midlands</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18.454936991064681</v>
      </c>
      <c r="AY27" s="103"/>
      <c r="AZ27" s="21"/>
    </row>
    <row r="28" spans="1:52">
      <c r="A28" s="56" t="str">
        <f>$D$1&amp;18</f>
        <v>SC18</v>
      </c>
      <c r="B28" s="57">
        <f>IF(ISERROR(VLOOKUP(A28,classifications!A:C,3,FALSE)),0,VLOOKUP(A28,classifications!A:C,3,FALSE))</f>
        <v>0</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Hertfordshire</v>
      </c>
      <c r="M28" s="102">
        <f t="shared" si="22"/>
        <v>15.573799350980138</v>
      </c>
      <c r="N28" s="101">
        <f t="shared" si="23"/>
        <v>15.573799350980138</v>
      </c>
      <c r="O28" s="94" t="str">
        <f t="shared" si="8"/>
        <v/>
      </c>
      <c r="P28" s="94" t="str">
        <f t="shared" si="18"/>
        <v/>
      </c>
      <c r="Q28" s="94">
        <f t="shared" si="19"/>
        <v>15.573799350980138</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Predominantly Urban</v>
      </c>
      <c r="Y28" s="26" t="b">
        <f t="shared" si="3"/>
        <v>0</v>
      </c>
      <c r="Z28" s="34" t="e">
        <f>IF(Y28="","",IF(I$8="A",(RANK(Y28,Y$11:Y$368,1)+COUNTIF(Y$11:Y28,Y28)-1),(RANK(Y28,Y$11:Y$368)+COUNTIF(Y$11:Y28,Y28)-1)))</f>
        <v>#N/A</v>
      </c>
      <c r="AA28" s="188" t="str">
        <f>IF(L28="","",VLOOKUP($L28,classifications!C:I,7,FALSE))</f>
        <v>Predominantly Urban</v>
      </c>
      <c r="AB28" s="184" t="str">
        <f t="shared" si="11"/>
        <v/>
      </c>
      <c r="AC28" s="184" t="str">
        <f>IF(AB28="","",IF($I$8="A",(RANK(AB28,AB$11:AB$368)+COUNTIF(AB$11:AB28,AB28)-1),(RANK(AB28,AB$11:AB$368,1)+COUNTIF(AB$11:AB28,AB28)-1)))</f>
        <v/>
      </c>
      <c r="AD28" s="184"/>
      <c r="AE28" s="28"/>
      <c r="AF28" s="1"/>
      <c r="AG28" s="96"/>
      <c r="AH28" s="29"/>
      <c r="AI28" s="38" t="str">
        <f>IF(L28="","",VLOOKUP($L28,classifications!$C:$J,8,FALSE))</f>
        <v>Hertfordshire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East of England</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12.596981531874436</v>
      </c>
      <c r="AY28" s="103"/>
      <c r="AZ28" s="21"/>
    </row>
    <row r="29" spans="1:52">
      <c r="A29" s="56" t="str">
        <f>$D$1&amp;19</f>
        <v>SC19</v>
      </c>
      <c r="B29" s="57">
        <f>IF(ISERROR(VLOOKUP(A29,classifications!A:C,3,FALSE)),0,VLOOKUP(A29,classifications!A:C,3,FALSE))</f>
        <v>0</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Leicestershire</v>
      </c>
      <c r="M29" s="102">
        <f t="shared" si="22"/>
        <v>15.032629506703366</v>
      </c>
      <c r="N29" s="101">
        <f t="shared" si="23"/>
        <v>15.032629506703366</v>
      </c>
      <c r="O29" s="94" t="str">
        <f t="shared" si="8"/>
        <v/>
      </c>
      <c r="P29" s="94" t="str">
        <f t="shared" si="18"/>
        <v/>
      </c>
      <c r="Q29" s="94">
        <f t="shared" si="19"/>
        <v>15.032629506703366</v>
      </c>
      <c r="R29" s="90" t="str">
        <f t="shared" si="20"/>
        <v/>
      </c>
      <c r="S29" s="37" t="str">
        <f t="shared" si="9"/>
        <v/>
      </c>
      <c r="T29" s="176" t="str">
        <f>IF(L29="","",VLOOKUP(L29,classifications!C:K,9,FALSE))</f>
        <v>Sparse</v>
      </c>
      <c r="U29" s="183">
        <f t="shared" si="10"/>
        <v>15.032629506703366</v>
      </c>
      <c r="V29" s="184">
        <f>IF(U29="","",IF($I$8="A",(RANK(U29,U$11:U$368)+COUNTIF(U$11:U29,U29)-1),(RANK(U29,U$11:U$368,1)+COUNTIF(U$11:U29,U29)-1)))</f>
        <v>7</v>
      </c>
      <c r="W29" s="185"/>
      <c r="X29" s="38" t="str">
        <f>IF(L29="","",VLOOKUP($L29,classifications!$C:$J,6,FALSE))</f>
        <v>Significant Rural</v>
      </c>
      <c r="Y29" s="26" t="b">
        <f t="shared" si="3"/>
        <v>0</v>
      </c>
      <c r="Z29" s="34" t="e">
        <f>IF(Y29="","",IF(I$8="A",(RANK(Y29,Y$11:Y$368,1)+COUNTIF(Y$11:Y29,Y29)-1),(RANK(Y29,Y$11:Y$368)+COUNTIF(Y$11:Y29,Y29)-1)))</f>
        <v>#N/A</v>
      </c>
      <c r="AA29" s="188" t="str">
        <f>IF(L29="","",VLOOKUP($L29,classifications!C:I,7,FALSE))</f>
        <v>Significant Rural</v>
      </c>
      <c r="AB29" s="184" t="str">
        <f t="shared" si="11"/>
        <v/>
      </c>
      <c r="AC29" s="184" t="str">
        <f>IF(AB29="","",IF($I$8="A",(RANK(AB29,AB$11:AB$368)+COUNTIF(AB$11:AB29,AB29)-1),(RANK(AB29,AB$11:AB$368,1)+COUNTIF(AB$11:AB29,AB29)-1)))</f>
        <v/>
      </c>
      <c r="AD29" s="184"/>
      <c r="AE29" s="28"/>
      <c r="AF29" s="1"/>
      <c r="AG29" s="96"/>
      <c r="AH29" s="29"/>
      <c r="AI29" s="38" t="str">
        <f>IF(L29="","",VLOOKUP($L29,classifications!$C:$J,8,FALSE))</f>
        <v>Leicestershire</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East Midlands</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SC20</v>
      </c>
      <c r="B30" s="57">
        <f>IF(ISERROR(VLOOKUP(A30,classifications!A:C,3,FALSE)),0,VLOOKUP(A30,classifications!A:C,3,FALSE))</f>
        <v>0</v>
      </c>
      <c r="C30" s="8" t="s">
        <v>16</v>
      </c>
      <c r="D30" s="26" t="str">
        <f>VLOOKUP($C30,classifications!$C:$J,4,FALSE)</f>
        <v>SD</v>
      </c>
      <c r="E30" s="26">
        <f>VLOOKUP(C30,classifications!C:K,9,FALSE)</f>
        <v>0</v>
      </c>
      <c r="F30" s="36">
        <f t="shared" si="0"/>
        <v>15.59268834396117</v>
      </c>
      <c r="G30" s="71"/>
      <c r="H30" s="37" t="str">
        <f t="shared" si="1"/>
        <v/>
      </c>
      <c r="I30" s="77" t="str">
        <f>IF(H30="","",IF($I$8="A",(RANK(H30,H$11:H$368,1)+COUNTIF(H$11:H30,H30)-1),(RANK(H30,H$11:H$368)+COUNTIF(H$11:H30,H30)-1)))</f>
        <v/>
      </c>
      <c r="J30" s="35"/>
      <c r="K30" s="28">
        <f t="shared" si="7"/>
        <v>20</v>
      </c>
      <c r="L30" s="36" t="str">
        <f t="shared" si="2"/>
        <v>Essex</v>
      </c>
      <c r="M30" s="102">
        <f t="shared" si="22"/>
        <v>14.894377995293434</v>
      </c>
      <c r="N30" s="101">
        <f t="shared" si="23"/>
        <v>14.894377995293434</v>
      </c>
      <c r="O30" s="94" t="str">
        <f t="shared" si="8"/>
        <v/>
      </c>
      <c r="P30" s="94" t="str">
        <f t="shared" si="18"/>
        <v/>
      </c>
      <c r="Q30" s="94">
        <f t="shared" si="19"/>
        <v>14.894377995293434</v>
      </c>
      <c r="R30" s="90" t="str">
        <f t="shared" si="20"/>
        <v/>
      </c>
      <c r="S30" s="37" t="str">
        <f t="shared" si="9"/>
        <v/>
      </c>
      <c r="T30" s="176" t="str">
        <f>IF(L30="","",VLOOKUP(L30,classifications!C:K,9,FALSE))</f>
        <v>Sparse</v>
      </c>
      <c r="U30" s="183">
        <f t="shared" si="10"/>
        <v>14.894377995293434</v>
      </c>
      <c r="V30" s="184">
        <f>IF(U30="","",IF($I$8="A",(RANK(U30,U$11:U$368)+COUNTIF(U$11:U30,U30)-1),(RANK(U30,U$11:U$368,1)+COUNTIF(U$11:U30,U30)-1)))</f>
        <v>6</v>
      </c>
      <c r="W30" s="185"/>
      <c r="X30" s="38" t="str">
        <f>IF(L30="","",VLOOKUP($L30,classifications!$C:$J,6,FALSE))</f>
        <v>Significant Rural</v>
      </c>
      <c r="Y30" s="26" t="b">
        <f t="shared" si="3"/>
        <v>0</v>
      </c>
      <c r="Z30" s="34" t="e">
        <f>IF(Y30="","",IF(I$8="A",(RANK(Y30,Y$11:Y$368,1)+COUNTIF(Y$11:Y30,Y30)-1),(RANK(Y30,Y$11:Y$368)+COUNTIF(Y$11:Y30,Y30)-1)))</f>
        <v>#N/A</v>
      </c>
      <c r="AA30" s="188" t="str">
        <f>IF(L30="","",VLOOKUP($L30,classifications!C:I,7,FALSE))</f>
        <v>Significant Rural</v>
      </c>
      <c r="AB30" s="184" t="str">
        <f t="shared" si="11"/>
        <v/>
      </c>
      <c r="AC30" s="184" t="str">
        <f>IF(AB30="","",IF($I$8="A",(RANK(AB30,AB$11:AB$368)+COUNTIF(AB$11:AB30,AB30)-1),(RANK(AB30,AB$11:AB$368,1)+COUNTIF(AB$11:AB30,AB30)-1)))</f>
        <v/>
      </c>
      <c r="AD30" s="184"/>
      <c r="AE30" s="28"/>
      <c r="AF30" s="1"/>
      <c r="AG30" s="96"/>
      <c r="AH30" s="29"/>
      <c r="AI30" s="38" t="str">
        <f>IF(L30="","",VLOOKUP($L30,classifications!$C:$J,8,FALSE))</f>
        <v>Essex</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East of England</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SC21</v>
      </c>
      <c r="B31" s="57">
        <f>IF(ISERROR(VLOOKUP(A31,classifications!A:C,3,FALSE)),0,VLOOKUP(A31,classifications!A:C,3,FALSE))</f>
        <v>0</v>
      </c>
      <c r="C31" s="8" t="s">
        <v>260</v>
      </c>
      <c r="D31" s="26" t="str">
        <f>VLOOKUP($C31,classifications!$C:$J,4,FALSE)</f>
        <v>UA</v>
      </c>
      <c r="E31" s="26">
        <f>VLOOKUP(C31,classifications!C:K,9,FALSE)</f>
        <v>0</v>
      </c>
      <c r="F31" s="36">
        <f t="shared" si="0"/>
        <v>9.5744744527282606</v>
      </c>
      <c r="G31" s="71"/>
      <c r="H31" s="37" t="str">
        <f t="shared" si="1"/>
        <v/>
      </c>
      <c r="I31" s="77" t="str">
        <f>IF(H31="","",IF($I$8="A",(RANK(H31,H$11:H$368,1)+COUNTIF(H$11:H31,H31)-1),(RANK(H31,H$11:H$368)+COUNTIF(H$11:H31,H31)-1)))</f>
        <v/>
      </c>
      <c r="J31" s="35"/>
      <c r="K31" s="28">
        <f t="shared" si="7"/>
        <v>21</v>
      </c>
      <c r="L31" s="36" t="str">
        <f t="shared" si="2"/>
        <v>Worcestershire</v>
      </c>
      <c r="M31" s="102">
        <f t="shared" si="22"/>
        <v>14.778256892169054</v>
      </c>
      <c r="N31" s="101">
        <f t="shared" si="23"/>
        <v>14.778256892169054</v>
      </c>
      <c r="O31" s="94" t="str">
        <f t="shared" si="8"/>
        <v/>
      </c>
      <c r="P31" s="94" t="str">
        <f t="shared" si="18"/>
        <v/>
      </c>
      <c r="Q31" s="94" t="str">
        <f t="shared" si="19"/>
        <v/>
      </c>
      <c r="R31" s="90">
        <f t="shared" si="20"/>
        <v>14.778256892169054</v>
      </c>
      <c r="S31" s="37" t="str">
        <f t="shared" si="9"/>
        <v/>
      </c>
      <c r="T31" s="176" t="str">
        <f>IF(L31="","",VLOOKUP(L31,classifications!C:K,9,FALSE))</f>
        <v>Sparse</v>
      </c>
      <c r="U31" s="183">
        <f t="shared" si="10"/>
        <v>14.778256892169054</v>
      </c>
      <c r="V31" s="184">
        <f>IF(U31="","",IF($I$8="A",(RANK(U31,U$11:U$368)+COUNTIF(U$11:U31,U31)-1),(RANK(U31,U$11:U$368,1)+COUNTIF(U$11:U31,U31)-1)))</f>
        <v>5</v>
      </c>
      <c r="W31" s="185"/>
      <c r="X31" s="38" t="str">
        <f>IF(L31="","",VLOOKUP($L31,classifications!$C:$J,6,FALSE))</f>
        <v>Significant Rural</v>
      </c>
      <c r="Y31" s="26" t="b">
        <f t="shared" si="3"/>
        <v>0</v>
      </c>
      <c r="Z31" s="34" t="e">
        <f>IF(Y31="","",IF(I$8="A",(RANK(Y31,Y$11:Y$368,1)+COUNTIF(Y$11:Y31,Y31)-1),(RANK(Y31,Y$11:Y$368)+COUNTIF(Y$11:Y31,Y31)-1)))</f>
        <v>#N/A</v>
      </c>
      <c r="AA31" s="188" t="str">
        <f>IF(L31="","",VLOOKUP($L31,classifications!C:I,7,FALSE))</f>
        <v>Significant Rural</v>
      </c>
      <c r="AB31" s="184" t="str">
        <f t="shared" si="11"/>
        <v/>
      </c>
      <c r="AC31" s="184" t="str">
        <f>IF(AB31="","",IF($I$8="A",(RANK(AB31,AB$11:AB$368)+COUNTIF(AB$11:AB31,AB31)-1),(RANK(AB31,AB$11:AB$368,1)+COUNTIF(AB$11:AB31,AB31)-1)))</f>
        <v/>
      </c>
      <c r="AD31" s="184"/>
      <c r="AE31" s="28"/>
      <c r="AF31" s="1"/>
      <c r="AG31" s="96"/>
      <c r="AH31" s="29"/>
      <c r="AI31" s="38" t="str">
        <f>IF(L31="","",VLOOKUP($L31,classifications!$C:$J,8,FALSE))</f>
        <v>Worcestershire</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West Midlands</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SC22</v>
      </c>
      <c r="B32" s="57">
        <f>IF(ISERROR(VLOOKUP(A32,classifications!A:C,3,FALSE)),0,VLOOKUP(A32,classifications!A:C,3,FALSE))</f>
        <v>0</v>
      </c>
      <c r="C32" s="8" t="s">
        <v>261</v>
      </c>
      <c r="D32" s="26" t="str">
        <f>VLOOKUP($C32,classifications!$C:$J,4,FALSE)</f>
        <v>UA</v>
      </c>
      <c r="E32" s="26">
        <f>VLOOKUP(C32,classifications!C:K,9,FALSE)</f>
        <v>0</v>
      </c>
      <c r="F32" s="36">
        <f t="shared" si="0"/>
        <v>16.689668699331779</v>
      </c>
      <c r="G32" s="71"/>
      <c r="H32" s="37" t="str">
        <f t="shared" si="1"/>
        <v/>
      </c>
      <c r="I32" s="77" t="str">
        <f>IF(H32="","",IF($I$8="A",(RANK(H32,H$11:H$368,1)+COUNTIF(H$11:H32,H32)-1),(RANK(H32,H$11:H$368)+COUNTIF(H$11:H32,H32)-1)))</f>
        <v/>
      </c>
      <c r="J32" s="35"/>
      <c r="K32" s="28">
        <f t="shared" si="7"/>
        <v>22</v>
      </c>
      <c r="L32" s="36" t="str">
        <f t="shared" si="2"/>
        <v>Derbyshire</v>
      </c>
      <c r="M32" s="102">
        <f t="shared" si="22"/>
        <v>13.91293811582649</v>
      </c>
      <c r="N32" s="101">
        <f t="shared" si="23"/>
        <v>13.91293811582649</v>
      </c>
      <c r="O32" s="94" t="str">
        <f t="shared" si="8"/>
        <v/>
      </c>
      <c r="P32" s="94" t="str">
        <f t="shared" si="18"/>
        <v/>
      </c>
      <c r="Q32" s="94" t="str">
        <f t="shared" si="19"/>
        <v/>
      </c>
      <c r="R32" s="90">
        <f t="shared" si="20"/>
        <v>13.91293811582649</v>
      </c>
      <c r="S32" s="37" t="str">
        <f t="shared" si="9"/>
        <v/>
      </c>
      <c r="T32" s="176" t="str">
        <f>IF(L32="","",VLOOKUP(L32,classifications!C:K,9,FALSE))</f>
        <v>Sparse</v>
      </c>
      <c r="U32" s="183">
        <f t="shared" si="10"/>
        <v>13.91293811582649</v>
      </c>
      <c r="V32" s="184">
        <f>IF(U32="","",IF($I$8="A",(RANK(U32,U$11:U$368)+COUNTIF(U$11:U32,U32)-1),(RANK(U32,U$11:U$368,1)+COUNTIF(U$11:U32,U32)-1)))</f>
        <v>4</v>
      </c>
      <c r="W32" s="185"/>
      <c r="X32" s="38" t="str">
        <f>IF(L32="","",VLOOKUP($L32,classifications!$C:$J,6,FALSE))</f>
        <v>Significant Rural</v>
      </c>
      <c r="Y32" s="26" t="b">
        <f t="shared" si="3"/>
        <v>0</v>
      </c>
      <c r="Z32" s="34" t="e">
        <f>IF(Y32="","",IF(I$8="A",(RANK(Y32,Y$11:Y$368,1)+COUNTIF(Y$11:Y32,Y32)-1),(RANK(Y32,Y$11:Y$368)+COUNTIF(Y$11:Y32,Y32)-1)))</f>
        <v>#N/A</v>
      </c>
      <c r="AA32" s="188" t="str">
        <f>IF(L32="","",VLOOKUP($L32,classifications!C:I,7,FALSE))</f>
        <v>Significant Rural</v>
      </c>
      <c r="AB32" s="184" t="str">
        <f t="shared" si="11"/>
        <v/>
      </c>
      <c r="AC32" s="184" t="str">
        <f>IF(AB32="","",IF($I$8="A",(RANK(AB32,AB$11:AB$368)+COUNTIF(AB$11:AB32,AB32)-1),(RANK(AB32,AB$11:AB$368,1)+COUNTIF(AB$11:AB32,AB32)-1)))</f>
        <v/>
      </c>
      <c r="AD32" s="184"/>
      <c r="AE32" s="28"/>
      <c r="AG32" s="96"/>
      <c r="AH32" s="29"/>
      <c r="AI32" s="38" t="str">
        <f>IF(L32="","",VLOOKUP($L32,classifications!$C:$J,8,FALSE))</f>
        <v>Derbyshire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East Midlands</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SC23</v>
      </c>
      <c r="B33" s="57">
        <f>IF(ISERROR(VLOOKUP(A33,classifications!A:C,3,FALSE)),0,VLOOKUP(A33,classifications!A:C,3,FALSE))</f>
        <v>0</v>
      </c>
      <c r="C33" s="8" t="s">
        <v>17</v>
      </c>
      <c r="D33" s="26" t="str">
        <f>VLOOKUP($C33,classifications!$C:$J,4,FALSE)</f>
        <v>SD</v>
      </c>
      <c r="E33" s="26">
        <f>VLOOKUP(C33,classifications!C:K,9,FALSE)</f>
        <v>0</v>
      </c>
      <c r="F33" s="36">
        <f t="shared" si="0"/>
        <v>10.370491390965189</v>
      </c>
      <c r="G33" s="71"/>
      <c r="H33" s="37" t="str">
        <f t="shared" si="1"/>
        <v/>
      </c>
      <c r="I33" s="77" t="str">
        <f>IF(H33="","",IF($I$8="A",(RANK(H33,H$11:H$368,1)+COUNTIF(H$11:H33,H33)-1),(RANK(H33,H$11:H$368)+COUNTIF(H$11:H33,H33)-1)))</f>
        <v/>
      </c>
      <c r="J33" s="35"/>
      <c r="K33" s="28">
        <f t="shared" si="7"/>
        <v>23</v>
      </c>
      <c r="L33" s="36" t="str">
        <f t="shared" si="2"/>
        <v>East Sussex</v>
      </c>
      <c r="M33" s="102">
        <f t="shared" si="22"/>
        <v>13.818832595268283</v>
      </c>
      <c r="N33" s="101">
        <f t="shared" si="23"/>
        <v>13.818832595268283</v>
      </c>
      <c r="O33" s="94" t="str">
        <f t="shared" si="8"/>
        <v/>
      </c>
      <c r="P33" s="94" t="str">
        <f t="shared" si="18"/>
        <v/>
      </c>
      <c r="Q33" s="94" t="str">
        <f t="shared" si="19"/>
        <v/>
      </c>
      <c r="R33" s="90">
        <f t="shared" si="20"/>
        <v>13.818832595268283</v>
      </c>
      <c r="S33" s="37" t="str">
        <f t="shared" si="9"/>
        <v/>
      </c>
      <c r="T33" s="176" t="str">
        <f>IF(L33="","",VLOOKUP(L33,classifications!C:K,9,FALSE))</f>
        <v>Sparse</v>
      </c>
      <c r="U33" s="183">
        <f t="shared" si="10"/>
        <v>13.818832595268283</v>
      </c>
      <c r="V33" s="184">
        <f>IF(U33="","",IF($I$8="A",(RANK(U33,U$11:U$368)+COUNTIF(U$11:U33,U33)-1),(RANK(U33,U$11:U$368,1)+COUNTIF(U$11:U33,U33)-1)))</f>
        <v>3</v>
      </c>
      <c r="W33" s="185"/>
      <c r="X33" s="38" t="str">
        <f>IF(L33="","",VLOOKUP($L33,classifications!$C:$J,6,FALSE))</f>
        <v>Significant Rural</v>
      </c>
      <c r="Y33" s="26" t="b">
        <f t="shared" si="3"/>
        <v>0</v>
      </c>
      <c r="Z33" s="34" t="e">
        <f>IF(Y33="","",IF(I$8="A",(RANK(Y33,Y$11:Y$368,1)+COUNTIF(Y$11:Y33,Y33)-1),(RANK(Y33,Y$11:Y$368)+COUNTIF(Y$11:Y33,Y33)-1)))</f>
        <v>#N/A</v>
      </c>
      <c r="AA33" s="188" t="str">
        <f>IF(L33="","",VLOOKUP($L33,classifications!C:I,7,FALSE))</f>
        <v>Significant Rural</v>
      </c>
      <c r="AB33" s="184" t="str">
        <f t="shared" si="11"/>
        <v/>
      </c>
      <c r="AC33" s="184" t="str">
        <f>IF(AB33="","",IF($I$8="A",(RANK(AB33,AB$11:AB$368)+COUNTIF(AB$11:AB33,AB33)-1),(RANK(AB33,AB$11:AB$368,1)+COUNTIF(AB$11:AB33,AB33)-1)))</f>
        <v/>
      </c>
      <c r="AD33" s="184"/>
      <c r="AE33" s="28"/>
      <c r="AG33" s="96"/>
      <c r="AH33" s="29"/>
      <c r="AI33" s="38" t="str">
        <f>IF(L33="","",VLOOKUP($L33,classifications!$C:$J,8,FALSE))</f>
        <v>East Sussex</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South East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SC24</v>
      </c>
      <c r="B34" s="57">
        <f>IF(ISERROR(VLOOKUP(A34,classifications!A:C,3,FALSE)),0,VLOOKUP(A34,classifications!A:C,3,FALSE))</f>
        <v>0</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Northamptonshire</v>
      </c>
      <c r="M34" s="102">
        <f t="shared" si="22"/>
        <v>13.772899630201854</v>
      </c>
      <c r="N34" s="101">
        <f t="shared" si="23"/>
        <v>13.772899630201854</v>
      </c>
      <c r="O34" s="94" t="str">
        <f t="shared" si="8"/>
        <v/>
      </c>
      <c r="P34" s="94" t="str">
        <f t="shared" si="18"/>
        <v/>
      </c>
      <c r="Q34" s="94" t="str">
        <f t="shared" si="19"/>
        <v/>
      </c>
      <c r="R34" s="90">
        <f t="shared" si="20"/>
        <v>13.772899630201854</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Significant Rural</v>
      </c>
      <c r="Y34" s="26" t="b">
        <f t="shared" si="3"/>
        <v>0</v>
      </c>
      <c r="Z34" s="34" t="e">
        <f>IF(Y34="","",IF(I$8="A",(RANK(Y34,Y$11:Y$368,1)+COUNTIF(Y$11:Y34,Y34)-1),(RANK(Y34,Y$11:Y$368)+COUNTIF(Y$11:Y34,Y34)-1)))</f>
        <v>#N/A</v>
      </c>
      <c r="AA34" s="188" t="str">
        <f>IF(L34="","",VLOOKUP($L34,classifications!C:I,7,FALSE))</f>
        <v>Significant Rural</v>
      </c>
      <c r="AB34" s="184" t="str">
        <f t="shared" si="11"/>
        <v/>
      </c>
      <c r="AC34" s="184" t="str">
        <f>IF(AB34="","",IF($I$8="A",(RANK(AB34,AB$11:AB$368)+COUNTIF(AB$11:AB34,AB34)-1),(RANK(AB34,AB$11:AB$368,1)+COUNTIF(AB$11:AB34,AB34)-1)))</f>
        <v/>
      </c>
      <c r="AD34" s="184"/>
      <c r="AE34" s="28"/>
      <c r="AG34" s="96"/>
      <c r="AH34" s="29"/>
      <c r="AI34" s="38" t="str">
        <f>IF(L34="","",VLOOKUP($L34,classifications!$C:$J,8,FALSE))</f>
        <v>Northamptonshire</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East Midlands</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SC25</v>
      </c>
      <c r="B35" s="57">
        <f>IF(ISERROR(VLOOKUP(A35,classifications!A:C,3,FALSE)),0,VLOOKUP(A35,classifications!A:C,3,FALSE))</f>
        <v>0</v>
      </c>
      <c r="C35" s="8" t="s">
        <v>18</v>
      </c>
      <c r="D35" s="26" t="str">
        <f>VLOOKUP($C35,classifications!$C:$J,4,FALSE)</f>
        <v>SD</v>
      </c>
      <c r="E35" s="26" t="str">
        <f>VLOOKUP(C35,classifications!C:K,9,FALSE)</f>
        <v>Sparse</v>
      </c>
      <c r="F35" s="36">
        <f t="shared" si="0"/>
        <v>24.043796902288534</v>
      </c>
      <c r="G35" s="71"/>
      <c r="H35" s="37" t="str">
        <f t="shared" si="1"/>
        <v/>
      </c>
      <c r="I35" s="77" t="str">
        <f>IF(H35="","",IF($I$8="A",(RANK(H35,H$11:H$368,1)+COUNTIF(H$11:H35,H35)-1),(RANK(H35,H$11:H$368)+COUNTIF(H$11:H35,H35)-1)))</f>
        <v/>
      </c>
      <c r="J35" s="35"/>
      <c r="K35" s="28">
        <f t="shared" si="7"/>
        <v>25</v>
      </c>
      <c r="L35" s="36" t="str">
        <f t="shared" si="2"/>
        <v>Lancashire</v>
      </c>
      <c r="M35" s="102">
        <f t="shared" si="22"/>
        <v>13.756921881703718</v>
      </c>
      <c r="N35" s="101">
        <f t="shared" si="23"/>
        <v>13.756921881703718</v>
      </c>
      <c r="O35" s="94" t="str">
        <f t="shared" si="8"/>
        <v/>
      </c>
      <c r="P35" s="94" t="str">
        <f t="shared" si="18"/>
        <v/>
      </c>
      <c r="Q35" s="94" t="str">
        <f t="shared" si="19"/>
        <v/>
      </c>
      <c r="R35" s="90">
        <f t="shared" si="20"/>
        <v>13.756921881703718</v>
      </c>
      <c r="S35" s="37" t="str">
        <f t="shared" si="9"/>
        <v/>
      </c>
      <c r="T35" s="176" t="str">
        <f>IF(L35="","",VLOOKUP(L35,classifications!C:K,9,FALSE))</f>
        <v>Sparse</v>
      </c>
      <c r="U35" s="183">
        <f t="shared" si="10"/>
        <v>13.756921881703718</v>
      </c>
      <c r="V35" s="184">
        <f>IF(U35="","",IF($I$8="A",(RANK(U35,U$11:U$368)+COUNTIF(U$11:U35,U35)-1),(RANK(U35,U$11:U$368,1)+COUNTIF(U$11:U35,U35)-1)))</f>
        <v>2</v>
      </c>
      <c r="W35" s="185"/>
      <c r="X35" s="38" t="str">
        <f>IF(L35="","",VLOOKUP($L35,classifications!$C:$J,6,FALSE))</f>
        <v>Significant Rural</v>
      </c>
      <c r="Y35" s="26" t="b">
        <f t="shared" si="3"/>
        <v>0</v>
      </c>
      <c r="Z35" s="34" t="e">
        <f>IF(Y35="","",IF(I$8="A",(RANK(Y35,Y$11:Y$368,1)+COUNTIF(Y$11:Y35,Y35)-1),(RANK(Y35,Y$11:Y$368)+COUNTIF(Y$11:Y35,Y35)-1)))</f>
        <v>#N/A</v>
      </c>
      <c r="AA35" s="188" t="str">
        <f>IF(L35="","",VLOOKUP($L35,classifications!C:I,7,FALSE))</f>
        <v>Significant Rural</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Lancashire</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North West</v>
      </c>
      <c r="AQ35" s="39">
        <f t="shared" si="15"/>
        <v>13.756921881703718</v>
      </c>
      <c r="AR35" s="34">
        <f>IF(AQ35="","",IF(I$8="A",(RANK(AQ35,AQ$11:AQ$368,1)+COUNTIF(AQ$11:AQ35,AQ35)-1),(RANK(AQ35,AQ$11:AQ$368)+COUNTIF(AQ$11:AQ35,AQ35)-1)))</f>
        <v>2</v>
      </c>
      <c r="AS35" s="29" t="str">
        <f t="shared" si="16"/>
        <v/>
      </c>
      <c r="AT35" s="34" t="str">
        <f t="shared" si="6"/>
        <v/>
      </c>
      <c r="AU35" s="39" t="str">
        <f t="shared" si="17"/>
        <v/>
      </c>
      <c r="AX35" s="21">
        <f>HLOOKUP($AX$9&amp;$AX$10,Data!$A$1:$ZZ$2000,(MATCH($C35,Data!$A$1:$A$2000,0)),FALSE)</f>
        <v>24.043796902288534</v>
      </c>
      <c r="AY35" s="103"/>
      <c r="AZ35" s="21"/>
    </row>
    <row r="36" spans="1:52">
      <c r="A36" s="56" t="str">
        <f>$D$1&amp;26</f>
        <v>SC26</v>
      </c>
      <c r="B36" s="57">
        <f>IF(ISERROR(VLOOKUP(A36,classifications!A:C,3,FALSE)),0,VLOOKUP(A36,classifications!A:C,3,FALSE))</f>
        <v>0</v>
      </c>
      <c r="C36" s="8" t="s">
        <v>262</v>
      </c>
      <c r="D36" s="26" t="str">
        <f>VLOOKUP($C36,classifications!$C:$J,4,FALSE)</f>
        <v>UA</v>
      </c>
      <c r="E36" s="26">
        <f>VLOOKUP(C36,classifications!C:K,9,FALSE)</f>
        <v>0</v>
      </c>
      <c r="F36" s="36">
        <f t="shared" si="0"/>
        <v>0</v>
      </c>
      <c r="G36" s="71"/>
      <c r="H36" s="37" t="str">
        <f t="shared" si="1"/>
        <v/>
      </c>
      <c r="I36" s="77" t="str">
        <f>IF(H36="","",IF($I$8="A",(RANK(H36,H$11:H$368,1)+COUNTIF(H$11:H36,H36)-1),(RANK(H36,H$11:H$368)+COUNTIF(H$11:H36,H36)-1)))</f>
        <v/>
      </c>
      <c r="J36" s="35"/>
      <c r="K36" s="28">
        <f t="shared" si="7"/>
        <v>26</v>
      </c>
      <c r="L36" s="36" t="str">
        <f t="shared" si="2"/>
        <v>Staffordshire</v>
      </c>
      <c r="M36" s="102">
        <f t="shared" si="22"/>
        <v>13.005470928067698</v>
      </c>
      <c r="N36" s="101">
        <f t="shared" si="23"/>
        <v>13.005470928067698</v>
      </c>
      <c r="O36" s="94" t="str">
        <f t="shared" si="8"/>
        <v/>
      </c>
      <c r="P36" s="94" t="str">
        <f t="shared" si="18"/>
        <v/>
      </c>
      <c r="Q36" s="94" t="str">
        <f t="shared" si="19"/>
        <v/>
      </c>
      <c r="R36" s="90">
        <f t="shared" si="20"/>
        <v>13.005470928067698</v>
      </c>
      <c r="S36" s="37" t="str">
        <f t="shared" si="9"/>
        <v/>
      </c>
      <c r="T36" s="176" t="str">
        <f>IF(L36="","",VLOOKUP(L36,classifications!C:K,9,FALSE))</f>
        <v>Sparse</v>
      </c>
      <c r="U36" s="183">
        <f t="shared" si="10"/>
        <v>13.005470928067698</v>
      </c>
      <c r="V36" s="184">
        <f>IF(U36="","",IF($I$8="A",(RANK(U36,U$11:U$368)+COUNTIF(U$11:U36,U36)-1),(RANK(U36,U$11:U$368,1)+COUNTIF(U$11:U36,U36)-1)))</f>
        <v>1</v>
      </c>
      <c r="W36" s="185"/>
      <c r="X36" s="38" t="str">
        <f>IF(L36="","",VLOOKUP($L36,classifications!$C:$J,6,FALSE))</f>
        <v>Significant Rural</v>
      </c>
      <c r="Y36" s="26" t="b">
        <f t="shared" si="3"/>
        <v>0</v>
      </c>
      <c r="Z36" s="34" t="e">
        <f>IF(Y36="","",IF(I$8="A",(RANK(Y36,Y$11:Y$368,1)+COUNTIF(Y$11:Y36,Y36)-1),(RANK(Y36,Y$11:Y$368)+COUNTIF(Y$11:Y36,Y36)-1)))</f>
        <v>#N/A</v>
      </c>
      <c r="AA36" s="188" t="str">
        <f>IF(L36="","",VLOOKUP($L36,classifications!C:I,7,FALSE))</f>
        <v>Significant Rural</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Staffordshire</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West Midlands</v>
      </c>
      <c r="AQ36" s="39" t="str">
        <f t="shared" si="15"/>
        <v/>
      </c>
      <c r="AR36" s="34" t="str">
        <f>IF(AQ36="","",IF(I$8="A",(RANK(AQ36,AQ$11:AQ$368,1)+COUNTIF(AQ$11:AQ36,AQ36)-1),(RANK(AQ36,AQ$11:AQ$368)+COUNTIF(AQ$11:AQ36,AQ36)-1)))</f>
        <v/>
      </c>
      <c r="AS36" s="29" t="str">
        <f t="shared" si="16"/>
        <v/>
      </c>
      <c r="AT36" s="34" t="str">
        <f t="shared" si="6"/>
        <v/>
      </c>
      <c r="AU36" s="39" t="str">
        <f t="shared" si="17"/>
        <v/>
      </c>
      <c r="AX36" s="21">
        <f>HLOOKUP($AX$9&amp;$AX$10,Data!$A$1:$ZZ$2000,(MATCH($C36,Data!$A$1:$A$2000,0)),FALSE)</f>
        <v>0</v>
      </c>
      <c r="AY36" s="103"/>
      <c r="AZ36" s="21"/>
    </row>
    <row r="37" spans="1:52">
      <c r="A37" s="56" t="str">
        <f>$D$1&amp;27</f>
        <v>SC27</v>
      </c>
      <c r="B37" s="57">
        <f>IF(ISERROR(VLOOKUP(A37,classifications!A:C,3,FALSE)),0,VLOOKUP(A37,classifications!A:C,3,FALSE))</f>
        <v>0</v>
      </c>
      <c r="C37" s="8" t="s">
        <v>912</v>
      </c>
      <c r="D37" s="26" t="str">
        <f>VLOOKUP($C37,classifications!$C:$J,4,FALSE)</f>
        <v>UA</v>
      </c>
      <c r="E37" s="26">
        <f>VLOOKUP(C37,classifications!C:K,9,FALSE)</f>
        <v>0</v>
      </c>
      <c r="F37" s="36" t="e">
        <f t="shared" si="0"/>
        <v>#N/A</v>
      </c>
      <c r="G37" s="71"/>
      <c r="H37" s="37" t="str">
        <f t="shared" si="1"/>
        <v/>
      </c>
      <c r="I37" s="77" t="str">
        <f>IF(H37="","",IF($I$8="A",(RANK(H37,H$11:H$368,1)+COUNTIF(H$11:H37,H37)-1),(RANK(H37,H$11:H$368)+COUNTIF(H$11:H37,H37)-1)))</f>
        <v/>
      </c>
      <c r="J37" s="35"/>
      <c r="K37" s="28">
        <f t="shared" si="7"/>
        <v>27</v>
      </c>
      <c r="L37" s="36" t="str">
        <f t="shared" si="2"/>
        <v>Dorset</v>
      </c>
      <c r="M37" s="102">
        <f t="shared" si="22"/>
        <v>0</v>
      </c>
      <c r="N37" s="101">
        <f t="shared" si="23"/>
        <v>0</v>
      </c>
      <c r="O37" s="94" t="str">
        <f t="shared" si="8"/>
        <v/>
      </c>
      <c r="P37" s="94" t="str">
        <f t="shared" si="18"/>
        <v/>
      </c>
      <c r="Q37" s="94" t="str">
        <f t="shared" si="19"/>
        <v/>
      </c>
      <c r="R37" s="90">
        <f t="shared" si="20"/>
        <v>0</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Predominantly Rural</v>
      </c>
      <c r="Y37" s="26" t="b">
        <f t="shared" si="3"/>
        <v>0</v>
      </c>
      <c r="Z37" s="34" t="e">
        <f>IF(Y37="","",IF(I$8="A",(RANK(Y37,Y$11:Y$368,1)+COUNTIF(Y$11:Y37,Y37)-1),(RANK(Y37,Y$11:Y$368)+COUNTIF(Y$11:Y37,Y37)-1)))</f>
        <v>#N/A</v>
      </c>
      <c r="AA37" s="188" t="str">
        <f>IF(L37="","",VLOOKUP($L37,classifications!C:I,7,FALSE))</f>
        <v>Predominantly Rural</v>
      </c>
      <c r="AB37" s="184">
        <f t="shared" si="11"/>
        <v>0</v>
      </c>
      <c r="AC37" s="184">
        <f>IF(AB37="","",IF($I$8="A",(RANK(AB37,AB$11:AB$368)+COUNTIF(AB$11:AB37,AB37)-1),(RANK(AB37,AB$11:AB$368,1)+COUNTIF(AB$11:AB37,AB37)-1)))</f>
        <v>1</v>
      </c>
      <c r="AD37" s="184"/>
      <c r="AE37" s="28" t="str">
        <f t="shared" si="24"/>
        <v/>
      </c>
      <c r="AG37" s="96"/>
      <c r="AH37" s="29"/>
      <c r="AI37" s="38" t="str">
        <f>IF(L37="","",VLOOKUP($L37,classifications!$C:$J,8,FALSE))</f>
        <v>Dorset</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West</v>
      </c>
      <c r="AQ37" s="39" t="str">
        <f t="shared" si="15"/>
        <v/>
      </c>
      <c r="AR37" s="34" t="str">
        <f>IF(AQ37="","",IF(I$8="A",(RANK(AQ37,AQ$11:AQ$368,1)+COUNTIF(AQ$11:AQ37,AQ37)-1),(RANK(AQ37,AQ$11:AQ$368)+COUNTIF(AQ$11:AQ37,AQ37)-1)))</f>
        <v/>
      </c>
      <c r="AS37" s="29" t="str">
        <f t="shared" si="16"/>
        <v/>
      </c>
      <c r="AT37" s="34" t="str">
        <f t="shared" si="6"/>
        <v/>
      </c>
      <c r="AU37" s="39" t="str">
        <f t="shared" si="17"/>
        <v/>
      </c>
      <c r="AX37" s="21" t="e">
        <f>HLOOKUP($AX$9&amp;$AX$10,Data!$A$1:$ZZ$2000,(MATCH($C37,Data!$A$1:$A$2000,0)),FALSE)</f>
        <v>#N/A</v>
      </c>
      <c r="AY37" s="103"/>
      <c r="AZ37" s="21"/>
    </row>
    <row r="38" spans="1:52">
      <c r="A38" s="56" t="str">
        <f>$D$1&amp;28</f>
        <v>SC28</v>
      </c>
      <c r="B38" s="57">
        <f>IF(ISERROR(VLOOKUP(A38,classifications!A:C,3,FALSE)),0,VLOOKUP(A38,classifications!A:C,3,FALSE))</f>
        <v>0</v>
      </c>
      <c r="C38" s="8" t="s">
        <v>263</v>
      </c>
      <c r="D38" s="26" t="str">
        <f>VLOOKUP($C38,classifications!$C:$J,4,FALSE)</f>
        <v>UA</v>
      </c>
      <c r="E38" s="26">
        <f>VLOOKUP(C38,classifications!C:K,9,FALSE)</f>
        <v>0</v>
      </c>
      <c r="F38" s="36">
        <f t="shared" si="0"/>
        <v>16.797092986637889</v>
      </c>
      <c r="G38" s="71"/>
      <c r="H38" s="37" t="str">
        <f t="shared" si="1"/>
        <v/>
      </c>
      <c r="I38" s="77" t="str">
        <f>IF(H38="","",IF($I$8="A",(RANK(H38,H$11:H$368,1)+COUNTIF(H$11:H38,H38)-1),(RANK(H38,H$11:H$368)+COUNTIF(H$11:H38,H38)-1)))</f>
        <v/>
      </c>
      <c r="J38" s="35"/>
      <c r="K38" s="28" t="str">
        <f t="shared" si="7"/>
        <v/>
      </c>
      <c r="L38" s="36" t="str">
        <f t="shared" si="2"/>
        <v/>
      </c>
      <c r="M38" s="102" t="str">
        <f t="shared" si="22"/>
        <v/>
      </c>
      <c r="N38" s="101" t="str">
        <f t="shared" si="23"/>
        <v/>
      </c>
      <c r="O38" s="94" t="str">
        <f t="shared" si="8"/>
        <v/>
      </c>
      <c r="P38" s="94" t="str">
        <f t="shared" si="18"/>
        <v/>
      </c>
      <c r="Q38" s="94" t="str">
        <f t="shared" si="19"/>
        <v/>
      </c>
      <c r="R38" s="90" t="str">
        <f t="shared" si="20"/>
        <v/>
      </c>
      <c r="S38" s="37" t="str">
        <f t="shared" si="9"/>
        <v/>
      </c>
      <c r="T38" s="176" t="str">
        <f>IF(L38="","",VLOOKUP(L38,classifications!C:K,9,FALSE))</f>
        <v/>
      </c>
      <c r="U38" s="183" t="str">
        <f t="shared" si="10"/>
        <v/>
      </c>
      <c r="V38" s="184" t="str">
        <f>IF(U38="","",IF($I$8="A",(RANK(U38,U$11:U$368)+COUNTIF(U$11:U38,U38)-1),(RANK(U38,U$11:U$368,1)+COUNTIF(U$11:U38,U38)-1)))</f>
        <v/>
      </c>
      <c r="W38" s="185"/>
      <c r="X38" s="38" t="str">
        <f>IF(L38="","",VLOOKUP($L38,classifications!$C:$J,6,FALSE))</f>
        <v/>
      </c>
      <c r="Y38" s="26" t="b">
        <f t="shared" si="3"/>
        <v>0</v>
      </c>
      <c r="Z38" s="34" t="e">
        <f>IF(Y38="","",IF(I$8="A",(RANK(Y38,Y$11:Y$368,1)+COUNTIF(Y$11:Y38,Y38)-1),(RANK(Y38,Y$11:Y$368)+COUNTIF(Y$11:Y38,Y38)-1)))</f>
        <v>#N/A</v>
      </c>
      <c r="AA38" s="188" t="str">
        <f>IF(L38="","",VLOOKUP($L38,classifications!C:I,7,FALSE))</f>
        <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16.797092986637889</v>
      </c>
      <c r="AY38" s="103"/>
      <c r="AZ38" s="21"/>
    </row>
    <row r="39" spans="1:52">
      <c r="A39" s="56" t="str">
        <f>$D$1&amp;29</f>
        <v>SC29</v>
      </c>
      <c r="B39" s="57">
        <f>IF(ISERROR(VLOOKUP(A39,classifications!A:C,3,FALSE)),0,VLOOKUP(A39,classifications!A:C,3,FALSE))</f>
        <v>0</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t="str">
        <f t="shared" si="7"/>
        <v/>
      </c>
      <c r="L39" s="36" t="str">
        <f t="shared" si="2"/>
        <v/>
      </c>
      <c r="M39" s="102" t="str">
        <f t="shared" si="22"/>
        <v/>
      </c>
      <c r="N39" s="101" t="str">
        <f t="shared" si="23"/>
        <v/>
      </c>
      <c r="O39" s="94" t="str">
        <f t="shared" si="8"/>
        <v/>
      </c>
      <c r="P39" s="94" t="str">
        <f t="shared" si="18"/>
        <v/>
      </c>
      <c r="Q39" s="94" t="str">
        <f t="shared" si="19"/>
        <v/>
      </c>
      <c r="R39" s="90" t="str">
        <f t="shared" si="20"/>
        <v/>
      </c>
      <c r="S39" s="37" t="str">
        <f t="shared" si="9"/>
        <v/>
      </c>
      <c r="T39" s="176" t="str">
        <f>IF(L39="","",VLOOKUP(L39,classifications!C:K,9,FALSE))</f>
        <v/>
      </c>
      <c r="U39" s="183" t="str">
        <f t="shared" si="10"/>
        <v/>
      </c>
      <c r="V39" s="184" t="str">
        <f>IF(U39="","",IF($I$8="A",(RANK(U39,U$11:U$368)+COUNTIF(U$11:U39,U39)-1),(RANK(U39,U$11:U$368,1)+COUNTIF(U$11:U39,U39)-1)))</f>
        <v/>
      </c>
      <c r="W39" s="185"/>
      <c r="X39" s="38" t="str">
        <f>IF(L39="","",VLOOKUP($L39,classifications!$C:$J,6,FALSE))</f>
        <v/>
      </c>
      <c r="Y39" s="26" t="b">
        <f t="shared" si="3"/>
        <v>0</v>
      </c>
      <c r="Z39" s="34" t="e">
        <f>IF(Y39="","",IF(I$8="A",(RANK(Y39,Y$11:Y$368,1)+COUNTIF(Y$11:Y39,Y39)-1),(RANK(Y39,Y$11:Y$368)+COUNTIF(Y$11:Y39,Y39)-1)))</f>
        <v>#N/A</v>
      </c>
      <c r="AA39" s="188" t="str">
        <f>IF(L39="","",VLOOKUP($L39,classifications!C:I,7,FALSE))</f>
        <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SC30</v>
      </c>
      <c r="B40" s="57">
        <f>IF(ISERROR(VLOOKUP(A40,classifications!A:C,3,FALSE)),0,VLOOKUP(A40,classifications!A:C,3,FALSE))</f>
        <v>0</v>
      </c>
      <c r="C40" s="8" t="s">
        <v>19</v>
      </c>
      <c r="D40" s="26" t="str">
        <f>VLOOKUP($C40,classifications!$C:$J,4,FALSE)</f>
        <v>SD</v>
      </c>
      <c r="E40" s="26" t="str">
        <f>VLOOKUP(C40,classifications!C:K,9,FALSE)</f>
        <v>Sparse</v>
      </c>
      <c r="F40" s="36">
        <f t="shared" si="0"/>
        <v>13.221644663047666</v>
      </c>
      <c r="G40" s="71"/>
      <c r="H40" s="37" t="str">
        <f t="shared" si="1"/>
        <v/>
      </c>
      <c r="I40" s="77" t="str">
        <f>IF(H40="","",IF($I$8="A",(RANK(H40,H$11:H$368,1)+COUNTIF(H$11:H40,H40)-1),(RANK(H40,H$11:H$368)+COUNTIF(H$11:H40,H40)-1)))</f>
        <v/>
      </c>
      <c r="J40" s="35"/>
      <c r="K40" s="28" t="str">
        <f t="shared" si="7"/>
        <v/>
      </c>
      <c r="L40" s="36" t="str">
        <f t="shared" si="2"/>
        <v/>
      </c>
      <c r="M40" s="102" t="str">
        <f t="shared" si="22"/>
        <v/>
      </c>
      <c r="N40" s="101" t="str">
        <f t="shared" si="23"/>
        <v/>
      </c>
      <c r="O40" s="94" t="str">
        <f t="shared" si="8"/>
        <v/>
      </c>
      <c r="P40" s="94" t="str">
        <f t="shared" si="18"/>
        <v/>
      </c>
      <c r="Q40" s="94" t="str">
        <f t="shared" si="19"/>
        <v/>
      </c>
      <c r="R40" s="90" t="str">
        <f t="shared" si="20"/>
        <v/>
      </c>
      <c r="S40" s="37" t="str">
        <f t="shared" si="9"/>
        <v/>
      </c>
      <c r="T40" s="176" t="str">
        <f>IF(L40="","",VLOOKUP(L40,classifications!C:K,9,FALSE))</f>
        <v/>
      </c>
      <c r="U40" s="183" t="str">
        <f t="shared" si="10"/>
        <v/>
      </c>
      <c r="V40" s="184" t="str">
        <f>IF(U40="","",IF($I$8="A",(RANK(U40,U$11:U$368)+COUNTIF(U$11:U40,U40)-1),(RANK(U40,U$11:U$368,1)+COUNTIF(U$11:U40,U40)-1)))</f>
        <v/>
      </c>
      <c r="W40" s="185"/>
      <c r="X40" s="38" t="str">
        <f>IF(L40="","",VLOOKUP($L40,classifications!$C:$J,6,FALSE))</f>
        <v/>
      </c>
      <c r="Y40" s="26" t="b">
        <f t="shared" si="3"/>
        <v>0</v>
      </c>
      <c r="Z40" s="34" t="e">
        <f>IF(Y40="","",IF(I$8="A",(RANK(Y40,Y$11:Y$368,1)+COUNTIF(Y$11:Y40,Y40)-1),(RANK(Y40,Y$11:Y$368)+COUNTIF(Y$11:Y40,Y40)-1)))</f>
        <v>#N/A</v>
      </c>
      <c r="AA40" s="188" t="str">
        <f>IF(L40="","",VLOOKUP($L40,classifications!C:I,7,FALSE))</f>
        <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SC31</v>
      </c>
      <c r="B41" s="57">
        <f>IF(ISERROR(VLOOKUP(A41,classifications!A:C,3,FALSE)),0,VLOOKUP(A41,classifications!A:C,3,FALSE))</f>
        <v>0</v>
      </c>
      <c r="C41" s="8" t="s">
        <v>20</v>
      </c>
      <c r="D41" s="26" t="str">
        <f>VLOOKUP($C41,classifications!$C:$J,4,FALSE)</f>
        <v>SD</v>
      </c>
      <c r="E41" s="26" t="str">
        <f>VLOOKUP(C41,classifications!C:K,9,FALSE)</f>
        <v>Sparse</v>
      </c>
      <c r="F41" s="36">
        <f t="shared" si="0"/>
        <v>18.665339995359385</v>
      </c>
      <c r="G41" s="71"/>
      <c r="H41" s="37" t="str">
        <f t="shared" si="1"/>
        <v/>
      </c>
      <c r="I41" s="77" t="str">
        <f>IF(H41="","",IF($I$8="A",(RANK(H41,H$11:H$368,1)+COUNTIF(H$11:H41,H41)-1),(RANK(H41,H$11:H$368)+COUNTIF(H$11:H41,H41)-1)))</f>
        <v/>
      </c>
      <c r="J41" s="35"/>
      <c r="K41" s="28" t="str">
        <f t="shared" si="7"/>
        <v/>
      </c>
      <c r="L41" s="36" t="str">
        <f t="shared" si="2"/>
        <v/>
      </c>
      <c r="M41" s="102" t="str">
        <f t="shared" si="22"/>
        <v/>
      </c>
      <c r="N41" s="101" t="str">
        <f t="shared" si="23"/>
        <v/>
      </c>
      <c r="O41" s="94" t="str">
        <f t="shared" si="8"/>
        <v/>
      </c>
      <c r="P41" s="94" t="str">
        <f t="shared" si="18"/>
        <v/>
      </c>
      <c r="Q41" s="94" t="str">
        <f t="shared" si="19"/>
        <v/>
      </c>
      <c r="R41" s="90" t="str">
        <f t="shared" si="20"/>
        <v/>
      </c>
      <c r="S41" s="37" t="str">
        <f t="shared" si="9"/>
        <v/>
      </c>
      <c r="T41" s="176" t="str">
        <f>IF(L41="","",VLOOKUP(L41,classifications!C:K,9,FALSE))</f>
        <v/>
      </c>
      <c r="U41" s="183" t="str">
        <f t="shared" si="10"/>
        <v/>
      </c>
      <c r="V41" s="184" t="str">
        <f>IF(U41="","",IF($I$8="A",(RANK(U41,U$11:U$368)+COUNTIF(U$11:U41,U41)-1),(RANK(U41,U$11:U$368,1)+COUNTIF(U$11:U41,U41)-1)))</f>
        <v/>
      </c>
      <c r="W41" s="185"/>
      <c r="X41" s="38" t="str">
        <f>IF(L41="","",VLOOKUP($L41,classifications!$C:$J,6,FALSE))</f>
        <v/>
      </c>
      <c r="Y41" s="26" t="b">
        <f t="shared" si="3"/>
        <v>0</v>
      </c>
      <c r="Z41" s="34" t="e">
        <f>IF(Y41="","",IF(I$8="A",(RANK(Y41,Y$11:Y$368,1)+COUNTIF(Y$11:Y41,Y41)-1),(RANK(Y41,Y$11:Y$368)+COUNTIF(Y$11:Y41,Y41)-1)))</f>
        <v>#N/A</v>
      </c>
      <c r="AA41" s="188" t="str">
        <f>IF(L41="","",VLOOKUP($L41,classifications!C:I,7,FALSE))</f>
        <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SC32</v>
      </c>
      <c r="B42" s="57">
        <f>IF(ISERROR(VLOOKUP(A42,classifications!A:C,3,FALSE)),0,VLOOKUP(A42,classifications!A:C,3,FALSE))</f>
        <v>0</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t="str">
        <f t="shared" si="7"/>
        <v/>
      </c>
      <c r="L42" s="36" t="str">
        <f t="shared" si="2"/>
        <v/>
      </c>
      <c r="M42" s="102" t="str">
        <f t="shared" si="22"/>
        <v/>
      </c>
      <c r="N42" s="101" t="str">
        <f t="shared" si="23"/>
        <v/>
      </c>
      <c r="O42" s="94" t="str">
        <f t="shared" si="8"/>
        <v/>
      </c>
      <c r="P42" s="94" t="str">
        <f t="shared" si="18"/>
        <v/>
      </c>
      <c r="Q42" s="94" t="str">
        <f t="shared" si="19"/>
        <v/>
      </c>
      <c r="R42" s="90" t="str">
        <f t="shared" si="20"/>
        <v/>
      </c>
      <c r="S42" s="37" t="str">
        <f t="shared" si="9"/>
        <v/>
      </c>
      <c r="T42" s="176" t="str">
        <f>IF(L42="","",VLOOKUP(L42,classifications!C:K,9,FALSE))</f>
        <v/>
      </c>
      <c r="U42" s="183" t="str">
        <f t="shared" si="10"/>
        <v/>
      </c>
      <c r="V42" s="184" t="str">
        <f>IF(U42="","",IF($I$8="A",(RANK(U42,U$11:U$368)+COUNTIF(U$11:U42,U42)-1),(RANK(U42,U$11:U$368,1)+COUNTIF(U$11:U42,U42)-1)))</f>
        <v/>
      </c>
      <c r="W42" s="185"/>
      <c r="X42" s="38" t="str">
        <f>IF(L42="","",VLOOKUP($L42,classifications!$C:$J,6,FALSE))</f>
        <v/>
      </c>
      <c r="Y42" s="26" t="b">
        <f t="shared" si="3"/>
        <v>0</v>
      </c>
      <c r="Z42" s="34" t="e">
        <f>IF(Y42="","",IF(I$8="A",(RANK(Y42,Y$11:Y$368,1)+COUNTIF(Y$11:Y42,Y42)-1),(RANK(Y42,Y$11:Y$368)+COUNTIF(Y$11:Y42,Y42)-1)))</f>
        <v>#N/A</v>
      </c>
      <c r="AA42" s="188" t="str">
        <f>IF(L42="","",VLOOKUP($L42,classifications!C:I,7,FALSE))</f>
        <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SC33</v>
      </c>
      <c r="B43" s="57">
        <f>IF(ISERROR(VLOOKUP(A43,classifications!A:C,3,FALSE)),0,VLOOKUP(A43,classifications!A:C,3,FALSE))</f>
        <v>0</v>
      </c>
      <c r="C43" s="8" t="s">
        <v>21</v>
      </c>
      <c r="D43" s="26" t="str">
        <f>VLOOKUP($C43,classifications!$C:$J,4,FALSE)</f>
        <v>SD</v>
      </c>
      <c r="E43" s="26">
        <f>VLOOKUP(C43,classifications!C:K,9,FALSE)</f>
        <v>0</v>
      </c>
      <c r="F43" s="36">
        <f t="shared" si="0"/>
        <v>16.545630498092613</v>
      </c>
      <c r="G43" s="71"/>
      <c r="H43" s="37" t="str">
        <f t="shared" si="1"/>
        <v/>
      </c>
      <c r="I43" s="77" t="str">
        <f>IF(H43="","",IF($I$8="A",(RANK(H43,H$11:H$368,1)+COUNTIF(H$11:H43,H43)-1),(RANK(H43,H$11:H$368)+COUNTIF(H$11:H43,H43)-1)))</f>
        <v/>
      </c>
      <c r="J43" s="35"/>
      <c r="K43" s="28" t="str">
        <f t="shared" si="7"/>
        <v/>
      </c>
      <c r="L43" s="36" t="str">
        <f t="shared" si="2"/>
        <v/>
      </c>
      <c r="M43" s="102" t="str">
        <f t="shared" si="22"/>
        <v/>
      </c>
      <c r="N43" s="101" t="str">
        <f t="shared" si="23"/>
        <v/>
      </c>
      <c r="O43" s="94" t="str">
        <f t="shared" si="8"/>
        <v/>
      </c>
      <c r="P43" s="94" t="str">
        <f t="shared" si="18"/>
        <v/>
      </c>
      <c r="Q43" s="94" t="str">
        <f t="shared" si="19"/>
        <v/>
      </c>
      <c r="R43" s="90" t="str">
        <f t="shared" si="20"/>
        <v/>
      </c>
      <c r="S43" s="37" t="str">
        <f t="shared" si="9"/>
        <v/>
      </c>
      <c r="T43" s="176" t="str">
        <f>IF(L43="","",VLOOKUP(L43,classifications!C:K,9,FALSE))</f>
        <v/>
      </c>
      <c r="U43" s="183" t="str">
        <f t="shared" ref="U43:U74" si="25">IF(T43="Sparse",M43,"")</f>
        <v/>
      </c>
      <c r="V43" s="184" t="str">
        <f>IF(U43="","",IF($I$8="A",(RANK(U43,U$11:U$368)+COUNTIF(U$11:U43,U43)-1),(RANK(U43,U$11:U$368,1)+COUNTIF(U$11:U43,U43)-1)))</f>
        <v/>
      </c>
      <c r="W43" s="185"/>
      <c r="X43" s="38" t="str">
        <f>IF(L43="","",VLOOKUP($L43,classifications!$C:$J,6,FALSE))</f>
        <v/>
      </c>
      <c r="Y43" s="26" t="b">
        <f t="shared" si="3"/>
        <v>0</v>
      </c>
      <c r="Z43" s="34" t="e">
        <f>IF(Y43="","",IF(I$8="A",(RANK(Y43,Y$11:Y$368,1)+COUNTIF(Y$11:Y43,Y43)-1),(RANK(Y43,Y$11:Y$368)+COUNTIF(Y$11:Y43,Y43)-1)))</f>
        <v>#N/A</v>
      </c>
      <c r="AA43" s="188" t="str">
        <f>IF(L43="","",VLOOKUP($L43,classifications!C:I,7,FALSE))</f>
        <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SC34</v>
      </c>
      <c r="B44" s="57">
        <f>IF(ISERROR(VLOOKUP(A44,classifications!A:C,3,FALSE)),0,VLOOKUP(A44,classifications!A:C,3,FALSE))</f>
        <v>0</v>
      </c>
      <c r="C44" s="8" t="s">
        <v>811</v>
      </c>
      <c r="D44" s="26" t="str">
        <f>VLOOKUP($C44,classifications!$C:$J,4,FALSE)</f>
        <v>UA</v>
      </c>
      <c r="E44" s="26">
        <f>VLOOKUP(C44,classifications!C:K,9,FALSE)</f>
        <v>0</v>
      </c>
      <c r="F44" s="36">
        <f t="shared" si="0"/>
        <v>22.50801166188295</v>
      </c>
      <c r="G44" s="71"/>
      <c r="H44" s="37" t="str">
        <f t="shared" si="1"/>
        <v/>
      </c>
      <c r="I44" s="77" t="str">
        <f>IF(H44="","",IF($I$8="A",(RANK(H44,H$11:H$368,1)+COUNTIF(H$11:H44,H44)-1),(RANK(H44,H$11:H$368)+COUNTIF(H$11:H44,H44)-1)))</f>
        <v/>
      </c>
      <c r="J44" s="35"/>
      <c r="K44" s="28" t="str">
        <f t="shared" si="7"/>
        <v/>
      </c>
      <c r="L44" s="36" t="str">
        <f t="shared" si="2"/>
        <v/>
      </c>
      <c r="M44" s="102" t="str">
        <f t="shared" si="22"/>
        <v/>
      </c>
      <c r="N44" s="101" t="str">
        <f t="shared" si="23"/>
        <v/>
      </c>
      <c r="O44" s="94" t="str">
        <f t="shared" si="8"/>
        <v/>
      </c>
      <c r="P44" s="94" t="str">
        <f t="shared" si="18"/>
        <v/>
      </c>
      <c r="Q44" s="94" t="str">
        <f t="shared" si="19"/>
        <v/>
      </c>
      <c r="R44" s="90" t="str">
        <f t="shared" si="20"/>
        <v/>
      </c>
      <c r="S44" s="37" t="str">
        <f t="shared" si="9"/>
        <v/>
      </c>
      <c r="T44" s="176" t="str">
        <f>IF(L44="","",VLOOKUP(L44,classifications!C:K,9,FALSE))</f>
        <v/>
      </c>
      <c r="U44" s="183" t="str">
        <f t="shared" si="25"/>
        <v/>
      </c>
      <c r="V44" s="184" t="str">
        <f>IF(U44="","",IF($I$8="A",(RANK(U44,U$11:U$368)+COUNTIF(U$11:U44,U44)-1),(RANK(U44,U$11:U$368,1)+COUNTIF(U$11:U44,U44)-1)))</f>
        <v/>
      </c>
      <c r="W44" s="185"/>
      <c r="X44" s="38" t="str">
        <f>IF(L44="","",VLOOKUP($L44,classifications!$C:$J,6,FALSE))</f>
        <v/>
      </c>
      <c r="Y44" s="26" t="b">
        <f t="shared" si="3"/>
        <v>0</v>
      </c>
      <c r="Z44" s="34" t="e">
        <f>IF(Y44="","",IF(I$8="A",(RANK(Y44,Y$11:Y$368,1)+COUNTIF(Y$11:Y44,Y44)-1),(RANK(Y44,Y$11:Y$368)+COUNTIF(Y$11:Y44,Y44)-1)))</f>
        <v>#N/A</v>
      </c>
      <c r="AA44" s="188" t="str">
        <f>IF(L44="","",VLOOKUP($L44,classifications!C:I,7,FALSE))</f>
        <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SC35</v>
      </c>
      <c r="B45" s="57">
        <f>IF(ISERROR(VLOOKUP(A45,classifications!A:C,3,FALSE)),0,VLOOKUP(A45,classifications!A:C,3,FALSE))</f>
        <v>0</v>
      </c>
      <c r="C45" s="8" t="s">
        <v>815</v>
      </c>
      <c r="D45" s="26" t="str">
        <f>VLOOKUP($C45,classifications!$C:$J,4,FALSE)</f>
        <v>UA</v>
      </c>
      <c r="E45" s="26">
        <f>VLOOKUP(C45,classifications!C:K,9,FALSE)</f>
        <v>0</v>
      </c>
      <c r="F45" s="36">
        <f t="shared" si="0"/>
        <v>26.218360567306064</v>
      </c>
      <c r="G45" s="71"/>
      <c r="H45" s="37" t="str">
        <f t="shared" si="1"/>
        <v/>
      </c>
      <c r="I45" s="77" t="str">
        <f>IF(H45="","",IF($I$8="A",(RANK(H45,H$11:H$368,1)+COUNTIF(H$11:H45,H45)-1),(RANK(H45,H$11:H$368)+COUNTIF(H$11:H45,H45)-1)))</f>
        <v/>
      </c>
      <c r="J45" s="35"/>
      <c r="K45" s="28" t="str">
        <f t="shared" si="7"/>
        <v/>
      </c>
      <c r="L45" s="36" t="str">
        <f t="shared" si="2"/>
        <v/>
      </c>
      <c r="M45" s="102" t="str">
        <f t="shared" si="22"/>
        <v/>
      </c>
      <c r="N45" s="101" t="str">
        <f t="shared" si="23"/>
        <v/>
      </c>
      <c r="O45" s="94" t="str">
        <f t="shared" si="8"/>
        <v/>
      </c>
      <c r="P45" s="94" t="str">
        <f t="shared" si="18"/>
        <v/>
      </c>
      <c r="Q45" s="94" t="str">
        <f t="shared" si="19"/>
        <v/>
      </c>
      <c r="R45" s="90" t="str">
        <f t="shared" si="20"/>
        <v/>
      </c>
      <c r="S45" s="37" t="str">
        <f t="shared" si="9"/>
        <v/>
      </c>
      <c r="T45" s="176" t="str">
        <f>IF(L45="","",VLOOKUP(L45,classifications!C:K,9,FALSE))</f>
        <v/>
      </c>
      <c r="U45" s="183" t="str">
        <f t="shared" si="25"/>
        <v/>
      </c>
      <c r="V45" s="184" t="str">
        <f>IF(U45="","",IF($I$8="A",(RANK(U45,U$11:U$368)+COUNTIF(U$11:U45,U45)-1),(RANK(U45,U$11:U$368,1)+COUNTIF(U$11:U45,U45)-1)))</f>
        <v/>
      </c>
      <c r="W45" s="185"/>
      <c r="X45" s="38" t="str">
        <f>IF(L45="","",VLOOKUP($L45,classifications!$C:$J,6,FALSE))</f>
        <v/>
      </c>
      <c r="Y45" s="26" t="b">
        <f t="shared" si="3"/>
        <v>0</v>
      </c>
      <c r="Z45" s="34" t="e">
        <f>IF(Y45="","",IF(I$8="A",(RANK(Y45,Y$11:Y$368,1)+COUNTIF(Y$11:Y45,Y45)-1),(RANK(Y45,Y$11:Y$368)+COUNTIF(Y$11:Y45,Y45)-1)))</f>
        <v>#N/A</v>
      </c>
      <c r="AA45" s="188" t="str">
        <f>IF(L45="","",VLOOKUP($L45,classifications!C:I,7,FALSE))</f>
        <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
      </c>
      <c r="AJ45" s="39" t="str">
        <f t="shared" si="4"/>
        <v/>
      </c>
      <c r="AK45" s="34" t="str">
        <f>IF(AJ45="","",IF(I$8="A",(RANK(AJ45,AJ$11:AJ$368,1)+COUNTIF(AJ$11:AJ45,AJ45)-1),(RANK(AJ45,AJ$11:AJ$368)+COUNTIF(AJ$11:AJ45,AJ45)-1)))</f>
        <v/>
      </c>
      <c r="AL45" s="29" t="str">
        <f t="shared" si="13"/>
        <v/>
      </c>
      <c r="AM45" s="8" t="str">
        <f t="shared" si="5"/>
        <v/>
      </c>
      <c r="AN45" s="8" t="str">
        <f t="shared" si="14"/>
        <v/>
      </c>
      <c r="AP45" s="38" t="str">
        <f>IF(L45="","",VLOOKUP($L45,classifications!$C:$E,3,FALSE))</f>
        <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26.218360567306064</v>
      </c>
      <c r="AY45" s="103"/>
      <c r="AZ45" s="21"/>
    </row>
    <row r="46" spans="1:52">
      <c r="A46" s="56" t="str">
        <f>$D$1&amp;36</f>
        <v>SC36</v>
      </c>
      <c r="B46" s="57">
        <f>IF(ISERROR(VLOOKUP(A46,classifications!A:C,3,FALSE)),0,VLOOKUP(A46,classifications!A:C,3,FALSE))</f>
        <v>0</v>
      </c>
      <c r="C46" s="8" t="s">
        <v>22</v>
      </c>
      <c r="D46" s="26" t="str">
        <f>VLOOKUP($C46,classifications!$C:$J,4,FALSE)</f>
        <v>SD</v>
      </c>
      <c r="E46" s="26">
        <f>VLOOKUP(C46,classifications!C:K,9,FALSE)</f>
        <v>0</v>
      </c>
      <c r="F46" s="36">
        <f t="shared" si="0"/>
        <v>18.301486340637595</v>
      </c>
      <c r="G46" s="71"/>
      <c r="H46" s="37" t="str">
        <f t="shared" si="1"/>
        <v/>
      </c>
      <c r="I46" s="77" t="str">
        <f>IF(H46="","",IF($I$8="A",(RANK(H46,H$11:H$368,1)+COUNTIF(H$11:H46,H46)-1),(RANK(H46,H$11:H$368)+COUNTIF(H$11:H46,H46)-1)))</f>
        <v/>
      </c>
      <c r="J46" s="35"/>
      <c r="K46" s="28" t="str">
        <f t="shared" si="7"/>
        <v/>
      </c>
      <c r="L46" s="36" t="str">
        <f t="shared" si="2"/>
        <v/>
      </c>
      <c r="M46" s="102" t="str">
        <f t="shared" si="22"/>
        <v/>
      </c>
      <c r="N46" s="101" t="str">
        <f t="shared" si="23"/>
        <v/>
      </c>
      <c r="O46" s="94" t="str">
        <f t="shared" si="8"/>
        <v/>
      </c>
      <c r="P46" s="94" t="str">
        <f t="shared" si="18"/>
        <v/>
      </c>
      <c r="Q46" s="94" t="str">
        <f t="shared" si="19"/>
        <v/>
      </c>
      <c r="R46" s="90" t="str">
        <f t="shared" si="20"/>
        <v/>
      </c>
      <c r="S46" s="37" t="str">
        <f t="shared" si="9"/>
        <v/>
      </c>
      <c r="T46" s="176" t="str">
        <f>IF(L46="","",VLOOKUP(L46,classifications!C:K,9,FALSE))</f>
        <v/>
      </c>
      <c r="U46" s="183" t="str">
        <f t="shared" si="25"/>
        <v/>
      </c>
      <c r="V46" s="184" t="str">
        <f>IF(U46="","",IF($I$8="A",(RANK(U46,U$11:U$368)+COUNTIF(U$11:U46,U46)-1),(RANK(U46,U$11:U$368,1)+COUNTIF(U$11:U46,U46)-1)))</f>
        <v/>
      </c>
      <c r="W46" s="185"/>
      <c r="X46" s="38" t="str">
        <f>IF(L46="","",VLOOKUP($L46,classifications!$C:$J,6,FALSE))</f>
        <v/>
      </c>
      <c r="Y46" s="26" t="b">
        <f t="shared" si="3"/>
        <v>0</v>
      </c>
      <c r="Z46" s="34" t="e">
        <f>IF(Y46="","",IF(I$8="A",(RANK(Y46,Y$11:Y$368,1)+COUNTIF(Y$11:Y46,Y46)-1),(RANK(Y46,Y$11:Y$368)+COUNTIF(Y$11:Y46,Y46)-1)))</f>
        <v>#N/A</v>
      </c>
      <c r="AA46" s="188" t="str">
        <f>IF(L46="","",VLOOKUP($L46,classifications!C:I,7,FALSE))</f>
        <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SC37</v>
      </c>
      <c r="B47" s="57">
        <f>IF(ISERROR(VLOOKUP(A47,classifications!A:C,3,FALSE)),0,VLOOKUP(A47,classifications!A:C,3,FALSE))</f>
        <v>0</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t="str">
        <f t="shared" si="7"/>
        <v/>
      </c>
      <c r="L47" s="36" t="str">
        <f t="shared" si="2"/>
        <v/>
      </c>
      <c r="M47" s="102" t="str">
        <f t="shared" si="22"/>
        <v/>
      </c>
      <c r="N47" s="101" t="str">
        <f t="shared" si="23"/>
        <v/>
      </c>
      <c r="O47" s="94" t="str">
        <f t="shared" si="8"/>
        <v/>
      </c>
      <c r="P47" s="94" t="str">
        <f t="shared" si="18"/>
        <v/>
      </c>
      <c r="Q47" s="94" t="str">
        <f t="shared" si="19"/>
        <v/>
      </c>
      <c r="R47" s="90" t="str">
        <f t="shared" si="20"/>
        <v/>
      </c>
      <c r="S47" s="37" t="str">
        <f t="shared" si="9"/>
        <v/>
      </c>
      <c r="T47" s="176" t="str">
        <f>IF(L47="","",VLOOKUP(L47,classifications!C:K,9,FALSE))</f>
        <v/>
      </c>
      <c r="U47" s="183" t="str">
        <f t="shared" si="25"/>
        <v/>
      </c>
      <c r="V47" s="184" t="str">
        <f>IF(U47="","",IF($I$8="A",(RANK(U47,U$11:U$368)+COUNTIF(U$11:U47,U47)-1),(RANK(U47,U$11:U$368,1)+COUNTIF(U$11:U47,U47)-1)))</f>
        <v/>
      </c>
      <c r="W47" s="185"/>
      <c r="X47" s="38" t="str">
        <f>IF(L47="","",VLOOKUP($L47,classifications!$C:$J,6,FALSE))</f>
        <v/>
      </c>
      <c r="Y47" s="26" t="b">
        <f t="shared" si="3"/>
        <v>0</v>
      </c>
      <c r="Z47" s="34" t="e">
        <f>IF(Y47="","",IF(I$8="A",(RANK(Y47,Y$11:Y$368,1)+COUNTIF(Y$11:Y47,Y47)-1),(RANK(Y47,Y$11:Y$368)+COUNTIF(Y$11:Y47,Y47)-1)))</f>
        <v>#N/A</v>
      </c>
      <c r="AA47" s="188" t="str">
        <f>IF(L47="","",VLOOKUP($L47,classifications!C:I,7,FALSE))</f>
        <v/>
      </c>
      <c r="AB47" s="184" t="str">
        <f t="shared" si="11"/>
        <v/>
      </c>
      <c r="AC47" s="184" t="str">
        <f>IF(AB47="","",IF($I$8="A",(RANK(AB47,AB$11:AB$368)+COUNTIF(AB$11:AB47,AB47)-1),(RANK(AB47,AB$11:AB$368,1)+COUNTIF(AB$11:AB47,AB47)-1)))</f>
        <v/>
      </c>
      <c r="AD47" s="184"/>
      <c r="AE47" s="28" t="str">
        <f t="shared" si="24"/>
        <v/>
      </c>
      <c r="AG47" s="96"/>
      <c r="AH47" s="29"/>
      <c r="AI47" s="38" t="str">
        <f>IF(L47="","",VLOOKUP($L47,classifications!$C:$J,8,FALSE))</f>
        <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SC38</v>
      </c>
      <c r="B48" s="57">
        <f>IF(ISERROR(VLOOKUP(A48,classifications!A:C,3,FALSE)),0,VLOOKUP(A48,classifications!A:C,3,FALSE))</f>
        <v>0</v>
      </c>
      <c r="C48" s="8" t="s">
        <v>23</v>
      </c>
      <c r="D48" s="26" t="str">
        <f>VLOOKUP($C48,classifications!$C:$J,4,FALSE)</f>
        <v>SD</v>
      </c>
      <c r="E48" s="26">
        <f>VLOOKUP(C48,classifications!C:K,9,FALSE)</f>
        <v>0</v>
      </c>
      <c r="F48" s="36">
        <f t="shared" si="0"/>
        <v>11.244484734371497</v>
      </c>
      <c r="G48" s="71"/>
      <c r="H48" s="37" t="str">
        <f t="shared" si="1"/>
        <v/>
      </c>
      <c r="I48" s="77" t="str">
        <f>IF(H48="","",IF($I$8="A",(RANK(H48,H$11:H$368,1)+COUNTIF(H$11:H48,H48)-1),(RANK(H48,H$11:H$368)+COUNTIF(H$11:H48,H48)-1)))</f>
        <v/>
      </c>
      <c r="J48" s="35"/>
      <c r="K48" s="28" t="str">
        <f t="shared" si="7"/>
        <v/>
      </c>
      <c r="L48" s="36" t="str">
        <f t="shared" si="2"/>
        <v/>
      </c>
      <c r="M48" s="102" t="str">
        <f t="shared" si="22"/>
        <v/>
      </c>
      <c r="N48" s="101" t="str">
        <f t="shared" si="23"/>
        <v/>
      </c>
      <c r="O48" s="94" t="str">
        <f t="shared" si="8"/>
        <v/>
      </c>
      <c r="P48" s="94" t="str">
        <f t="shared" si="18"/>
        <v/>
      </c>
      <c r="Q48" s="94" t="str">
        <f t="shared" si="19"/>
        <v/>
      </c>
      <c r="R48" s="90" t="str">
        <f t="shared" si="20"/>
        <v/>
      </c>
      <c r="S48" s="37" t="str">
        <f t="shared" si="9"/>
        <v/>
      </c>
      <c r="T48" s="176" t="str">
        <f>IF(L48="","",VLOOKUP(L48,classifications!C:K,9,FALSE))</f>
        <v/>
      </c>
      <c r="U48" s="183" t="str">
        <f t="shared" si="25"/>
        <v/>
      </c>
      <c r="V48" s="184" t="str">
        <f>IF(U48="","",IF($I$8="A",(RANK(U48,U$11:U$368)+COUNTIF(U$11:U48,U48)-1),(RANK(U48,U$11:U$368,1)+COUNTIF(U$11:U48,U48)-1)))</f>
        <v/>
      </c>
      <c r="W48" s="185"/>
      <c r="X48" s="38" t="str">
        <f>IF(L48="","",VLOOKUP($L48,classifications!$C:$J,6,FALSE))</f>
        <v/>
      </c>
      <c r="Y48" s="26" t="b">
        <f t="shared" si="3"/>
        <v>0</v>
      </c>
      <c r="Z48" s="34" t="e">
        <f>IF(Y48="","",IF(I$8="A",(RANK(Y48,Y$11:Y$368,1)+COUNTIF(Y$11:Y48,Y48)-1),(RANK(Y48,Y$11:Y$368)+COUNTIF(Y$11:Y48,Y48)-1)))</f>
        <v>#N/A</v>
      </c>
      <c r="AA48" s="188" t="str">
        <f>IF(L48="","",VLOOKUP($L48,classifications!C:I,7,FALSE))</f>
        <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SC39</v>
      </c>
      <c r="B49" s="57">
        <f>IF(ISERROR(VLOOKUP(A49,classifications!A:C,3,FALSE)),0,VLOOKUP(A49,classifications!A:C,3,FALSE))</f>
        <v>0</v>
      </c>
      <c r="C49" s="8" t="s">
        <v>24</v>
      </c>
      <c r="D49" s="26" t="str">
        <f>VLOOKUP($C49,classifications!$C:$J,4,FALSE)</f>
        <v>SD</v>
      </c>
      <c r="E49" s="26">
        <f>VLOOKUP(C49,classifications!C:K,9,FALSE)</f>
        <v>0</v>
      </c>
      <c r="F49" s="36">
        <f t="shared" si="0"/>
        <v>11.843262234152634</v>
      </c>
      <c r="G49" s="71"/>
      <c r="H49" s="37" t="str">
        <f t="shared" si="1"/>
        <v/>
      </c>
      <c r="I49" s="77" t="str">
        <f>IF(H49="","",IF($I$8="A",(RANK(H49,H$11:H$368,1)+COUNTIF(H$11:H49,H49)-1),(RANK(H49,H$11:H$368)+COUNTIF(H$11:H49,H49)-1)))</f>
        <v/>
      </c>
      <c r="J49" s="35"/>
      <c r="K49" s="28" t="str">
        <f t="shared" si="7"/>
        <v/>
      </c>
      <c r="L49" s="36" t="str">
        <f t="shared" si="2"/>
        <v/>
      </c>
      <c r="M49" s="102" t="str">
        <f t="shared" si="22"/>
        <v/>
      </c>
      <c r="N49" s="101" t="str">
        <f t="shared" si="23"/>
        <v/>
      </c>
      <c r="O49" s="94" t="str">
        <f t="shared" si="8"/>
        <v/>
      </c>
      <c r="P49" s="94" t="str">
        <f t="shared" si="18"/>
        <v/>
      </c>
      <c r="Q49" s="94" t="str">
        <f t="shared" si="19"/>
        <v/>
      </c>
      <c r="R49" s="90" t="str">
        <f t="shared" si="20"/>
        <v/>
      </c>
      <c r="S49" s="37" t="str">
        <f t="shared" si="9"/>
        <v/>
      </c>
      <c r="T49" s="176" t="str">
        <f>IF(L49="","",VLOOKUP(L49,classifications!C:K,9,FALSE))</f>
        <v/>
      </c>
      <c r="U49" s="183" t="str">
        <f t="shared" si="25"/>
        <v/>
      </c>
      <c r="V49" s="184" t="str">
        <f>IF(U49="","",IF($I$8="A",(RANK(U49,U$11:U$368)+COUNTIF(U$11:U49,U49)-1),(RANK(U49,U$11:U$368,1)+COUNTIF(U$11:U49,U49)-1)))</f>
        <v/>
      </c>
      <c r="W49" s="185"/>
      <c r="X49" s="38" t="str">
        <f>IF(L49="","",VLOOKUP($L49,classifications!$C:$J,6,FALSE))</f>
        <v/>
      </c>
      <c r="Y49" s="26" t="b">
        <f t="shared" si="3"/>
        <v>0</v>
      </c>
      <c r="Z49" s="34" t="e">
        <f>IF(Y49="","",IF(I$8="A",(RANK(Y49,Y$11:Y$368,1)+COUNTIF(Y$11:Y49,Y49)-1),(RANK(Y49,Y$11:Y$368)+COUNTIF(Y$11:Y49,Y49)-1)))</f>
        <v>#N/A</v>
      </c>
      <c r="AA49" s="188" t="str">
        <f>IF(L49="","",VLOOKUP($L49,classifications!C:I,7,FALSE))</f>
        <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11.843262234152634</v>
      </c>
      <c r="AY49" s="103"/>
      <c r="AZ49" s="21"/>
    </row>
    <row r="50" spans="1:52">
      <c r="A50" s="56" t="str">
        <f>$D$1&amp;40</f>
        <v>SC40</v>
      </c>
      <c r="B50" s="57">
        <f>IF(ISERROR(VLOOKUP(A50,classifications!A:C,3,FALSE)),0,VLOOKUP(A50,classifications!A:C,3,FALSE))</f>
        <v>0</v>
      </c>
      <c r="C50" s="8" t="s">
        <v>25</v>
      </c>
      <c r="D50" s="26" t="str">
        <f>VLOOKUP($C50,classifications!$C:$J,4,FALSE)</f>
        <v>SD</v>
      </c>
      <c r="E50" s="26">
        <f>VLOOKUP(C50,classifications!C:K,9,FALSE)</f>
        <v>0</v>
      </c>
      <c r="F50" s="36">
        <f t="shared" si="0"/>
        <v>21.042725290543054</v>
      </c>
      <c r="G50" s="71"/>
      <c r="H50" s="37" t="str">
        <f t="shared" si="1"/>
        <v/>
      </c>
      <c r="I50" s="77" t="str">
        <f>IF(H50="","",IF($I$8="A",(RANK(H50,H$11:H$368,1)+COUNTIF(H$11:H50,H50)-1),(RANK(H50,H$11:H$368)+COUNTIF(H$11:H50,H50)-1)))</f>
        <v/>
      </c>
      <c r="J50" s="35"/>
      <c r="K50" s="28" t="str">
        <f t="shared" si="7"/>
        <v/>
      </c>
      <c r="L50" s="36" t="str">
        <f t="shared" si="2"/>
        <v/>
      </c>
      <c r="M50" s="102" t="str">
        <f t="shared" si="22"/>
        <v/>
      </c>
      <c r="N50" s="101" t="str">
        <f t="shared" si="23"/>
        <v/>
      </c>
      <c r="O50" s="94" t="str">
        <f t="shared" si="8"/>
        <v/>
      </c>
      <c r="P50" s="94" t="str">
        <f t="shared" si="18"/>
        <v/>
      </c>
      <c r="Q50" s="94" t="str">
        <f t="shared" si="19"/>
        <v/>
      </c>
      <c r="R50" s="90" t="str">
        <f t="shared" si="20"/>
        <v/>
      </c>
      <c r="S50" s="37" t="str">
        <f t="shared" si="9"/>
        <v/>
      </c>
      <c r="T50" s="176" t="str">
        <f>IF(L50="","",VLOOKUP(L50,classifications!C:K,9,FALSE))</f>
        <v/>
      </c>
      <c r="U50" s="183" t="str">
        <f t="shared" si="25"/>
        <v/>
      </c>
      <c r="V50" s="184" t="str">
        <f>IF(U50="","",IF($I$8="A",(RANK(U50,U$11:U$368)+COUNTIF(U$11:U50,U50)-1),(RANK(U50,U$11:U$368,1)+COUNTIF(U$11:U50,U50)-1)))</f>
        <v/>
      </c>
      <c r="W50" s="185"/>
      <c r="X50" s="38" t="str">
        <f>IF(L50="","",VLOOKUP($L50,classifications!$C:$J,6,FALSE))</f>
        <v/>
      </c>
      <c r="Y50" s="26" t="b">
        <f t="shared" si="3"/>
        <v>0</v>
      </c>
      <c r="Z50" s="34" t="e">
        <f>IF(Y50="","",IF(I$8="A",(RANK(Y50,Y$11:Y$368,1)+COUNTIF(Y$11:Y50,Y50)-1),(RANK(Y50,Y$11:Y$368)+COUNTIF(Y$11:Y50,Y50)-1)))</f>
        <v>#N/A</v>
      </c>
      <c r="AA50" s="188" t="str">
        <f>IF(L50="","",VLOOKUP($L50,classifications!C:I,7,FALSE))</f>
        <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SC41</v>
      </c>
      <c r="B51" s="57">
        <f>IF(ISERROR(VLOOKUP(A51,classifications!A:C,3,FALSE)),0,VLOOKUP(A51,classifications!A:C,3,FALSE))</f>
        <v>0</v>
      </c>
      <c r="C51" s="8" t="s">
        <v>300</v>
      </c>
      <c r="D51" s="26" t="str">
        <f>VLOOKUP($C51,classifications!$C:$J,4,FALSE)</f>
        <v>SC</v>
      </c>
      <c r="E51" s="26">
        <f>VLOOKUP(C51,classifications!C:K,9,FALSE)</f>
        <v>0</v>
      </c>
      <c r="F51" s="36">
        <f t="shared" si="0"/>
        <v>17.595316909409966</v>
      </c>
      <c r="G51" s="71"/>
      <c r="H51" s="37">
        <f t="shared" si="1"/>
        <v>17.595316909409966</v>
      </c>
      <c r="I51" s="77">
        <f>IF(H51="","",IF($I$8="A",(RANK(H51,H$11:H$368,1)+COUNTIF(H$11:H51,H51)-1),(RANK(H51,H$11:H$368)+COUNTIF(H$11:H51,H51)-1)))</f>
        <v>11</v>
      </c>
      <c r="J51" s="35"/>
      <c r="K51" s="28" t="str">
        <f t="shared" si="7"/>
        <v/>
      </c>
      <c r="L51" s="36" t="str">
        <f t="shared" si="2"/>
        <v/>
      </c>
      <c r="M51" s="102" t="str">
        <f t="shared" si="22"/>
        <v/>
      </c>
      <c r="N51" s="101" t="str">
        <f t="shared" si="23"/>
        <v/>
      </c>
      <c r="O51" s="94" t="str">
        <f t="shared" si="8"/>
        <v/>
      </c>
      <c r="P51" s="94" t="str">
        <f t="shared" si="18"/>
        <v/>
      </c>
      <c r="Q51" s="94" t="str">
        <f t="shared" si="19"/>
        <v/>
      </c>
      <c r="R51" s="90" t="str">
        <f t="shared" si="20"/>
        <v/>
      </c>
      <c r="S51" s="37" t="str">
        <f t="shared" si="9"/>
        <v/>
      </c>
      <c r="T51" s="176" t="str">
        <f>IF(L51="","",VLOOKUP(L51,classifications!C:K,9,FALSE))</f>
        <v/>
      </c>
      <c r="U51" s="183" t="str">
        <f t="shared" si="25"/>
        <v/>
      </c>
      <c r="V51" s="184" t="str">
        <f>IF(U51="","",IF($I$8="A",(RANK(U51,U$11:U$368)+COUNTIF(U$11:U51,U51)-1),(RANK(U51,U$11:U$368,1)+COUNTIF(U$11:U51,U51)-1)))</f>
        <v/>
      </c>
      <c r="W51" s="185"/>
      <c r="X51" s="38" t="str">
        <f>IF(L51="","",VLOOKUP($L51,classifications!$C:$J,6,FALSE))</f>
        <v/>
      </c>
      <c r="Y51" s="26" t="b">
        <f t="shared" si="3"/>
        <v>0</v>
      </c>
      <c r="Z51" s="34" t="e">
        <f>IF(Y51="","",IF(I$8="A",(RANK(Y51,Y$11:Y$368,1)+COUNTIF(Y$11:Y51,Y51)-1),(RANK(Y51,Y$11:Y$368)+COUNTIF(Y$11:Y51,Y51)-1)))</f>
        <v>#N/A</v>
      </c>
      <c r="AA51" s="188" t="str">
        <f>IF(L51="","",VLOOKUP($L51,classifications!C:I,7,FALSE))</f>
        <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SC42</v>
      </c>
      <c r="B52" s="57">
        <f>IF(ISERROR(VLOOKUP(A52,classifications!A:C,3,FALSE)),0,VLOOKUP(A52,classifications!A:C,3,FALSE))</f>
        <v>0</v>
      </c>
      <c r="C52" s="8" t="s">
        <v>26</v>
      </c>
      <c r="D52" s="26" t="str">
        <f>VLOOKUP($C52,classifications!$C:$J,4,FALSE)</f>
        <v>SD</v>
      </c>
      <c r="E52" s="26">
        <f>VLOOKUP(C52,classifications!C:K,9,FALSE)</f>
        <v>0</v>
      </c>
      <c r="F52" s="36">
        <f t="shared" si="0"/>
        <v>10.998091125723644</v>
      </c>
      <c r="G52" s="71"/>
      <c r="H52" s="37" t="str">
        <f t="shared" si="1"/>
        <v/>
      </c>
      <c r="I52" s="77" t="str">
        <f>IF(H52="","",IF($I$8="A",(RANK(H52,H$11:H$368,1)+COUNTIF(H$11:H52,H52)-1),(RANK(H52,H$11:H$368)+COUNTIF(H$11:H52,H52)-1)))</f>
        <v/>
      </c>
      <c r="J52" s="35"/>
      <c r="K52" s="28" t="str">
        <f t="shared" si="7"/>
        <v/>
      </c>
      <c r="L52" s="36" t="str">
        <f t="shared" si="2"/>
        <v/>
      </c>
      <c r="M52" s="102" t="str">
        <f t="shared" si="22"/>
        <v/>
      </c>
      <c r="N52" s="101" t="str">
        <f t="shared" si="23"/>
        <v/>
      </c>
      <c r="O52" s="94" t="str">
        <f t="shared" si="8"/>
        <v/>
      </c>
      <c r="P52" s="94" t="str">
        <f t="shared" si="18"/>
        <v/>
      </c>
      <c r="Q52" s="94" t="str">
        <f t="shared" si="19"/>
        <v/>
      </c>
      <c r="R52" s="90" t="str">
        <f t="shared" si="20"/>
        <v/>
      </c>
      <c r="S52" s="37" t="str">
        <f t="shared" si="9"/>
        <v/>
      </c>
      <c r="T52" s="176" t="str">
        <f>IF(L52="","",VLOOKUP(L52,classifications!C:K,9,FALSE))</f>
        <v/>
      </c>
      <c r="U52" s="183" t="str">
        <f t="shared" si="25"/>
        <v/>
      </c>
      <c r="V52" s="184" t="str">
        <f>IF(U52="","",IF($I$8="A",(RANK(U52,U$11:U$368)+COUNTIF(U$11:U52,U52)-1),(RANK(U52,U$11:U$368,1)+COUNTIF(U$11:U52,U52)-1)))</f>
        <v/>
      </c>
      <c r="W52" s="185"/>
      <c r="X52" s="38" t="str">
        <f>IF(L52="","",VLOOKUP($L52,classifications!$C:$J,6,FALSE))</f>
        <v/>
      </c>
      <c r="Y52" s="26" t="b">
        <f t="shared" si="3"/>
        <v>0</v>
      </c>
      <c r="Z52" s="34" t="e">
        <f>IF(Y52="","",IF(I$8="A",(RANK(Y52,Y$11:Y$368,1)+COUNTIF(Y$11:Y52,Y52)-1),(RANK(Y52,Y$11:Y$368)+COUNTIF(Y$11:Y52,Y52)-1)))</f>
        <v>#N/A</v>
      </c>
      <c r="AA52" s="188" t="str">
        <f>IF(L52="","",VLOOKUP($L52,classifications!C:I,7,FALSE))</f>
        <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SC43</v>
      </c>
      <c r="B53" s="57">
        <f>IF(ISERROR(VLOOKUP(A53,classifications!A:C,3,FALSE)),0,VLOOKUP(A53,classifications!A:C,3,FALSE))</f>
        <v>0</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t="str">
        <f t="shared" si="7"/>
        <v/>
      </c>
      <c r="L53" s="36" t="str">
        <f t="shared" si="2"/>
        <v/>
      </c>
      <c r="M53" s="102" t="str">
        <f t="shared" si="22"/>
        <v/>
      </c>
      <c r="N53" s="101" t="str">
        <f t="shared" si="23"/>
        <v/>
      </c>
      <c r="O53" s="94" t="str">
        <f t="shared" si="8"/>
        <v/>
      </c>
      <c r="P53" s="94" t="str">
        <f t="shared" si="18"/>
        <v/>
      </c>
      <c r="Q53" s="94" t="str">
        <f t="shared" si="19"/>
        <v/>
      </c>
      <c r="R53" s="90" t="str">
        <f t="shared" si="20"/>
        <v/>
      </c>
      <c r="S53" s="37" t="str">
        <f t="shared" si="9"/>
        <v/>
      </c>
      <c r="T53" s="176" t="str">
        <f>IF(L53="","",VLOOKUP(L53,classifications!C:K,9,FALSE))</f>
        <v/>
      </c>
      <c r="U53" s="183" t="str">
        <f t="shared" si="25"/>
        <v/>
      </c>
      <c r="V53" s="184" t="str">
        <f>IF(U53="","",IF($I$8="A",(RANK(U53,U$11:U$368)+COUNTIF(U$11:U53,U53)-1),(RANK(U53,U$11:U$368,1)+COUNTIF(U$11:U53,U53)-1)))</f>
        <v/>
      </c>
      <c r="W53" s="185"/>
      <c r="X53" s="38" t="str">
        <f>IF(L53="","",VLOOKUP($L53,classifications!$C:$J,6,FALSE))</f>
        <v/>
      </c>
      <c r="Y53" s="26" t="b">
        <f t="shared" si="3"/>
        <v>0</v>
      </c>
      <c r="Z53" s="34" t="e">
        <f>IF(Y53="","",IF(I$8="A",(RANK(Y53,Y$11:Y$368,1)+COUNTIF(Y$11:Y53,Y53)-1),(RANK(Y53,Y$11:Y$368)+COUNTIF(Y$11:Y53,Y53)-1)))</f>
        <v>#N/A</v>
      </c>
      <c r="AA53" s="188" t="str">
        <f>IF(L53="","",VLOOKUP($L53,classifications!C:I,7,FALSE))</f>
        <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SC44</v>
      </c>
      <c r="B54" s="57">
        <f>IF(ISERROR(VLOOKUP(A54,classifications!A:C,3,FALSE)),0,VLOOKUP(A54,classifications!A:C,3,FALSE))</f>
        <v>0</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t="str">
        <f t="shared" si="7"/>
        <v/>
      </c>
      <c r="L54" s="36" t="str">
        <f t="shared" si="2"/>
        <v/>
      </c>
      <c r="M54" s="102" t="str">
        <f t="shared" si="22"/>
        <v/>
      </c>
      <c r="N54" s="101" t="str">
        <f t="shared" si="23"/>
        <v/>
      </c>
      <c r="O54" s="94" t="str">
        <f t="shared" si="8"/>
        <v/>
      </c>
      <c r="P54" s="94" t="str">
        <f t="shared" si="18"/>
        <v/>
      </c>
      <c r="Q54" s="94" t="str">
        <f t="shared" si="19"/>
        <v/>
      </c>
      <c r="R54" s="90" t="str">
        <f t="shared" si="20"/>
        <v/>
      </c>
      <c r="S54" s="37" t="str">
        <f t="shared" si="9"/>
        <v/>
      </c>
      <c r="T54" s="176" t="str">
        <f>IF(L54="","",VLOOKUP(L54,classifications!C:K,9,FALSE))</f>
        <v/>
      </c>
      <c r="U54" s="183" t="str">
        <f t="shared" si="25"/>
        <v/>
      </c>
      <c r="V54" s="184" t="str">
        <f>IF(U54="","",IF($I$8="A",(RANK(U54,U$11:U$368)+COUNTIF(U$11:U54,U54)-1),(RANK(U54,U$11:U$368,1)+COUNTIF(U$11:U54,U54)-1)))</f>
        <v/>
      </c>
      <c r="W54" s="185"/>
      <c r="X54" s="38" t="str">
        <f>IF(L54="","",VLOOKUP($L54,classifications!$C:$J,6,FALSE))</f>
        <v/>
      </c>
      <c r="Y54" s="26" t="b">
        <f t="shared" si="3"/>
        <v>0</v>
      </c>
      <c r="Z54" s="34" t="e">
        <f>IF(Y54="","",IF(I$8="A",(RANK(Y54,Y$11:Y$368,1)+COUNTIF(Y$11:Y54,Y54)-1),(RANK(Y54,Y$11:Y$368)+COUNTIF(Y$11:Y54,Y54)-1)))</f>
        <v>#N/A</v>
      </c>
      <c r="AA54" s="188" t="str">
        <f>IF(L54="","",VLOOKUP($L54,classifications!C:I,7,FALSE))</f>
        <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13.646521520589888</v>
      </c>
      <c r="AY54" s="103"/>
      <c r="AZ54" s="21"/>
    </row>
    <row r="55" spans="1:52">
      <c r="A55" s="56" t="str">
        <f>$D$1&amp;45</f>
        <v>SC45</v>
      </c>
      <c r="B55" s="57">
        <f>IF(ISERROR(VLOOKUP(A55,classifications!A:C,3,FALSE)),0,VLOOKUP(A55,classifications!A:C,3,FALSE))</f>
        <v>0</v>
      </c>
      <c r="C55" s="8" t="s">
        <v>27</v>
      </c>
      <c r="D55" s="26" t="str">
        <f>VLOOKUP($C55,classifications!$C:$J,4,FALSE)</f>
        <v>SD</v>
      </c>
      <c r="E55" s="26">
        <f>VLOOKUP(C55,classifications!C:K,9,FALSE)</f>
        <v>0</v>
      </c>
      <c r="F55" s="36">
        <f t="shared" si="0"/>
        <v>60.340783380593422</v>
      </c>
      <c r="G55" s="71"/>
      <c r="H55" s="37" t="str">
        <f t="shared" si="1"/>
        <v/>
      </c>
      <c r="I55" s="77" t="str">
        <f>IF(H55="","",IF($I$8="A",(RANK(H55,H$11:H$368,1)+COUNTIF(H$11:H55,H55)-1),(RANK(H55,H$11:H$368)+COUNTIF(H$11:H55,H55)-1)))</f>
        <v/>
      </c>
      <c r="J55" s="35"/>
      <c r="K55" s="28" t="str">
        <f t="shared" si="7"/>
        <v/>
      </c>
      <c r="L55" s="36" t="str">
        <f t="shared" si="2"/>
        <v/>
      </c>
      <c r="M55" s="102" t="str">
        <f t="shared" si="22"/>
        <v/>
      </c>
      <c r="N55" s="101" t="str">
        <f t="shared" si="23"/>
        <v/>
      </c>
      <c r="O55" s="94" t="str">
        <f t="shared" si="8"/>
        <v/>
      </c>
      <c r="P55" s="94" t="str">
        <f t="shared" si="18"/>
        <v/>
      </c>
      <c r="Q55" s="94" t="str">
        <f t="shared" si="19"/>
        <v/>
      </c>
      <c r="R55" s="90" t="str">
        <f t="shared" si="20"/>
        <v/>
      </c>
      <c r="S55" s="37" t="str">
        <f t="shared" si="9"/>
        <v/>
      </c>
      <c r="T55" s="176" t="str">
        <f>IF(L55="","",VLOOKUP(L55,classifications!C:K,9,FALSE))</f>
        <v/>
      </c>
      <c r="U55" s="183" t="str">
        <f t="shared" si="25"/>
        <v/>
      </c>
      <c r="V55" s="184" t="str">
        <f>IF(U55="","",IF($I$8="A",(RANK(U55,U$11:U$368)+COUNTIF(U$11:U55,U55)-1),(RANK(U55,U$11:U$368,1)+COUNTIF(U$11:U55,U55)-1)))</f>
        <v/>
      </c>
      <c r="W55" s="185"/>
      <c r="X55" s="38" t="str">
        <f>IF(L55="","",VLOOKUP($L55,classifications!$C:$J,6,FALSE))</f>
        <v/>
      </c>
      <c r="Y55" s="26" t="b">
        <f t="shared" si="3"/>
        <v>0</v>
      </c>
      <c r="Z55" s="34" t="e">
        <f>IF(Y55="","",IF(I$8="A",(RANK(Y55,Y$11:Y$368,1)+COUNTIF(Y$11:Y55,Y55)-1),(RANK(Y55,Y$11:Y$368)+COUNTIF(Y$11:Y55,Y55)-1)))</f>
        <v>#N/A</v>
      </c>
      <c r="AA55" s="188" t="str">
        <f>IF(L55="","",VLOOKUP($L55,classifications!C:I,7,FALSE))</f>
        <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60.340783380593422</v>
      </c>
      <c r="AY55" s="103"/>
      <c r="AZ55" s="21"/>
    </row>
    <row r="56" spans="1:52">
      <c r="A56" s="56" t="str">
        <f>$D$1&amp;46</f>
        <v>SC46</v>
      </c>
      <c r="B56" s="57">
        <f>IF(ISERROR(VLOOKUP(A56,classifications!A:C,3,FALSE)),0,VLOOKUP(A56,classifications!A:C,3,FALSE))</f>
        <v>0</v>
      </c>
      <c r="C56" s="8" t="s">
        <v>302</v>
      </c>
      <c r="D56" s="26" t="str">
        <f>VLOOKUP($C56,classifications!$C:$J,4,FALSE)</f>
        <v>SC</v>
      </c>
      <c r="E56" s="26">
        <f>VLOOKUP(C56,classifications!C:K,9,FALSE)</f>
        <v>0</v>
      </c>
      <c r="F56" s="36">
        <f t="shared" si="0"/>
        <v>30.572479096813858</v>
      </c>
      <c r="G56" s="71"/>
      <c r="H56" s="37">
        <f t="shared" si="1"/>
        <v>30.572479096813858</v>
      </c>
      <c r="I56" s="77">
        <f>IF(H56="","",IF($I$8="A",(RANK(H56,H$11:H$368,1)+COUNTIF(H$11:H56,H56)-1),(RANK(H56,H$11:H$368)+COUNTIF(H$11:H56,H56)-1)))</f>
        <v>1</v>
      </c>
      <c r="J56" s="35"/>
      <c r="K56" s="28" t="str">
        <f t="shared" si="7"/>
        <v/>
      </c>
      <c r="L56" s="36" t="str">
        <f t="shared" si="2"/>
        <v/>
      </c>
      <c r="M56" s="102" t="str">
        <f t="shared" si="22"/>
        <v/>
      </c>
      <c r="N56" s="101" t="str">
        <f t="shared" si="23"/>
        <v/>
      </c>
      <c r="O56" s="94" t="str">
        <f t="shared" si="8"/>
        <v/>
      </c>
      <c r="P56" s="94" t="str">
        <f t="shared" si="18"/>
        <v/>
      </c>
      <c r="Q56" s="94" t="str">
        <f t="shared" si="19"/>
        <v/>
      </c>
      <c r="R56" s="90" t="str">
        <f t="shared" si="20"/>
        <v/>
      </c>
      <c r="S56" s="37" t="str">
        <f t="shared" si="9"/>
        <v/>
      </c>
      <c r="T56" s="176" t="str">
        <f>IF(L56="","",VLOOKUP(L56,classifications!C:K,9,FALSE))</f>
        <v/>
      </c>
      <c r="U56" s="183" t="str">
        <f t="shared" si="25"/>
        <v/>
      </c>
      <c r="V56" s="184" t="str">
        <f>IF(U56="","",IF($I$8="A",(RANK(U56,U$11:U$368)+COUNTIF(U$11:U56,U56)-1),(RANK(U56,U$11:U$368,1)+COUNTIF(U$11:U56,U56)-1)))</f>
        <v/>
      </c>
      <c r="W56" s="185"/>
      <c r="X56" s="38" t="str">
        <f>IF(L56="","",VLOOKUP($L56,classifications!$C:$J,6,FALSE))</f>
        <v/>
      </c>
      <c r="Y56" s="26" t="b">
        <f t="shared" si="3"/>
        <v>0</v>
      </c>
      <c r="Z56" s="34" t="e">
        <f>IF(Y56="","",IF(I$8="A",(RANK(Y56,Y$11:Y$368,1)+COUNTIF(Y$11:Y56,Y56)-1),(RANK(Y56,Y$11:Y$368)+COUNTIF(Y$11:Y56,Y56)-1)))</f>
        <v>#N/A</v>
      </c>
      <c r="AA56" s="188" t="str">
        <f>IF(L56="","",VLOOKUP($L56,classifications!C:I,7,FALSE))</f>
        <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SC47</v>
      </c>
      <c r="B57" s="57">
        <f>IF(ISERROR(VLOOKUP(A57,classifications!A:C,3,FALSE)),0,VLOOKUP(A57,classifications!A:C,3,FALSE))</f>
        <v>0</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t="str">
        <f t="shared" si="7"/>
        <v/>
      </c>
      <c r="L57" s="36" t="str">
        <f t="shared" si="2"/>
        <v/>
      </c>
      <c r="M57" s="102" t="str">
        <f t="shared" si="22"/>
        <v/>
      </c>
      <c r="N57" s="101" t="str">
        <f t="shared" si="23"/>
        <v/>
      </c>
      <c r="O57" s="94" t="str">
        <f t="shared" si="8"/>
        <v/>
      </c>
      <c r="P57" s="94" t="str">
        <f t="shared" si="18"/>
        <v/>
      </c>
      <c r="Q57" s="94" t="str">
        <f t="shared" si="19"/>
        <v/>
      </c>
      <c r="R57" s="90" t="str">
        <f t="shared" si="20"/>
        <v/>
      </c>
      <c r="S57" s="37" t="str">
        <f t="shared" si="9"/>
        <v/>
      </c>
      <c r="T57" s="176" t="str">
        <f>IF(L57="","",VLOOKUP(L57,classifications!C:K,9,FALSE))</f>
        <v/>
      </c>
      <c r="U57" s="183" t="str">
        <f t="shared" si="25"/>
        <v/>
      </c>
      <c r="V57" s="184" t="str">
        <f>IF(U57="","",IF($I$8="A",(RANK(U57,U$11:U$368)+COUNTIF(U$11:U57,U57)-1),(RANK(U57,U$11:U$368,1)+COUNTIF(U$11:U57,U57)-1)))</f>
        <v/>
      </c>
      <c r="W57" s="185"/>
      <c r="X57" s="38" t="str">
        <f>IF(L57="","",VLOOKUP($L57,classifications!$C:$J,6,FALSE))</f>
        <v/>
      </c>
      <c r="Y57" s="26" t="b">
        <f t="shared" si="3"/>
        <v>0</v>
      </c>
      <c r="Z57" s="34" t="e">
        <f>IF(Y57="","",IF(I$8="A",(RANK(Y57,Y$11:Y$368,1)+COUNTIF(Y$11:Y57,Y57)-1),(RANK(Y57,Y$11:Y$368)+COUNTIF(Y$11:Y57,Y57)-1)))</f>
        <v>#N/A</v>
      </c>
      <c r="AA57" s="188" t="str">
        <f>IF(L57="","",VLOOKUP($L57,classifications!C:I,7,FALSE))</f>
        <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SC48</v>
      </c>
      <c r="B58" s="57">
        <f>IF(ISERROR(VLOOKUP(A58,classifications!A:C,3,FALSE)),0,VLOOKUP(A58,classifications!A:C,3,FALSE))</f>
        <v>0</v>
      </c>
      <c r="C58" s="8" t="s">
        <v>28</v>
      </c>
      <c r="D58" s="26" t="str">
        <f>VLOOKUP($C58,classifications!$C:$J,4,FALSE)</f>
        <v>SD</v>
      </c>
      <c r="E58" s="26">
        <f>VLOOKUP(C58,classifications!C:K,9,FALSE)</f>
        <v>0</v>
      </c>
      <c r="F58" s="36">
        <f t="shared" si="0"/>
        <v>11.827959131765803</v>
      </c>
      <c r="G58" s="71"/>
      <c r="H58" s="37" t="str">
        <f t="shared" si="1"/>
        <v/>
      </c>
      <c r="I58" s="77" t="str">
        <f>IF(H58="","",IF($I$8="A",(RANK(H58,H$11:H$368,1)+COUNTIF(H$11:H58,H58)-1),(RANK(H58,H$11:H$368)+COUNTIF(H$11:H58,H58)-1)))</f>
        <v/>
      </c>
      <c r="J58" s="35"/>
      <c r="K58" s="28" t="str">
        <f t="shared" si="7"/>
        <v/>
      </c>
      <c r="L58" s="36" t="str">
        <f t="shared" si="2"/>
        <v/>
      </c>
      <c r="M58" s="102" t="str">
        <f t="shared" si="22"/>
        <v/>
      </c>
      <c r="N58" s="101" t="str">
        <f t="shared" si="23"/>
        <v/>
      </c>
      <c r="O58" s="94" t="str">
        <f t="shared" si="8"/>
        <v/>
      </c>
      <c r="P58" s="94" t="str">
        <f t="shared" si="18"/>
        <v/>
      </c>
      <c r="Q58" s="94" t="str">
        <f t="shared" si="19"/>
        <v/>
      </c>
      <c r="R58" s="90" t="str">
        <f t="shared" si="20"/>
        <v/>
      </c>
      <c r="S58" s="37" t="str">
        <f t="shared" si="9"/>
        <v/>
      </c>
      <c r="T58" s="176" t="str">
        <f>IF(L58="","",VLOOKUP(L58,classifications!C:K,9,FALSE))</f>
        <v/>
      </c>
      <c r="U58" s="183" t="str">
        <f t="shared" si="25"/>
        <v/>
      </c>
      <c r="V58" s="184" t="str">
        <f>IF(U58="","",IF($I$8="A",(RANK(U58,U$11:U$368)+COUNTIF(U$11:U58,U58)-1),(RANK(U58,U$11:U$368,1)+COUNTIF(U$11:U58,U58)-1)))</f>
        <v/>
      </c>
      <c r="W58" s="185"/>
      <c r="X58" s="38" t="str">
        <f>IF(L58="","",VLOOKUP($L58,classifications!$C:$J,6,FALSE))</f>
        <v/>
      </c>
      <c r="Y58" s="26" t="b">
        <f t="shared" si="3"/>
        <v>0</v>
      </c>
      <c r="Z58" s="34" t="e">
        <f>IF(Y58="","",IF(I$8="A",(RANK(Y58,Y$11:Y$368,1)+COUNTIF(Y$11:Y58,Y58)-1),(RANK(Y58,Y$11:Y$368)+COUNTIF(Y$11:Y58,Y58)-1)))</f>
        <v>#N/A</v>
      </c>
      <c r="AA58" s="188" t="str">
        <f>IF(L58="","",VLOOKUP($L58,classifications!C:I,7,FALSE))</f>
        <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SC49</v>
      </c>
      <c r="B59" s="57">
        <f>IF(ISERROR(VLOOKUP(A59,classifications!A:C,3,FALSE)),0,VLOOKUP(A59,classifications!A:C,3,FALSE))</f>
        <v>0</v>
      </c>
      <c r="C59" s="8" t="s">
        <v>29</v>
      </c>
      <c r="D59" s="26" t="str">
        <f>VLOOKUP($C59,classifications!$C:$J,4,FALSE)</f>
        <v>SD</v>
      </c>
      <c r="E59" s="26">
        <f>VLOOKUP(C59,classifications!C:K,9,FALSE)</f>
        <v>0</v>
      </c>
      <c r="F59" s="36">
        <f t="shared" si="0"/>
        <v>22.376897582224775</v>
      </c>
      <c r="G59" s="71"/>
      <c r="H59" s="37" t="str">
        <f t="shared" si="1"/>
        <v/>
      </c>
      <c r="I59" s="77" t="str">
        <f>IF(H59="","",IF($I$8="A",(RANK(H59,H$11:H$368,1)+COUNTIF(H$11:H59,H59)-1),(RANK(H59,H$11:H$368)+COUNTIF(H$11:H59,H59)-1)))</f>
        <v/>
      </c>
      <c r="J59" s="35"/>
      <c r="K59" s="28" t="str">
        <f t="shared" si="7"/>
        <v/>
      </c>
      <c r="L59" s="36" t="str">
        <f t="shared" si="2"/>
        <v/>
      </c>
      <c r="M59" s="102" t="str">
        <f t="shared" si="22"/>
        <v/>
      </c>
      <c r="N59" s="101" t="str">
        <f t="shared" si="23"/>
        <v/>
      </c>
      <c r="O59" s="94" t="str">
        <f t="shared" si="8"/>
        <v/>
      </c>
      <c r="P59" s="94" t="str">
        <f t="shared" si="18"/>
        <v/>
      </c>
      <c r="Q59" s="94" t="str">
        <f t="shared" si="19"/>
        <v/>
      </c>
      <c r="R59" s="90" t="str">
        <f t="shared" si="20"/>
        <v/>
      </c>
      <c r="S59" s="37" t="str">
        <f t="shared" si="9"/>
        <v/>
      </c>
      <c r="T59" s="176" t="str">
        <f>IF(L59="","",VLOOKUP(L59,classifications!C:K,9,FALSE))</f>
        <v/>
      </c>
      <c r="U59" s="183" t="str">
        <f t="shared" si="25"/>
        <v/>
      </c>
      <c r="V59" s="184" t="str">
        <f>IF(U59="","",IF($I$8="A",(RANK(U59,U$11:U$368)+COUNTIF(U$11:U59,U59)-1),(RANK(U59,U$11:U$368,1)+COUNTIF(U$11:U59,U59)-1)))</f>
        <v/>
      </c>
      <c r="W59" s="185"/>
      <c r="X59" s="38" t="str">
        <f>IF(L59="","",VLOOKUP($L59,classifications!$C:$J,6,FALSE))</f>
        <v/>
      </c>
      <c r="Y59" s="26" t="b">
        <f t="shared" si="3"/>
        <v>0</v>
      </c>
      <c r="Z59" s="34" t="e">
        <f>IF(Y59="","",IF(I$8="A",(RANK(Y59,Y$11:Y$368,1)+COUNTIF(Y$11:Y59,Y59)-1),(RANK(Y59,Y$11:Y$368)+COUNTIF(Y$11:Y59,Y59)-1)))</f>
        <v>#N/A</v>
      </c>
      <c r="AA59" s="188" t="str">
        <f>IF(L59="","",VLOOKUP($L59,classifications!C:I,7,FALSE))</f>
        <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SC50</v>
      </c>
      <c r="B60" s="57">
        <f>IF(ISERROR(VLOOKUP(A60,classifications!A:C,3,FALSE)),0,VLOOKUP(A60,classifications!A:C,3,FALSE))</f>
        <v>0</v>
      </c>
      <c r="C60" s="8" t="s">
        <v>30</v>
      </c>
      <c r="D60" s="26" t="str">
        <f>VLOOKUP($C60,classifications!$C:$J,4,FALSE)</f>
        <v>SD</v>
      </c>
      <c r="E60" s="26">
        <f>VLOOKUP(C60,classifications!C:K,9,FALSE)</f>
        <v>0</v>
      </c>
      <c r="F60" s="36">
        <f t="shared" si="0"/>
        <v>16.823734230796841</v>
      </c>
      <c r="G60" s="71"/>
      <c r="H60" s="37" t="str">
        <f t="shared" si="1"/>
        <v/>
      </c>
      <c r="I60" s="77" t="str">
        <f>IF(H60="","",IF($I$8="A",(RANK(H60,H$11:H$368,1)+COUNTIF(H$11:H60,H60)-1),(RANK(H60,H$11:H$368)+COUNTIF(H$11:H60,H60)-1)))</f>
        <v/>
      </c>
      <c r="J60" s="35"/>
      <c r="K60" s="28" t="str">
        <f t="shared" si="7"/>
        <v/>
      </c>
      <c r="L60" s="36" t="str">
        <f t="shared" si="2"/>
        <v/>
      </c>
      <c r="M60" s="102" t="str">
        <f t="shared" si="22"/>
        <v/>
      </c>
      <c r="N60" s="101" t="str">
        <f t="shared" si="23"/>
        <v/>
      </c>
      <c r="O60" s="94" t="str">
        <f t="shared" si="8"/>
        <v/>
      </c>
      <c r="P60" s="94" t="str">
        <f t="shared" si="18"/>
        <v/>
      </c>
      <c r="Q60" s="94" t="str">
        <f t="shared" si="19"/>
        <v/>
      </c>
      <c r="R60" s="90" t="str">
        <f t="shared" si="20"/>
        <v/>
      </c>
      <c r="S60" s="37" t="str">
        <f t="shared" si="9"/>
        <v/>
      </c>
      <c r="T60" s="176" t="str">
        <f>IF(L60="","",VLOOKUP(L60,classifications!C:K,9,FALSE))</f>
        <v/>
      </c>
      <c r="U60" s="183" t="str">
        <f t="shared" si="25"/>
        <v/>
      </c>
      <c r="V60" s="184" t="str">
        <f>IF(U60="","",IF($I$8="A",(RANK(U60,U$11:U$368)+COUNTIF(U$11:U60,U60)-1),(RANK(U60,U$11:U$368,1)+COUNTIF(U$11:U60,U60)-1)))</f>
        <v/>
      </c>
      <c r="W60" s="185"/>
      <c r="X60" s="38" t="str">
        <f>IF(L60="","",VLOOKUP($L60,classifications!$C:$J,6,FALSE))</f>
        <v/>
      </c>
      <c r="Y60" s="26" t="b">
        <f t="shared" si="3"/>
        <v>0</v>
      </c>
      <c r="Z60" s="34" t="e">
        <f>IF(Y60="","",IF(I$8="A",(RANK(Y60,Y$11:Y$368,1)+COUNTIF(Y$11:Y60,Y60)-1),(RANK(Y60,Y$11:Y$368)+COUNTIF(Y$11:Y60,Y60)-1)))</f>
        <v>#N/A</v>
      </c>
      <c r="AA60" s="188" t="str">
        <f>IF(L60="","",VLOOKUP($L60,classifications!C:I,7,FALSE))</f>
        <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SC51</v>
      </c>
      <c r="B61" s="57">
        <f>IF(ISERROR(VLOOKUP(A61,classifications!A:C,3,FALSE)),0,VLOOKUP(A61,classifications!A:C,3,FALSE))</f>
        <v>0</v>
      </c>
      <c r="C61" s="8" t="s">
        <v>31</v>
      </c>
      <c r="D61" s="26" t="str">
        <f>VLOOKUP($C61,classifications!$C:$J,4,FALSE)</f>
        <v>SD</v>
      </c>
      <c r="E61" s="26">
        <f>VLOOKUP(C61,classifications!C:K,9,FALSE)</f>
        <v>0</v>
      </c>
      <c r="F61" s="36">
        <f t="shared" si="0"/>
        <v>12.520784858601314</v>
      </c>
      <c r="G61" s="71"/>
      <c r="H61" s="37" t="str">
        <f t="shared" si="1"/>
        <v/>
      </c>
      <c r="I61" s="77" t="str">
        <f>IF(H61="","",IF($I$8="A",(RANK(H61,H$11:H$368,1)+COUNTIF(H$11:H61,H61)-1),(RANK(H61,H$11:H$368)+COUNTIF(H$11:H61,H61)-1)))</f>
        <v/>
      </c>
      <c r="J61" s="35"/>
      <c r="K61" s="28" t="str">
        <f t="shared" si="7"/>
        <v/>
      </c>
      <c r="L61" s="36" t="str">
        <f t="shared" si="2"/>
        <v/>
      </c>
      <c r="M61" s="102" t="str">
        <f t="shared" si="22"/>
        <v/>
      </c>
      <c r="N61" s="101" t="str">
        <f t="shared" si="23"/>
        <v/>
      </c>
      <c r="O61" s="94" t="str">
        <f t="shared" si="8"/>
        <v/>
      </c>
      <c r="P61" s="94" t="str">
        <f t="shared" si="18"/>
        <v/>
      </c>
      <c r="Q61" s="94" t="str">
        <f t="shared" si="19"/>
        <v/>
      </c>
      <c r="R61" s="90" t="str">
        <f t="shared" si="20"/>
        <v/>
      </c>
      <c r="S61" s="37" t="str">
        <f t="shared" si="9"/>
        <v/>
      </c>
      <c r="T61" s="176" t="str">
        <f>IF(L61="","",VLOOKUP(L61,classifications!C:K,9,FALSE))</f>
        <v/>
      </c>
      <c r="U61" s="183" t="str">
        <f t="shared" si="25"/>
        <v/>
      </c>
      <c r="V61" s="184" t="str">
        <f>IF(U61="","",IF($I$8="A",(RANK(U61,U$11:U$368)+COUNTIF(U$11:U61,U61)-1),(RANK(U61,U$11:U$368,1)+COUNTIF(U$11:U61,U61)-1)))</f>
        <v/>
      </c>
      <c r="W61" s="185"/>
      <c r="X61" s="38" t="str">
        <f>IF(L61="","",VLOOKUP($L61,classifications!$C:$J,6,FALSE))</f>
        <v/>
      </c>
      <c r="Y61" s="26" t="b">
        <f t="shared" si="3"/>
        <v>0</v>
      </c>
      <c r="Z61" s="34" t="e">
        <f>IF(Y61="","",IF(I$8="A",(RANK(Y61,Y$11:Y$368,1)+COUNTIF(Y$11:Y61,Y61)-1),(RANK(Y61,Y$11:Y$368)+COUNTIF(Y$11:Y61,Y61)-1)))</f>
        <v>#N/A</v>
      </c>
      <c r="AA61" s="188" t="str">
        <f>IF(L61="","",VLOOKUP($L61,classifications!C:I,7,FALSE))</f>
        <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12.520784858601314</v>
      </c>
      <c r="AY61" s="103"/>
      <c r="AZ61" s="21"/>
    </row>
    <row r="62" spans="1:52">
      <c r="A62" s="56" t="str">
        <f>$D$1&amp;52</f>
        <v>SC52</v>
      </c>
      <c r="B62" s="57">
        <f>IF(ISERROR(VLOOKUP(A62,classifications!A:C,3,FALSE)),0,VLOOKUP(A62,classifications!A:C,3,FALSE))</f>
        <v>0</v>
      </c>
      <c r="C62" s="8" t="s">
        <v>303</v>
      </c>
      <c r="D62" s="26" t="str">
        <f>VLOOKUP($C62,classifications!$C:$J,4,FALSE)</f>
        <v>UA</v>
      </c>
      <c r="E62" s="26">
        <f>VLOOKUP(C62,classifications!C:K,9,FALSE)</f>
        <v>0</v>
      </c>
      <c r="F62" s="36">
        <f t="shared" si="0"/>
        <v>14.388922175507101</v>
      </c>
      <c r="G62" s="71"/>
      <c r="H62" s="37" t="str">
        <f t="shared" si="1"/>
        <v/>
      </c>
      <c r="I62" s="77" t="str">
        <f>IF(H62="","",IF($I$8="A",(RANK(H62,H$11:H$368,1)+COUNTIF(H$11:H62,H62)-1),(RANK(H62,H$11:H$368)+COUNTIF(H$11:H62,H62)-1)))</f>
        <v/>
      </c>
      <c r="J62" s="35"/>
      <c r="K62" s="28" t="str">
        <f t="shared" si="7"/>
        <v/>
      </c>
      <c r="L62" s="36" t="str">
        <f t="shared" si="2"/>
        <v/>
      </c>
      <c r="M62" s="102" t="str">
        <f t="shared" si="22"/>
        <v/>
      </c>
      <c r="N62" s="101" t="str">
        <f t="shared" si="23"/>
        <v/>
      </c>
      <c r="O62" s="94" t="str">
        <f t="shared" si="8"/>
        <v/>
      </c>
      <c r="P62" s="94" t="str">
        <f t="shared" si="18"/>
        <v/>
      </c>
      <c r="Q62" s="94" t="str">
        <f t="shared" si="19"/>
        <v/>
      </c>
      <c r="R62" s="90" t="str">
        <f t="shared" si="20"/>
        <v/>
      </c>
      <c r="S62" s="37" t="str">
        <f t="shared" si="9"/>
        <v/>
      </c>
      <c r="T62" s="176" t="str">
        <f>IF(L62="","",VLOOKUP(L62,classifications!C:K,9,FALSE))</f>
        <v/>
      </c>
      <c r="U62" s="183" t="str">
        <f t="shared" si="25"/>
        <v/>
      </c>
      <c r="V62" s="184" t="str">
        <f>IF(U62="","",IF($I$8="A",(RANK(U62,U$11:U$368)+COUNTIF(U$11:U62,U62)-1),(RANK(U62,U$11:U$368,1)+COUNTIF(U$11:U62,U62)-1)))</f>
        <v/>
      </c>
      <c r="W62" s="185"/>
      <c r="X62" s="38" t="str">
        <f>IF(L62="","",VLOOKUP($L62,classifications!$C:$J,6,FALSE))</f>
        <v/>
      </c>
      <c r="Y62" s="26" t="b">
        <f t="shared" si="3"/>
        <v>0</v>
      </c>
      <c r="Z62" s="34" t="e">
        <f>IF(Y62="","",IF(I$8="A",(RANK(Y62,Y$11:Y$368,1)+COUNTIF(Y$11:Y62,Y62)-1),(RANK(Y62,Y$11:Y$368)+COUNTIF(Y$11:Y62,Y62)-1)))</f>
        <v>#N/A</v>
      </c>
      <c r="AA62" s="188" t="str">
        <f>IF(L62="","",VLOOKUP($L62,classifications!C:I,7,FALSE))</f>
        <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SC53</v>
      </c>
      <c r="B63" s="57">
        <f>IF(ISERROR(VLOOKUP(A63,classifications!A:C,3,FALSE)),0,VLOOKUP(A63,classifications!A:C,3,FALSE))</f>
        <v>0</v>
      </c>
      <c r="C63" s="8" t="s">
        <v>32</v>
      </c>
      <c r="D63" s="26" t="str">
        <f>VLOOKUP($C63,classifications!$C:$J,4,FALSE)</f>
        <v>SD</v>
      </c>
      <c r="E63" s="26">
        <f>VLOOKUP(C63,classifications!C:K,9,FALSE)</f>
        <v>0</v>
      </c>
      <c r="F63" s="36">
        <f t="shared" si="0"/>
        <v>17.945707019887656</v>
      </c>
      <c r="G63" s="71"/>
      <c r="H63" s="37" t="str">
        <f t="shared" si="1"/>
        <v/>
      </c>
      <c r="I63" s="77" t="str">
        <f>IF(H63="","",IF($I$8="A",(RANK(H63,H$11:H$368,1)+COUNTIF(H$11:H63,H63)-1),(RANK(H63,H$11:H$368)+COUNTIF(H$11:H63,H63)-1)))</f>
        <v/>
      </c>
      <c r="J63" s="35"/>
      <c r="K63" s="28" t="str">
        <f t="shared" si="7"/>
        <v/>
      </c>
      <c r="L63" s="36" t="str">
        <f t="shared" si="2"/>
        <v/>
      </c>
      <c r="M63" s="102" t="str">
        <f t="shared" si="22"/>
        <v/>
      </c>
      <c r="N63" s="101" t="str">
        <f t="shared" si="23"/>
        <v/>
      </c>
      <c r="O63" s="94" t="str">
        <f t="shared" si="8"/>
        <v/>
      </c>
      <c r="P63" s="94" t="str">
        <f t="shared" si="18"/>
        <v/>
      </c>
      <c r="Q63" s="94" t="str">
        <f t="shared" si="19"/>
        <v/>
      </c>
      <c r="R63" s="90" t="str">
        <f t="shared" si="20"/>
        <v/>
      </c>
      <c r="S63" s="37" t="str">
        <f t="shared" si="9"/>
        <v/>
      </c>
      <c r="T63" s="176" t="str">
        <f>IF(L63="","",VLOOKUP(L63,classifications!C:K,9,FALSE))</f>
        <v/>
      </c>
      <c r="U63" s="183" t="str">
        <f t="shared" si="25"/>
        <v/>
      </c>
      <c r="V63" s="184" t="str">
        <f>IF(U63="","",IF($I$8="A",(RANK(U63,U$11:U$368)+COUNTIF(U$11:U63,U63)-1),(RANK(U63,U$11:U$368,1)+COUNTIF(U$11:U63,U63)-1)))</f>
        <v/>
      </c>
      <c r="W63" s="185"/>
      <c r="X63" s="38" t="str">
        <f>IF(L63="","",VLOOKUP($L63,classifications!$C:$J,6,FALSE))</f>
        <v/>
      </c>
      <c r="Y63" s="26" t="b">
        <f t="shared" si="3"/>
        <v>0</v>
      </c>
      <c r="Z63" s="34" t="e">
        <f>IF(Y63="","",IF(I$8="A",(RANK(Y63,Y$11:Y$368,1)+COUNTIF(Y$11:Y63,Y63)-1),(RANK(Y63,Y$11:Y$368)+COUNTIF(Y$11:Y63,Y63)-1)))</f>
        <v>#N/A</v>
      </c>
      <c r="AA63" s="188" t="str">
        <f>IF(L63="","",VLOOKUP($L63,classifications!C:I,7,FALSE))</f>
        <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SC54</v>
      </c>
      <c r="B64" s="57">
        <f>IF(ISERROR(VLOOKUP(A64,classifications!A:C,3,FALSE)),0,VLOOKUP(A64,classifications!A:C,3,FALSE))</f>
        <v>0</v>
      </c>
      <c r="C64" s="8" t="s">
        <v>33</v>
      </c>
      <c r="D64" s="26" t="str">
        <f>VLOOKUP($C64,classifications!$C:$J,4,FALSE)</f>
        <v>SD</v>
      </c>
      <c r="E64" s="26">
        <f>VLOOKUP(C64,classifications!C:K,9,FALSE)</f>
        <v>0</v>
      </c>
      <c r="F64" s="36">
        <f t="shared" si="0"/>
        <v>14.035180367129602</v>
      </c>
      <c r="G64" s="71"/>
      <c r="H64" s="37" t="str">
        <f t="shared" si="1"/>
        <v/>
      </c>
      <c r="I64" s="77" t="str">
        <f>IF(H64="","",IF($I$8="A",(RANK(H64,H$11:H$368,1)+COUNTIF(H$11:H64,H64)-1),(RANK(H64,H$11:H$368)+COUNTIF(H$11:H64,H64)-1)))</f>
        <v/>
      </c>
      <c r="J64" s="35"/>
      <c r="K64" s="28" t="str">
        <f t="shared" si="7"/>
        <v/>
      </c>
      <c r="L64" s="36" t="str">
        <f t="shared" si="2"/>
        <v/>
      </c>
      <c r="M64" s="102" t="str">
        <f t="shared" si="22"/>
        <v/>
      </c>
      <c r="N64" s="101" t="str">
        <f t="shared" si="23"/>
        <v/>
      </c>
      <c r="O64" s="94" t="str">
        <f t="shared" si="8"/>
        <v/>
      </c>
      <c r="P64" s="94" t="str">
        <f t="shared" si="18"/>
        <v/>
      </c>
      <c r="Q64" s="94" t="str">
        <f t="shared" si="19"/>
        <v/>
      </c>
      <c r="R64" s="90" t="str">
        <f t="shared" si="20"/>
        <v/>
      </c>
      <c r="S64" s="37" t="str">
        <f t="shared" si="9"/>
        <v/>
      </c>
      <c r="T64" s="176" t="str">
        <f>IF(L64="","",VLOOKUP(L64,classifications!C:K,9,FALSE))</f>
        <v/>
      </c>
      <c r="U64" s="183" t="str">
        <f t="shared" si="25"/>
        <v/>
      </c>
      <c r="V64" s="184" t="str">
        <f>IF(U64="","",IF($I$8="A",(RANK(U64,U$11:U$368)+COUNTIF(U$11:U64,U64)-1),(RANK(U64,U$11:U$368,1)+COUNTIF(U$11:U64,U64)-1)))</f>
        <v/>
      </c>
      <c r="W64" s="185"/>
      <c r="X64" s="38" t="str">
        <f>IF(L64="","",VLOOKUP($L64,classifications!$C:$J,6,FALSE))</f>
        <v/>
      </c>
      <c r="Y64" s="26" t="b">
        <f t="shared" si="3"/>
        <v>0</v>
      </c>
      <c r="Z64" s="34" t="e">
        <f>IF(Y64="","",IF(I$8="A",(RANK(Y64,Y$11:Y$368,1)+COUNTIF(Y$11:Y64,Y64)-1),(RANK(Y64,Y$11:Y$368)+COUNTIF(Y$11:Y64,Y64)-1)))</f>
        <v>#N/A</v>
      </c>
      <c r="AA64" s="188" t="str">
        <f>IF(L64="","",VLOOKUP($L64,classifications!C:I,7,FALSE))</f>
        <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SC55</v>
      </c>
      <c r="B65" s="57">
        <f>IF(ISERROR(VLOOKUP(A65,classifications!A:C,3,FALSE)),0,VLOOKUP(A65,classifications!A:C,3,FALSE))</f>
        <v>0</v>
      </c>
      <c r="C65" s="8" t="s">
        <v>34</v>
      </c>
      <c r="D65" s="26" t="str">
        <f>VLOOKUP($C65,classifications!$C:$J,4,FALSE)</f>
        <v>SD</v>
      </c>
      <c r="E65" s="26">
        <f>VLOOKUP(C65,classifications!C:K,9,FALSE)</f>
        <v>0</v>
      </c>
      <c r="F65" s="36">
        <f t="shared" si="0"/>
        <v>23.141166876284405</v>
      </c>
      <c r="G65" s="71"/>
      <c r="H65" s="37" t="str">
        <f t="shared" si="1"/>
        <v/>
      </c>
      <c r="I65" s="77" t="str">
        <f>IF(H65="","",IF($I$8="A",(RANK(H65,H$11:H$368,1)+COUNTIF(H$11:H65,H65)-1),(RANK(H65,H$11:H$368)+COUNTIF(H$11:H65,H65)-1)))</f>
        <v/>
      </c>
      <c r="J65" s="35"/>
      <c r="K65" s="28" t="str">
        <f t="shared" si="7"/>
        <v/>
      </c>
      <c r="L65" s="36" t="str">
        <f t="shared" si="2"/>
        <v/>
      </c>
      <c r="M65" s="102" t="str">
        <f t="shared" si="22"/>
        <v/>
      </c>
      <c r="N65" s="101" t="str">
        <f t="shared" si="23"/>
        <v/>
      </c>
      <c r="O65" s="94" t="str">
        <f t="shared" si="8"/>
        <v/>
      </c>
      <c r="P65" s="94" t="str">
        <f t="shared" si="18"/>
        <v/>
      </c>
      <c r="Q65" s="94" t="str">
        <f t="shared" si="19"/>
        <v/>
      </c>
      <c r="R65" s="90" t="str">
        <f t="shared" si="20"/>
        <v/>
      </c>
      <c r="S65" s="37" t="str">
        <f t="shared" si="9"/>
        <v/>
      </c>
      <c r="T65" s="176" t="str">
        <f>IF(L65="","",VLOOKUP(L65,classifications!C:K,9,FALSE))</f>
        <v/>
      </c>
      <c r="U65" s="183" t="str">
        <f t="shared" si="25"/>
        <v/>
      </c>
      <c r="V65" s="184" t="str">
        <f>IF(U65="","",IF($I$8="A",(RANK(U65,U$11:U$368)+COUNTIF(U$11:U65,U65)-1),(RANK(U65,U$11:U$368,1)+COUNTIF(U$11:U65,U65)-1)))</f>
        <v/>
      </c>
      <c r="W65" s="185"/>
      <c r="X65" s="38" t="str">
        <f>IF(L65="","",VLOOKUP($L65,classifications!$C:$J,6,FALSE))</f>
        <v/>
      </c>
      <c r="Y65" s="26" t="b">
        <f t="shared" si="3"/>
        <v>0</v>
      </c>
      <c r="Z65" s="34" t="e">
        <f>IF(Y65="","",IF(I$8="A",(RANK(Y65,Y$11:Y$368,1)+COUNTIF(Y$11:Y65,Y65)-1),(RANK(Y65,Y$11:Y$368)+COUNTIF(Y$11:Y65,Y65)-1)))</f>
        <v>#N/A</v>
      </c>
      <c r="AA65" s="188" t="str">
        <f>IF(L65="","",VLOOKUP($L65,classifications!C:I,7,FALSE))</f>
        <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SC56</v>
      </c>
      <c r="B66" s="57">
        <f>IF(ISERROR(VLOOKUP(A66,classifications!A:C,3,FALSE)),0,VLOOKUP(A66,classifications!A:C,3,FALSE))</f>
        <v>0</v>
      </c>
      <c r="C66" s="8" t="s">
        <v>35</v>
      </c>
      <c r="D66" s="26" t="str">
        <f>VLOOKUP($C66,classifications!$C:$J,4,FALSE)</f>
        <v>SD</v>
      </c>
      <c r="E66" s="26" t="str">
        <f>VLOOKUP(C66,classifications!C:K,9,FALSE)</f>
        <v>Sparse</v>
      </c>
      <c r="F66" s="36">
        <f t="shared" si="0"/>
        <v>17.654112574739948</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b">
        <f t="shared" si="3"/>
        <v>0</v>
      </c>
      <c r="Z66" s="34" t="e">
        <f>IF(Y66="","",IF(I$8="A",(RANK(Y66,Y$11:Y$368,1)+COUNTIF(Y$11:Y66,Y66)-1),(RANK(Y66,Y$11:Y$368)+COUNTIF(Y$11:Y66,Y66)-1)))</f>
        <v>#N/A</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SC57</v>
      </c>
      <c r="B67" s="57">
        <f>IF(ISERROR(VLOOKUP(A67,classifications!A:C,3,FALSE)),0,VLOOKUP(A67,classifications!A:C,3,FALSE))</f>
        <v>0</v>
      </c>
      <c r="C67" s="8" t="s">
        <v>304</v>
      </c>
      <c r="D67" s="26" t="str">
        <f>VLOOKUP($C67,classifications!$C:$J,4,FALSE)</f>
        <v>UA</v>
      </c>
      <c r="E67" s="26" t="str">
        <f>VLOOKUP(C67,classifications!C:K,9,FALSE)</f>
        <v>Sparse</v>
      </c>
      <c r="F67" s="36">
        <f t="shared" si="0"/>
        <v>12.305258547674832</v>
      </c>
      <c r="G67" s="71"/>
      <c r="H67" s="37" t="str">
        <f t="shared" si="1"/>
        <v/>
      </c>
      <c r="I67" s="77" t="str">
        <f>IF(H67="","",IF($I$8="A",(RANK(H67,H$11:H$368,1)+COUNTIF(H$11:H67,H67)-1),(RANK(H67,H$11:H$368)+COUNTIF(H$11:H67,H67)-1)))</f>
        <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b">
        <f t="shared" si="3"/>
        <v>0</v>
      </c>
      <c r="Z67" s="34" t="e">
        <f>IF(Y67="","",IF(I$8="A",(RANK(Y67,Y$11:Y$368,1)+COUNTIF(Y$11:Y67,Y67)-1),(RANK(Y67,Y$11:Y$368)+COUNTIF(Y$11:Y67,Y67)-1)))</f>
        <v>#N/A</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SC58</v>
      </c>
      <c r="B68" s="57">
        <f>IF(ISERROR(VLOOKUP(A68,classifications!A:C,3,FALSE)),0,VLOOKUP(A68,classifications!A:C,3,FALSE))</f>
        <v>0</v>
      </c>
      <c r="C68" s="8" t="s">
        <v>812</v>
      </c>
      <c r="D68" s="26" t="str">
        <f>VLOOKUP($C68,classifications!$C:$J,4,FALSE)</f>
        <v>UA</v>
      </c>
      <c r="E68" s="26">
        <f>VLOOKUP(C68,classifications!C:K,9,FALSE)</f>
        <v>0</v>
      </c>
      <c r="F68" s="36">
        <f t="shared" si="0"/>
        <v>14.228800242680995</v>
      </c>
      <c r="G68" s="71"/>
      <c r="H68" s="37" t="str">
        <f t="shared" si="1"/>
        <v/>
      </c>
      <c r="I68" s="77" t="str">
        <f>IF(H68="","",IF($I$8="A",(RANK(H68,H$11:H$368,1)+COUNTIF(H$11:H68,H68)-1),(RANK(H68,H$11:H$368)+COUNTIF(H$11:H68,H68)-1)))</f>
        <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b">
        <f t="shared" si="3"/>
        <v>0</v>
      </c>
      <c r="Z68" s="34" t="e">
        <f>IF(Y68="","",IF(I$8="A",(RANK(Y68,Y$11:Y$368,1)+COUNTIF(Y$11:Y68,Y68)-1),(RANK(Y68,Y$11:Y$368)+COUNTIF(Y$11:Y68,Y68)-1)))</f>
        <v>#N/A</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SC59</v>
      </c>
      <c r="B69" s="57">
        <f>IF(ISERROR(VLOOKUP(A69,classifications!A:C,3,FALSE)),0,VLOOKUP(A69,classifications!A:C,3,FALSE))</f>
        <v>0</v>
      </c>
      <c r="C69" s="8" t="s">
        <v>36</v>
      </c>
      <c r="D69" s="26" t="str">
        <f>VLOOKUP($C69,classifications!$C:$J,4,FALSE)</f>
        <v>SD</v>
      </c>
      <c r="E69" s="26">
        <f>VLOOKUP(C69,classifications!C:K,9,FALSE)</f>
        <v>0</v>
      </c>
      <c r="F69" s="36">
        <f t="shared" si="0"/>
        <v>11.460920519984221</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b">
        <f t="shared" si="3"/>
        <v>0</v>
      </c>
      <c r="Z69" s="34" t="e">
        <f>IF(Y69="","",IF(I$8="A",(RANK(Y69,Y$11:Y$368,1)+COUNTIF(Y$11:Y69,Y69)-1),(RANK(Y69,Y$11:Y$368)+COUNTIF(Y$11:Y69,Y69)-1)))</f>
        <v>#N/A</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SC60</v>
      </c>
      <c r="B70" s="57">
        <f>IF(ISERROR(VLOOKUP(A70,classifications!A:C,3,FALSE)),0,VLOOKUP(A70,classifications!A:C,3,FALSE))</f>
        <v>0</v>
      </c>
      <c r="C70" s="8" t="s">
        <v>37</v>
      </c>
      <c r="D70" s="26" t="str">
        <f>VLOOKUP($C70,classifications!$C:$J,4,FALSE)</f>
        <v>SD</v>
      </c>
      <c r="E70" s="26" t="str">
        <f>VLOOKUP(C70,classifications!C:K,9,FALSE)</f>
        <v>Sparse</v>
      </c>
      <c r="F70" s="36">
        <f t="shared" si="0"/>
        <v>23.761991291355585</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b">
        <f t="shared" si="3"/>
        <v>0</v>
      </c>
      <c r="Z70" s="34" t="e">
        <f>IF(Y70="","",IF(I$8="A",(RANK(Y70,Y$11:Y$368,1)+COUNTIF(Y$11:Y70,Y70)-1),(RANK(Y70,Y$11:Y$368)+COUNTIF(Y$11:Y70,Y70)-1)))</f>
        <v>#N/A</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SC61</v>
      </c>
      <c r="B71" s="57">
        <f>IF(ISERROR(VLOOKUP(A71,classifications!A:C,3,FALSE)),0,VLOOKUP(A71,classifications!A:C,3,FALSE))</f>
        <v>0</v>
      </c>
      <c r="C71" s="8" t="s">
        <v>38</v>
      </c>
      <c r="D71" s="26" t="str">
        <f>VLOOKUP($C71,classifications!$C:$J,4,FALSE)</f>
        <v>SD</v>
      </c>
      <c r="E71" s="26">
        <f>VLOOKUP(C71,classifications!C:K,9,FALSE)</f>
        <v>0</v>
      </c>
      <c r="F71" s="36">
        <f t="shared" si="0"/>
        <v>21.723567066898237</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b">
        <f t="shared" si="3"/>
        <v>0</v>
      </c>
      <c r="Z71" s="34" t="e">
        <f>IF(Y71="","",IF(I$8="A",(RANK(Y71,Y$11:Y$368,1)+COUNTIF(Y$11:Y71,Y71)-1),(RANK(Y71,Y$11:Y$368)+COUNTIF(Y$11:Y71,Y71)-1)))</f>
        <v>#N/A</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21.723567066898237</v>
      </c>
      <c r="AY71" s="103"/>
      <c r="AZ71" s="21"/>
    </row>
    <row r="72" spans="1:52">
      <c r="A72" s="56" t="str">
        <f>$D$1&amp;62</f>
        <v>SC62</v>
      </c>
      <c r="B72" s="57">
        <f>IF(ISERROR(VLOOKUP(A72,classifications!A:C,3,FALSE)),0,VLOOKUP(A72,classifications!A:C,3,FALSE))</f>
        <v>0</v>
      </c>
      <c r="C72" s="8" t="s">
        <v>39</v>
      </c>
      <c r="D72" s="26" t="str">
        <f>VLOOKUP($C72,classifications!$C:$J,4,FALSE)</f>
        <v>SD</v>
      </c>
      <c r="E72" s="26">
        <f>VLOOKUP(C72,classifications!C:K,9,FALSE)</f>
        <v>0</v>
      </c>
      <c r="F72" s="36">
        <f t="shared" si="0"/>
        <v>14.931839908853616</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b">
        <f t="shared" si="3"/>
        <v>0</v>
      </c>
      <c r="Z72" s="34" t="e">
        <f>IF(Y72="","",IF(I$8="A",(RANK(Y72,Y$11:Y$368,1)+COUNTIF(Y$11:Y72,Y72)-1),(RANK(Y72,Y$11:Y$368)+COUNTIF(Y$11:Y72,Y72)-1)))</f>
        <v>#N/A</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SC63</v>
      </c>
      <c r="B73" s="57">
        <f>IF(ISERROR(VLOOKUP(A73,classifications!A:C,3,FALSE)),0,VLOOKUP(A73,classifications!A:C,3,FALSE))</f>
        <v>0</v>
      </c>
      <c r="C73" s="8" t="s">
        <v>40</v>
      </c>
      <c r="D73" s="26" t="str">
        <f>VLOOKUP($C73,classifications!$C:$J,4,FALSE)</f>
        <v>SD</v>
      </c>
      <c r="E73" s="26">
        <f>VLOOKUP(C73,classifications!C:K,9,FALSE)</f>
        <v>0</v>
      </c>
      <c r="F73" s="36">
        <f t="shared" si="0"/>
        <v>0</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b">
        <f t="shared" si="3"/>
        <v>0</v>
      </c>
      <c r="Z73" s="34" t="e">
        <f>IF(Y73="","",IF(I$8="A",(RANK(Y73,Y$11:Y$368,1)+COUNTIF(Y$11:Y73,Y73)-1),(RANK(Y73,Y$11:Y$368)+COUNTIF(Y$11:Y73,Y73)-1)))</f>
        <v>#N/A</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f>HLOOKUP($AX$9&amp;$AX$10,Data!$A$1:$ZZ$2000,(MATCH($C73,Data!$A$1:$A$2000,0)),FALSE)</f>
        <v>0</v>
      </c>
      <c r="AY73" s="103"/>
      <c r="AZ73" s="21"/>
    </row>
    <row r="74" spans="1:52">
      <c r="A74" s="56" t="str">
        <f>$D$1&amp;64</f>
        <v>SC64</v>
      </c>
      <c r="B74" s="57">
        <f>IF(ISERROR(VLOOKUP(A74,classifications!A:C,3,FALSE)),0,VLOOKUP(A74,classifications!A:C,3,FALSE))</f>
        <v>0</v>
      </c>
      <c r="C74" s="8" t="s">
        <v>370</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b">
        <f t="shared" si="3"/>
        <v>0</v>
      </c>
      <c r="Z74" s="34" t="e">
        <f>IF(Y74="","",IF(I$8="A",(RANK(Y74,Y$11:Y$368,1)+COUNTIF(Y$11:Y74,Y74)-1),(RANK(Y74,Y$11:Y$368)+COUNTIF(Y$11:Y74,Y74)-1)))</f>
        <v>#N/A</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SC65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22.688163821930118</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b">
        <f t="shared" ref="Y75:Y138" si="31">IF($D$1="UA",IF(X75="Largely Rural (rural including hub towns 50-79%) ",M75,IF(X75="Mainly Rural (rural including hub towns &gt;=80%) ",M75,IF(X75="Urban with Significant Rural (rural including hub towns 26-49%)",M75,""))),IF($D$1="SD",IF(X75=$H$3,M75,"")))</f>
        <v>0</v>
      </c>
      <c r="Z75" s="34" t="e">
        <f>IF(Y75="","",IF(I$8="A",(RANK(Y75,Y$11:Y$368,1)+COUNTIF(Y$11:Y75,Y75)-1),(RANK(Y75,Y$11:Y$368)+COUNTIF(Y$11:Y75,Y75)-1)))</f>
        <v>#N/A</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SC66</v>
      </c>
      <c r="B76" s="57">
        <f>IF(ISERROR(VLOOKUP(A76,classifications!A:C,3,FALSE)),0,VLOOKUP(A76,classifications!A:C,3,FALSE))</f>
        <v>0</v>
      </c>
      <c r="C76" s="8" t="s">
        <v>42</v>
      </c>
      <c r="D76" s="26" t="str">
        <f>VLOOKUP($C76,classifications!$C:$J,4,FALSE)</f>
        <v>SD</v>
      </c>
      <c r="E76" s="26" t="str">
        <f>VLOOKUP(C76,classifications!C:K,9,FALSE)</f>
        <v>Sparse</v>
      </c>
      <c r="F76" s="36">
        <f t="shared" si="26"/>
        <v>8.6197321840163177</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b">
        <f t="shared" si="31"/>
        <v>0</v>
      </c>
      <c r="Z76" s="34" t="e">
        <f>IF(Y76="","",IF(I$8="A",(RANK(Y76,Y$11:Y$368,1)+COUNTIF(Y$11:Y76,Y76)-1),(RANK(Y76,Y$11:Y$368)+COUNTIF(Y$11:Y76,Y76)-1)))</f>
        <v>#N/A</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SC67</v>
      </c>
      <c r="B77" s="57">
        <f>IF(ISERROR(VLOOKUP(A77,classifications!A:C,3,FALSE)),0,VLOOKUP(A77,classifications!A:C,3,FALSE))</f>
        <v>0</v>
      </c>
      <c r="C77" s="8" t="s">
        <v>43</v>
      </c>
      <c r="D77" s="26" t="str">
        <f>VLOOKUP($C77,classifications!$C:$J,4,FALSE)</f>
        <v>SD</v>
      </c>
      <c r="E77" s="26">
        <f>VLOOKUP(C77,classifications!C:K,9,FALSE)</f>
        <v>0</v>
      </c>
      <c r="F77" s="36">
        <f t="shared" si="26"/>
        <v>11.579199149309465</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b">
        <f t="shared" si="31"/>
        <v>0</v>
      </c>
      <c r="Z77" s="34" t="e">
        <f>IF(Y77="","",IF(I$8="A",(RANK(Y77,Y$11:Y$368,1)+COUNTIF(Y$11:Y77,Y77)-1),(RANK(Y77,Y$11:Y$368)+COUNTIF(Y$11:Y77,Y77)-1)))</f>
        <v>#N/A</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SC68</v>
      </c>
      <c r="B78" s="57">
        <f>IF(ISERROR(VLOOKUP(A78,classifications!A:C,3,FALSE)),0,VLOOKUP(A78,classifications!A:C,3,FALSE))</f>
        <v>0</v>
      </c>
      <c r="C78" s="8" t="s">
        <v>305</v>
      </c>
      <c r="D78" s="26" t="str">
        <f>VLOOKUP($C78,classifications!$C:$J,4,FALSE)</f>
        <v>UA</v>
      </c>
      <c r="E78" s="26" t="str">
        <f>VLOOKUP(C78,classifications!C:K,9,FALSE)</f>
        <v>Sparse</v>
      </c>
      <c r="F78" s="36">
        <f t="shared" si="26"/>
        <v>14.736420150086701</v>
      </c>
      <c r="G78" s="71"/>
      <c r="H78" s="37" t="str">
        <f t="shared" si="27"/>
        <v/>
      </c>
      <c r="I78" s="77" t="str">
        <f>IF(H78="","",IF($I$8="A",(RANK(H78,H$11:H$368,1)+COUNTIF(H$11:H78,H78)-1),(RANK(H78,H$11:H$368)+COUNTIF(H$11:H78,H78)-1)))</f>
        <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b">
        <f t="shared" si="31"/>
        <v>0</v>
      </c>
      <c r="Z78" s="34" t="e">
        <f>IF(Y78="","",IF(I$8="A",(RANK(Y78,Y$11:Y$368,1)+COUNTIF(Y$11:Y78,Y78)-1),(RANK(Y78,Y$11:Y$368)+COUNTIF(Y$11:Y78,Y78)-1)))</f>
        <v>#N/A</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SC69</v>
      </c>
      <c r="B79" s="57">
        <f>IF(ISERROR(VLOOKUP(A79,classifications!A:C,3,FALSE)),0,VLOOKUP(A79,classifications!A:C,3,FALSE))</f>
        <v>0</v>
      </c>
      <c r="C79" s="8" t="s">
        <v>44</v>
      </c>
      <c r="D79" s="26" t="str">
        <f>VLOOKUP($C79,classifications!$C:$J,4,FALSE)</f>
        <v>SD</v>
      </c>
      <c r="E79" s="26" t="str">
        <f>VLOOKUP(C79,classifications!C:K,9,FALSE)</f>
        <v>Sparse</v>
      </c>
      <c r="F79" s="36">
        <f t="shared" si="26"/>
        <v>14.183362037295097</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b">
        <f t="shared" si="31"/>
        <v>0</v>
      </c>
      <c r="Z79" s="34" t="e">
        <f>IF(Y79="","",IF(I$8="A",(RANK(Y79,Y$11:Y$368,1)+COUNTIF(Y$11:Y79,Y79)-1),(RANK(Y79,Y$11:Y$368)+COUNTIF(Y$11:Y79,Y79)-1)))</f>
        <v>#N/A</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SC70</v>
      </c>
      <c r="B80" s="57">
        <f>IF(ISERROR(VLOOKUP(A80,classifications!A:C,3,FALSE)),0,VLOOKUP(A80,classifications!A:C,3,FALSE))</f>
        <v>0</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b">
        <f t="shared" si="31"/>
        <v>0</v>
      </c>
      <c r="Z80" s="34" t="e">
        <f>IF(Y80="","",IF(I$8="A",(RANK(Y80,Y$11:Y$368,1)+COUNTIF(Y$11:Y80,Y80)-1),(RANK(Y80,Y$11:Y$368)+COUNTIF(Y$11:Y80,Y80)-1)))</f>
        <v>#N/A</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SC71</v>
      </c>
      <c r="B81" s="57">
        <f>IF(ISERROR(VLOOKUP(A81,classifications!A:C,3,FALSE)),0,VLOOKUP(A81,classifications!A:C,3,FALSE))</f>
        <v>0</v>
      </c>
      <c r="C81" s="8" t="s">
        <v>45</v>
      </c>
      <c r="D81" s="26" t="str">
        <f>VLOOKUP($C81,classifications!$C:$J,4,FALSE)</f>
        <v>SD</v>
      </c>
      <c r="E81" s="26" t="str">
        <f>VLOOKUP(C81,classifications!C:K,9,FALSE)</f>
        <v>Sparse</v>
      </c>
      <c r="F81" s="36">
        <f t="shared" si="26"/>
        <v>15.410557572049409</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b">
        <f t="shared" si="31"/>
        <v>0</v>
      </c>
      <c r="Z81" s="34" t="e">
        <f>IF(Y81="","",IF(I$8="A",(RANK(Y81,Y$11:Y$368,1)+COUNTIF(Y$11:Y81,Y81)-1),(RANK(Y81,Y$11:Y$368)+COUNTIF(Y$11:Y81,Y81)-1)))</f>
        <v>#N/A</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SC72</v>
      </c>
      <c r="B82" s="57">
        <f>IF(ISERROR(VLOOKUP(A82,classifications!A:C,3,FALSE)),0,VLOOKUP(A82,classifications!A:C,3,FALSE))</f>
        <v>0</v>
      </c>
      <c r="C82" s="8" t="s">
        <v>46</v>
      </c>
      <c r="D82" s="26" t="str">
        <f>VLOOKUP($C82,classifications!$C:$J,4,FALSE)</f>
        <v>SD</v>
      </c>
      <c r="E82" s="26">
        <f>VLOOKUP(C82,classifications!C:K,9,FALSE)</f>
        <v>0</v>
      </c>
      <c r="F82" s="36">
        <f t="shared" si="26"/>
        <v>15.015793404181776</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b">
        <f t="shared" si="31"/>
        <v>0</v>
      </c>
      <c r="Z82" s="34" t="e">
        <f>IF(Y82="","",IF(I$8="A",(RANK(Y82,Y$11:Y$368,1)+COUNTIF(Y$11:Y82,Y82)-1),(RANK(Y82,Y$11:Y$368)+COUNTIF(Y$11:Y82,Y82)-1)))</f>
        <v>#N/A</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SC73</v>
      </c>
      <c r="B83" s="57">
        <f>IF(ISERROR(VLOOKUP(A83,classifications!A:C,3,FALSE)),0,VLOOKUP(A83,classifications!A:C,3,FALSE))</f>
        <v>0</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b">
        <f t="shared" si="31"/>
        <v>0</v>
      </c>
      <c r="Z83" s="34" t="e">
        <f>IF(Y83="","",IF(I$8="A",(RANK(Y83,Y$11:Y$368,1)+COUNTIF(Y$11:Y83,Y83)-1),(RANK(Y83,Y$11:Y$368)+COUNTIF(Y$11:Y83,Y83)-1)))</f>
        <v>#N/A</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SC74</v>
      </c>
      <c r="B84" s="57">
        <f>IF(ISERROR(VLOOKUP(A84,classifications!A:C,3,FALSE)),0,VLOOKUP(A84,classifications!A:C,3,FALSE))</f>
        <v>0</v>
      </c>
      <c r="C84" s="8" t="s">
        <v>306</v>
      </c>
      <c r="D84" s="26" t="str">
        <f>VLOOKUP($C84,classifications!$C:$J,4,FALSE)</f>
        <v>SC</v>
      </c>
      <c r="E84" s="26" t="str">
        <f>VLOOKUP(C84,classifications!C:K,9,FALSE)</f>
        <v>Sparse</v>
      </c>
      <c r="F84" s="36">
        <f t="shared" si="26"/>
        <v>16.018311396308022</v>
      </c>
      <c r="G84" s="71"/>
      <c r="H84" s="37">
        <f t="shared" si="27"/>
        <v>16.018311396308022</v>
      </c>
      <c r="I84" s="77">
        <f>IF(H84="","",IF($I$8="A",(RANK(H84,H$11:H$368,1)+COUNTIF(H$11:H84,H84)-1),(RANK(H84,H$11:H$368)+COUNTIF(H$11:H84,H84)-1)))</f>
        <v>16</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b">
        <f t="shared" si="31"/>
        <v>0</v>
      </c>
      <c r="Z84" s="34" t="e">
        <f>IF(Y84="","",IF(I$8="A",(RANK(Y84,Y$11:Y$368,1)+COUNTIF(Y$11:Y84,Y84)-1),(RANK(Y84,Y$11:Y$368)+COUNTIF(Y$11:Y84,Y84)-1)))</f>
        <v>#N/A</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SC75</v>
      </c>
      <c r="B85" s="57">
        <f>IF(ISERROR(VLOOKUP(A85,classifications!A:C,3,FALSE)),0,VLOOKUP(A85,classifications!A:C,3,FALSE))</f>
        <v>0</v>
      </c>
      <c r="C85" s="8" t="s">
        <v>47</v>
      </c>
      <c r="D85" s="26" t="str">
        <f>VLOOKUP($C85,classifications!$C:$J,4,FALSE)</f>
        <v>SD</v>
      </c>
      <c r="E85" s="26">
        <f>VLOOKUP(C85,classifications!C:K,9,FALSE)</f>
        <v>0</v>
      </c>
      <c r="F85" s="36">
        <f t="shared" si="26"/>
        <v>13.273069196328619</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b">
        <f t="shared" si="31"/>
        <v>0</v>
      </c>
      <c r="Z85" s="34" t="e">
        <f>IF(Y85="","",IF(I$8="A",(RANK(Y85,Y$11:Y$368,1)+COUNTIF(Y$11:Y85,Y85)-1),(RANK(Y85,Y$11:Y$368)+COUNTIF(Y$11:Y85,Y85)-1)))</f>
        <v>#N/A</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SC76</v>
      </c>
      <c r="B86" s="57">
        <f>IF(ISERROR(VLOOKUP(A86,classifications!A:C,3,FALSE)),0,VLOOKUP(A86,classifications!A:C,3,FALSE))</f>
        <v>0</v>
      </c>
      <c r="C86" s="8" t="s">
        <v>264</v>
      </c>
      <c r="D86" s="26" t="str">
        <f>VLOOKUP($C86,classifications!$C:$J,4,FALSE)</f>
        <v>UA</v>
      </c>
      <c r="E86" s="26">
        <f>VLOOKUP(C86,classifications!C:K,9,FALSE)</f>
        <v>0</v>
      </c>
      <c r="F86" s="36">
        <f t="shared" si="26"/>
        <v>12.934954480666184</v>
      </c>
      <c r="G86" s="71"/>
      <c r="H86" s="37" t="str">
        <f t="shared" si="27"/>
        <v/>
      </c>
      <c r="I86" s="77" t="str">
        <f>IF(H86="","",IF($I$8="A",(RANK(H86,H$11:H$368,1)+COUNTIF(H$11:H86,H86)-1),(RANK(H86,H$11:H$368)+COUNTIF(H$11:H86,H86)-1)))</f>
        <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b">
        <f t="shared" si="31"/>
        <v>0</v>
      </c>
      <c r="Z86" s="34" t="e">
        <f>IF(Y86="","",IF(I$8="A",(RANK(Y86,Y$11:Y$368,1)+COUNTIF(Y$11:Y86,Y86)-1),(RANK(Y86,Y$11:Y$368)+COUNTIF(Y$11:Y86,Y86)-1)))</f>
        <v>#N/A</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SC77</v>
      </c>
      <c r="B87" s="57">
        <f>IF(ISERROR(VLOOKUP(A87,classifications!A:C,3,FALSE)),0,VLOOKUP(A87,classifications!A:C,3,FALSE))</f>
        <v>0</v>
      </c>
      <c r="C87" s="8" t="s">
        <v>48</v>
      </c>
      <c r="D87" s="26" t="str">
        <f>VLOOKUP($C87,classifications!$C:$J,4,FALSE)</f>
        <v>SD</v>
      </c>
      <c r="E87" s="26">
        <f>VLOOKUP(C87,classifications!C:K,9,FALSE)</f>
        <v>0</v>
      </c>
      <c r="F87" s="36">
        <f t="shared" si="26"/>
        <v>9.6137899400222722</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b">
        <f t="shared" si="31"/>
        <v>0</v>
      </c>
      <c r="Z87" s="34" t="e">
        <f>IF(Y87="","",IF(I$8="A",(RANK(Y87,Y$11:Y$368,1)+COUNTIF(Y$11:Y87,Y87)-1),(RANK(Y87,Y$11:Y$368)+COUNTIF(Y$11:Y87,Y87)-1)))</f>
        <v>#N/A</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SC78</v>
      </c>
      <c r="B88" s="57">
        <f>IF(ISERROR(VLOOKUP(A88,classifications!A:C,3,FALSE)),0,VLOOKUP(A88,classifications!A:C,3,FALSE))</f>
        <v>0</v>
      </c>
      <c r="C88" s="8" t="s">
        <v>49</v>
      </c>
      <c r="D88" s="26" t="str">
        <f>VLOOKUP($C88,classifications!$C:$J,4,FALSE)</f>
        <v>SD</v>
      </c>
      <c r="E88" s="26" t="str">
        <f>VLOOKUP(C88,classifications!C:K,9,FALSE)</f>
        <v>Sparse</v>
      </c>
      <c r="F88" s="36">
        <f t="shared" si="26"/>
        <v>13.325942426255821</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b">
        <f t="shared" si="31"/>
        <v>0</v>
      </c>
      <c r="Z88" s="34" t="e">
        <f>IF(Y88="","",IF(I$8="A",(RANK(Y88,Y$11:Y$368,1)+COUNTIF(Y$11:Y88,Y88)-1),(RANK(Y88,Y$11:Y$368)+COUNTIF(Y$11:Y88,Y88)-1)))</f>
        <v>#N/A</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SC79</v>
      </c>
      <c r="B89" s="57">
        <f>IF(ISERROR(VLOOKUP(A89,classifications!A:C,3,FALSE)),0,VLOOKUP(A89,classifications!A:C,3,FALSE))</f>
        <v>0</v>
      </c>
      <c r="C89" s="8" t="s">
        <v>265</v>
      </c>
      <c r="D89" s="26" t="str">
        <f>VLOOKUP($C89,classifications!$C:$J,4,FALSE)</f>
        <v>UA</v>
      </c>
      <c r="E89" s="26">
        <f>VLOOKUP(C89,classifications!C:K,9,FALSE)</f>
        <v>0</v>
      </c>
      <c r="F89" s="36">
        <f t="shared" si="26"/>
        <v>13.947962931963536</v>
      </c>
      <c r="G89" s="71"/>
      <c r="H89" s="37" t="str">
        <f t="shared" si="27"/>
        <v/>
      </c>
      <c r="I89" s="77" t="str">
        <f>IF(H89="","",IF($I$8="A",(RANK(H89,H$11:H$368,1)+COUNTIF(H$11:H89,H89)-1),(RANK(H89,H$11:H$368)+COUNTIF(H$11:H89,H89)-1)))</f>
        <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b">
        <f t="shared" si="31"/>
        <v>0</v>
      </c>
      <c r="Z89" s="34" t="e">
        <f>IF(Y89="","",IF(I$8="A",(RANK(Y89,Y$11:Y$368,1)+COUNTIF(Y$11:Y89,Y89)-1),(RANK(Y89,Y$11:Y$368)+COUNTIF(Y$11:Y89,Y89)-1)))</f>
        <v>#N/A</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SC80</v>
      </c>
      <c r="B90" s="57">
        <f>IF(ISERROR(VLOOKUP(A90,classifications!A:C,3,FALSE)),0,VLOOKUP(A90,classifications!A:C,3,FALSE))</f>
        <v>0</v>
      </c>
      <c r="C90" s="8" t="s">
        <v>307</v>
      </c>
      <c r="D90" s="26" t="str">
        <f>VLOOKUP($C90,classifications!$C:$J,4,FALSE)</f>
        <v>SC</v>
      </c>
      <c r="E90" s="26" t="str">
        <f>VLOOKUP(C90,classifications!C:K,9,FALSE)</f>
        <v>Sparse</v>
      </c>
      <c r="F90" s="36">
        <f t="shared" si="26"/>
        <v>13.91293811582649</v>
      </c>
      <c r="G90" s="71"/>
      <c r="H90" s="37">
        <f t="shared" si="27"/>
        <v>13.91293811582649</v>
      </c>
      <c r="I90" s="77">
        <f>IF(H90="","",IF($I$8="A",(RANK(H90,H$11:H$368,1)+COUNTIF(H$11:H90,H90)-1),(RANK(H90,H$11:H$368)+COUNTIF(H$11:H90,H90)-1)))</f>
        <v>22</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b">
        <f t="shared" si="31"/>
        <v>0</v>
      </c>
      <c r="Z90" s="34" t="e">
        <f>IF(Y90="","",IF(I$8="A",(RANK(Y90,Y$11:Y$368,1)+COUNTIF(Y$11:Y90,Y90)-1),(RANK(Y90,Y$11:Y$368)+COUNTIF(Y$11:Y90,Y90)-1)))</f>
        <v>#N/A</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SC81</v>
      </c>
      <c r="B91" s="57">
        <f>IF(ISERROR(VLOOKUP(A91,classifications!A:C,3,FALSE)),0,VLOOKUP(A91,classifications!A:C,3,FALSE))</f>
        <v>0</v>
      </c>
      <c r="C91" s="8" t="s">
        <v>50</v>
      </c>
      <c r="D91" s="26" t="str">
        <f>VLOOKUP($C91,classifications!$C:$J,4,FALSE)</f>
        <v>SD</v>
      </c>
      <c r="E91" s="26" t="str">
        <f>VLOOKUP(C91,classifications!C:K,9,FALSE)</f>
        <v>Sparse</v>
      </c>
      <c r="F91" s="36">
        <f t="shared" si="26"/>
        <v>17.35651758530194</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b">
        <f t="shared" si="31"/>
        <v>0</v>
      </c>
      <c r="Z91" s="34" t="e">
        <f>IF(Y91="","",IF(I$8="A",(RANK(Y91,Y$11:Y$368,1)+COUNTIF(Y$11:Y91,Y91)-1),(RANK(Y91,Y$11:Y$368)+COUNTIF(Y$11:Y91,Y91)-1)))</f>
        <v>#N/A</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SC82</v>
      </c>
      <c r="B92" s="57">
        <f>IF(ISERROR(VLOOKUP(A92,classifications!A:C,3,FALSE)),0,VLOOKUP(A92,classifications!A:C,3,FALSE))</f>
        <v>0</v>
      </c>
      <c r="C92" s="8" t="s">
        <v>308</v>
      </c>
      <c r="D92" s="26" t="str">
        <f>VLOOKUP($C92,classifications!$C:$J,4,FALSE)</f>
        <v>SC</v>
      </c>
      <c r="E92" s="26" t="str">
        <f>VLOOKUP(C92,classifications!C:K,9,FALSE)</f>
        <v>Sparse</v>
      </c>
      <c r="F92" s="36">
        <f t="shared" si="26"/>
        <v>20.569845842883787</v>
      </c>
      <c r="G92" s="71"/>
      <c r="H92" s="37">
        <f t="shared" si="27"/>
        <v>20.569845842883787</v>
      </c>
      <c r="I92" s="77">
        <f>IF(H92="","",IF($I$8="A",(RANK(H92,H$11:H$368,1)+COUNTIF(H$11:H92,H92)-1),(RANK(H92,H$11:H$368)+COUNTIF(H$11:H92,H92)-1)))</f>
        <v>3</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b">
        <f t="shared" si="31"/>
        <v>0</v>
      </c>
      <c r="Z92" s="34" t="e">
        <f>IF(Y92="","",IF(I$8="A",(RANK(Y92,Y$11:Y$368,1)+COUNTIF(Y$11:Y92,Y92)-1),(RANK(Y92,Y$11:Y$368)+COUNTIF(Y$11:Y92,Y92)-1)))</f>
        <v>#N/A</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SC83</v>
      </c>
      <c r="B93" s="57">
        <f>IF(ISERROR(VLOOKUP(A93,classifications!A:C,3,FALSE)),0,VLOOKUP(A93,classifications!A:C,3,FALSE))</f>
        <v>0</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b">
        <f t="shared" si="31"/>
        <v>0</v>
      </c>
      <c r="Z93" s="34" t="e">
        <f>IF(Y93="","",IF(I$8="A",(RANK(Y93,Y$11:Y$368,1)+COUNTIF(Y$11:Y93,Y93)-1),(RANK(Y93,Y$11:Y$368)+COUNTIF(Y$11:Y93,Y93)-1)))</f>
        <v>#N/A</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13.564783086077096</v>
      </c>
      <c r="AY93" s="103"/>
      <c r="AZ93" s="21"/>
    </row>
    <row r="94" spans="1:52">
      <c r="A94" s="56" t="str">
        <f>$D$1&amp;84</f>
        <v>SC84</v>
      </c>
      <c r="B94" s="57">
        <f>IF(ISERROR(VLOOKUP(A94,classifications!A:C,3,FALSE)),0,VLOOKUP(A94,classifications!A:C,3,FALSE))</f>
        <v>0</v>
      </c>
      <c r="C94" s="8" t="s">
        <v>309</v>
      </c>
      <c r="D94" s="26" t="str">
        <f>VLOOKUP($C94,classifications!$C:$J,4,FALSE)</f>
        <v>SC</v>
      </c>
      <c r="E94" s="26">
        <f>VLOOKUP(C94,classifications!C:K,9,FALSE)</f>
        <v>0</v>
      </c>
      <c r="F94" s="36">
        <f t="shared" si="26"/>
        <v>0</v>
      </c>
      <c r="G94" s="71"/>
      <c r="H94" s="37">
        <f t="shared" si="27"/>
        <v>0</v>
      </c>
      <c r="I94" s="77">
        <f>IF(H94="","",IF($I$8="A",(RANK(H94,H$11:H$368,1)+COUNTIF(H$11:H94,H94)-1),(RANK(H94,H$11:H$368)+COUNTIF(H$11:H94,H94)-1)))</f>
        <v>27</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b">
        <f t="shared" si="31"/>
        <v>0</v>
      </c>
      <c r="Z94" s="34" t="e">
        <f>IF(Y94="","",IF(I$8="A",(RANK(Y94,Y$11:Y$368,1)+COUNTIF(Y$11:Y94,Y94)-1),(RANK(Y94,Y$11:Y$368)+COUNTIF(Y$11:Y94,Y94)-1)))</f>
        <v>#N/A</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f>HLOOKUP($AX$9&amp;$AX$10,Data!$A$1:$ZZ$2000,(MATCH($C94,Data!$A$1:$A$2000,0)),FALSE)</f>
        <v>0</v>
      </c>
      <c r="AY94" s="103"/>
      <c r="AZ94" s="21"/>
    </row>
    <row r="95" spans="1:52">
      <c r="A95" s="56" t="str">
        <f>$D$1&amp;85</f>
        <v>SC85</v>
      </c>
      <c r="B95" s="57">
        <f>IF(ISERROR(VLOOKUP(A95,classifications!A:C,3,FALSE)),0,VLOOKUP(A95,classifications!A:C,3,FALSE))</f>
        <v>0</v>
      </c>
      <c r="C95" s="8" t="s">
        <v>907</v>
      </c>
      <c r="D95" s="26" t="str">
        <f>VLOOKUP($C95,classifications!$C:$J,4,FALSE)</f>
        <v>UA</v>
      </c>
      <c r="E95" s="26">
        <f>VLOOKUP(C95,classifications!C:K,9,FALSE)</f>
        <v>0</v>
      </c>
      <c r="F95" s="36">
        <f t="shared" si="26"/>
        <v>21.214615942843405</v>
      </c>
      <c r="G95" s="71"/>
      <c r="H95" s="37" t="str">
        <f t="shared" si="27"/>
        <v/>
      </c>
      <c r="I95" s="77" t="str">
        <f>IF(H95="","",IF($I$8="A",(RANK(H95,H$11:H$368,1)+COUNTIF(H$11:H95,H95)-1),(RANK(H95,H$11:H$368)+COUNTIF(H$11:H95,H95)-1)))</f>
        <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b">
        <f t="shared" si="31"/>
        <v>0</v>
      </c>
      <c r="Z95" s="34" t="e">
        <f>IF(Y95="","",IF(I$8="A",(RANK(Y95,Y$11:Y$368,1)+COUNTIF(Y$11:Y95,Y95)-1),(RANK(Y95,Y$11:Y$368)+COUNTIF(Y$11:Y95,Y95)-1)))</f>
        <v>#N/A</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SC86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b">
        <f t="shared" si="31"/>
        <v>0</v>
      </c>
      <c r="Z96" s="34" t="e">
        <f>IF(Y96="","",IF(I$8="A",(RANK(Y96,Y$11:Y$368,1)+COUNTIF(Y$11:Y96,Y96)-1),(RANK(Y96,Y$11:Y$368)+COUNTIF(Y$11:Y96,Y96)-1)))</f>
        <v>#N/A</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SC87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t="str">
        <f t="shared" si="27"/>
        <v/>
      </c>
      <c r="I97" s="77" t="str">
        <f>IF(H97="","",IF($I$8="A",(RANK(H97,H$11:H$368,1)+COUNTIF(H$11:H97,H97)-1),(RANK(H97,H$11:H$368)+COUNTIF(H$11:H97,H97)-1)))</f>
        <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b">
        <f t="shared" si="31"/>
        <v>0</v>
      </c>
      <c r="Z97" s="34" t="e">
        <f>IF(Y97="","",IF(I$8="A",(RANK(Y97,Y$11:Y$368,1)+COUNTIF(Y$11:Y97,Y97)-1),(RANK(Y97,Y$11:Y$368)+COUNTIF(Y$11:Y97,Y97)-1)))</f>
        <v>#N/A</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SC88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b">
        <f t="shared" si="31"/>
        <v>0</v>
      </c>
      <c r="Z98" s="34" t="e">
        <f>IF(Y98="","",IF(I$8="A",(RANK(Y98,Y$11:Y$368,1)+COUNTIF(Y$11:Y98,Y98)-1),(RANK(Y98,Y$11:Y$368)+COUNTIF(Y$11:Y98,Y98)-1)))</f>
        <v>#N/A</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SC89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b">
        <f t="shared" si="31"/>
        <v>0</v>
      </c>
      <c r="Z99" s="34" t="e">
        <f>IF(Y99="","",IF(I$8="A",(RANK(Y99,Y$11:Y$368,1)+COUNTIF(Y$11:Y99,Y99)-1),(RANK(Y99,Y$11:Y$368)+COUNTIF(Y$11:Y99,Y99)-1)))</f>
        <v>#N/A</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SC90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b">
        <f t="shared" si="31"/>
        <v>0</v>
      </c>
      <c r="Z100" s="34" t="e">
        <f>IF(Y100="","",IF(I$8="A",(RANK(Y100,Y$11:Y$368,1)+COUNTIF(Y$11:Y100,Y100)-1),(RANK(Y100,Y$11:Y$368)+COUNTIF(Y$11:Y100,Y100)-1)))</f>
        <v>#N/A</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SC91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b">
        <f t="shared" si="31"/>
        <v>0</v>
      </c>
      <c r="Z101" s="34" t="e">
        <f>IF(Y101="","",IF(I$8="A",(RANK(Y101,Y$11:Y$368,1)+COUNTIF(Y$11:Y101,Y101)-1),(RANK(Y101,Y$11:Y$368)+COUNTIF(Y$11:Y101,Y101)-1)))</f>
        <v>#N/A</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SC92</v>
      </c>
      <c r="B102" s="57">
        <f>IF(ISERROR(VLOOKUP(A102,classifications!A:C,3,FALSE)),0,VLOOKUP(A102,classifications!A:C,3,FALSE))</f>
        <v>0</v>
      </c>
      <c r="C102" s="8" t="s">
        <v>54</v>
      </c>
      <c r="D102" s="26" t="str">
        <f>VLOOKUP($C102,classifications!$C:$J,4,FALSE)</f>
        <v>SD</v>
      </c>
      <c r="E102" s="26">
        <f>VLOOKUP(C102,classifications!C:K,9,FALSE)</f>
        <v>0</v>
      </c>
      <c r="F102" s="36">
        <f t="shared" si="26"/>
        <v>0</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b">
        <f t="shared" si="31"/>
        <v>0</v>
      </c>
      <c r="Z102" s="34" t="e">
        <f>IF(Y102="","",IF(I$8="A",(RANK(Y102,Y$11:Y$368,1)+COUNTIF(Y$11:Y102,Y102)-1),(RANK(Y102,Y$11:Y$368)+COUNTIF(Y$11:Y102,Y102)-1)))</f>
        <v>#N/A</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f>HLOOKUP($AX$9&amp;$AX$10,Data!$A$1:$ZZ$2000,(MATCH($C102,Data!$A$1:$A$2000,0)),FALSE)</f>
        <v>0</v>
      </c>
      <c r="AY102" s="103"/>
      <c r="AZ102" s="21"/>
    </row>
    <row r="103" spans="1:52">
      <c r="A103" s="56" t="str">
        <f>$D$1&amp;93</f>
        <v>SC93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b">
        <f t="shared" si="31"/>
        <v>0</v>
      </c>
      <c r="Z103" s="34" t="e">
        <f>IF(Y103="","",IF(I$8="A",(RANK(Y103,Y$11:Y$368,1)+COUNTIF(Y$11:Y103,Y103)-1),(RANK(Y103,Y$11:Y$368)+COUNTIF(Y$11:Y103,Y103)-1)))</f>
        <v>#N/A</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SC94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b">
        <f t="shared" si="31"/>
        <v>0</v>
      </c>
      <c r="Z104" s="34" t="e">
        <f>IF(Y104="","",IF(I$8="A",(RANK(Y104,Y$11:Y$368,1)+COUNTIF(Y$11:Y104,Y104)-1),(RANK(Y104,Y$11:Y$368)+COUNTIF(Y$11:Y104,Y104)-1)))</f>
        <v>#N/A</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SC95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b">
        <f t="shared" si="31"/>
        <v>0</v>
      </c>
      <c r="Z105" s="34" t="e">
        <f>IF(Y105="","",IF(I$8="A",(RANK(Y105,Y$11:Y$368,1)+COUNTIF(Y$11:Y105,Y105)-1),(RANK(Y105,Y$11:Y$368)+COUNTIF(Y$11:Y105,Y105)-1)))</f>
        <v>#N/A</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SC96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b">
        <f t="shared" si="31"/>
        <v>0</v>
      </c>
      <c r="Z106" s="34" t="e">
        <f>IF(Y106="","",IF(I$8="A",(RANK(Y106,Y$11:Y$368,1)+COUNTIF(Y$11:Y106,Y106)-1),(RANK(Y106,Y$11:Y$368)+COUNTIF(Y$11:Y106,Y106)-1)))</f>
        <v>#N/A</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SC97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t="str">
        <f t="shared" si="27"/>
        <v/>
      </c>
      <c r="I107" s="77" t="str">
        <f>IF(H107="","",IF($I$8="A",(RANK(H107,H$11:H$368,1)+COUNTIF(H$11:H107,H107)-1),(RANK(H107,H$11:H$368)+COUNTIF(H$11:H107,H107)-1)))</f>
        <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b">
        <f t="shared" si="31"/>
        <v>0</v>
      </c>
      <c r="Z107" s="34" t="e">
        <f>IF(Y107="","",IF(I$8="A",(RANK(Y107,Y$11:Y$368,1)+COUNTIF(Y$11:Y107,Y107)-1),(RANK(Y107,Y$11:Y$368)+COUNTIF(Y$11:Y107,Y107)-1)))</f>
        <v>#N/A</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SC98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b">
        <f t="shared" si="31"/>
        <v>0</v>
      </c>
      <c r="Z108" s="34" t="e">
        <f>IF(Y108="","",IF(I$8="A",(RANK(Y108,Y$11:Y$368,1)+COUNTIF(Y$11:Y108,Y108)-1),(RANK(Y108,Y$11:Y$368)+COUNTIF(Y$11:Y108,Y108)-1)))</f>
        <v>#N/A</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SC99</v>
      </c>
      <c r="B109" s="57">
        <f>IF(ISERROR(VLOOKUP(A109,classifications!A:C,3,FALSE)),0,VLOOKUP(A109,classifications!A:C,3,FALSE))</f>
        <v>0</v>
      </c>
      <c r="C109" s="8" t="s">
        <v>908</v>
      </c>
      <c r="D109" s="26" t="str">
        <f>VLOOKUP($C109,classifications!$C:$J,4,FALSE)</f>
        <v>SD</v>
      </c>
      <c r="E109" s="26" t="str">
        <f>VLOOKUP(C109,classifications!C:K,9,FALSE)</f>
        <v>Sparse</v>
      </c>
      <c r="F109" s="36">
        <f t="shared" si="26"/>
        <v>21.592272617150616</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b">
        <f t="shared" si="31"/>
        <v>0</v>
      </c>
      <c r="Z109" s="34" t="e">
        <f>IF(Y109="","",IF(I$8="A",(RANK(Y109,Y$11:Y$368,1)+COUNTIF(Y$11:Y109,Y109)-1),(RANK(Y109,Y$11:Y$368)+COUNTIF(Y$11:Y109,Y109)-1)))</f>
        <v>#N/A</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SC100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f t="shared" si="27"/>
        <v>13.818832595268283</v>
      </c>
      <c r="I110" s="77">
        <f>IF(H110="","",IF($I$8="A",(RANK(H110,H$11:H$368,1)+COUNTIF(H$11:H110,H110)-1),(RANK(H110,H$11:H$368)+COUNTIF(H$11:H110,H110)-1)))</f>
        <v>23</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b">
        <f t="shared" si="31"/>
        <v>0</v>
      </c>
      <c r="Z110" s="34" t="e">
        <f>IF(Y110="","",IF(I$8="A",(RANK(Y110,Y$11:Y$368,1)+COUNTIF(Y$11:Y110,Y110)-1),(RANK(Y110,Y$11:Y$368)+COUNTIF(Y$11:Y110,Y110)-1)))</f>
        <v>#N/A</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SC101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b">
        <f t="shared" si="31"/>
        <v>0</v>
      </c>
      <c r="Z111" s="34" t="e">
        <f>IF(Y111="","",IF(I$8="A",(RANK(Y111,Y$11:Y$368,1)+COUNTIF(Y$11:Y111,Y111)-1),(RANK(Y111,Y$11:Y$368)+COUNTIF(Y$11:Y111,Y111)-1)))</f>
        <v>#N/A</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SC102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b">
        <f t="shared" si="31"/>
        <v>0</v>
      </c>
      <c r="Z112" s="34" t="e">
        <f>IF(Y112="","",IF(I$8="A",(RANK(Y112,Y$11:Y$368,1)+COUNTIF(Y$11:Y112,Y112)-1),(RANK(Y112,Y$11:Y$368)+COUNTIF(Y$11:Y112,Y112)-1)))</f>
        <v>#N/A</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SC103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b">
        <f t="shared" si="31"/>
        <v>0</v>
      </c>
      <c r="Z113" s="34" t="e">
        <f>IF(Y113="","",IF(I$8="A",(RANK(Y113,Y$11:Y$368,1)+COUNTIF(Y$11:Y113,Y113)-1),(RANK(Y113,Y$11:Y$368)+COUNTIF(Y$11:Y113,Y113)-1)))</f>
        <v>#N/A</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SC104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b">
        <f t="shared" si="31"/>
        <v>0</v>
      </c>
      <c r="Z114" s="34" t="e">
        <f>IF(Y114="","",IF(I$8="A",(RANK(Y114,Y$11:Y$368,1)+COUNTIF(Y$11:Y114,Y114)-1),(RANK(Y114,Y$11:Y$368)+COUNTIF(Y$11:Y114,Y114)-1)))</f>
        <v>#N/A</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SC105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b">
        <f t="shared" si="31"/>
        <v>0</v>
      </c>
      <c r="Z115" s="34" t="e">
        <f>IF(Y115="","",IF(I$8="A",(RANK(Y115,Y$11:Y$368,1)+COUNTIF(Y$11:Y115,Y115)-1),(RANK(Y115,Y$11:Y$368)+COUNTIF(Y$11:Y115,Y115)-1)))</f>
        <v>#N/A</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SC106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b">
        <f t="shared" si="31"/>
        <v>0</v>
      </c>
      <c r="Z116" s="34" t="e">
        <f>IF(Y116="","",IF(I$8="A",(RANK(Y116,Y$11:Y$368,1)+COUNTIF(Y$11:Y116,Y116)-1),(RANK(Y116,Y$11:Y$368)+COUNTIF(Y$11:Y116,Y116)-1)))</f>
        <v>#N/A</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SC107</v>
      </c>
      <c r="B117" s="57">
        <f>IF(ISERROR(VLOOKUP(A117,classifications!A:C,3,FALSE)),0,VLOOKUP(A117,classifications!A:C,3,FALSE))</f>
        <v>0</v>
      </c>
      <c r="C117" s="8" t="s">
        <v>344</v>
      </c>
      <c r="D117" s="26" t="str">
        <f>VLOOKUP($C117,classifications!$C:$J,4,FALSE)</f>
        <v>SD</v>
      </c>
      <c r="E117" s="26">
        <f>VLOOKUP(C117,classifications!C:K,9,FALSE)</f>
        <v>0</v>
      </c>
      <c r="F117" s="36">
        <f t="shared" si="26"/>
        <v>19.66408572878446</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b">
        <f t="shared" si="31"/>
        <v>0</v>
      </c>
      <c r="Z117" s="34" t="e">
        <f>IF(Y117="","",IF(I$8="A",(RANK(Y117,Y$11:Y$368,1)+COUNTIF(Y$11:Y117,Y117)-1),(RANK(Y117,Y$11:Y$368)+COUNTIF(Y$11:Y117,Y117)-1)))</f>
        <v>#N/A</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SC108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b">
        <f t="shared" si="31"/>
        <v>0</v>
      </c>
      <c r="Z118" s="34" t="e">
        <f>IF(Y118="","",IF(I$8="A",(RANK(Y118,Y$11:Y$368,1)+COUNTIF(Y$11:Y118,Y118)-1),(RANK(Y118,Y$11:Y$368)+COUNTIF(Y$11:Y118,Y118)-1)))</f>
        <v>#N/A</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SC109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f t="shared" si="27"/>
        <v>14.894377995293434</v>
      </c>
      <c r="I119" s="77">
        <f>IF(H119="","",IF($I$8="A",(RANK(H119,H$11:H$368,1)+COUNTIF(H$11:H119,H119)-1),(RANK(H119,H$11:H$368)+COUNTIF(H$11:H119,H119)-1)))</f>
        <v>20</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b">
        <f t="shared" si="31"/>
        <v>0</v>
      </c>
      <c r="Z119" s="34" t="e">
        <f>IF(Y119="","",IF(I$8="A",(RANK(Y119,Y$11:Y$368,1)+COUNTIF(Y$11:Y119,Y119)-1),(RANK(Y119,Y$11:Y$368)+COUNTIF(Y$11:Y119,Y119)-1)))</f>
        <v>#N/A</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SC110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b">
        <f t="shared" si="31"/>
        <v>0</v>
      </c>
      <c r="Z120" s="34" t="e">
        <f>IF(Y120="","",IF(I$8="A",(RANK(Y120,Y$11:Y$368,1)+COUNTIF(Y$11:Y120,Y120)-1),(RANK(Y120,Y$11:Y$368)+COUNTIF(Y$11:Y120,Y120)-1)))</f>
        <v>#N/A</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SC111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b">
        <f t="shared" si="31"/>
        <v>0</v>
      </c>
      <c r="Z121" s="34" t="e">
        <f>IF(Y121="","",IF(I$8="A",(RANK(Y121,Y$11:Y$368,1)+COUNTIF(Y$11:Y121,Y121)-1),(RANK(Y121,Y$11:Y$368)+COUNTIF(Y$11:Y121,Y121)-1)))</f>
        <v>#N/A</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SC112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b">
        <f t="shared" si="31"/>
        <v>0</v>
      </c>
      <c r="Z122" s="34" t="e">
        <f>IF(Y122="","",IF(I$8="A",(RANK(Y122,Y$11:Y$368,1)+COUNTIF(Y$11:Y122,Y122)-1),(RANK(Y122,Y$11:Y$368)+COUNTIF(Y$11:Y122,Y122)-1)))</f>
        <v>#N/A</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SC113</v>
      </c>
      <c r="B123" s="57">
        <f>IF(ISERROR(VLOOKUP(A123,classifications!A:C,3,FALSE)),0,VLOOKUP(A123,classifications!A:C,3,FALSE))</f>
        <v>0</v>
      </c>
      <c r="C123" s="8" t="s">
        <v>69</v>
      </c>
      <c r="D123" s="26" t="str">
        <f>VLOOKUP($C123,classifications!$C:$J,4,FALSE)</f>
        <v>SD</v>
      </c>
      <c r="E123" s="26" t="str">
        <f>VLOOKUP(C123,classifications!C:K,9,FALSE)</f>
        <v>Sparse</v>
      </c>
      <c r="F123" s="36">
        <f t="shared" si="26"/>
        <v>0</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b">
        <f t="shared" si="31"/>
        <v>0</v>
      </c>
      <c r="Z123" s="34" t="e">
        <f>IF(Y123="","",IF(I$8="A",(RANK(Y123,Y$11:Y$368,1)+COUNTIF(Y$11:Y123,Y123)-1),(RANK(Y123,Y$11:Y$368)+COUNTIF(Y$11:Y123,Y123)-1)))</f>
        <v>#N/A</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f>HLOOKUP($AX$9&amp;$AX$10,Data!$A$1:$ZZ$2000,(MATCH($C123,Data!$A$1:$A$2000,0)),FALSE)</f>
        <v>0</v>
      </c>
      <c r="AY123" s="103"/>
      <c r="AZ123" s="21"/>
    </row>
    <row r="124" spans="1:52">
      <c r="A124" s="56" t="str">
        <f>$D$1&amp;114</f>
        <v>SC114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b">
        <f t="shared" si="31"/>
        <v>0</v>
      </c>
      <c r="Z124" s="34" t="e">
        <f>IF(Y124="","",IF(I$8="A",(RANK(Y124,Y$11:Y$368,1)+COUNTIF(Y$11:Y124,Y124)-1),(RANK(Y124,Y$11:Y$368)+COUNTIF(Y$11:Y124,Y124)-1)))</f>
        <v>#N/A</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SC115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b">
        <f t="shared" si="31"/>
        <v>0</v>
      </c>
      <c r="Z125" s="34" t="e">
        <f>IF(Y125="","",IF(I$8="A",(RANK(Y125,Y$11:Y$368,1)+COUNTIF(Y$11:Y125,Y125)-1),(RANK(Y125,Y$11:Y$368)+COUNTIF(Y$11:Y125,Y125)-1)))</f>
        <v>#N/A</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SC116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b">
        <f t="shared" si="31"/>
        <v>0</v>
      </c>
      <c r="Z126" s="34" t="e">
        <f>IF(Y126="","",IF(I$8="A",(RANK(Y126,Y$11:Y$368,1)+COUNTIF(Y$11:Y126,Y126)-1),(RANK(Y126,Y$11:Y$368)+COUNTIF(Y$11:Y126,Y126)-1)))</f>
        <v>#N/A</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SC117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b">
        <f t="shared" si="31"/>
        <v>0</v>
      </c>
      <c r="Z127" s="34" t="e">
        <f>IF(Y127="","",IF(I$8="A",(RANK(Y127,Y$11:Y$368,1)+COUNTIF(Y$11:Y127,Y127)-1),(RANK(Y127,Y$11:Y$368)+COUNTIF(Y$11:Y127,Y127)-1)))</f>
        <v>#N/A</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SC118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b">
        <f t="shared" si="31"/>
        <v>0</v>
      </c>
      <c r="Z128" s="34" t="e">
        <f>IF(Y128="","",IF(I$8="A",(RANK(Y128,Y$11:Y$368,1)+COUNTIF(Y$11:Y128,Y128)-1),(RANK(Y128,Y$11:Y$368)+COUNTIF(Y$11:Y128,Y128)-1)))</f>
        <v>#N/A</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SC119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f t="shared" si="27"/>
        <v>17.475104043290408</v>
      </c>
      <c r="I129" s="77">
        <f>IF(H129="","",IF($I$8="A",(RANK(H129,H$11:H$368,1)+COUNTIF(H$11:H129,H129)-1),(RANK(H129,H$11:H$368)+COUNTIF(H$11:H129,H129)-1)))</f>
        <v>12</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b">
        <f t="shared" si="31"/>
        <v>0</v>
      </c>
      <c r="Z129" s="34" t="e">
        <f>IF(Y129="","",IF(I$8="A",(RANK(Y129,Y$11:Y$368,1)+COUNTIF(Y$11:Y129,Y129)-1),(RANK(Y129,Y$11:Y$368)+COUNTIF(Y$11:Y129,Y129)-1)))</f>
        <v>#N/A</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SC120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b">
        <f t="shared" si="31"/>
        <v>0</v>
      </c>
      <c r="Z130" s="34" t="e">
        <f>IF(Y130="","",IF(I$8="A",(RANK(Y130,Y$11:Y$368,1)+COUNTIF(Y$11:Y130,Y130)-1),(RANK(Y130,Y$11:Y$368)+COUNTIF(Y$11:Y130,Y130)-1)))</f>
        <v>#N/A</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SC121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b">
        <f t="shared" si="31"/>
        <v>0</v>
      </c>
      <c r="Z131" s="34" t="e">
        <f>IF(Y131="","",IF(I$8="A",(RANK(Y131,Y$11:Y$368,1)+COUNTIF(Y$11:Y131,Y131)-1),(RANK(Y131,Y$11:Y$368)+COUNTIF(Y$11:Y131,Y131)-1)))</f>
        <v>#N/A</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SC122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b">
        <f t="shared" si="31"/>
        <v>0</v>
      </c>
      <c r="Z132" s="34" t="e">
        <f>IF(Y132="","",IF(I$8="A",(RANK(Y132,Y$11:Y$368,1)+COUNTIF(Y$11:Y132,Y132)-1),(RANK(Y132,Y$11:Y$368)+COUNTIF(Y$11:Y132,Y132)-1)))</f>
        <v>#N/A</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SC123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b">
        <f t="shared" si="31"/>
        <v>0</v>
      </c>
      <c r="Z133" s="34" t="e">
        <f>IF(Y133="","",IF(I$8="A",(RANK(Y133,Y$11:Y$368,1)+COUNTIF(Y$11:Y133,Y133)-1),(RANK(Y133,Y$11:Y$368)+COUNTIF(Y$11:Y133,Y133)-1)))</f>
        <v>#N/A</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SC124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b">
        <f t="shared" si="31"/>
        <v>0</v>
      </c>
      <c r="Z134" s="34" t="e">
        <f>IF(Y134="","",IF(I$8="A",(RANK(Y134,Y$11:Y$368,1)+COUNTIF(Y$11:Y134,Y134)-1),(RANK(Y134,Y$11:Y$368)+COUNTIF(Y$11:Y134,Y134)-1)))</f>
        <v>#N/A</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SC125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b">
        <f t="shared" si="31"/>
        <v>0</v>
      </c>
      <c r="Z135" s="34" t="e">
        <f>IF(Y135="","",IF(I$8="A",(RANK(Y135,Y$11:Y$368,1)+COUNTIF(Y$11:Y135,Y135)-1),(RANK(Y135,Y$11:Y$368)+COUNTIF(Y$11:Y135,Y135)-1)))</f>
        <v>#N/A</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SC126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t="str">
        <f t="shared" si="27"/>
        <v/>
      </c>
      <c r="I136" s="77" t="str">
        <f>IF(H136="","",IF($I$8="A",(RANK(H136,H$11:H$368,1)+COUNTIF(H$11:H136,H136)-1),(RANK(H136,H$11:H$368)+COUNTIF(H$11:H136,H136)-1)))</f>
        <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b">
        <f t="shared" si="31"/>
        <v>0</v>
      </c>
      <c r="Z136" s="34" t="e">
        <f>IF(Y136="","",IF(I$8="A",(RANK(Y136,Y$11:Y$368,1)+COUNTIF(Y$11:Y136,Y136)-1),(RANK(Y136,Y$11:Y$368)+COUNTIF(Y$11:Y136,Y136)-1)))</f>
        <v>#N/A</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SC127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b">
        <f t="shared" si="31"/>
        <v>0</v>
      </c>
      <c r="Z137" s="34" t="e">
        <f>IF(Y137="","",IF(I$8="A",(RANK(Y137,Y$11:Y$368,1)+COUNTIF(Y$11:Y137,Y137)-1),(RANK(Y137,Y$11:Y$368)+COUNTIF(Y$11:Y137,Y137)-1)))</f>
        <v>#N/A</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SC128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b">
        <f t="shared" si="31"/>
        <v>0</v>
      </c>
      <c r="Z138" s="34" t="e">
        <f>IF(Y138="","",IF(I$8="A",(RANK(Y138,Y$11:Y$368,1)+COUNTIF(Y$11:Y138,Y138)-1),(RANK(Y138,Y$11:Y$368)+COUNTIF(Y$11:Y138,Y138)-1)))</f>
        <v>#N/A</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SC129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f t="shared" ref="H139:H202" si="51">IF(D139=$D$1,HLOOKUP($D$6,$AX$10:$ZZ$368,ROW()-9,FALSE),"")</f>
        <v>18.924173536281611</v>
      </c>
      <c r="I139" s="77">
        <f>IF(H139="","",IF($I$8="A",(RANK(H139,H$11:H$368,1)+COUNTIF(H$11:H139,H139)-1),(RANK(H139,H$11:H$368)+COUNTIF(H$11:H139,H139)-1)))</f>
        <v>7</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b">
        <f t="shared" ref="Y139:Y202" si="55">IF($D$1="UA",IF(X139="Largely Rural (rural including hub towns 50-79%) ",M139,IF(X139="Mainly Rural (rural including hub towns &gt;=80%) ",M139,IF(X139="Urban with Significant Rural (rural including hub towns 26-49%)",M139,""))),IF($D$1="SD",IF(X139=$H$3,M139,"")))</f>
        <v>0</v>
      </c>
      <c r="Z139" s="34" t="e">
        <f>IF(Y139="","",IF(I$8="A",(RANK(Y139,Y$11:Y$368,1)+COUNTIF(Y$11:Y139,Y139)-1),(RANK(Y139,Y$11:Y$368)+COUNTIF(Y$11:Y139,Y139)-1)))</f>
        <v>#N/A</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SC130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b">
        <f t="shared" si="55"/>
        <v>0</v>
      </c>
      <c r="Z140" s="34" t="e">
        <f>IF(Y140="","",IF(I$8="A",(RANK(Y140,Y$11:Y$368,1)+COUNTIF(Y$11:Y140,Y140)-1),(RANK(Y140,Y$11:Y$368)+COUNTIF(Y$11:Y140,Y140)-1)))</f>
        <v>#N/A</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SC131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b">
        <f t="shared" si="55"/>
        <v>0</v>
      </c>
      <c r="Z141" s="34" t="e">
        <f>IF(Y141="","",IF(I$8="A",(RANK(Y141,Y$11:Y$368,1)+COUNTIF(Y$11:Y141,Y141)-1),(RANK(Y141,Y$11:Y$368)+COUNTIF(Y$11:Y141,Y141)-1)))</f>
        <v>#N/A</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SC132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b">
        <f t="shared" si="55"/>
        <v>0</v>
      </c>
      <c r="Z142" s="34" t="e">
        <f>IF(Y142="","",IF(I$8="A",(RANK(Y142,Y$11:Y$368,1)+COUNTIF(Y$11:Y142,Y142)-1),(RANK(Y142,Y$11:Y$368)+COUNTIF(Y$11:Y142,Y142)-1)))</f>
        <v>#N/A</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SC133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b">
        <f t="shared" si="55"/>
        <v>0</v>
      </c>
      <c r="Z143" s="34" t="e">
        <f>IF(Y143="","",IF(I$8="A",(RANK(Y143,Y$11:Y$368,1)+COUNTIF(Y$11:Y143,Y143)-1),(RANK(Y143,Y$11:Y$368)+COUNTIF(Y$11:Y143,Y143)-1)))</f>
        <v>#N/A</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SC134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b">
        <f t="shared" si="55"/>
        <v>0</v>
      </c>
      <c r="Z144" s="34" t="e">
        <f>IF(Y144="","",IF(I$8="A",(RANK(Y144,Y$11:Y$368,1)+COUNTIF(Y$11:Y144,Y144)-1),(RANK(Y144,Y$11:Y$368)+COUNTIF(Y$11:Y144,Y144)-1)))</f>
        <v>#N/A</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SC135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b">
        <f t="shared" si="55"/>
        <v>0</v>
      </c>
      <c r="Z145" s="34" t="e">
        <f>IF(Y145="","",IF(I$8="A",(RANK(Y145,Y$11:Y$368,1)+COUNTIF(Y$11:Y145,Y145)-1),(RANK(Y145,Y$11:Y$368)+COUNTIF(Y$11:Y145,Y145)-1)))</f>
        <v>#N/A</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SC136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t="str">
        <f t="shared" si="51"/>
        <v/>
      </c>
      <c r="I146" s="77" t="str">
        <f>IF(H146="","",IF($I$8="A",(RANK(H146,H$11:H$368,1)+COUNTIF(H$11:H146,H146)-1),(RANK(H146,H$11:H$368)+COUNTIF(H$11:H146,H146)-1)))</f>
        <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b">
        <f t="shared" si="55"/>
        <v>0</v>
      </c>
      <c r="Z146" s="34" t="e">
        <f>IF(Y146="","",IF(I$8="A",(RANK(Y146,Y$11:Y$368,1)+COUNTIF(Y$11:Y146,Y146)-1),(RANK(Y146,Y$11:Y$368)+COUNTIF(Y$11:Y146,Y146)-1)))</f>
        <v>#N/A</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SC137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b">
        <f t="shared" si="55"/>
        <v>0</v>
      </c>
      <c r="Z147" s="34" t="e">
        <f>IF(Y147="","",IF(I$8="A",(RANK(Y147,Y$11:Y$368,1)+COUNTIF(Y$11:Y147,Y147)-1),(RANK(Y147,Y$11:Y$368)+COUNTIF(Y$11:Y147,Y147)-1)))</f>
        <v>#N/A</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SC138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b">
        <f t="shared" si="55"/>
        <v>0</v>
      </c>
      <c r="Z148" s="34" t="e">
        <f>IF(Y148="","",IF(I$8="A",(RANK(Y148,Y$11:Y$368,1)+COUNTIF(Y$11:Y148,Y148)-1),(RANK(Y148,Y$11:Y$368)+COUNTIF(Y$11:Y148,Y148)-1)))</f>
        <v>#N/A</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SC139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b">
        <f t="shared" si="55"/>
        <v>0</v>
      </c>
      <c r="Z149" s="34" t="e">
        <f>IF(Y149="","",IF(I$8="A",(RANK(Y149,Y$11:Y$368,1)+COUNTIF(Y$11:Y149,Y149)-1),(RANK(Y149,Y$11:Y$368)+COUNTIF(Y$11:Y149,Y149)-1)))</f>
        <v>#N/A</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SC140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t="str">
        <f t="shared" si="51"/>
        <v/>
      </c>
      <c r="I150" s="77" t="str">
        <f>IF(H150="","",IF($I$8="A",(RANK(H150,H$11:H$368,1)+COUNTIF(H$11:H150,H150)-1),(RANK(H150,H$11:H$368)+COUNTIF(H$11:H150,H150)-1)))</f>
        <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b">
        <f t="shared" si="55"/>
        <v>0</v>
      </c>
      <c r="Z150" s="34" t="e">
        <f>IF(Y150="","",IF(I$8="A",(RANK(Y150,Y$11:Y$368,1)+COUNTIF(Y$11:Y150,Y150)-1),(RANK(Y150,Y$11:Y$368)+COUNTIF(Y$11:Y150,Y150)-1)))</f>
        <v>#N/A</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SC141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f t="shared" si="51"/>
        <v>15.573799350980138</v>
      </c>
      <c r="I151" s="77">
        <f>IF(H151="","",IF($I$8="A",(RANK(H151,H$11:H$368,1)+COUNTIF(H$11:H151,H151)-1),(RANK(H151,H$11:H$368)+COUNTIF(H$11:H151,H151)-1)))</f>
        <v>18</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b">
        <f t="shared" si="55"/>
        <v>0</v>
      </c>
      <c r="Z151" s="34" t="e">
        <f>IF(Y151="","",IF(I$8="A",(RANK(Y151,Y$11:Y$368,1)+COUNTIF(Y$11:Y151,Y151)-1),(RANK(Y151,Y$11:Y$368)+COUNTIF(Y$11:Y151,Y151)-1)))</f>
        <v>#N/A</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SC142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b">
        <f t="shared" si="55"/>
        <v>0</v>
      </c>
      <c r="Z152" s="34" t="e">
        <f>IF(Y152="","",IF(I$8="A",(RANK(Y152,Y$11:Y$368,1)+COUNTIF(Y$11:Y152,Y152)-1),(RANK(Y152,Y$11:Y$368)+COUNTIF(Y$11:Y152,Y152)-1)))</f>
        <v>#N/A</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SC143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b">
        <f t="shared" si="55"/>
        <v>0</v>
      </c>
      <c r="Z153" s="34" t="e">
        <f>IF(Y153="","",IF(I$8="A",(RANK(Y153,Y$11:Y$368,1)+COUNTIF(Y$11:Y153,Y153)-1),(RANK(Y153,Y$11:Y$368)+COUNTIF(Y$11:Y153,Y153)-1)))</f>
        <v>#N/A</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SC144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b">
        <f t="shared" si="55"/>
        <v>0</v>
      </c>
      <c r="Z154" s="34" t="e">
        <f>IF(Y154="","",IF(I$8="A",(RANK(Y154,Y$11:Y$368,1)+COUNTIF(Y$11:Y154,Y154)-1),(RANK(Y154,Y$11:Y$368)+COUNTIF(Y$11:Y154,Y154)-1)))</f>
        <v>#N/A</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SC145</v>
      </c>
      <c r="B155" s="57">
        <f>IF(ISERROR(VLOOKUP(A155,classifications!A:C,3,FALSE)),0,VLOOKUP(A155,classifications!A:C,3,FALSE))</f>
        <v>0</v>
      </c>
      <c r="C155" s="8" t="s">
        <v>345</v>
      </c>
      <c r="D155" s="26" t="str">
        <f>VLOOKUP($C155,classifications!$C:$J,4,FALSE)</f>
        <v>SD</v>
      </c>
      <c r="E155" s="26">
        <f>VLOOKUP(C155,classifications!C:K,9,FALSE)</f>
        <v>0</v>
      </c>
      <c r="F155" s="36">
        <f t="shared" si="50"/>
        <v>12.144200315206726</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b">
        <f t="shared" si="55"/>
        <v>0</v>
      </c>
      <c r="Z155" s="34" t="e">
        <f>IF(Y155="","",IF(I$8="A",(RANK(Y155,Y$11:Y$368,1)+COUNTIF(Y$11:Y155,Y155)-1),(RANK(Y155,Y$11:Y$368)+COUNTIF(Y$11:Y155,Y155)-1)))</f>
        <v>#N/A</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SC146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b">
        <f t="shared" si="55"/>
        <v>0</v>
      </c>
      <c r="Z156" s="34" t="e">
        <f>IF(Y156="","",IF(I$8="A",(RANK(Y156,Y$11:Y$368,1)+COUNTIF(Y$11:Y156,Y156)-1),(RANK(Y156,Y$11:Y$368)+COUNTIF(Y$11:Y156,Y156)-1)))</f>
        <v>#N/A</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SC147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b">
        <f t="shared" si="55"/>
        <v>0</v>
      </c>
      <c r="Z157" s="34" t="e">
        <f>IF(Y157="","",IF(I$8="A",(RANK(Y157,Y$11:Y$368,1)+COUNTIF(Y$11:Y157,Y157)-1),(RANK(Y157,Y$11:Y$368)+COUNTIF(Y$11:Y157,Y157)-1)))</f>
        <v>#N/A</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SC148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b">
        <f t="shared" si="55"/>
        <v>0</v>
      </c>
      <c r="Z158" s="34" t="e">
        <f>IF(Y158="","",IF(I$8="A",(RANK(Y158,Y$11:Y$368,1)+COUNTIF(Y$11:Y158,Y158)-1),(RANK(Y158,Y$11:Y$368)+COUNTIF(Y$11:Y158,Y158)-1)))</f>
        <v>#N/A</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SC149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b">
        <f t="shared" si="55"/>
        <v>0</v>
      </c>
      <c r="Z159" s="34" t="e">
        <f>IF(Y159="","",IF(I$8="A",(RANK(Y159,Y$11:Y$368,1)+COUNTIF(Y$11:Y159,Y159)-1),(RANK(Y159,Y$11:Y$368)+COUNTIF(Y$11:Y159,Y159)-1)))</f>
        <v>#N/A</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SC150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b">
        <f t="shared" si="55"/>
        <v>0</v>
      </c>
      <c r="Z160" s="34" t="e">
        <f>IF(Y160="","",IF(I$8="A",(RANK(Y160,Y$11:Y$368,1)+COUNTIF(Y$11:Y160,Y160)-1),(RANK(Y160,Y$11:Y$368)+COUNTIF(Y$11:Y160,Y160)-1)))</f>
        <v>#N/A</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SC151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t="str">
        <f t="shared" si="51"/>
        <v/>
      </c>
      <c r="I161" s="77" t="str">
        <f>IF(H161="","",IF($I$8="A",(RANK(H161,H$11:H$368,1)+COUNTIF(H$11:H161,H161)-1),(RANK(H161,H$11:H$368)+COUNTIF(H$11:H161,H161)-1)))</f>
        <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b">
        <f t="shared" si="55"/>
        <v>0</v>
      </c>
      <c r="Z161" s="34" t="e">
        <f>IF(Y161="","",IF(I$8="A",(RANK(Y161,Y$11:Y$368,1)+COUNTIF(Y$11:Y161,Y161)-1),(RANK(Y161,Y$11:Y$368)+COUNTIF(Y$11:Y161,Y161)-1)))</f>
        <v>#N/A</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SC152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b">
        <f t="shared" si="55"/>
        <v>0</v>
      </c>
      <c r="Z162" s="34" t="e">
        <f>IF(Y162="","",IF(I$8="A",(RANK(Y162,Y$11:Y$368,1)+COUNTIF(Y$11:Y162,Y162)-1),(RANK(Y162,Y$11:Y$368)+COUNTIF(Y$11:Y162,Y162)-1)))</f>
        <v>#N/A</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SC153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b">
        <f t="shared" si="55"/>
        <v>0</v>
      </c>
      <c r="Z163" s="34" t="e">
        <f>IF(Y163="","",IF(I$8="A",(RANK(Y163,Y$11:Y$368,1)+COUNTIF(Y$11:Y163,Y163)-1),(RANK(Y163,Y$11:Y$368)+COUNTIF(Y$11:Y163,Y163)-1)))</f>
        <v>#N/A</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SC154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b">
        <f t="shared" si="55"/>
        <v>0</v>
      </c>
      <c r="Z164" s="34" t="e">
        <f>IF(Y164="","",IF(I$8="A",(RANK(Y164,Y$11:Y$368,1)+COUNTIF(Y$11:Y164,Y164)-1),(RANK(Y164,Y$11:Y$368)+COUNTIF(Y$11:Y164,Y164)-1)))</f>
        <v>#N/A</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SC155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f t="shared" si="51"/>
        <v>16.26259547069758</v>
      </c>
      <c r="I165" s="77">
        <f>IF(H165="","",IF($I$8="A",(RANK(H165,H$11:H$368,1)+COUNTIF(H$11:H165,H165)-1),(RANK(H165,H$11:H$368)+COUNTIF(H$11:H165,H165)-1)))</f>
        <v>14</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b">
        <f t="shared" si="55"/>
        <v>0</v>
      </c>
      <c r="Z165" s="34" t="e">
        <f>IF(Y165="","",IF(I$8="A",(RANK(Y165,Y$11:Y$368,1)+COUNTIF(Y$11:Y165,Y165)-1),(RANK(Y165,Y$11:Y$368)+COUNTIF(Y$11:Y165,Y165)-1)))</f>
        <v>#N/A</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SC156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b">
        <f t="shared" si="55"/>
        <v>0</v>
      </c>
      <c r="Z166" s="34" t="e">
        <f>IF(Y166="","",IF(I$8="A",(RANK(Y166,Y$11:Y$368,1)+COUNTIF(Y$11:Y166,Y166)-1),(RANK(Y166,Y$11:Y$368)+COUNTIF(Y$11:Y166,Y166)-1)))</f>
        <v>#N/A</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SC157</v>
      </c>
      <c r="B167" s="57">
        <f>IF(ISERROR(VLOOKUP(A167,classifications!A:C,3,FALSE)),0,VLOOKUP(A167,classifications!A:C,3,FALSE))</f>
        <v>0</v>
      </c>
      <c r="C167" s="8" t="s">
        <v>377</v>
      </c>
      <c r="D167" s="26" t="str">
        <f>VLOOKUP($C167,classifications!$C:$J,4,FALSE)</f>
        <v>SD</v>
      </c>
      <c r="E167" s="26" t="str">
        <f>VLOOKUP(C167,classifications!C:K,9,FALSE)</f>
        <v>Sparse</v>
      </c>
      <c r="F167" s="36">
        <f t="shared" si="50"/>
        <v>18.768803000595355</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b">
        <f t="shared" si="55"/>
        <v>0</v>
      </c>
      <c r="Z167" s="34" t="e">
        <f>IF(Y167="","",IF(I$8="A",(RANK(Y167,Y$11:Y$368,1)+COUNTIF(Y$11:Y167,Y167)-1),(RANK(Y167,Y$11:Y$368)+COUNTIF(Y$11:Y167,Y167)-1)))</f>
        <v>#N/A</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SC158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t="str">
        <f t="shared" si="51"/>
        <v/>
      </c>
      <c r="I168" s="77" t="str">
        <f>IF(H168="","",IF($I$8="A",(RANK(H168,H$11:H$368,1)+COUNTIF(H$11:H168,H168)-1),(RANK(H168,H$11:H$368)+COUNTIF(H$11:H168,H168)-1)))</f>
        <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b">
        <f t="shared" si="55"/>
        <v>0</v>
      </c>
      <c r="Z168" s="34" t="e">
        <f>IF(Y168="","",IF(I$8="A",(RANK(Y168,Y$11:Y$368,1)+COUNTIF(Y$11:Y168,Y168)-1),(RANK(Y168,Y$11:Y$368)+COUNTIF(Y$11:Y168,Y168)-1)))</f>
        <v>#N/A</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SC159</v>
      </c>
      <c r="B169" s="57">
        <f>IF(ISERROR(VLOOKUP(A169,classifications!A:C,3,FALSE)),0,VLOOKUP(A169,classifications!A:C,3,FALSE))</f>
        <v>0</v>
      </c>
      <c r="C169" s="8" t="s">
        <v>393</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b">
        <f t="shared" si="55"/>
        <v>0</v>
      </c>
      <c r="Z169" s="34" t="e">
        <f>IF(Y169="","",IF(I$8="A",(RANK(Y169,Y$11:Y$368,1)+COUNTIF(Y$11:Y169,Y169)-1),(RANK(Y169,Y$11:Y$368)+COUNTIF(Y$11:Y169,Y169)-1)))</f>
        <v>#N/A</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SC160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b">
        <f t="shared" si="55"/>
        <v>0</v>
      </c>
      <c r="Z170" s="34" t="e">
        <f>IF(Y170="","",IF(I$8="A",(RANK(Y170,Y$11:Y$368,1)+COUNTIF(Y$11:Y170,Y170)-1),(RANK(Y170,Y$11:Y$368)+COUNTIF(Y$11:Y170,Y170)-1)))</f>
        <v>#N/A</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SC161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b">
        <f t="shared" si="55"/>
        <v>0</v>
      </c>
      <c r="Z171" s="34" t="e">
        <f>IF(Y171="","",IF(I$8="A",(RANK(Y171,Y$11:Y$368,1)+COUNTIF(Y$11:Y171,Y171)-1),(RANK(Y171,Y$11:Y$368)+COUNTIF(Y$11:Y171,Y171)-1)))</f>
        <v>#N/A</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SC162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b">
        <f t="shared" si="55"/>
        <v>0</v>
      </c>
      <c r="Z172" s="34" t="e">
        <f>IF(Y172="","",IF(I$8="A",(RANK(Y172,Y$11:Y$368,1)+COUNTIF(Y$11:Y172,Y172)-1),(RANK(Y172,Y$11:Y$368)+COUNTIF(Y$11:Y172,Y172)-1)))</f>
        <v>#N/A</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SC163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f t="shared" si="51"/>
        <v>13.756921881703718</v>
      </c>
      <c r="I173" s="77">
        <f>IF(H173="","",IF($I$8="A",(RANK(H173,H$11:H$368,1)+COUNTIF(H$11:H173,H173)-1),(RANK(H173,H$11:H$368)+COUNTIF(H$11:H173,H173)-1)))</f>
        <v>25</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b">
        <f t="shared" si="55"/>
        <v>0</v>
      </c>
      <c r="Z173" s="34" t="e">
        <f>IF(Y173="","",IF(I$8="A",(RANK(Y173,Y$11:Y$368,1)+COUNTIF(Y$11:Y173,Y173)-1),(RANK(Y173,Y$11:Y$368)+COUNTIF(Y$11:Y173,Y173)-1)))</f>
        <v>#N/A</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SC164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b">
        <f t="shared" si="55"/>
        <v>0</v>
      </c>
      <c r="Z174" s="34" t="e">
        <f>IF(Y174="","",IF(I$8="A",(RANK(Y174,Y$11:Y$368,1)+COUNTIF(Y$11:Y174,Y174)-1),(RANK(Y174,Y$11:Y$368)+COUNTIF(Y$11:Y174,Y174)-1)))</f>
        <v>#N/A</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SC165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b">
        <f t="shared" si="55"/>
        <v>0</v>
      </c>
      <c r="Z175" s="34" t="e">
        <f>IF(Y175="","",IF(I$8="A",(RANK(Y175,Y$11:Y$368,1)+COUNTIF(Y$11:Y175,Y175)-1),(RANK(Y175,Y$11:Y$368)+COUNTIF(Y$11:Y175,Y175)-1)))</f>
        <v>#N/A</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SC166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t="str">
        <f t="shared" si="51"/>
        <v/>
      </c>
      <c r="I176" s="77" t="str">
        <f>IF(H176="","",IF($I$8="A",(RANK(H176,H$11:H$368,1)+COUNTIF(H$11:H176,H176)-1),(RANK(H176,H$11:H$368)+COUNTIF(H$11:H176,H176)-1)))</f>
        <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b">
        <f t="shared" si="55"/>
        <v>0</v>
      </c>
      <c r="Z176" s="34" t="e">
        <f>IF(Y176="","",IF(I$8="A",(RANK(Y176,Y$11:Y$368,1)+COUNTIF(Y$11:Y176,Y176)-1),(RANK(Y176,Y$11:Y$368)+COUNTIF(Y$11:Y176,Y176)-1)))</f>
        <v>#N/A</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SC167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f t="shared" si="51"/>
        <v>15.032629506703366</v>
      </c>
      <c r="I177" s="77">
        <f>IF(H177="","",IF($I$8="A",(RANK(H177,H$11:H$368,1)+COUNTIF(H$11:H177,H177)-1),(RANK(H177,H$11:H$368)+COUNTIF(H$11:H177,H177)-1)))</f>
        <v>19</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b">
        <f t="shared" si="55"/>
        <v>0</v>
      </c>
      <c r="Z177" s="34" t="e">
        <f>IF(Y177="","",IF(I$8="A",(RANK(Y177,Y$11:Y$368,1)+COUNTIF(Y$11:Y177,Y177)-1),(RANK(Y177,Y$11:Y$368)+COUNTIF(Y$11:Y177,Y177)-1)))</f>
        <v>#N/A</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SC168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b">
        <f t="shared" si="55"/>
        <v>0</v>
      </c>
      <c r="Z178" s="34" t="e">
        <f>IF(Y178="","",IF(I$8="A",(RANK(Y178,Y$11:Y$368,1)+COUNTIF(Y$11:Y178,Y178)-1),(RANK(Y178,Y$11:Y$368)+COUNTIF(Y$11:Y178,Y178)-1)))</f>
        <v>#N/A</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SC169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b">
        <f t="shared" si="55"/>
        <v>0</v>
      </c>
      <c r="Z179" s="34" t="e">
        <f>IF(Y179="","",IF(I$8="A",(RANK(Y179,Y$11:Y$368,1)+COUNTIF(Y$11:Y179,Y179)-1),(RANK(Y179,Y$11:Y$368)+COUNTIF(Y$11:Y179,Y179)-1)))</f>
        <v>#N/A</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SC170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b">
        <f t="shared" si="55"/>
        <v>0</v>
      </c>
      <c r="Z180" s="34" t="e">
        <f>IF(Y180="","",IF(I$8="A",(RANK(Y180,Y$11:Y$368,1)+COUNTIF(Y$11:Y180,Y180)-1),(RANK(Y180,Y$11:Y$368)+COUNTIF(Y$11:Y180,Y180)-1)))</f>
        <v>#N/A</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SC171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b">
        <f t="shared" si="55"/>
        <v>0</v>
      </c>
      <c r="Z181" s="34" t="e">
        <f>IF(Y181="","",IF(I$8="A",(RANK(Y181,Y$11:Y$368,1)+COUNTIF(Y$11:Y181,Y181)-1),(RANK(Y181,Y$11:Y$368)+COUNTIF(Y$11:Y181,Y181)-1)))</f>
        <v>#N/A</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SC172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f t="shared" si="51"/>
        <v>16.036007901999703</v>
      </c>
      <c r="I182" s="77">
        <f>IF(H182="","",IF($I$8="A",(RANK(H182,H$11:H$368,1)+COUNTIF(H$11:H182,H182)-1),(RANK(H182,H$11:H$368)+COUNTIF(H$11:H182,H182)-1)))</f>
        <v>15</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b">
        <f t="shared" si="55"/>
        <v>0</v>
      </c>
      <c r="Z182" s="34" t="e">
        <f>IF(Y182="","",IF(I$8="A",(RANK(Y182,Y$11:Y$368,1)+COUNTIF(Y$11:Y182,Y182)-1),(RANK(Y182,Y$11:Y$368)+COUNTIF(Y$11:Y182,Y182)-1)))</f>
        <v>#N/A</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SC173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b">
        <f t="shared" si="55"/>
        <v>0</v>
      </c>
      <c r="Z183" s="34" t="e">
        <f>IF(Y183="","",IF(I$8="A",(RANK(Y183,Y$11:Y$368,1)+COUNTIF(Y$11:Y183,Y183)-1),(RANK(Y183,Y$11:Y$368)+COUNTIF(Y$11:Y183,Y183)-1)))</f>
        <v>#N/A</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SC174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t="str">
        <f t="shared" si="51"/>
        <v/>
      </c>
      <c r="I184" s="77" t="str">
        <f>IF(H184="","",IF($I$8="A",(RANK(H184,H$11:H$368,1)+COUNTIF(H$11:H184,H184)-1),(RANK(H184,H$11:H$368)+COUNTIF(H$11:H184,H184)-1)))</f>
        <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b">
        <f t="shared" si="55"/>
        <v>0</v>
      </c>
      <c r="Z184" s="34" t="e">
        <f>IF(Y184="","",IF(I$8="A",(RANK(Y184,Y$11:Y$368,1)+COUNTIF(Y$11:Y184,Y184)-1),(RANK(Y184,Y$11:Y$368)+COUNTIF(Y$11:Y184,Y184)-1)))</f>
        <v>#N/A</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SC175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b">
        <f t="shared" si="55"/>
        <v>0</v>
      </c>
      <c r="Z185" s="34" t="e">
        <f>IF(Y185="","",IF(I$8="A",(RANK(Y185,Y$11:Y$368,1)+COUNTIF(Y$11:Y185,Y185)-1),(RANK(Y185,Y$11:Y$368)+COUNTIF(Y$11:Y185,Y185)-1)))</f>
        <v>#N/A</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SC176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b">
        <f t="shared" si="55"/>
        <v>0</v>
      </c>
      <c r="Z186" s="34" t="e">
        <f>IF(Y186="","",IF(I$8="A",(RANK(Y186,Y$11:Y$368,1)+COUNTIF(Y$11:Y186,Y186)-1),(RANK(Y186,Y$11:Y$368)+COUNTIF(Y$11:Y186,Y186)-1)))</f>
        <v>#N/A</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SC177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b">
        <f t="shared" si="55"/>
        <v>0</v>
      </c>
      <c r="Z187" s="34" t="e">
        <f>IF(Y187="","",IF(I$8="A",(RANK(Y187,Y$11:Y$368,1)+COUNTIF(Y$11:Y187,Y187)-1),(RANK(Y187,Y$11:Y$368)+COUNTIF(Y$11:Y187,Y187)-1)))</f>
        <v>#N/A</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SC178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b">
        <f t="shared" si="55"/>
        <v>0</v>
      </c>
      <c r="Z188" s="34" t="e">
        <f>IF(Y188="","",IF(I$8="A",(RANK(Y188,Y$11:Y$368,1)+COUNTIF(Y$11:Y188,Y188)-1),(RANK(Y188,Y$11:Y$368)+COUNTIF(Y$11:Y188,Y188)-1)))</f>
        <v>#N/A</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SC179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b">
        <f t="shared" si="55"/>
        <v>0</v>
      </c>
      <c r="Z189" s="34" t="e">
        <f>IF(Y189="","",IF(I$8="A",(RANK(Y189,Y$11:Y$368,1)+COUNTIF(Y$11:Y189,Y189)-1),(RANK(Y189,Y$11:Y$368)+COUNTIF(Y$11:Y189,Y189)-1)))</f>
        <v>#N/A</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SC180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t="str">
        <f t="shared" si="51"/>
        <v/>
      </c>
      <c r="I190" s="77" t="str">
        <f>IF(H190="","",IF($I$8="A",(RANK(H190,H$11:H$368,1)+COUNTIF(H$11:H190,H190)-1),(RANK(H190,H$11:H$368)+COUNTIF(H$11:H190,H190)-1)))</f>
        <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b">
        <f t="shared" si="55"/>
        <v>0</v>
      </c>
      <c r="Z190" s="34" t="e">
        <f>IF(Y190="","",IF(I$8="A",(RANK(Y190,Y$11:Y$368,1)+COUNTIF(Y$11:Y190,Y190)-1),(RANK(Y190,Y$11:Y$368)+COUNTIF(Y$11:Y190,Y190)-1)))</f>
        <v>#N/A</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SC181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b">
        <f t="shared" si="55"/>
        <v>0</v>
      </c>
      <c r="Z191" s="34" t="e">
        <f>IF(Y191="","",IF(I$8="A",(RANK(Y191,Y$11:Y$368,1)+COUNTIF(Y$11:Y191,Y191)-1),(RANK(Y191,Y$11:Y$368)+COUNTIF(Y$11:Y191,Y191)-1)))</f>
        <v>#N/A</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SC182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b">
        <f t="shared" si="55"/>
        <v>0</v>
      </c>
      <c r="Z192" s="34" t="e">
        <f>IF(Y192="","",IF(I$8="A",(RANK(Y192,Y$11:Y$368,1)+COUNTIF(Y$11:Y192,Y192)-1),(RANK(Y192,Y$11:Y$368)+COUNTIF(Y$11:Y192,Y192)-1)))</f>
        <v>#N/A</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SC183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b">
        <f t="shared" si="55"/>
        <v>0</v>
      </c>
      <c r="Z193" s="34" t="e">
        <f>IF(Y193="","",IF(I$8="A",(RANK(Y193,Y$11:Y$368,1)+COUNTIF(Y$11:Y193,Y193)-1),(RANK(Y193,Y$11:Y$368)+COUNTIF(Y$11:Y193,Y193)-1)))</f>
        <v>#N/A</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SC184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b">
        <f t="shared" si="55"/>
        <v>0</v>
      </c>
      <c r="Z194" s="34" t="e">
        <f>IF(Y194="","",IF(I$8="A",(RANK(Y194,Y$11:Y$368,1)+COUNTIF(Y$11:Y194,Y194)-1),(RANK(Y194,Y$11:Y$368)+COUNTIF(Y$11:Y194,Y194)-1)))</f>
        <v>#N/A</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SC185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b">
        <f t="shared" si="55"/>
        <v>0</v>
      </c>
      <c r="Z195" s="34" t="e">
        <f>IF(Y195="","",IF(I$8="A",(RANK(Y195,Y$11:Y$368,1)+COUNTIF(Y$11:Y195,Y195)-1),(RANK(Y195,Y$11:Y$368)+COUNTIF(Y$11:Y195,Y195)-1)))</f>
        <v>#N/A</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SC186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b">
        <f t="shared" si="55"/>
        <v>0</v>
      </c>
      <c r="Z196" s="34" t="e">
        <f>IF(Y196="","",IF(I$8="A",(RANK(Y196,Y$11:Y$368,1)+COUNTIF(Y$11:Y196,Y196)-1),(RANK(Y196,Y$11:Y$368)+COUNTIF(Y$11:Y196,Y196)-1)))</f>
        <v>#N/A</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SC187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t="str">
        <f t="shared" si="51"/>
        <v/>
      </c>
      <c r="I197" s="77" t="str">
        <f>IF(H197="","",IF($I$8="A",(RANK(H197,H$11:H$368,1)+COUNTIF(H$11:H197,H197)-1),(RANK(H197,H$11:H$368)+COUNTIF(H$11:H197,H197)-1)))</f>
        <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b">
        <f t="shared" si="55"/>
        <v>0</v>
      </c>
      <c r="Z197" s="34" t="e">
        <f>IF(Y197="","",IF(I$8="A",(RANK(Y197,Y$11:Y$368,1)+COUNTIF(Y$11:Y197,Y197)-1),(RANK(Y197,Y$11:Y$368)+COUNTIF(Y$11:Y197,Y197)-1)))</f>
        <v>#N/A</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SC188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t="str">
        <f t="shared" si="51"/>
        <v/>
      </c>
      <c r="I198" s="77" t="str">
        <f>IF(H198="","",IF($I$8="A",(RANK(H198,H$11:H$368,1)+COUNTIF(H$11:H198,H198)-1),(RANK(H198,H$11:H$368)+COUNTIF(H$11:H198,H198)-1)))</f>
        <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b">
        <f t="shared" si="55"/>
        <v>0</v>
      </c>
      <c r="Z198" s="34" t="e">
        <f>IF(Y198="","",IF(I$8="A",(RANK(Y198,Y$11:Y$368,1)+COUNTIF(Y$11:Y198,Y198)-1),(RANK(Y198,Y$11:Y$368)+COUNTIF(Y$11:Y198,Y198)-1)))</f>
        <v>#N/A</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SC189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b">
        <f t="shared" si="55"/>
        <v>0</v>
      </c>
      <c r="Z199" s="34" t="e">
        <f>IF(Y199="","",IF(I$8="A",(RANK(Y199,Y$11:Y$368,1)+COUNTIF(Y$11:Y199,Y199)-1),(RANK(Y199,Y$11:Y$368)+COUNTIF(Y$11:Y199,Y199)-1)))</f>
        <v>#N/A</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SC190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b">
        <f t="shared" si="55"/>
        <v>0</v>
      </c>
      <c r="Z200" s="34" t="e">
        <f>IF(Y200="","",IF(I$8="A",(RANK(Y200,Y$11:Y$368,1)+COUNTIF(Y$11:Y200,Y200)-1),(RANK(Y200,Y$11:Y$368)+COUNTIF(Y$11:Y200,Y200)-1)))</f>
        <v>#N/A</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SC191</v>
      </c>
      <c r="B201" s="57">
        <f>IF(ISERROR(VLOOKUP(A201,classifications!A:C,3,FALSE)),0,VLOOKUP(A201,classifications!A:C,3,FALSE))</f>
        <v>0</v>
      </c>
      <c r="C201" s="8" t="s">
        <v>346</v>
      </c>
      <c r="D201" s="26" t="str">
        <f>VLOOKUP($C201,classifications!$C:$J,4,FALSE)</f>
        <v>SD</v>
      </c>
      <c r="E201" s="26" t="str">
        <f>VLOOKUP(C201,classifications!C:K,9,FALSE)</f>
        <v>Sparse</v>
      </c>
      <c r="F201" s="36">
        <f t="shared" si="50"/>
        <v>20.450713225714221</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b">
        <f t="shared" si="55"/>
        <v>0</v>
      </c>
      <c r="Z201" s="34" t="e">
        <f>IF(Y201="","",IF(I$8="A",(RANK(Y201,Y$11:Y$368,1)+COUNTIF(Y$11:Y201,Y201)-1),(RANK(Y201,Y$11:Y$368)+COUNTIF(Y$11:Y201,Y201)-1)))</f>
        <v>#N/A</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SC192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b">
        <f t="shared" si="55"/>
        <v>0</v>
      </c>
      <c r="Z202" s="34" t="e">
        <f>IF(Y202="","",IF(I$8="A",(RANK(Y202,Y$11:Y$368,1)+COUNTIF(Y$11:Y202,Y202)-1),(RANK(Y202,Y$11:Y$368)+COUNTIF(Y$11:Y202,Y202)-1)))</f>
        <v>#N/A</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SC193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b">
        <f t="shared" ref="Y203:Y266" si="78">IF($D$1="UA",IF(X203="Largely Rural (rural including hub towns 50-79%) ",M203,IF(X203="Mainly Rural (rural including hub towns &gt;=80%) ",M203,IF(X203="Urban with Significant Rural (rural including hub towns 26-49%)",M203,""))),IF($D$1="SD",IF(X203=$H$3,M203,"")))</f>
        <v>0</v>
      </c>
      <c r="Z203" s="34" t="e">
        <f>IF(Y203="","",IF(I$8="A",(RANK(Y203,Y$11:Y$368,1)+COUNTIF(Y$11:Y203,Y203)-1),(RANK(Y203,Y$11:Y$368)+COUNTIF(Y$11:Y203,Y203)-1)))</f>
        <v>#N/A</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SC194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b">
        <f t="shared" si="78"/>
        <v>0</v>
      </c>
      <c r="Z204" s="34" t="e">
        <f>IF(Y204="","",IF(I$8="A",(RANK(Y204,Y$11:Y$368,1)+COUNTIF(Y$11:Y204,Y204)-1),(RANK(Y204,Y$11:Y$368)+COUNTIF(Y$11:Y204,Y204)-1)))</f>
        <v>#N/A</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SC195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f t="shared" si="74"/>
        <v>19.776634494001861</v>
      </c>
      <c r="I205" s="77">
        <f>IF(H205="","",IF($I$8="A",(RANK(H205,H$11:H$368,1)+COUNTIF(H$11:H205,H205)-1),(RANK(H205,H$11:H$368)+COUNTIF(H$11:H205,H205)-1)))</f>
        <v>5</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b">
        <f t="shared" si="78"/>
        <v>0</v>
      </c>
      <c r="Z205" s="34" t="e">
        <f>IF(Y205="","",IF(I$8="A",(RANK(Y205,Y$11:Y$368,1)+COUNTIF(Y$11:Y205,Y205)-1),(RANK(Y205,Y$11:Y$368)+COUNTIF(Y$11:Y205,Y205)-1)))</f>
        <v>#N/A</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SC196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b">
        <f t="shared" si="78"/>
        <v>0</v>
      </c>
      <c r="Z206" s="34" t="e">
        <f>IF(Y206="","",IF(I$8="A",(RANK(Y206,Y$11:Y$368,1)+COUNTIF(Y$11:Y206,Y206)-1),(RANK(Y206,Y$11:Y$368)+COUNTIF(Y$11:Y206,Y206)-1)))</f>
        <v>#N/A</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SC197</v>
      </c>
      <c r="B207" s="57">
        <f>IF(ISERROR(VLOOKUP(A207,classifications!A:C,3,FALSE)),0,VLOOKUP(A207,classifications!A:C,3,FALSE))</f>
        <v>0</v>
      </c>
      <c r="C207" s="8" t="s">
        <v>109</v>
      </c>
      <c r="D207" s="26" t="str">
        <f>VLOOKUP($C207,classifications!$C:$J,4,FALSE)</f>
        <v>SD</v>
      </c>
      <c r="E207" s="26">
        <f>VLOOKUP(C207,classifications!C:K,9,FALSE)</f>
        <v>0</v>
      </c>
      <c r="F207" s="36">
        <f t="shared" si="73"/>
        <v>0</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b">
        <f t="shared" si="78"/>
        <v>0</v>
      </c>
      <c r="Z207" s="34" t="e">
        <f>IF(Y207="","",IF(I$8="A",(RANK(Y207,Y$11:Y$368,1)+COUNTIF(Y$11:Y207,Y207)-1),(RANK(Y207,Y$11:Y$368)+COUNTIF(Y$11:Y207,Y207)-1)))</f>
        <v>#N/A</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f>HLOOKUP($AX$9&amp;$AX$10,Data!$A$1:$ZZ$2000,(MATCH($C207,Data!$A$1:$A$2000,0)),FALSE)</f>
        <v>0</v>
      </c>
      <c r="AY207" s="103"/>
      <c r="AZ207" s="21"/>
    </row>
    <row r="208" spans="1:52">
      <c r="A208" s="56" t="str">
        <f>$D$1&amp;198</f>
        <v>SC198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b">
        <f t="shared" si="78"/>
        <v>0</v>
      </c>
      <c r="Z208" s="34" t="e">
        <f>IF(Y208="","",IF(I$8="A",(RANK(Y208,Y$11:Y$368,1)+COUNTIF(Y$11:Y208,Y208)-1),(RANK(Y208,Y$11:Y$368)+COUNTIF(Y$11:Y208,Y208)-1)))</f>
        <v>#N/A</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SC199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b">
        <f t="shared" si="78"/>
        <v>0</v>
      </c>
      <c r="Z209" s="34" t="e">
        <f>IF(Y209="","",IF(I$8="A",(RANK(Y209,Y$11:Y$368,1)+COUNTIF(Y$11:Y209,Y209)-1),(RANK(Y209,Y$11:Y$368)+COUNTIF(Y$11:Y209,Y209)-1)))</f>
        <v>#N/A</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SC200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b">
        <f t="shared" si="78"/>
        <v>0</v>
      </c>
      <c r="Z210" s="34" t="e">
        <f>IF(Y210="","",IF(I$8="A",(RANK(Y210,Y$11:Y$368,1)+COUNTIF(Y$11:Y210,Y210)-1),(RANK(Y210,Y$11:Y$368)+COUNTIF(Y$11:Y210,Y210)-1)))</f>
        <v>#N/A</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SC201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b">
        <f t="shared" si="78"/>
        <v>0</v>
      </c>
      <c r="Z211" s="34" t="e">
        <f>IF(Y211="","",IF(I$8="A",(RANK(Y211,Y$11:Y$368,1)+COUNTIF(Y$11:Y211,Y211)-1),(RANK(Y211,Y$11:Y$368)+COUNTIF(Y$11:Y211,Y211)-1)))</f>
        <v>#N/A</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SC202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b">
        <f t="shared" si="78"/>
        <v>0</v>
      </c>
      <c r="Z212" s="34" t="e">
        <f>IF(Y212="","",IF(I$8="A",(RANK(Y212,Y$11:Y$368,1)+COUNTIF(Y$11:Y212,Y212)-1),(RANK(Y212,Y$11:Y$368)+COUNTIF(Y$11:Y212,Y212)-1)))</f>
        <v>#N/A</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SC203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b">
        <f t="shared" si="78"/>
        <v>0</v>
      </c>
      <c r="Z213" s="34" t="e">
        <f>IF(Y213="","",IF(I$8="A",(RANK(Y213,Y$11:Y$368,1)+COUNTIF(Y$11:Y213,Y213)-1),(RANK(Y213,Y$11:Y$368)+COUNTIF(Y$11:Y213,Y213)-1)))</f>
        <v>#N/A</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SC204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b">
        <f t="shared" si="78"/>
        <v>0</v>
      </c>
      <c r="Z214" s="34" t="e">
        <f>IF(Y214="","",IF(I$8="A",(RANK(Y214,Y$11:Y$368,1)+COUNTIF(Y$11:Y214,Y214)-1),(RANK(Y214,Y$11:Y$368)+COUNTIF(Y$11:Y214,Y214)-1)))</f>
        <v>#N/A</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SC205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b">
        <f t="shared" si="78"/>
        <v>0</v>
      </c>
      <c r="Z215" s="34" t="e">
        <f>IF(Y215="","",IF(I$8="A",(RANK(Y215,Y$11:Y$368,1)+COUNTIF(Y$11:Y215,Y215)-1),(RANK(Y215,Y$11:Y$368)+COUNTIF(Y$11:Y215,Y215)-1)))</f>
        <v>#N/A</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SC206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b">
        <f t="shared" si="78"/>
        <v>0</v>
      </c>
      <c r="Z216" s="34" t="e">
        <f>IF(Y216="","",IF(I$8="A",(RANK(Y216,Y$11:Y$368,1)+COUNTIF(Y$11:Y216,Y216)-1),(RANK(Y216,Y$11:Y$368)+COUNTIF(Y$11:Y216,Y216)-1)))</f>
        <v>#N/A</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SC207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b">
        <f t="shared" si="78"/>
        <v>0</v>
      </c>
      <c r="Z217" s="34" t="e">
        <f>IF(Y217="","",IF(I$8="A",(RANK(Y217,Y$11:Y$368,1)+COUNTIF(Y$11:Y217,Y217)-1),(RANK(Y217,Y$11:Y$368)+COUNTIF(Y$11:Y217,Y217)-1)))</f>
        <v>#N/A</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SC208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f t="shared" si="74"/>
        <v>18.088342558486225</v>
      </c>
      <c r="I218" s="77">
        <f>IF(H218="","",IF($I$8="A",(RANK(H218,H$11:H$368,1)+COUNTIF(H$11:H218,H218)-1),(RANK(H218,H$11:H$368)+COUNTIF(H$11:H218,H218)-1)))</f>
        <v>9</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b">
        <f t="shared" si="78"/>
        <v>0</v>
      </c>
      <c r="Z218" s="34" t="e">
        <f>IF(Y218="","",IF(I$8="A",(RANK(Y218,Y$11:Y$368,1)+COUNTIF(Y$11:Y218,Y218)-1),(RANK(Y218,Y$11:Y$368)+COUNTIF(Y$11:Y218,Y218)-1)))</f>
        <v>#N/A</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SC209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b">
        <f t="shared" si="78"/>
        <v>0</v>
      </c>
      <c r="Z219" s="34" t="e">
        <f>IF(Y219="","",IF(I$8="A",(RANK(Y219,Y$11:Y$368,1)+COUNTIF(Y$11:Y219,Y219)-1),(RANK(Y219,Y$11:Y$368)+COUNTIF(Y$11:Y219,Y219)-1)))</f>
        <v>#N/A</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SC210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f t="shared" si="74"/>
        <v>13.772899630201854</v>
      </c>
      <c r="I220" s="77">
        <f>IF(H220="","",IF($I$8="A",(RANK(H220,H$11:H$368,1)+COUNTIF(H$11:H220,H220)-1),(RANK(H220,H$11:H$368)+COUNTIF(H$11:H220,H220)-1)))</f>
        <v>24</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b">
        <f t="shared" si="78"/>
        <v>0</v>
      </c>
      <c r="Z220" s="34" t="e">
        <f>IF(Y220="","",IF(I$8="A",(RANK(Y220,Y$11:Y$368,1)+COUNTIF(Y$11:Y220,Y220)-1),(RANK(Y220,Y$11:Y$368)+COUNTIF(Y$11:Y220,Y220)-1)))</f>
        <v>#N/A</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SC211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b">
        <f t="shared" si="78"/>
        <v>0</v>
      </c>
      <c r="Z221" s="34" t="e">
        <f>IF(Y221="","",IF(I$8="A",(RANK(Y221,Y$11:Y$368,1)+COUNTIF(Y$11:Y221,Y221)-1),(RANK(Y221,Y$11:Y$368)+COUNTIF(Y$11:Y221,Y221)-1)))</f>
        <v>#N/A</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SC212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b">
        <f t="shared" si="78"/>
        <v>0</v>
      </c>
      <c r="Z222" s="34" t="e">
        <f>IF(Y222="","",IF(I$8="A",(RANK(Y222,Y$11:Y$368,1)+COUNTIF(Y$11:Y222,Y222)-1),(RANK(Y222,Y$11:Y$368)+COUNTIF(Y$11:Y222,Y222)-1)))</f>
        <v>#N/A</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SC213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b">
        <f t="shared" si="78"/>
        <v>0</v>
      </c>
      <c r="Z223" s="34" t="e">
        <f>IF(Y223="","",IF(I$8="A",(RANK(Y223,Y$11:Y$368,1)+COUNTIF(Y$11:Y223,Y223)-1),(RANK(Y223,Y$11:Y$368)+COUNTIF(Y$11:Y223,Y223)-1)))</f>
        <v>#N/A</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SC214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f t="shared" si="74"/>
        <v>16.292922014594303</v>
      </c>
      <c r="I224" s="77">
        <f>IF(H224="","",IF($I$8="A",(RANK(H224,H$11:H$368,1)+COUNTIF(H$11:H224,H224)-1),(RANK(H224,H$11:H$368)+COUNTIF(H$11:H224,H224)-1)))</f>
        <v>13</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b">
        <f t="shared" si="78"/>
        <v>0</v>
      </c>
      <c r="Z224" s="34" t="e">
        <f>IF(Y224="","",IF(I$8="A",(RANK(Y224,Y$11:Y$368,1)+COUNTIF(Y$11:Y224,Y224)-1),(RANK(Y224,Y$11:Y$368)+COUNTIF(Y$11:Y224,Y224)-1)))</f>
        <v>#N/A</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SC215</v>
      </c>
      <c r="B225" s="57">
        <f>IF(ISERROR(VLOOKUP(A225,classifications!A:C,3,FALSE)),0,VLOOKUP(A225,classifications!A:C,3,FALSE))</f>
        <v>0</v>
      </c>
      <c r="C225" s="8" t="s">
        <v>347</v>
      </c>
      <c r="D225" s="26" t="str">
        <f>VLOOKUP($C225,classifications!$C:$J,4,FALSE)</f>
        <v>SD</v>
      </c>
      <c r="E225" s="26">
        <f>VLOOKUP(C225,classifications!C:K,9,FALSE)</f>
        <v>0</v>
      </c>
      <c r="F225" s="36">
        <f t="shared" si="73"/>
        <v>10.695537407557797</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b">
        <f t="shared" si="78"/>
        <v>0</v>
      </c>
      <c r="Z225" s="34" t="e">
        <f>IF(Y225="","",IF(I$8="A",(RANK(Y225,Y$11:Y$368,1)+COUNTIF(Y$11:Y225,Y225)-1),(RANK(Y225,Y$11:Y$368)+COUNTIF(Y$11:Y225,Y225)-1)))</f>
        <v>#N/A</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SC216</v>
      </c>
      <c r="B226" s="57">
        <f>IF(ISERROR(VLOOKUP(A226,classifications!A:C,3,FALSE)),0,VLOOKUP(A226,classifications!A:C,3,FALSE))</f>
        <v>0</v>
      </c>
      <c r="C226" s="8" t="s">
        <v>348</v>
      </c>
      <c r="D226" s="26" t="str">
        <f>VLOOKUP($C226,classifications!$C:$J,4,FALSE)</f>
        <v>SD</v>
      </c>
      <c r="E226" s="26">
        <f>VLOOKUP(C226,classifications!C:K,9,FALSE)</f>
        <v>0</v>
      </c>
      <c r="F226" s="36">
        <f t="shared" si="73"/>
        <v>14.816758078670947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b">
        <f t="shared" si="78"/>
        <v>0</v>
      </c>
      <c r="Z226" s="34" t="e">
        <f>IF(Y226="","",IF(I$8="A",(RANK(Y226,Y$11:Y$368,1)+COUNTIF(Y$11:Y226,Y226)-1),(RANK(Y226,Y$11:Y$368)+COUNTIF(Y$11:Y226,Y226)-1)))</f>
        <v>#N/A</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SC217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b">
        <f t="shared" si="78"/>
        <v>0</v>
      </c>
      <c r="Z227" s="34" t="e">
        <f>IF(Y227="","",IF(I$8="A",(RANK(Y227,Y$11:Y$368,1)+COUNTIF(Y$11:Y227,Y227)-1),(RANK(Y227,Y$11:Y$368)+COUNTIF(Y$11:Y227,Y227)-1)))</f>
        <v>#N/A</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SC218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b">
        <f t="shared" si="78"/>
        <v>0</v>
      </c>
      <c r="Z228" s="34" t="e">
        <f>IF(Y228="","",IF(I$8="A",(RANK(Y228,Y$11:Y$368,1)+COUNTIF(Y$11:Y228,Y228)-1),(RANK(Y228,Y$11:Y$368)+COUNTIF(Y$11:Y228,Y228)-1)))</f>
        <v>#N/A</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SC219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f t="shared" si="74"/>
        <v>27.360615780317239</v>
      </c>
      <c r="I229" s="77">
        <f>IF(H229="","",IF($I$8="A",(RANK(H229,H$11:H$368,1)+COUNTIF(H$11:H229,H229)-1),(RANK(H229,H$11:H$368)+COUNTIF(H$11:H229,H229)-1)))</f>
        <v>2</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b">
        <f t="shared" si="78"/>
        <v>0</v>
      </c>
      <c r="Z229" s="34" t="e">
        <f>IF(Y229="","",IF(I$8="A",(RANK(Y229,Y$11:Y$368,1)+COUNTIF(Y$11:Y229,Y229)-1),(RANK(Y229,Y$11:Y$368)+COUNTIF(Y$11:Y229,Y229)-1)))</f>
        <v>#N/A</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SC220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b">
        <f t="shared" si="78"/>
        <v>0</v>
      </c>
      <c r="Z230" s="34" t="e">
        <f>IF(Y230="","",IF(I$8="A",(RANK(Y230,Y$11:Y$368,1)+COUNTIF(Y$11:Y230,Y230)-1),(RANK(Y230,Y$11:Y$368)+COUNTIF(Y$11:Y230,Y230)-1)))</f>
        <v>#N/A</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SC221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b">
        <f t="shared" si="78"/>
        <v>0</v>
      </c>
      <c r="Z231" s="34" t="e">
        <f>IF(Y231="","",IF(I$8="A",(RANK(Y231,Y$11:Y$368,1)+COUNTIF(Y$11:Y231,Y231)-1),(RANK(Y231,Y$11:Y$368)+COUNTIF(Y$11:Y231,Y231)-1)))</f>
        <v>#N/A</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SC222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b">
        <f t="shared" si="78"/>
        <v>0</v>
      </c>
      <c r="Z232" s="34" t="e">
        <f>IF(Y232="","",IF(I$8="A",(RANK(Y232,Y$11:Y$368,1)+COUNTIF(Y$11:Y232,Y232)-1),(RANK(Y232,Y$11:Y$368)+COUNTIF(Y$11:Y232,Y232)-1)))</f>
        <v>#N/A</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SC223</v>
      </c>
      <c r="B233" s="57">
        <f>IF(ISERROR(VLOOKUP(A233,classifications!A:C,3,FALSE)),0,VLOOKUP(A233,classifications!A:C,3,FALSE))</f>
        <v>0</v>
      </c>
      <c r="C233" s="8" t="s">
        <v>282</v>
      </c>
      <c r="D233" s="26" t="str">
        <f>VLOOKUP($C233,classifications!$C:$J,4,FALSE)</f>
        <v>UA</v>
      </c>
      <c r="E233" s="26">
        <f>VLOOKUP(C233,classifications!C:K,9,FALSE)</f>
        <v>0</v>
      </c>
      <c r="F233" s="36">
        <f t="shared" si="73"/>
        <v>0</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b">
        <f t="shared" si="78"/>
        <v>0</v>
      </c>
      <c r="Z233" s="34" t="e">
        <f>IF(Y233="","",IF(I$8="A",(RANK(Y233,Y$11:Y$368,1)+COUNTIF(Y$11:Y233,Y233)-1),(RANK(Y233,Y$11:Y$368)+COUNTIF(Y$11:Y233,Y233)-1)))</f>
        <v>#N/A</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f>HLOOKUP($AX$9&amp;$AX$10,Data!$A$1:$ZZ$2000,(MATCH($C233,Data!$A$1:$A$2000,0)),FALSE)</f>
        <v>0</v>
      </c>
      <c r="AY233" s="103"/>
      <c r="AZ233" s="21"/>
    </row>
    <row r="234" spans="1:52">
      <c r="A234" s="56" t="str">
        <f>$D$1&amp;224</f>
        <v>SC224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b">
        <f t="shared" si="78"/>
        <v>0</v>
      </c>
      <c r="Z234" s="34" t="e">
        <f>IF(Y234="","",IF(I$8="A",(RANK(Y234,Y$11:Y$368,1)+COUNTIF(Y$11:Y234,Y234)-1),(RANK(Y234,Y$11:Y$368)+COUNTIF(Y$11:Y234,Y234)-1)))</f>
        <v>#N/A</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SC225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b">
        <f t="shared" si="78"/>
        <v>0</v>
      </c>
      <c r="Z235" s="34" t="e">
        <f>IF(Y235="","",IF(I$8="A",(RANK(Y235,Y$11:Y$368,1)+COUNTIF(Y$11:Y235,Y235)-1),(RANK(Y235,Y$11:Y$368)+COUNTIF(Y$11:Y235,Y235)-1)))</f>
        <v>#N/A</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SC226</v>
      </c>
      <c r="B236" s="57">
        <f>IF(ISERROR(VLOOKUP(A236,classifications!A:C,3,FALSE)),0,VLOOKUP(A236,classifications!A:C,3,FALSE))</f>
        <v>0</v>
      </c>
      <c r="C236" s="8" t="s">
        <v>121</v>
      </c>
      <c r="D236" s="26" t="str">
        <f>VLOOKUP($C236,classifications!$C:$J,4,FALSE)</f>
        <v>SD</v>
      </c>
      <c r="E236" s="26">
        <f>VLOOKUP(C236,classifications!C:K,9,FALSE)</f>
        <v>0</v>
      </c>
      <c r="F236" s="36">
        <f t="shared" si="73"/>
        <v>0</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b">
        <f t="shared" si="78"/>
        <v>0</v>
      </c>
      <c r="Z236" s="34" t="e">
        <f>IF(Y236="","",IF(I$8="A",(RANK(Y236,Y$11:Y$368,1)+COUNTIF(Y$11:Y236,Y236)-1),(RANK(Y236,Y$11:Y$368)+COUNTIF(Y$11:Y236,Y236)-1)))</f>
        <v>#N/A</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f>HLOOKUP($AX$9&amp;$AX$10,Data!$A$1:$ZZ$2000,(MATCH($C236,Data!$A$1:$A$2000,0)),FALSE)</f>
        <v>0</v>
      </c>
      <c r="AY236" s="103"/>
      <c r="AZ236" s="21"/>
    </row>
    <row r="237" spans="1:52">
      <c r="A237" s="56" t="str">
        <f>$D$1&amp;227</f>
        <v>SC227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b">
        <f t="shared" si="78"/>
        <v>0</v>
      </c>
      <c r="Z237" s="34" t="e">
        <f>IF(Y237="","",IF(I$8="A",(RANK(Y237,Y$11:Y$368,1)+COUNTIF(Y$11:Y237,Y237)-1),(RANK(Y237,Y$11:Y$368)+COUNTIF(Y$11:Y237,Y237)-1)))</f>
        <v>#N/A</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SC228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b">
        <f t="shared" si="78"/>
        <v>0</v>
      </c>
      <c r="Z238" s="34" t="e">
        <f>IF(Y238="","",IF(I$8="A",(RANK(Y238,Y$11:Y$368,1)+COUNTIF(Y$11:Y238,Y238)-1),(RANK(Y238,Y$11:Y$368)+COUNTIF(Y$11:Y238,Y238)-1)))</f>
        <v>#N/A</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SC229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b">
        <f t="shared" si="78"/>
        <v>0</v>
      </c>
      <c r="Z239" s="34" t="e">
        <f>IF(Y239="","",IF(I$8="A",(RANK(Y239,Y$11:Y$368,1)+COUNTIF(Y$11:Y239,Y239)-1),(RANK(Y239,Y$11:Y$368)+COUNTIF(Y$11:Y239,Y239)-1)))</f>
        <v>#N/A</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SC230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b">
        <f t="shared" si="78"/>
        <v>0</v>
      </c>
      <c r="Z240" s="34" t="e">
        <f>IF(Y240="","",IF(I$8="A",(RANK(Y240,Y$11:Y$368,1)+COUNTIF(Y$11:Y240,Y240)-1),(RANK(Y240,Y$11:Y$368)+COUNTIF(Y$11:Y240,Y240)-1)))</f>
        <v>#N/A</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SC231</v>
      </c>
      <c r="B241" s="57">
        <f>IF(ISERROR(VLOOKUP(A241,classifications!A:C,3,FALSE)),0,VLOOKUP(A241,classifications!A:C,3,FALSE))</f>
        <v>0</v>
      </c>
      <c r="C241" s="8" t="s">
        <v>349</v>
      </c>
      <c r="D241" s="26" t="str">
        <f>VLOOKUP($C241,classifications!$C:$J,4,FALSE)</f>
        <v>SD</v>
      </c>
      <c r="E241" s="26">
        <f>VLOOKUP(C241,classifications!C:K,9,FALSE)</f>
        <v>0</v>
      </c>
      <c r="F241" s="36">
        <f t="shared" si="73"/>
        <v>18.772847434650188</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b">
        <f t="shared" si="78"/>
        <v>0</v>
      </c>
      <c r="Z241" s="34" t="e">
        <f>IF(Y241="","",IF(I$8="A",(RANK(Y241,Y$11:Y$368,1)+COUNTIF(Y$11:Y241,Y241)-1),(RANK(Y241,Y$11:Y$368)+COUNTIF(Y$11:Y241,Y241)-1)))</f>
        <v>#N/A</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SC232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b">
        <f t="shared" si="78"/>
        <v>0</v>
      </c>
      <c r="Z242" s="34" t="e">
        <f>IF(Y242="","",IF(I$8="A",(RANK(Y242,Y$11:Y$368,1)+COUNTIF(Y$11:Y242,Y242)-1),(RANK(Y242,Y$11:Y$368)+COUNTIF(Y$11:Y242,Y242)-1)))</f>
        <v>#N/A</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SC233</v>
      </c>
      <c r="B243" s="57">
        <f>IF(ISERROR(VLOOKUP(A243,classifications!A:C,3,FALSE)),0,VLOOKUP(A243,classifications!A:C,3,FALSE))</f>
        <v>0</v>
      </c>
      <c r="C243" s="8" t="s">
        <v>394</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b">
        <f t="shared" si="78"/>
        <v>0</v>
      </c>
      <c r="Z243" s="34" t="e">
        <f>IF(Y243="","",IF(I$8="A",(RANK(Y243,Y$11:Y$368,1)+COUNTIF(Y$11:Y243,Y243)-1),(RANK(Y243,Y$11:Y$368)+COUNTIF(Y$11:Y243,Y243)-1)))</f>
        <v>#N/A</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SC234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b">
        <f t="shared" si="78"/>
        <v>0</v>
      </c>
      <c r="Z244" s="34" t="e">
        <f>IF(Y244="","",IF(I$8="A",(RANK(Y244,Y$11:Y$368,1)+COUNTIF(Y$11:Y244,Y244)-1),(RANK(Y244,Y$11:Y$368)+COUNTIF(Y$11:Y244,Y244)-1)))</f>
        <v>#N/A</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SC235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b">
        <f t="shared" si="78"/>
        <v>0</v>
      </c>
      <c r="Z245" s="34" t="e">
        <f>IF(Y245="","",IF(I$8="A",(RANK(Y245,Y$11:Y$368,1)+COUNTIF(Y$11:Y245,Y245)-1),(RANK(Y245,Y$11:Y$368)+COUNTIF(Y$11:Y245,Y245)-1)))</f>
        <v>#N/A</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SC236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b">
        <f t="shared" si="78"/>
        <v>0</v>
      </c>
      <c r="Z246" s="34" t="e">
        <f>IF(Y246="","",IF(I$8="A",(RANK(Y246,Y$11:Y$368,1)+COUNTIF(Y$11:Y246,Y246)-1),(RANK(Y246,Y$11:Y$368)+COUNTIF(Y$11:Y246,Y246)-1)))</f>
        <v>#N/A</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SC237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b">
        <f t="shared" si="78"/>
        <v>0</v>
      </c>
      <c r="Z247" s="34" t="e">
        <f>IF(Y247="","",IF(I$8="A",(RANK(Y247,Y$11:Y$368,1)+COUNTIF(Y$11:Y247,Y247)-1),(RANK(Y247,Y$11:Y$368)+COUNTIF(Y$11:Y247,Y247)-1)))</f>
        <v>#N/A</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SC238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b">
        <f t="shared" si="78"/>
        <v>0</v>
      </c>
      <c r="Z248" s="34" t="e">
        <f>IF(Y248="","",IF(I$8="A",(RANK(Y248,Y$11:Y$368,1)+COUNTIF(Y$11:Y248,Y248)-1),(RANK(Y248,Y$11:Y$368)+COUNTIF(Y$11:Y248,Y248)-1)))</f>
        <v>#N/A</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SC239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b">
        <f t="shared" si="78"/>
        <v>0</v>
      </c>
      <c r="Z249" s="34" t="e">
        <f>IF(Y249="","",IF(I$8="A",(RANK(Y249,Y$11:Y$368,1)+COUNTIF(Y$11:Y249,Y249)-1),(RANK(Y249,Y$11:Y$368)+COUNTIF(Y$11:Y249,Y249)-1)))</f>
        <v>#N/A</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SC240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b">
        <f t="shared" si="78"/>
        <v>0</v>
      </c>
      <c r="Z250" s="34" t="e">
        <f>IF(Y250="","",IF(I$8="A",(RANK(Y250,Y$11:Y$368,1)+COUNTIF(Y$11:Y250,Y250)-1),(RANK(Y250,Y$11:Y$368)+COUNTIF(Y$11:Y250,Y250)-1)))</f>
        <v>#N/A</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SC241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b">
        <f t="shared" si="78"/>
        <v>0</v>
      </c>
      <c r="Z251" s="34" t="e">
        <f>IF(Y251="","",IF(I$8="A",(RANK(Y251,Y$11:Y$368,1)+COUNTIF(Y$11:Y251,Y251)-1),(RANK(Y251,Y$11:Y$368)+COUNTIF(Y$11:Y251,Y251)-1)))</f>
        <v>#N/A</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SC242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b">
        <f t="shared" si="78"/>
        <v>0</v>
      </c>
      <c r="Z252" s="34" t="e">
        <f>IF(Y252="","",IF(I$8="A",(RANK(Y252,Y$11:Y$368,1)+COUNTIF(Y$11:Y252,Y252)-1),(RANK(Y252,Y$11:Y$368)+COUNTIF(Y$11:Y252,Y252)-1)))</f>
        <v>#N/A</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SC243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b">
        <f t="shared" si="78"/>
        <v>0</v>
      </c>
      <c r="Z253" s="34" t="e">
        <f>IF(Y253="","",IF(I$8="A",(RANK(Y253,Y$11:Y$368,1)+COUNTIF(Y$11:Y253,Y253)-1),(RANK(Y253,Y$11:Y$368)+COUNTIF(Y$11:Y253,Y253)-1)))</f>
        <v>#N/A</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SC244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b">
        <f t="shared" si="78"/>
        <v>0</v>
      </c>
      <c r="Z254" s="34" t="e">
        <f>IF(Y254="","",IF(I$8="A",(RANK(Y254,Y$11:Y$368,1)+COUNTIF(Y$11:Y254,Y254)-1),(RANK(Y254,Y$11:Y$368)+COUNTIF(Y$11:Y254,Y254)-1)))</f>
        <v>#N/A</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SC245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b">
        <f t="shared" si="78"/>
        <v>0</v>
      </c>
      <c r="Z255" s="34" t="e">
        <f>IF(Y255="","",IF(I$8="A",(RANK(Y255,Y$11:Y$368,1)+COUNTIF(Y$11:Y255,Y255)-1),(RANK(Y255,Y$11:Y$368)+COUNTIF(Y$11:Y255,Y255)-1)))</f>
        <v>#N/A</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SC246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b">
        <f t="shared" si="78"/>
        <v>0</v>
      </c>
      <c r="Z256" s="34" t="e">
        <f>IF(Y256="","",IF(I$8="A",(RANK(Y256,Y$11:Y$368,1)+COUNTIF(Y$11:Y256,Y256)-1),(RANK(Y256,Y$11:Y$368)+COUNTIF(Y$11:Y256,Y256)-1)))</f>
        <v>#N/A</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SC247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b">
        <f t="shared" si="78"/>
        <v>0</v>
      </c>
      <c r="Z257" s="34" t="e">
        <f>IF(Y257="","",IF(I$8="A",(RANK(Y257,Y$11:Y$368,1)+COUNTIF(Y$11:Y257,Y257)-1),(RANK(Y257,Y$11:Y$368)+COUNTIF(Y$11:Y257,Y257)-1)))</f>
        <v>#N/A</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SC248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b">
        <f t="shared" si="78"/>
        <v>0</v>
      </c>
      <c r="Z258" s="34" t="e">
        <f>IF(Y258="","",IF(I$8="A",(RANK(Y258,Y$11:Y$368,1)+COUNTIF(Y$11:Y258,Y258)-1),(RANK(Y258,Y$11:Y$368)+COUNTIF(Y$11:Y258,Y258)-1)))</f>
        <v>#N/A</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SC249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b">
        <f t="shared" si="78"/>
        <v>0</v>
      </c>
      <c r="Z259" s="34" t="e">
        <f>IF(Y259="","",IF(I$8="A",(RANK(Y259,Y$11:Y$368,1)+COUNTIF(Y$11:Y259,Y259)-1),(RANK(Y259,Y$11:Y$368)+COUNTIF(Y$11:Y259,Y259)-1)))</f>
        <v>#N/A</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SC250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b">
        <f t="shared" si="78"/>
        <v>0</v>
      </c>
      <c r="Z260" s="34" t="e">
        <f>IF(Y260="","",IF(I$8="A",(RANK(Y260,Y$11:Y$368,1)+COUNTIF(Y$11:Y260,Y260)-1),(RANK(Y260,Y$11:Y$368)+COUNTIF(Y$11:Y260,Y260)-1)))</f>
        <v>#N/A</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SC251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b">
        <f t="shared" si="78"/>
        <v>0</v>
      </c>
      <c r="Z261" s="34" t="e">
        <f>IF(Y261="","",IF(I$8="A",(RANK(Y261,Y$11:Y$368,1)+COUNTIF(Y$11:Y261,Y261)-1),(RANK(Y261,Y$11:Y$368)+COUNTIF(Y$11:Y261,Y261)-1)))</f>
        <v>#N/A</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SC252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b">
        <f t="shared" si="78"/>
        <v>0</v>
      </c>
      <c r="Z262" s="34" t="e">
        <f>IF(Y262="","",IF(I$8="A",(RANK(Y262,Y$11:Y$368,1)+COUNTIF(Y$11:Y262,Y262)-1),(RANK(Y262,Y$11:Y$368)+COUNTIF(Y$11:Y262,Y262)-1)))</f>
        <v>#N/A</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SC253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b">
        <f t="shared" si="78"/>
        <v>0</v>
      </c>
      <c r="Z263" s="34" t="e">
        <f>IF(Y263="","",IF(I$8="A",(RANK(Y263,Y$11:Y$368,1)+COUNTIF(Y$11:Y263,Y263)-1),(RANK(Y263,Y$11:Y$368)+COUNTIF(Y$11:Y263,Y263)-1)))</f>
        <v>#N/A</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SC254</v>
      </c>
      <c r="B264" s="57">
        <f>IF(ISERROR(VLOOKUP(A264,classifications!A:C,3,FALSE)),0,VLOOKUP(A264,classifications!A:C,3,FALSE))</f>
        <v>0</v>
      </c>
      <c r="C264" s="8" t="s">
        <v>898</v>
      </c>
      <c r="D264" s="26" t="str">
        <f>VLOOKUP($C264,classifications!$C:$J,4,FALSE)</f>
        <v>SD</v>
      </c>
      <c r="E264" s="26" t="str">
        <f>VLOOKUP(C264,classifications!C:K,9,FALSE)</f>
        <v>Sparse</v>
      </c>
      <c r="F264" s="36">
        <f t="shared" si="73"/>
        <v>15.540950047548899</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b">
        <f t="shared" si="78"/>
        <v>0</v>
      </c>
      <c r="Z264" s="34" t="e">
        <f>IF(Y264="","",IF(I$8="A",(RANK(Y264,Y$11:Y$368,1)+COUNTIF(Y$11:Y264,Y264)-1),(RANK(Y264,Y$11:Y$368)+COUNTIF(Y$11:Y264,Y264)-1)))</f>
        <v>#N/A</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SC255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b">
        <f t="shared" si="78"/>
        <v>0</v>
      </c>
      <c r="Z265" s="34" t="e">
        <f>IF(Y265="","",IF(I$8="A",(RANK(Y265,Y$11:Y$368,1)+COUNTIF(Y$11:Y265,Y265)-1),(RANK(Y265,Y$11:Y$368)+COUNTIF(Y$11:Y265,Y265)-1)))</f>
        <v>#N/A</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SC256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b">
        <f t="shared" si="78"/>
        <v>0</v>
      </c>
      <c r="Z266" s="34" t="e">
        <f>IF(Y266="","",IF(I$8="A",(RANK(Y266,Y$11:Y$368,1)+COUNTIF(Y$11:Y266,Y266)-1),(RANK(Y266,Y$11:Y$368)+COUNTIF(Y$11:Y266,Y266)-1)))</f>
        <v>#N/A</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SC257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b">
        <f t="shared" ref="Y267:Y330" si="102">IF($D$1="UA",IF(X267="Largely Rural (rural including hub towns 50-79%) ",M267,IF(X267="Mainly Rural (rural including hub towns &gt;=80%) ",M267,IF(X267="Urban with Significant Rural (rural including hub towns 26-49%)",M267,""))),IF($D$1="SD",IF(X267=$H$3,M267,"")))</f>
        <v>0</v>
      </c>
      <c r="Z267" s="34" t="e">
        <f>IF(Y267="","",IF(I$8="A",(RANK(Y267,Y$11:Y$368,1)+COUNTIF(Y$11:Y267,Y267)-1),(RANK(Y267,Y$11:Y$368)+COUNTIF(Y$11:Y267,Y267)-1)))</f>
        <v>#N/A</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SC258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f t="shared" si="98"/>
        <v>18.082494954980437</v>
      </c>
      <c r="I268" s="77">
        <f>IF(H268="","",IF($I$8="A",(RANK(H268,H$11:H$368,1)+COUNTIF(H$11:H268,H268)-1),(RANK(H268,H$11:H$368)+COUNTIF(H$11:H268,H268)-1)))</f>
        <v>10</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b">
        <f t="shared" si="102"/>
        <v>0</v>
      </c>
      <c r="Z268" s="34" t="e">
        <f>IF(Y268="","",IF(I$8="A",(RANK(Y268,Y$11:Y$368,1)+COUNTIF(Y$11:Y268,Y268)-1),(RANK(Y268,Y$11:Y$368)+COUNTIF(Y$11:Y268,Y268)-1)))</f>
        <v>#N/A</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SC259</v>
      </c>
      <c r="B269" s="57">
        <f>IF(ISERROR(VLOOKUP(A269,classifications!A:C,3,FALSE)),0,VLOOKUP(A269,classifications!A:C,3,FALSE))</f>
        <v>0</v>
      </c>
      <c r="C269" s="8" t="s">
        <v>914</v>
      </c>
      <c r="D269" s="26" t="str">
        <f>VLOOKUP($C269,classifications!$C:$J,4,FALSE)</f>
        <v>SD</v>
      </c>
      <c r="E269" s="26" t="str">
        <f>VLOOKUP(C269,classifications!C:K,9,FALSE)</f>
        <v>Sparse</v>
      </c>
      <c r="F269" s="36" t="e">
        <f t="shared" si="97"/>
        <v>#N/A</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b">
        <f t="shared" si="102"/>
        <v>0</v>
      </c>
      <c r="Z269" s="34" t="e">
        <f>IF(Y269="","",IF(I$8="A",(RANK(Y269,Y$11:Y$368,1)+COUNTIF(Y$11:Y269,Y269)-1),(RANK(Y269,Y$11:Y$368)+COUNTIF(Y$11:Y269,Y269)-1)))</f>
        <v>#N/A</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t="e">
        <f>HLOOKUP($AX$9&amp;$AX$10,Data!$A$1:$ZZ$2000,(MATCH($C269,Data!$A$1:$A$2000,0)),FALSE)</f>
        <v>#N/A</v>
      </c>
      <c r="AY269" s="103"/>
      <c r="AZ269" s="21"/>
    </row>
    <row r="270" spans="1:52">
      <c r="A270" s="56" t="str">
        <f>$D$1&amp;260</f>
        <v>SC260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b">
        <f t="shared" si="102"/>
        <v>0</v>
      </c>
      <c r="Z270" s="34" t="e">
        <f>IF(Y270="","",IF(I$8="A",(RANK(Y270,Y$11:Y$368,1)+COUNTIF(Y$11:Y270,Y270)-1),(RANK(Y270,Y$11:Y$368)+COUNTIF(Y$11:Y270,Y270)-1)))</f>
        <v>#N/A</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SC261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b">
        <f t="shared" si="102"/>
        <v>0</v>
      </c>
      <c r="Z271" s="34" t="e">
        <f>IF(Y271="","",IF(I$8="A",(RANK(Y271,Y$11:Y$368,1)+COUNTIF(Y$11:Y271,Y271)-1),(RANK(Y271,Y$11:Y$368)+COUNTIF(Y$11:Y271,Y271)-1)))</f>
        <v>#N/A</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SC262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b">
        <f t="shared" si="102"/>
        <v>0</v>
      </c>
      <c r="Z272" s="34" t="e">
        <f>IF(Y272="","",IF(I$8="A",(RANK(Y272,Y$11:Y$368,1)+COUNTIF(Y$11:Y272,Y272)-1),(RANK(Y272,Y$11:Y$368)+COUNTIF(Y$11:Y272,Y272)-1)))</f>
        <v>#N/A</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SC263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b">
        <f t="shared" si="102"/>
        <v>0</v>
      </c>
      <c r="Z273" s="34" t="e">
        <f>IF(Y273="","",IF(I$8="A",(RANK(Y273,Y$11:Y$368,1)+COUNTIF(Y$11:Y273,Y273)-1),(RANK(Y273,Y$11:Y$368)+COUNTIF(Y$11:Y273,Y273)-1)))</f>
        <v>#N/A</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SC264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b">
        <f t="shared" si="102"/>
        <v>0</v>
      </c>
      <c r="Z274" s="34" t="e">
        <f>IF(Y274="","",IF(I$8="A",(RANK(Y274,Y$11:Y$368,1)+COUNTIF(Y$11:Y274,Y274)-1),(RANK(Y274,Y$11:Y$368)+COUNTIF(Y$11:Y274,Y274)-1)))</f>
        <v>#N/A</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SC265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b">
        <f t="shared" si="102"/>
        <v>0</v>
      </c>
      <c r="Z275" s="34" t="e">
        <f>IF(Y275="","",IF(I$8="A",(RANK(Y275,Y$11:Y$368,1)+COUNTIF(Y$11:Y275,Y275)-1),(RANK(Y275,Y$11:Y$368)+COUNTIF(Y$11:Y275,Y275)-1)))</f>
        <v>#N/A</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SC266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b">
        <f t="shared" si="102"/>
        <v>0</v>
      </c>
      <c r="Z276" s="34" t="e">
        <f>IF(Y276="","",IF(I$8="A",(RANK(Y276,Y$11:Y$368,1)+COUNTIF(Y$11:Y276,Y276)-1),(RANK(Y276,Y$11:Y$368)+COUNTIF(Y$11:Y276,Y276)-1)))</f>
        <v>#N/A</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SC267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b">
        <f t="shared" si="102"/>
        <v>0</v>
      </c>
      <c r="Z277" s="34" t="e">
        <f>IF(Y277="","",IF(I$8="A",(RANK(Y277,Y$11:Y$368,1)+COUNTIF(Y$11:Y277,Y277)-1),(RANK(Y277,Y$11:Y$368)+COUNTIF(Y$11:Y277,Y277)-1)))</f>
        <v>#N/A</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SC268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b">
        <f t="shared" si="102"/>
        <v>0</v>
      </c>
      <c r="Z278" s="34" t="e">
        <f>IF(Y278="","",IF(I$8="A",(RANK(Y278,Y$11:Y$368,1)+COUNTIF(Y$11:Y278,Y278)-1),(RANK(Y278,Y$11:Y$368)+COUNTIF(Y$11:Y278,Y278)-1)))</f>
        <v>#N/A</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SC269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b">
        <f t="shared" si="102"/>
        <v>0</v>
      </c>
      <c r="Z279" s="34" t="e">
        <f>IF(Y279="","",IF(I$8="A",(RANK(Y279,Y$11:Y$368,1)+COUNTIF(Y$11:Y279,Y279)-1),(RANK(Y279,Y$11:Y$368)+COUNTIF(Y$11:Y279,Y279)-1)))</f>
        <v>#N/A</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SC270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b">
        <f t="shared" si="102"/>
        <v>0</v>
      </c>
      <c r="Z280" s="34" t="e">
        <f>IF(Y280="","",IF(I$8="A",(RANK(Y280,Y$11:Y$368,1)+COUNTIF(Y$11:Y280,Y280)-1),(RANK(Y280,Y$11:Y$368)+COUNTIF(Y$11:Y280,Y280)-1)))</f>
        <v>#N/A</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SC271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b">
        <f t="shared" si="102"/>
        <v>0</v>
      </c>
      <c r="Z281" s="34" t="e">
        <f>IF(Y281="","",IF(I$8="A",(RANK(Y281,Y$11:Y$368,1)+COUNTIF(Y$11:Y281,Y281)-1),(RANK(Y281,Y$11:Y$368)+COUNTIF(Y$11:Y281,Y281)-1)))</f>
        <v>#N/A</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SC272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b">
        <f t="shared" si="102"/>
        <v>0</v>
      </c>
      <c r="Z282" s="34" t="e">
        <f>IF(Y282="","",IF(I$8="A",(RANK(Y282,Y$11:Y$368,1)+COUNTIF(Y$11:Y282,Y282)-1),(RANK(Y282,Y$11:Y$368)+COUNTIF(Y$11:Y282,Y282)-1)))</f>
        <v>#N/A</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SC273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b">
        <f t="shared" si="102"/>
        <v>0</v>
      </c>
      <c r="Z283" s="34" t="e">
        <f>IF(Y283="","",IF(I$8="A",(RANK(Y283,Y$11:Y$368,1)+COUNTIF(Y$11:Y283,Y283)-1),(RANK(Y283,Y$11:Y$368)+COUNTIF(Y$11:Y283,Y283)-1)))</f>
        <v>#N/A</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SC274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b">
        <f t="shared" si="102"/>
        <v>0</v>
      </c>
      <c r="Z284" s="34" t="e">
        <f>IF(Y284="","",IF(I$8="A",(RANK(Y284,Y$11:Y$368,1)+COUNTIF(Y$11:Y284,Y284)-1),(RANK(Y284,Y$11:Y$368)+COUNTIF(Y$11:Y284,Y284)-1)))</f>
        <v>#N/A</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SC275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b">
        <f t="shared" si="102"/>
        <v>0</v>
      </c>
      <c r="Z285" s="34" t="e">
        <f>IF(Y285="","",IF(I$8="A",(RANK(Y285,Y$11:Y$368,1)+COUNTIF(Y$11:Y285,Y285)-1),(RANK(Y285,Y$11:Y$368)+COUNTIF(Y$11:Y285,Y285)-1)))</f>
        <v>#N/A</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SC276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b">
        <f t="shared" si="102"/>
        <v>0</v>
      </c>
      <c r="Z286" s="34" t="e">
        <f>IF(Y286="","",IF(I$8="A",(RANK(Y286,Y$11:Y$368,1)+COUNTIF(Y$11:Y286,Y286)-1),(RANK(Y286,Y$11:Y$368)+COUNTIF(Y$11:Y286,Y286)-1)))</f>
        <v>#N/A</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SC277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b">
        <f t="shared" si="102"/>
        <v>0</v>
      </c>
      <c r="Z287" s="34" t="e">
        <f>IF(Y287="","",IF(I$8="A",(RANK(Y287,Y$11:Y$368,1)+COUNTIF(Y$11:Y287,Y287)-1),(RANK(Y287,Y$11:Y$368)+COUNTIF(Y$11:Y287,Y287)-1)))</f>
        <v>#N/A</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SC278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b">
        <f t="shared" si="102"/>
        <v>0</v>
      </c>
      <c r="Z288" s="34" t="e">
        <f>IF(Y288="","",IF(I$8="A",(RANK(Y288,Y$11:Y$368,1)+COUNTIF(Y$11:Y288,Y288)-1),(RANK(Y288,Y$11:Y$368)+COUNTIF(Y$11:Y288,Y288)-1)))</f>
        <v>#N/A</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SC279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b">
        <f t="shared" si="102"/>
        <v>0</v>
      </c>
      <c r="Z289" s="34" t="e">
        <f>IF(Y289="","",IF(I$8="A",(RANK(Y289,Y$11:Y$368,1)+COUNTIF(Y$11:Y289,Y289)-1),(RANK(Y289,Y$11:Y$368)+COUNTIF(Y$11:Y289,Y289)-1)))</f>
        <v>#N/A</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SC280</v>
      </c>
      <c r="B290" s="57">
        <f>IF(ISERROR(VLOOKUP(A290,classifications!A:C,3,FALSE)),0,VLOOKUP(A290,classifications!A:C,3,FALSE))</f>
        <v>0</v>
      </c>
      <c r="C290" s="8" t="s">
        <v>152</v>
      </c>
      <c r="D290" s="26" t="str">
        <f>VLOOKUP($C290,classifications!$C:$J,4,FALSE)</f>
        <v>SD</v>
      </c>
      <c r="E290" s="26" t="str">
        <f>VLOOKUP(C290,classifications!C:K,9,FALSE)</f>
        <v>Sparse</v>
      </c>
      <c r="F290" s="36">
        <f t="shared" si="97"/>
        <v>0</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b">
        <f t="shared" si="102"/>
        <v>0</v>
      </c>
      <c r="Z290" s="34" t="e">
        <f>IF(Y290="","",IF(I$8="A",(RANK(Y290,Y$11:Y$368,1)+COUNTIF(Y$11:Y290,Y290)-1),(RANK(Y290,Y$11:Y$368)+COUNTIF(Y$11:Y290,Y290)-1)))</f>
        <v>#N/A</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f>HLOOKUP($AX$9&amp;$AX$10,Data!$A$1:$ZZ$2000,(MATCH($C290,Data!$A$1:$A$2000,0)),FALSE)</f>
        <v>0</v>
      </c>
      <c r="AY290" s="103"/>
      <c r="AZ290" s="21"/>
    </row>
    <row r="291" spans="1:52">
      <c r="A291" s="56" t="str">
        <f>$D$1&amp;281</f>
        <v>SC281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b">
        <f t="shared" si="102"/>
        <v>0</v>
      </c>
      <c r="Z291" s="34" t="e">
        <f>IF(Y291="","",IF(I$8="A",(RANK(Y291,Y$11:Y$368,1)+COUNTIF(Y$11:Y291,Y291)-1),(RANK(Y291,Y$11:Y$368)+COUNTIF(Y$11:Y291,Y291)-1)))</f>
        <v>#N/A</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SC282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b">
        <f t="shared" si="102"/>
        <v>0</v>
      </c>
      <c r="Z292" s="34" t="e">
        <f>IF(Y292="","",IF(I$8="A",(RANK(Y292,Y$11:Y$368,1)+COUNTIF(Y$11:Y292,Y292)-1),(RANK(Y292,Y$11:Y$368)+COUNTIF(Y$11:Y292,Y292)-1)))</f>
        <v>#N/A</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SC283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f t="shared" si="98"/>
        <v>13.005470928067698</v>
      </c>
      <c r="I293" s="77">
        <f>IF(H293="","",IF($I$8="A",(RANK(H293,H$11:H$368,1)+COUNTIF(H$11:H293,H293)-1),(RANK(H293,H$11:H$368)+COUNTIF(H$11:H293,H293)-1)))</f>
        <v>26</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b">
        <f t="shared" si="102"/>
        <v>0</v>
      </c>
      <c r="Z293" s="34" t="e">
        <f>IF(Y293="","",IF(I$8="A",(RANK(Y293,Y$11:Y$368,1)+COUNTIF(Y$11:Y293,Y293)-1),(RANK(Y293,Y$11:Y$368)+COUNTIF(Y$11:Y293,Y293)-1)))</f>
        <v>#N/A</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SC284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b">
        <f t="shared" si="102"/>
        <v>0</v>
      </c>
      <c r="Z294" s="34" t="e">
        <f>IF(Y294="","",IF(I$8="A",(RANK(Y294,Y$11:Y$368,1)+COUNTIF(Y$11:Y294,Y294)-1),(RANK(Y294,Y$11:Y$368)+COUNTIF(Y$11:Y294,Y294)-1)))</f>
        <v>#N/A</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SC285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b">
        <f t="shared" si="102"/>
        <v>0</v>
      </c>
      <c r="Z295" s="34" t="e">
        <f>IF(Y295="","",IF(I$8="A",(RANK(Y295,Y$11:Y$368,1)+COUNTIF(Y$11:Y295,Y295)-1),(RANK(Y295,Y$11:Y$368)+COUNTIF(Y$11:Y295,Y295)-1)))</f>
        <v>#N/A</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SC286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b">
        <f t="shared" si="102"/>
        <v>0</v>
      </c>
      <c r="Z296" s="34" t="e">
        <f>IF(Y296="","",IF(I$8="A",(RANK(Y296,Y$11:Y$368,1)+COUNTIF(Y$11:Y296,Y296)-1),(RANK(Y296,Y$11:Y$368)+COUNTIF(Y$11:Y296,Y296)-1)))</f>
        <v>#N/A</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SC287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b">
        <f t="shared" si="102"/>
        <v>0</v>
      </c>
      <c r="Z297" s="34" t="e">
        <f>IF(Y297="","",IF(I$8="A",(RANK(Y297,Y$11:Y$368,1)+COUNTIF(Y$11:Y297,Y297)-1),(RANK(Y297,Y$11:Y$368)+COUNTIF(Y$11:Y297,Y297)-1)))</f>
        <v>#N/A</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SC288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b">
        <f t="shared" si="102"/>
        <v>0</v>
      </c>
      <c r="Z298" s="34" t="e">
        <f>IF(Y298="","",IF(I$8="A",(RANK(Y298,Y$11:Y$368,1)+COUNTIF(Y$11:Y298,Y298)-1),(RANK(Y298,Y$11:Y$368)+COUNTIF(Y$11:Y298,Y298)-1)))</f>
        <v>#N/A</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SC289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b">
        <f t="shared" si="102"/>
        <v>0</v>
      </c>
      <c r="Z299" s="34" t="e">
        <f>IF(Y299="","",IF(I$8="A",(RANK(Y299,Y$11:Y$368,1)+COUNTIF(Y$11:Y299,Y299)-1),(RANK(Y299,Y$11:Y$368)+COUNTIF(Y$11:Y299,Y299)-1)))</f>
        <v>#N/A</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SC290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b">
        <f t="shared" si="102"/>
        <v>0</v>
      </c>
      <c r="Z300" s="34" t="e">
        <f>IF(Y300="","",IF(I$8="A",(RANK(Y300,Y$11:Y$368,1)+COUNTIF(Y$11:Y300,Y300)-1),(RANK(Y300,Y$11:Y$368)+COUNTIF(Y$11:Y300,Y300)-1)))</f>
        <v>#N/A</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SC291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f t="shared" si="98"/>
        <v>19.764917133210222</v>
      </c>
      <c r="I301" s="77">
        <f>IF(H301="","",IF($I$8="A",(RANK(H301,H$11:H$368,1)+COUNTIF(H$11:H301,H301)-1),(RANK(H301,H$11:H$368)+COUNTIF(H$11:H301,H301)-1)))</f>
        <v>6</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b">
        <f t="shared" si="102"/>
        <v>0</v>
      </c>
      <c r="Z301" s="34" t="e">
        <f>IF(Y301="","",IF(I$8="A",(RANK(Y301,Y$11:Y$368,1)+COUNTIF(Y$11:Y301,Y301)-1),(RANK(Y301,Y$11:Y$368)+COUNTIF(Y$11:Y301,Y301)-1)))</f>
        <v>#N/A</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SC292</v>
      </c>
      <c r="B302" s="57">
        <f>IF(ISERROR(VLOOKUP(A302,classifications!A:C,3,FALSE)),0,VLOOKUP(A302,classifications!A:C,3,FALSE))</f>
        <v>0</v>
      </c>
      <c r="C302" s="8" t="s">
        <v>158</v>
      </c>
      <c r="D302" s="26" t="str">
        <f>VLOOKUP($C302,classifications!$C:$J,4,FALSE)</f>
        <v>SD</v>
      </c>
      <c r="E302" s="26" t="str">
        <f>VLOOKUP(C302,classifications!C:K,9,FALSE)</f>
        <v>Sparse</v>
      </c>
      <c r="F302" s="36">
        <f t="shared" si="97"/>
        <v>0</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b">
        <f t="shared" si="102"/>
        <v>0</v>
      </c>
      <c r="Z302" s="34" t="e">
        <f>IF(Y302="","",IF(I$8="A",(RANK(Y302,Y$11:Y$368,1)+COUNTIF(Y$11:Y302,Y302)-1),(RANK(Y302,Y$11:Y$368)+COUNTIF(Y$11:Y302,Y302)-1)))</f>
        <v>#N/A</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f>HLOOKUP($AX$9&amp;$AX$10,Data!$A$1:$ZZ$2000,(MATCH($C302,Data!$A$1:$A$2000,0)),FALSE)</f>
        <v>0</v>
      </c>
      <c r="AY302" s="103"/>
      <c r="AZ302" s="21"/>
    </row>
    <row r="303" spans="1:52">
      <c r="A303" s="56" t="str">
        <f>$D$1&amp;293</f>
        <v>SC293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b">
        <f t="shared" si="102"/>
        <v>0</v>
      </c>
      <c r="Z303" s="34" t="e">
        <f>IF(Y303="","",IF(I$8="A",(RANK(Y303,Y$11:Y$368,1)+COUNTIF(Y$11:Y303,Y303)-1),(RANK(Y303,Y$11:Y$368)+COUNTIF(Y$11:Y303,Y303)-1)))</f>
        <v>#N/A</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SC294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f t="shared" si="98"/>
        <v>20.423132463684833</v>
      </c>
      <c r="I304" s="77">
        <f>IF(H304="","",IF($I$8="A",(RANK(H304,H$11:H$368,1)+COUNTIF(H$11:H304,H304)-1),(RANK(H304,H$11:H$368)+COUNTIF(H$11:H304,H304)-1)))</f>
        <v>4</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b">
        <f t="shared" si="102"/>
        <v>0</v>
      </c>
      <c r="Z304" s="34" t="e">
        <f>IF(Y304="","",IF(I$8="A",(RANK(Y304,Y$11:Y$368,1)+COUNTIF(Y$11:Y304,Y304)-1),(RANK(Y304,Y$11:Y$368)+COUNTIF(Y$11:Y304,Y304)-1)))</f>
        <v>#N/A</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SC295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b">
        <f t="shared" si="102"/>
        <v>0</v>
      </c>
      <c r="Z305" s="34" t="e">
        <f>IF(Y305="","",IF(I$8="A",(RANK(Y305,Y$11:Y$368,1)+COUNTIF(Y$11:Y305,Y305)-1),(RANK(Y305,Y$11:Y$368)+COUNTIF(Y$11:Y305,Y305)-1)))</f>
        <v>#N/A</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SC296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b">
        <f t="shared" si="102"/>
        <v>0</v>
      </c>
      <c r="Z306" s="34" t="e">
        <f>IF(Y306="","",IF(I$8="A",(RANK(Y306,Y$11:Y$368,1)+COUNTIF(Y$11:Y306,Y306)-1),(RANK(Y306,Y$11:Y$368)+COUNTIF(Y$11:Y306,Y306)-1)))</f>
        <v>#N/A</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SC297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b">
        <f t="shared" si="102"/>
        <v>0</v>
      </c>
      <c r="Z307" s="34" t="e">
        <f>IF(Y307="","",IF(I$8="A",(RANK(Y307,Y$11:Y$368,1)+COUNTIF(Y$11:Y307,Y307)-1),(RANK(Y307,Y$11:Y$368)+COUNTIF(Y$11:Y307,Y307)-1)))</f>
        <v>#N/A</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SC298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b">
        <f t="shared" si="102"/>
        <v>0</v>
      </c>
      <c r="Z308" s="34" t="e">
        <f>IF(Y308="","",IF(I$8="A",(RANK(Y308,Y$11:Y$368,1)+COUNTIF(Y$11:Y308,Y308)-1),(RANK(Y308,Y$11:Y$368)+COUNTIF(Y$11:Y308,Y308)-1)))</f>
        <v>#N/A</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SC299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b">
        <f t="shared" si="102"/>
        <v>0</v>
      </c>
      <c r="Z309" s="34" t="e">
        <f>IF(Y309="","",IF(I$8="A",(RANK(Y309,Y$11:Y$368,1)+COUNTIF(Y$11:Y309,Y309)-1),(RANK(Y309,Y$11:Y$368)+COUNTIF(Y$11:Y309,Y309)-1)))</f>
        <v>#N/A</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SC300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b">
        <f t="shared" si="102"/>
        <v>0</v>
      </c>
      <c r="Z310" s="34" t="e">
        <f>IF(Y310="","",IF(I$8="A",(RANK(Y310,Y$11:Y$368,1)+COUNTIF(Y$11:Y310,Y310)-1),(RANK(Y310,Y$11:Y$368)+COUNTIF(Y$11:Y310,Y310)-1)))</f>
        <v>#N/A</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SC301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b">
        <f t="shared" si="102"/>
        <v>0</v>
      </c>
      <c r="Z311" s="34" t="e">
        <f>IF(Y311="","",IF(I$8="A",(RANK(Y311,Y$11:Y$368,1)+COUNTIF(Y$11:Y311,Y311)-1),(RANK(Y311,Y$11:Y$368)+COUNTIF(Y$11:Y311,Y311)-1)))</f>
        <v>#N/A</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SC302</v>
      </c>
      <c r="B312" s="57">
        <f>IF(ISERROR(VLOOKUP(A312,classifications!A:C,3,FALSE)),0,VLOOKUP(A312,classifications!A:C,3,FALSE))</f>
        <v>0</v>
      </c>
      <c r="C312" s="8" t="s">
        <v>163</v>
      </c>
      <c r="D312" s="26" t="str">
        <f>VLOOKUP($C312,classifications!$C:$J,4,FALSE)</f>
        <v>SD</v>
      </c>
      <c r="E312" s="26" t="str">
        <f>VLOOKUP(C312,classifications!C:K,9,FALSE)</f>
        <v>Sparse</v>
      </c>
      <c r="F312" s="36">
        <f t="shared" si="97"/>
        <v>0</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b">
        <f t="shared" si="102"/>
        <v>0</v>
      </c>
      <c r="Z312" s="34" t="e">
        <f>IF(Y312="","",IF(I$8="A",(RANK(Y312,Y$11:Y$368,1)+COUNTIF(Y$11:Y312,Y312)-1),(RANK(Y312,Y$11:Y$368)+COUNTIF(Y$11:Y312,Y312)-1)))</f>
        <v>#N/A</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f>HLOOKUP($AX$9&amp;$AX$10,Data!$A$1:$ZZ$2000,(MATCH($C312,Data!$A$1:$A$2000,0)),FALSE)</f>
        <v>0</v>
      </c>
      <c r="AY312" s="103"/>
      <c r="AZ312" s="21"/>
    </row>
    <row r="313" spans="1:52">
      <c r="A313" s="56" t="str">
        <f>$D$1&amp;303</f>
        <v>SC303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b">
        <f t="shared" si="102"/>
        <v>0</v>
      </c>
      <c r="Z313" s="34" t="e">
        <f>IF(Y313="","",IF(I$8="A",(RANK(Y313,Y$11:Y$368,1)+COUNTIF(Y$11:Y313,Y313)-1),(RANK(Y313,Y$11:Y$368)+COUNTIF(Y$11:Y313,Y313)-1)))</f>
        <v>#N/A</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SC304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b">
        <f t="shared" si="102"/>
        <v>0</v>
      </c>
      <c r="Z314" s="34" t="e">
        <f>IF(Y314="","",IF(I$8="A",(RANK(Y314,Y$11:Y$368,1)+COUNTIF(Y$11:Y314,Y314)-1),(RANK(Y314,Y$11:Y$368)+COUNTIF(Y$11:Y314,Y314)-1)))</f>
        <v>#N/A</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SC305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b">
        <f t="shared" si="102"/>
        <v>0</v>
      </c>
      <c r="Z315" s="34" t="e">
        <f>IF(Y315="","",IF(I$8="A",(RANK(Y315,Y$11:Y$368,1)+COUNTIF(Y$11:Y315,Y315)-1),(RANK(Y315,Y$11:Y$368)+COUNTIF(Y$11:Y315,Y315)-1)))</f>
        <v>#N/A</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SC306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b">
        <f t="shared" si="102"/>
        <v>0</v>
      </c>
      <c r="Z316" s="34" t="e">
        <f>IF(Y316="","",IF(I$8="A",(RANK(Y316,Y$11:Y$368,1)+COUNTIF(Y$11:Y316,Y316)-1),(RANK(Y316,Y$11:Y$368)+COUNTIF(Y$11:Y316,Y316)-1)))</f>
        <v>#N/A</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SC307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b">
        <f t="shared" si="102"/>
        <v>0</v>
      </c>
      <c r="Z317" s="34" t="e">
        <f>IF(Y317="","",IF(I$8="A",(RANK(Y317,Y$11:Y$368,1)+COUNTIF(Y$11:Y317,Y317)-1),(RANK(Y317,Y$11:Y$368)+COUNTIF(Y$11:Y317,Y317)-1)))</f>
        <v>#N/A</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SC308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b">
        <f t="shared" si="102"/>
        <v>0</v>
      </c>
      <c r="Z318" s="34" t="e">
        <f>IF(Y318="","",IF(I$8="A",(RANK(Y318,Y$11:Y$368,1)+COUNTIF(Y$11:Y318,Y318)-1),(RANK(Y318,Y$11:Y$368)+COUNTIF(Y$11:Y318,Y318)-1)))</f>
        <v>#N/A</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SC309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b">
        <f t="shared" si="102"/>
        <v>0</v>
      </c>
      <c r="Z319" s="34" t="e">
        <f>IF(Y319="","",IF(I$8="A",(RANK(Y319,Y$11:Y$368,1)+COUNTIF(Y$11:Y319,Y319)-1),(RANK(Y319,Y$11:Y$368)+COUNTIF(Y$11:Y319,Y319)-1)))</f>
        <v>#N/A</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SC310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b">
        <f t="shared" si="102"/>
        <v>0</v>
      </c>
      <c r="Z320" s="34" t="e">
        <f>IF(Y320="","",IF(I$8="A",(RANK(Y320,Y$11:Y$368,1)+COUNTIF(Y$11:Y320,Y320)-1),(RANK(Y320,Y$11:Y$368)+COUNTIF(Y$11:Y320,Y320)-1)))</f>
        <v>#N/A</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SC311</v>
      </c>
      <c r="B321" s="57">
        <f>IF(ISERROR(VLOOKUP(A321,classifications!A:C,3,FALSE)),0,VLOOKUP(A321,classifications!A:C,3,FALSE))</f>
        <v>0</v>
      </c>
      <c r="C321" s="8" t="s">
        <v>350</v>
      </c>
      <c r="D321" s="26" t="str">
        <f>VLOOKUP($C321,classifications!$C:$J,4,FALSE)</f>
        <v>SD</v>
      </c>
      <c r="E321" s="26">
        <f>VLOOKUP(C321,classifications!C:K,9,FALSE)</f>
        <v>0</v>
      </c>
      <c r="F321" s="36">
        <f t="shared" si="97"/>
        <v>15.065023021064745</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b">
        <f t="shared" si="102"/>
        <v>0</v>
      </c>
      <c r="Z321" s="34" t="e">
        <f>IF(Y321="","",IF(I$8="A",(RANK(Y321,Y$11:Y$368,1)+COUNTIF(Y$11:Y321,Y321)-1),(RANK(Y321,Y$11:Y$368)+COUNTIF(Y$11:Y321,Y321)-1)))</f>
        <v>#N/A</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SC312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b">
        <f t="shared" si="102"/>
        <v>0</v>
      </c>
      <c r="Z322" s="34" t="e">
        <f>IF(Y322="","",IF(I$8="A",(RANK(Y322,Y$11:Y$368,1)+COUNTIF(Y$11:Y322,Y322)-1),(RANK(Y322,Y$11:Y$368)+COUNTIF(Y$11:Y322,Y322)-1)))</f>
        <v>#N/A</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SC313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b">
        <f t="shared" si="102"/>
        <v>0</v>
      </c>
      <c r="Z323" s="34" t="e">
        <f>IF(Y323="","",IF(I$8="A",(RANK(Y323,Y$11:Y$368,1)+COUNTIF(Y$11:Y323,Y323)-1),(RANK(Y323,Y$11:Y$368)+COUNTIF(Y$11:Y323,Y323)-1)))</f>
        <v>#N/A</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SC314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b">
        <f t="shared" si="102"/>
        <v>0</v>
      </c>
      <c r="Z324" s="34" t="e">
        <f>IF(Y324="","",IF(I$8="A",(RANK(Y324,Y$11:Y$368,1)+COUNTIF(Y$11:Y324,Y324)-1),(RANK(Y324,Y$11:Y$368)+COUNTIF(Y$11:Y324,Y324)-1)))</f>
        <v>#N/A</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SC315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b">
        <f t="shared" si="102"/>
        <v>0</v>
      </c>
      <c r="Z325" s="34" t="e">
        <f>IF(Y325="","",IF(I$8="A",(RANK(Y325,Y$11:Y$368,1)+COUNTIF(Y$11:Y325,Y325)-1),(RANK(Y325,Y$11:Y$368)+COUNTIF(Y$11:Y325,Y325)-1)))</f>
        <v>#N/A</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SC316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b">
        <f t="shared" si="102"/>
        <v>0</v>
      </c>
      <c r="Z326" s="34" t="e">
        <f>IF(Y326="","",IF(I$8="A",(RANK(Y326,Y$11:Y$368,1)+COUNTIF(Y$11:Y326,Y326)-1),(RANK(Y326,Y$11:Y$368)+COUNTIF(Y$11:Y326,Y326)-1)))</f>
        <v>#N/A</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SC317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b">
        <f t="shared" si="102"/>
        <v>0</v>
      </c>
      <c r="Z327" s="34" t="e">
        <f>IF(Y327="","",IF(I$8="A",(RANK(Y327,Y$11:Y$368,1)+COUNTIF(Y$11:Y327,Y327)-1),(RANK(Y327,Y$11:Y$368)+COUNTIF(Y$11:Y327,Y327)-1)))</f>
        <v>#N/A</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SC318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b">
        <f t="shared" si="102"/>
        <v>0</v>
      </c>
      <c r="Z328" s="34" t="e">
        <f>IF(Y328="","",IF(I$8="A",(RANK(Y328,Y$11:Y$368,1)+COUNTIF(Y$11:Y328,Y328)-1),(RANK(Y328,Y$11:Y$368)+COUNTIF(Y$11:Y328,Y328)-1)))</f>
        <v>#N/A</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SC319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b">
        <f t="shared" si="102"/>
        <v>0</v>
      </c>
      <c r="Z329" s="34" t="e">
        <f>IF(Y329="","",IF(I$8="A",(RANK(Y329,Y$11:Y$368,1)+COUNTIF(Y$11:Y329,Y329)-1),(RANK(Y329,Y$11:Y$368)+COUNTIF(Y$11:Y329,Y329)-1)))</f>
        <v>#N/A</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SC320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b">
        <f t="shared" si="102"/>
        <v>0</v>
      </c>
      <c r="Z330" s="34" t="e">
        <f>IF(Y330="","",IF(I$8="A",(RANK(Y330,Y$11:Y$368,1)+COUNTIF(Y$11:Y330,Y330)-1),(RANK(Y330,Y$11:Y$368)+COUNTIF(Y$11:Y330,Y330)-1)))</f>
        <v>#N/A</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SC321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b">
        <f t="shared" ref="Y331:Y363" si="125">IF($D$1="UA",IF(X331="Largely Rural (rural including hub towns 50-79%) ",M331,IF(X331="Mainly Rural (rural including hub towns &gt;=80%) ",M331,IF(X331="Urban with Significant Rural (rural including hub towns 26-49%)",M331,""))),IF($D$1="SD",IF(X331=$H$3,M331,"")))</f>
        <v>0</v>
      </c>
      <c r="Z331" s="34" t="e">
        <f>IF(Y331="","",IF(I$8="A",(RANK(Y331,Y$11:Y$368,1)+COUNTIF(Y$11:Y331,Y331)-1),(RANK(Y331,Y$11:Y$368)+COUNTIF(Y$11:Y331,Y331)-1)))</f>
        <v>#N/A</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SC322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b">
        <f t="shared" si="125"/>
        <v>0</v>
      </c>
      <c r="Z332" s="34" t="e">
        <f>IF(Y332="","",IF(I$8="A",(RANK(Y332,Y$11:Y$368,1)+COUNTIF(Y$11:Y332,Y332)-1),(RANK(Y332,Y$11:Y$368)+COUNTIF(Y$11:Y332,Y332)-1)))</f>
        <v>#N/A</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SC323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b">
        <f t="shared" si="125"/>
        <v>0</v>
      </c>
      <c r="Z333" s="34" t="e">
        <f>IF(Y333="","",IF(I$8="A",(RANK(Y333,Y$11:Y$368,1)+COUNTIF(Y$11:Y333,Y333)-1),(RANK(Y333,Y$11:Y$368)+COUNTIF(Y$11:Y333,Y333)-1)))</f>
        <v>#N/A</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SC324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b">
        <f t="shared" si="125"/>
        <v>0</v>
      </c>
      <c r="Z334" s="34" t="e">
        <f>IF(Y334="","",IF(I$8="A",(RANK(Y334,Y$11:Y$368,1)+COUNTIF(Y$11:Y334,Y334)-1),(RANK(Y334,Y$11:Y$368)+COUNTIF(Y$11:Y334,Y334)-1)))</f>
        <v>#N/A</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SC325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f t="shared" si="121"/>
        <v>15.712468668373536</v>
      </c>
      <c r="I335" s="77">
        <f>IF(H335="","",IF($I$8="A",(RANK(H335,H$11:H$368,1)+COUNTIF(H$11:H335,H335)-1),(RANK(H335,H$11:H$368)+COUNTIF(H$11:H335,H335)-1)))</f>
        <v>17</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b">
        <f t="shared" si="125"/>
        <v>0</v>
      </c>
      <c r="Z335" s="34" t="e">
        <f>IF(Y335="","",IF(I$8="A",(RANK(Y335,Y$11:Y$368,1)+COUNTIF(Y$11:Y335,Y335)-1),(RANK(Y335,Y$11:Y$368)+COUNTIF(Y$11:Y335,Y335)-1)))</f>
        <v>#N/A</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SC326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b">
        <f t="shared" si="125"/>
        <v>0</v>
      </c>
      <c r="Z336" s="34" t="e">
        <f>IF(Y336="","",IF(I$8="A",(RANK(Y336,Y$11:Y$368,1)+COUNTIF(Y$11:Y336,Y336)-1),(RANK(Y336,Y$11:Y$368)+COUNTIF(Y$11:Y336,Y336)-1)))</f>
        <v>#N/A</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SC327</v>
      </c>
      <c r="B337" s="57">
        <f>IF(ISERROR(VLOOKUP(A337,classifications!A:C,3,FALSE)),0,VLOOKUP(A337,classifications!A:C,3,FALSE))</f>
        <v>0</v>
      </c>
      <c r="C337" s="8" t="s">
        <v>176</v>
      </c>
      <c r="D337" s="26" t="str">
        <f>VLOOKUP($C337,classifications!$C:$J,4,FALSE)</f>
        <v>SD</v>
      </c>
      <c r="E337" s="26" t="str">
        <f>VLOOKUP(C337,classifications!C:K,9,FALSE)</f>
        <v>Sparse</v>
      </c>
      <c r="F337" s="36">
        <f t="shared" si="120"/>
        <v>0</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b">
        <f t="shared" si="125"/>
        <v>0</v>
      </c>
      <c r="Z337" s="34" t="e">
        <f>IF(Y337="","",IF(I$8="A",(RANK(Y337,Y$11:Y$368,1)+COUNTIF(Y$11:Y337,Y337)-1),(RANK(Y337,Y$11:Y$368)+COUNTIF(Y$11:Y337,Y337)-1)))</f>
        <v>#N/A</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f>HLOOKUP($AX$9&amp;$AX$10,Data!$A$1:$ZZ$2000,(MATCH($C337,Data!$A$1:$A$2000,0)),FALSE)</f>
        <v>0</v>
      </c>
      <c r="AY337" s="103"/>
      <c r="AZ337" s="21"/>
    </row>
    <row r="338" spans="1:52">
      <c r="A338" s="56" t="str">
        <f>$D$1&amp;328</f>
        <v>SC328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b">
        <f t="shared" si="125"/>
        <v>0</v>
      </c>
      <c r="Z338" s="34" t="e">
        <f>IF(Y338="","",IF(I$8="A",(RANK(Y338,Y$11:Y$368,1)+COUNTIF(Y$11:Y338,Y338)-1),(RANK(Y338,Y$11:Y$368)+COUNTIF(Y$11:Y338,Y338)-1)))</f>
        <v>#N/A</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SC329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b">
        <f t="shared" si="125"/>
        <v>0</v>
      </c>
      <c r="Z339" s="34" t="e">
        <f>IF(Y339="","",IF(I$8="A",(RANK(Y339,Y$11:Y$368,1)+COUNTIF(Y$11:Y339,Y339)-1),(RANK(Y339,Y$11:Y$368)+COUNTIF(Y$11:Y339,Y339)-1)))</f>
        <v>#N/A</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SC330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b">
        <f t="shared" si="125"/>
        <v>0</v>
      </c>
      <c r="Z340" s="34" t="e">
        <f>IF(Y340="","",IF(I$8="A",(RANK(Y340,Y$11:Y$368,1)+COUNTIF(Y$11:Y340,Y340)-1),(RANK(Y340,Y$11:Y$368)+COUNTIF(Y$11:Y340,Y340)-1)))</f>
        <v>#N/A</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SC331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b">
        <f t="shared" si="125"/>
        <v>0</v>
      </c>
      <c r="Z341" s="34" t="e">
        <f>IF(Y341="","",IF(I$8="A",(RANK(Y341,Y$11:Y$368,1)+COUNTIF(Y$11:Y341,Y341)-1),(RANK(Y341,Y$11:Y$368)+COUNTIF(Y$11:Y341,Y341)-1)))</f>
        <v>#N/A</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SC332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b">
        <f t="shared" si="125"/>
        <v>0</v>
      </c>
      <c r="Z342" s="34" t="e">
        <f>IF(Y342="","",IF(I$8="A",(RANK(Y342,Y$11:Y$368,1)+COUNTIF(Y$11:Y342,Y342)-1),(RANK(Y342,Y$11:Y$368)+COUNTIF(Y$11:Y342,Y342)-1)))</f>
        <v>#N/A</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SC333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b">
        <f t="shared" si="125"/>
        <v>0</v>
      </c>
      <c r="Z343" s="34" t="e">
        <f>IF(Y343="","",IF(I$8="A",(RANK(Y343,Y$11:Y$368,1)+COUNTIF(Y$11:Y343,Y343)-1),(RANK(Y343,Y$11:Y$368)+COUNTIF(Y$11:Y343,Y343)-1)))</f>
        <v>#N/A</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SC334</v>
      </c>
      <c r="B344" s="57">
        <f>IF(ISERROR(VLOOKUP(A344,classifications!A:C,3,FALSE)),0,VLOOKUP(A344,classifications!A:C,3,FALSE))</f>
        <v>0</v>
      </c>
      <c r="C344" s="8" t="s">
        <v>182</v>
      </c>
      <c r="D344" s="26" t="str">
        <f>VLOOKUP($C344,classifications!$C:$J,4,FALSE)</f>
        <v>SD</v>
      </c>
      <c r="E344" s="26">
        <f>VLOOKUP(C344,classifications!C:K,9,FALSE)</f>
        <v>0</v>
      </c>
      <c r="F344" s="36">
        <f t="shared" si="120"/>
        <v>0</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b">
        <f t="shared" si="125"/>
        <v>0</v>
      </c>
      <c r="Z344" s="34" t="e">
        <f>IF(Y344="","",IF(I$8="A",(RANK(Y344,Y$11:Y$368,1)+COUNTIF(Y$11:Y344,Y344)-1),(RANK(Y344,Y$11:Y$368)+COUNTIF(Y$11:Y344,Y344)-1)))</f>
        <v>#N/A</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f>HLOOKUP($AX$9&amp;$AX$10,Data!$A$1:$ZZ$2000,(MATCH($C344,Data!$A$1:$A$2000,0)),FALSE)</f>
        <v>0</v>
      </c>
      <c r="AY344" s="103"/>
      <c r="AZ344" s="21"/>
    </row>
    <row r="345" spans="1:52">
      <c r="A345" s="56" t="str">
        <f>$D$1&amp;335</f>
        <v>SC335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b">
        <f t="shared" si="125"/>
        <v>0</v>
      </c>
      <c r="Z345" s="34" t="e">
        <f>IF(Y345="","",IF(I$8="A",(RANK(Y345,Y$11:Y$368,1)+COUNTIF(Y$11:Y345,Y345)-1),(RANK(Y345,Y$11:Y$368)+COUNTIF(Y$11:Y345,Y345)-1)))</f>
        <v>#N/A</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SC336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b">
        <f t="shared" si="125"/>
        <v>0</v>
      </c>
      <c r="Z346" s="34" t="e">
        <f>IF(Y346="","",IF(I$8="A",(RANK(Y346,Y$11:Y$368,1)+COUNTIF(Y$11:Y346,Y346)-1),(RANK(Y346,Y$11:Y$368)+COUNTIF(Y$11:Y346,Y346)-1)))</f>
        <v>#N/A</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SC337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b">
        <f t="shared" si="125"/>
        <v>0</v>
      </c>
      <c r="Z347" s="34" t="e">
        <f>IF(Y347="","",IF(I$8="A",(RANK(Y347,Y$11:Y$368,1)+COUNTIF(Y$11:Y347,Y347)-1),(RANK(Y347,Y$11:Y$368)+COUNTIF(Y$11:Y347,Y347)-1)))</f>
        <v>#N/A</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SC338</v>
      </c>
      <c r="B348" s="57">
        <f>IF(ISERROR(VLOOKUP(A348,classifications!A:C,3,FALSE)),0,VLOOKUP(A348,classifications!A:C,3,FALSE))</f>
        <v>0</v>
      </c>
      <c r="C348" s="8" t="s">
        <v>186</v>
      </c>
      <c r="D348" s="26" t="str">
        <f>VLOOKUP($C348,classifications!$C:$J,4,FALSE)</f>
        <v>SD</v>
      </c>
      <c r="E348" s="26" t="str">
        <f>VLOOKUP(C348,classifications!C:K,9,FALSE)</f>
        <v>Sparse</v>
      </c>
      <c r="F348" s="36">
        <f t="shared" si="120"/>
        <v>0</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b">
        <f t="shared" si="125"/>
        <v>0</v>
      </c>
      <c r="Z348" s="34" t="e">
        <f>IF(Y348="","",IF(I$8="A",(RANK(Y348,Y$11:Y$368,1)+COUNTIF(Y$11:Y348,Y348)-1),(RANK(Y348,Y$11:Y$368)+COUNTIF(Y$11:Y348,Y348)-1)))</f>
        <v>#N/A</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f>HLOOKUP($AX$9&amp;$AX$10,Data!$A$1:$ZZ$2000,(MATCH($C348,Data!$A$1:$A$2000,0)),FALSE)</f>
        <v>0</v>
      </c>
      <c r="AY348" s="103"/>
      <c r="AZ348" s="21"/>
    </row>
    <row r="349" spans="1:52">
      <c r="A349" s="56" t="str">
        <f>$D$1&amp;339</f>
        <v>SC339</v>
      </c>
      <c r="B349" s="57">
        <f>IF(ISERROR(VLOOKUP(A349,classifications!A:C,3,FALSE)),0,VLOOKUP(A349,classifications!A:C,3,FALSE))</f>
        <v>0</v>
      </c>
      <c r="C349" s="8" t="s">
        <v>910</v>
      </c>
      <c r="D349" s="26" t="str">
        <f>VLOOKUP($C349,classifications!$C:$J,4,FALSE)</f>
        <v>SD</v>
      </c>
      <c r="E349" s="26" t="str">
        <f>VLOOKUP(C349,classifications!C:K,9,FALSE)</f>
        <v>Sparse</v>
      </c>
      <c r="F349" s="36">
        <f t="shared" si="120"/>
        <v>20.938986319148242</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b">
        <f t="shared" si="125"/>
        <v>0</v>
      </c>
      <c r="Z349" s="34" t="e">
        <f>IF(Y349="","",IF(I$8="A",(RANK(Y349,Y$11:Y$368,1)+COUNTIF(Y$11:Y349,Y349)-1),(RANK(Y349,Y$11:Y$368)+COUNTIF(Y$11:Y349,Y349)-1)))</f>
        <v>#N/A</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SC340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f t="shared" si="121"/>
        <v>18.584095297011689</v>
      </c>
      <c r="I350" s="77">
        <f>IF(H350="","",IF($I$8="A",(RANK(H350,H$11:H$368,1)+COUNTIF(H$11:H350,H350)-1),(RANK(H350,H$11:H$368)+COUNTIF(H$11:H350,H350)-1)))</f>
        <v>8</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b">
        <f t="shared" si="125"/>
        <v>0</v>
      </c>
      <c r="Z350" s="34" t="e">
        <f>IF(Y350="","",IF(I$8="A",(RANK(Y350,Y$11:Y$368,1)+COUNTIF(Y$11:Y350,Y350)-1),(RANK(Y350,Y$11:Y$368)+COUNTIF(Y$11:Y350,Y350)-1)))</f>
        <v>#N/A</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SC341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b">
        <f t="shared" si="125"/>
        <v>0</v>
      </c>
      <c r="Z351" s="34" t="e">
        <f>IF(Y351="","",IF(I$8="A",(RANK(Y351,Y$11:Y$368,1)+COUNTIF(Y$11:Y351,Y351)-1),(RANK(Y351,Y$11:Y$368)+COUNTIF(Y$11:Y351,Y351)-1)))</f>
        <v>#N/A</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SC342</v>
      </c>
      <c r="B352" s="57">
        <f>IF(ISERROR(VLOOKUP(A352,classifications!A:C,3,FALSE)),0,VLOOKUP(A352,classifications!A:C,3,FALSE))</f>
        <v>0</v>
      </c>
      <c r="C352" s="8" t="s">
        <v>351</v>
      </c>
      <c r="D352" s="26" t="str">
        <f>VLOOKUP($C352,classifications!$C:$J,4,FALSE)</f>
        <v>SD</v>
      </c>
      <c r="E352" s="26">
        <f>VLOOKUP(C352,classifications!C:K,9,FALSE)</f>
        <v>0</v>
      </c>
      <c r="F352" s="36">
        <f t="shared" si="120"/>
        <v>0</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b">
        <f t="shared" si="125"/>
        <v>0</v>
      </c>
      <c r="Z352" s="34" t="e">
        <f>IF(Y352="","",IF(I$8="A",(RANK(Y352,Y$11:Y$368,1)+COUNTIF(Y$11:Y352,Y352)-1),(RANK(Y352,Y$11:Y$368)+COUNTIF(Y$11:Y352,Y352)-1)))</f>
        <v>#N/A</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f>HLOOKUP($AX$9&amp;$AX$10,Data!$A$1:$ZZ$2000,(MATCH($C352,Data!$A$1:$A$2000,0)),FALSE)</f>
        <v>0</v>
      </c>
      <c r="AY352" s="103"/>
      <c r="AZ352" s="21"/>
    </row>
    <row r="353" spans="1:735">
      <c r="A353" s="56" t="str">
        <f>$D$1&amp;343</f>
        <v>SC343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b">
        <f t="shared" si="125"/>
        <v>0</v>
      </c>
      <c r="Z353" s="34" t="e">
        <f>IF(Y353="","",IF(I$8="A",(RANK(Y353,Y$11:Y$368,1)+COUNTIF(Y$11:Y353,Y353)-1),(RANK(Y353,Y$11:Y$368)+COUNTIF(Y$11:Y353,Y353)-1)))</f>
        <v>#N/A</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SC344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b">
        <f t="shared" si="125"/>
        <v>0</v>
      </c>
      <c r="Z354" s="34" t="e">
        <f>IF(Y354="","",IF(I$8="A",(RANK(Y354,Y$11:Y$368,1)+COUNTIF(Y$11:Y354,Y354)-1),(RANK(Y354,Y$11:Y$368)+COUNTIF(Y$11:Y354,Y354)-1)))</f>
        <v>#N/A</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SC345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b">
        <f t="shared" si="125"/>
        <v>0</v>
      </c>
      <c r="Z355" s="34" t="e">
        <f>IF(Y355="","",IF(I$8="A",(RANK(Y355,Y$11:Y$368,1)+COUNTIF(Y$11:Y355,Y355)-1),(RANK(Y355,Y$11:Y$368)+COUNTIF(Y$11:Y355,Y355)-1)))</f>
        <v>#N/A</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SC346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b">
        <f t="shared" si="125"/>
        <v>0</v>
      </c>
      <c r="Z356" s="34" t="e">
        <f>IF(Y356="","",IF(I$8="A",(RANK(Y356,Y$11:Y$368,1)+COUNTIF(Y$11:Y356,Y356)-1),(RANK(Y356,Y$11:Y$368)+COUNTIF(Y$11:Y356,Y356)-1)))</f>
        <v>#N/A</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SC347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b">
        <f t="shared" si="125"/>
        <v>0</v>
      </c>
      <c r="Z357" s="34" t="e">
        <f>IF(Y357="","",IF(I$8="A",(RANK(Y357,Y$11:Y$368,1)+COUNTIF(Y$11:Y357,Y357)-1),(RANK(Y357,Y$11:Y$368)+COUNTIF(Y$11:Y357,Y357)-1)))</f>
        <v>#N/A</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SC348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b">
        <f t="shared" si="125"/>
        <v>0</v>
      </c>
      <c r="Z358" s="34" t="e">
        <f>IF(Y358="","",IF(I$8="A",(RANK(Y358,Y$11:Y$368,1)+COUNTIF(Y$11:Y358,Y358)-1),(RANK(Y358,Y$11:Y$368)+COUNTIF(Y$11:Y358,Y358)-1)))</f>
        <v>#N/A</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SC349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b">
        <f t="shared" si="125"/>
        <v>0</v>
      </c>
      <c r="Z359" s="34" t="e">
        <f>IF(Y359="","",IF(I$8="A",(RANK(Y359,Y$11:Y$368,1)+COUNTIF(Y$11:Y359,Y359)-1),(RANK(Y359,Y$11:Y$368)+COUNTIF(Y$11:Y359,Y359)-1)))</f>
        <v>#N/A</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SC350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b">
        <f t="shared" si="125"/>
        <v>0</v>
      </c>
      <c r="Z360" s="34" t="e">
        <f>IF(Y360="","",IF(I$8="A",(RANK(Y360,Y$11:Y$368,1)+COUNTIF(Y$11:Y360,Y360)-1),(RANK(Y360,Y$11:Y$368)+COUNTIF(Y$11:Y360,Y360)-1)))</f>
        <v>#N/A</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SC351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b">
        <f t="shared" si="125"/>
        <v>0</v>
      </c>
      <c r="Z361" s="34" t="e">
        <f>IF(Y361="","",IF(I$8="A",(RANK(Y361,Y$11:Y$368,1)+COUNTIF(Y$11:Y361,Y361)-1),(RANK(Y361,Y$11:Y$368)+COUNTIF(Y$11:Y361,Y361)-1)))</f>
        <v>#N/A</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SC352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f t="shared" si="121"/>
        <v>14.778256892169054</v>
      </c>
      <c r="I362" s="77">
        <f>IF(H362="","",IF($I$8="A",(RANK(H362,H$11:H$368,1)+COUNTIF(H$11:H362,H362)-1),(RANK(H362,H$11:H$368)+COUNTIF(H$11:H362,H362)-1)))</f>
        <v>21</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b">
        <f t="shared" si="125"/>
        <v>0</v>
      </c>
      <c r="Z362" s="34" t="e">
        <f>IF(Y362="","",IF(I$8="A",(RANK(Y362,Y$11:Y$368,1)+COUNTIF(Y$11:Y362,Y362)-1),(RANK(Y362,Y$11:Y$368)+COUNTIF(Y$11:Y362,Y362)-1)))</f>
        <v>#N/A</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SC353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b">
        <f t="shared" si="125"/>
        <v>0</v>
      </c>
      <c r="Z363" s="34" t="e">
        <f>IF(Y363="","",IF(I$8="A",(RANK(Y363,Y$11:Y$368,1)+COUNTIF(Y$11:Y363,Y363)-1),(RANK(Y363,Y$11:Y$368)+COUNTIF(Y$11:Y363,Y363)-1)))</f>
        <v>#N/A</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SC354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b">
        <f t="shared" ref="Y364:Y368" si="151">IF($D$1="UA",IF(X364="Largely Rural (rural including hub towns 50-79%) ",M364,IF(X364="Mainly Rural (rural including hub towns &gt;=80%) ",M364,IF(X364="Urban with Significant Rural (rural including hub towns 26-49%)",M364,""))),IF($D$1="SD",IF(X364=$H$3,M364,"")))</f>
        <v>0</v>
      </c>
      <c r="Z364" s="34" t="e">
        <f>IF(Y364="","",IF(I$8="A",(RANK(Y364,Y$11:Y$368,1)+COUNTIF(Y$11:Y364,Y364)-1),(RANK(Y364,Y$11:Y$368)+COUNTIF(Y$11:Y364,Y364)-1)))</f>
        <v>#N/A</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SC355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b">
        <f t="shared" si="151"/>
        <v>0</v>
      </c>
      <c r="Z365" s="34" t="e">
        <f>IF(Y365="","",IF(I$8="A",(RANK(Y365,Y$11:Y$368,1)+COUNTIF(Y$11:Y365,Y365)-1),(RANK(Y365,Y$11:Y$368)+COUNTIF(Y$11:Y365,Y365)-1)))</f>
        <v>#N/A</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SC356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b">
        <f t="shared" si="151"/>
        <v>0</v>
      </c>
      <c r="Z366" s="34" t="e">
        <f>IF(Y366="","",IF(I$8="A",(RANK(Y366,Y$11:Y$368,1)+COUNTIF(Y$11:Y366,Y366)-1),(RANK(Y366,Y$11:Y$368)+COUNTIF(Y$11:Y366,Y366)-1)))</f>
        <v>#N/A</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SC357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b">
        <f t="shared" si="151"/>
        <v>0</v>
      </c>
      <c r="Z367" s="34" t="e">
        <f>IF(Y367="","",IF(I$8="A",(RANK(Y367,Y$11:Y$368,1)+COUNTIF(Y$11:Y367,Y367)-1),(RANK(Y367,Y$11:Y$368)+COUNTIF(Y$11:Y367,Y367)-1)))</f>
        <v>#N/A</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SC358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b">
        <f t="shared" si="151"/>
        <v>0</v>
      </c>
      <c r="Z368" s="34" t="e">
        <f>IF(Y368="","",IF(I$8="A",(RANK(Y368,Y$11:Y$368,1)+COUNTIF(Y$11:Y368,Y368)-1),(RANK(Y368,Y$11:Y$368)+COUNTIF(Y$11:Y368,Y368)-1)))</f>
        <v>#N/A</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topLeftCell="B1"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793</v>
      </c>
      <c r="D1" s="63" t="s">
        <v>798</v>
      </c>
      <c r="F1" s="63" t="s">
        <v>807</v>
      </c>
    </row>
    <row r="2" spans="1:8" ht="28.8">
      <c r="A2" s="217" t="s">
        <v>901</v>
      </c>
      <c r="B2" t="s">
        <v>821</v>
      </c>
      <c r="C2" t="s">
        <v>821</v>
      </c>
      <c r="D2" t="s">
        <v>885</v>
      </c>
      <c r="F2" s="1" t="s">
        <v>886</v>
      </c>
      <c r="G2" s="1"/>
      <c r="H2" s="1"/>
    </row>
    <row r="3" spans="1:8" ht="28.8">
      <c r="A3" s="217" t="s">
        <v>902</v>
      </c>
      <c r="B3" t="s">
        <v>821</v>
      </c>
      <c r="C3" t="s">
        <v>821</v>
      </c>
      <c r="D3" t="s">
        <v>885</v>
      </c>
      <c r="F3" t="s">
        <v>895</v>
      </c>
      <c r="G3" s="1"/>
    </row>
    <row r="4" spans="1:8" ht="28.8">
      <c r="A4" s="217" t="s">
        <v>903</v>
      </c>
      <c r="B4" t="s">
        <v>821</v>
      </c>
      <c r="C4" t="s">
        <v>821</v>
      </c>
      <c r="D4" t="s">
        <v>885</v>
      </c>
      <c r="F4" s="1" t="s">
        <v>896</v>
      </c>
      <c r="G4" s="1"/>
    </row>
    <row r="5" spans="1:8" ht="28.8">
      <c r="A5" s="217" t="s">
        <v>904</v>
      </c>
      <c r="B5" t="s">
        <v>821</v>
      </c>
      <c r="C5" t="s">
        <v>821</v>
      </c>
      <c r="D5" t="s">
        <v>885</v>
      </c>
      <c r="E5" s="1"/>
      <c r="F5" s="1" t="s">
        <v>897</v>
      </c>
    </row>
    <row r="6" spans="1:8" ht="14.4">
      <c r="A6" s="217"/>
      <c r="E6" s="1"/>
      <c r="F6" s="26" t="s">
        <v>899</v>
      </c>
    </row>
    <row r="7" spans="1:8" ht="14.4">
      <c r="A7" s="217"/>
      <c r="E7" s="1"/>
      <c r="F7" t="s">
        <v>905</v>
      </c>
    </row>
    <row r="8" spans="1:8" ht="14.4">
      <c r="A8" s="217"/>
      <c r="F8" t="s">
        <v>911</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1"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K1" workbookViewId="0">
      <selection activeCell="AD7" sqref="C7:AD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cycle (any length or purpose) at least once a month2012/13</v>
      </c>
      <c r="D1" s="133" t="str">
        <f t="shared" ref="D1:BO1" si="0">D4&amp;D5</f>
        <v>Proportion of residents who cycle (any length or purpose) at least once a week2012/13</v>
      </c>
      <c r="E1" s="133" t="str">
        <f t="shared" si="0"/>
        <v>Proportion of residents who cycle (any length or purpose) at least 3 times a week2012/13</v>
      </c>
      <c r="F1" s="133" t="str">
        <f t="shared" si="0"/>
        <v>Proportion of residents who cycle (any length or purpose) at least 5 times a week2012/13</v>
      </c>
      <c r="G1" s="133" t="str">
        <f t="shared" si="0"/>
        <v>Proportion of residents who cycle (any length or purpose) at least once a month2013/14</v>
      </c>
      <c r="H1" s="133" t="str">
        <f t="shared" si="0"/>
        <v>Proportion of residents who cycle (any length or purpose) at least once a week2013/14</v>
      </c>
      <c r="I1" s="133" t="str">
        <f t="shared" si="0"/>
        <v>Proportion of residents who cycle (any length or purpose) at least 3 times a week2013/14</v>
      </c>
      <c r="J1" s="133" t="str">
        <f t="shared" si="0"/>
        <v>Proportion of residents who cycle (any length or purpose) at least 5 times a week2013/14</v>
      </c>
      <c r="K1" s="133" t="str">
        <f t="shared" si="0"/>
        <v>Proportion of residents who cycle (any length or purpose) at least once a month2014/15</v>
      </c>
      <c r="L1" s="133" t="str">
        <f t="shared" si="0"/>
        <v>Proportion of residents who cycle (any length or purpose) at least once a week2014/15</v>
      </c>
      <c r="M1" s="133" t="str">
        <f t="shared" si="0"/>
        <v>Proportion of residents who cycle (any length or purpose) at least 3 times a week2014/15</v>
      </c>
      <c r="N1" s="133" t="str">
        <f t="shared" si="0"/>
        <v>Proportion of residents who cycle (any length or purpose) at least 5 times a week2014/15</v>
      </c>
      <c r="O1" s="133" t="str">
        <f t="shared" si="0"/>
        <v>Proportion of residents who cycle (any length or purpose) at least once a month2015/16</v>
      </c>
      <c r="P1" s="133" t="str">
        <f t="shared" si="0"/>
        <v>Proportion of residents who cycle (any length or purpose) at least once a week2015/16</v>
      </c>
      <c r="Q1" s="133" t="str">
        <f t="shared" si="0"/>
        <v>Proportion of residents who cycle (any length or purpose) at least 3 times a week2015/16</v>
      </c>
      <c r="R1" s="133" t="str">
        <f t="shared" si="0"/>
        <v>Proportion of residents who cycle (any length or purpose) at least 5 times a week2015/16</v>
      </c>
      <c r="S1" s="133" t="str">
        <f t="shared" si="0"/>
        <v>Proportion of residents who cycle (any length or purpose) at least once a month2016/17</v>
      </c>
      <c r="T1" s="133" t="str">
        <f t="shared" si="0"/>
        <v>Proportion of residents who cycle (any length or purpose) at least once a week2016/17</v>
      </c>
      <c r="U1" s="133" t="str">
        <f t="shared" si="0"/>
        <v>Proportion of residents who cycle (any length or purpose) at least 3 times a week2016/17</v>
      </c>
      <c r="V1" s="133" t="str">
        <f t="shared" si="0"/>
        <v>Proportion of residents who cycle (any length or purpose) at least 5 times a week2016/17</v>
      </c>
      <c r="W1" s="133" t="str">
        <f t="shared" si="0"/>
        <v>Proportion of residents who cycle (any length or purpose) at least once a month2017/18</v>
      </c>
      <c r="X1" s="133" t="str">
        <f t="shared" si="0"/>
        <v>Proportion of residents who cycle (any length or purpose) at least once a week2017/18</v>
      </c>
      <c r="Y1" s="133" t="str">
        <f t="shared" si="0"/>
        <v>Proportion of residents who cycle (any length or purpose) at least 3 times a week2017/18</v>
      </c>
      <c r="Z1" s="133" t="str">
        <f t="shared" si="0"/>
        <v>Proportion of residents who cycle (any length or purpose) at least 5 times a week2017/18</v>
      </c>
      <c r="AA1" s="133" t="str">
        <f t="shared" si="0"/>
        <v>Proportion of residents who cycle (any length or purpose) at least once a month2018/19</v>
      </c>
      <c r="AB1" s="133" t="str">
        <f t="shared" si="0"/>
        <v>Proportion of residents who cycle (any length or purpose) at least once a week2018/19</v>
      </c>
      <c r="AC1" s="133" t="str">
        <f t="shared" si="0"/>
        <v>Proportion of residents who cycle (any length or purpose) at least 3 times a week2018/19</v>
      </c>
      <c r="AD1" s="133" t="str">
        <f t="shared" si="0"/>
        <v>Proportion of residents who cycle (any length or purpose) at least 5 times a week2018/19</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70" t="s">
        <v>888</v>
      </c>
      <c r="D3" s="137"/>
      <c r="E3" s="137"/>
      <c r="L3" s="126"/>
      <c r="M3" s="109"/>
      <c r="N3" s="126"/>
      <c r="O3" s="140"/>
      <c r="P3" s="140"/>
      <c r="Q3" s="140"/>
      <c r="R3" s="109"/>
      <c r="S3" s="109"/>
      <c r="T3" s="109"/>
      <c r="U3" s="140"/>
      <c r="V3" s="354"/>
      <c r="W3" s="354"/>
      <c r="X3" s="126"/>
      <c r="Y3" s="126"/>
    </row>
    <row r="4" spans="1:77" ht="60" customHeight="1">
      <c r="A4" s="352" t="s">
        <v>820</v>
      </c>
      <c r="B4" s="135" t="s">
        <v>802</v>
      </c>
      <c r="C4" s="217" t="s">
        <v>901</v>
      </c>
      <c r="D4" s="217" t="s">
        <v>902</v>
      </c>
      <c r="E4" s="217" t="s">
        <v>903</v>
      </c>
      <c r="F4" s="217" t="s">
        <v>904</v>
      </c>
      <c r="G4" s="218" t="s">
        <v>901</v>
      </c>
      <c r="H4" s="218" t="s">
        <v>902</v>
      </c>
      <c r="I4" s="218" t="s">
        <v>903</v>
      </c>
      <c r="J4" s="217" t="s">
        <v>904</v>
      </c>
      <c r="K4" s="218" t="s">
        <v>901</v>
      </c>
      <c r="L4" s="218" t="s">
        <v>902</v>
      </c>
      <c r="M4" s="218" t="s">
        <v>903</v>
      </c>
      <c r="N4" s="218" t="s">
        <v>904</v>
      </c>
      <c r="O4" s="218" t="s">
        <v>901</v>
      </c>
      <c r="P4" s="128" t="s">
        <v>902</v>
      </c>
      <c r="Q4" s="128" t="s">
        <v>903</v>
      </c>
      <c r="R4" s="130" t="s">
        <v>904</v>
      </c>
      <c r="S4" t="s">
        <v>901</v>
      </c>
      <c r="T4" t="s">
        <v>902</v>
      </c>
      <c r="U4" t="s">
        <v>903</v>
      </c>
      <c r="V4" t="s">
        <v>904</v>
      </c>
      <c r="W4" t="s">
        <v>901</v>
      </c>
      <c r="X4" t="s">
        <v>902</v>
      </c>
      <c r="Y4" t="s">
        <v>903</v>
      </c>
      <c r="Z4" t="s">
        <v>904</v>
      </c>
      <c r="AA4" t="s">
        <v>901</v>
      </c>
      <c r="AB4" t="s">
        <v>902</v>
      </c>
      <c r="AC4" t="s">
        <v>903</v>
      </c>
      <c r="AD4" t="s">
        <v>904</v>
      </c>
    </row>
    <row r="5" spans="1:77" ht="30" customHeight="1">
      <c r="A5" s="353"/>
      <c r="B5" s="136" t="s">
        <v>365</v>
      </c>
      <c r="C5" s="217" t="s">
        <v>886</v>
      </c>
      <c r="D5" s="217" t="s">
        <v>886</v>
      </c>
      <c r="E5" s="217" t="s">
        <v>886</v>
      </c>
      <c r="F5" s="217" t="s">
        <v>886</v>
      </c>
      <c r="G5" s="217" t="s">
        <v>895</v>
      </c>
      <c r="H5" s="272" t="s">
        <v>895</v>
      </c>
      <c r="I5" s="273" t="s">
        <v>895</v>
      </c>
      <c r="J5" s="217" t="s">
        <v>895</v>
      </c>
      <c r="K5" s="217" t="s">
        <v>896</v>
      </c>
      <c r="L5" s="217" t="s">
        <v>896</v>
      </c>
      <c r="M5" s="217" t="s">
        <v>896</v>
      </c>
      <c r="N5" s="217" t="s">
        <v>896</v>
      </c>
      <c r="O5" s="217" t="s">
        <v>897</v>
      </c>
      <c r="P5" s="129" t="s">
        <v>897</v>
      </c>
      <c r="Q5" s="129" t="s">
        <v>897</v>
      </c>
      <c r="R5" s="112" t="s">
        <v>897</v>
      </c>
      <c r="S5" t="s">
        <v>899</v>
      </c>
      <c r="T5" t="s">
        <v>899</v>
      </c>
      <c r="U5" t="s">
        <v>899</v>
      </c>
      <c r="V5" t="s">
        <v>899</v>
      </c>
      <c r="W5" t="s">
        <v>905</v>
      </c>
      <c r="X5" t="s">
        <v>905</v>
      </c>
      <c r="Y5" t="s">
        <v>905</v>
      </c>
      <c r="Z5" t="s">
        <v>905</v>
      </c>
      <c r="AA5" t="s">
        <v>911</v>
      </c>
      <c r="AB5" t="s">
        <v>911</v>
      </c>
      <c r="AC5" t="s">
        <v>911</v>
      </c>
      <c r="AD5" t="s">
        <v>911</v>
      </c>
    </row>
    <row r="6" spans="1:77" ht="14.7" customHeight="1">
      <c r="A6" s="353"/>
      <c r="B6" s="136" t="s">
        <v>366</v>
      </c>
      <c r="C6" s="162" t="s">
        <v>887</v>
      </c>
      <c r="D6" s="162" t="s">
        <v>887</v>
      </c>
      <c r="E6" s="162" t="s">
        <v>887</v>
      </c>
      <c r="F6" s="162" t="s">
        <v>887</v>
      </c>
      <c r="G6" s="162" t="s">
        <v>887</v>
      </c>
      <c r="H6" s="162" t="s">
        <v>887</v>
      </c>
      <c r="I6" s="162" t="s">
        <v>887</v>
      </c>
      <c r="J6" s="162" t="s">
        <v>887</v>
      </c>
      <c r="K6" s="162" t="s">
        <v>887</v>
      </c>
      <c r="L6" s="162" t="s">
        <v>887</v>
      </c>
      <c r="M6" s="162" t="s">
        <v>887</v>
      </c>
      <c r="N6" s="162" t="s">
        <v>887</v>
      </c>
      <c r="O6" s="162" t="s">
        <v>887</v>
      </c>
      <c r="P6" s="129" t="s">
        <v>887</v>
      </c>
      <c r="Q6" s="129" t="s">
        <v>887</v>
      </c>
      <c r="R6" s="112" t="s">
        <v>887</v>
      </c>
      <c r="S6" s="112" t="s">
        <v>887</v>
      </c>
      <c r="T6" s="112" t="s">
        <v>887</v>
      </c>
      <c r="U6" s="112" t="s">
        <v>887</v>
      </c>
      <c r="V6" s="112" t="s">
        <v>887</v>
      </c>
      <c r="W6" s="112" t="s">
        <v>887</v>
      </c>
      <c r="X6" s="112" t="s">
        <v>887</v>
      </c>
      <c r="Y6" s="112" t="s">
        <v>887</v>
      </c>
      <c r="Z6" s="112" t="s">
        <v>887</v>
      </c>
      <c r="AA6" s="112" t="s">
        <v>887</v>
      </c>
      <c r="AB6" s="112" t="s">
        <v>887</v>
      </c>
      <c r="AC6" s="112" t="s">
        <v>887</v>
      </c>
      <c r="AD6" s="112" t="s">
        <v>887</v>
      </c>
    </row>
    <row r="7" spans="1:77" ht="14.7" customHeight="1">
      <c r="A7" s="131" t="s">
        <v>4</v>
      </c>
      <c r="B7" s="131"/>
      <c r="C7">
        <v>20.320285464876005</v>
      </c>
      <c r="D7">
        <v>13.81989425476984</v>
      </c>
      <c r="E7">
        <v>4.9498884928984621</v>
      </c>
      <c r="F7">
        <v>3.095665434570015</v>
      </c>
      <c r="G7">
        <v>19.257756000845074</v>
      </c>
      <c r="H7">
        <v>12.300894843224684</v>
      </c>
      <c r="I7" s="147">
        <v>5.4639269499151872</v>
      </c>
      <c r="J7" s="112">
        <v>1.6722700171655509</v>
      </c>
      <c r="K7" s="112">
        <v>16.824641671390395</v>
      </c>
      <c r="L7" s="126">
        <v>12.994574459470403</v>
      </c>
      <c r="M7" s="112">
        <v>6.0790347396550333</v>
      </c>
      <c r="N7" s="126">
        <v>2.5554700785488706</v>
      </c>
      <c r="O7" s="147">
        <v>20.758394480140023</v>
      </c>
      <c r="P7" s="147">
        <v>15.553531404831695</v>
      </c>
      <c r="Q7" s="147">
        <v>7.9983712087765486</v>
      </c>
      <c r="R7" s="112">
        <v>5.526787439708003</v>
      </c>
      <c r="S7" s="112">
        <v>19.819300000000002</v>
      </c>
      <c r="T7" s="112">
        <v>12.8736</v>
      </c>
      <c r="U7" s="146">
        <v>4.7639000000000005</v>
      </c>
      <c r="V7" s="113">
        <v>3.4710999999999999</v>
      </c>
      <c r="W7">
        <v>19.080400000000001</v>
      </c>
      <c r="X7">
        <v>13.1381</v>
      </c>
      <c r="Y7">
        <v>6.0343</v>
      </c>
      <c r="Z7">
        <v>2.7408999999999999</v>
      </c>
      <c r="AA7" s="104">
        <v>23.116266695615074</v>
      </c>
      <c r="AB7" s="104">
        <v>17.663332369418377</v>
      </c>
      <c r="AC7" s="104">
        <v>9.3319555200531177</v>
      </c>
      <c r="AD7" s="104">
        <v>6.3403915827527291</v>
      </c>
    </row>
    <row r="8" spans="1:77" ht="14.7" customHeight="1">
      <c r="A8" s="131" t="s">
        <v>6</v>
      </c>
      <c r="B8" s="131"/>
      <c r="C8">
        <v>13.342203831411675</v>
      </c>
      <c r="D8">
        <v>8.8323652690921293</v>
      </c>
      <c r="E8">
        <v>3.431901354322108</v>
      </c>
      <c r="F8">
        <v>1.8040695160765536</v>
      </c>
      <c r="G8">
        <v>14.225473391114008</v>
      </c>
      <c r="H8">
        <v>9.8617816602347759</v>
      </c>
      <c r="I8" s="147">
        <v>4.4840225412152233</v>
      </c>
      <c r="J8" s="112">
        <v>2.0930551743068899</v>
      </c>
      <c r="K8" s="112">
        <v>13.976978160040524</v>
      </c>
      <c r="L8" s="126">
        <v>7.7125476705757032</v>
      </c>
      <c r="M8" s="112">
        <v>2.1741160946197584</v>
      </c>
      <c r="N8" s="126">
        <v>1.4716023474094433</v>
      </c>
      <c r="O8" s="147">
        <v>16.197177529562705</v>
      </c>
      <c r="P8" s="147">
        <v>10.957879815351232</v>
      </c>
      <c r="Q8" s="147">
        <v>5.0905691666375663</v>
      </c>
      <c r="R8" s="112">
        <v>3.4718310842216487</v>
      </c>
      <c r="S8" s="112">
        <v>16.478300000000001</v>
      </c>
      <c r="T8" s="112">
        <v>10.6031</v>
      </c>
      <c r="U8" s="146">
        <v>4.0739999999999998</v>
      </c>
      <c r="V8" s="113">
        <v>2.1351</v>
      </c>
      <c r="W8">
        <v>12.537100000000001</v>
      </c>
      <c r="X8">
        <v>9.5375999999999994</v>
      </c>
      <c r="Y8">
        <v>3.7884000000000002</v>
      </c>
      <c r="Z8">
        <v>2.4178999999999999</v>
      </c>
      <c r="AA8" s="104">
        <v>14.883829464061252</v>
      </c>
      <c r="AB8" s="104">
        <v>11.53420085227247</v>
      </c>
      <c r="AC8" s="104">
        <v>4.3337611973479877</v>
      </c>
      <c r="AD8" s="104">
        <v>2.8986134238644414</v>
      </c>
    </row>
    <row r="9" spans="1:77" ht="14.7" customHeight="1">
      <c r="A9" s="131" t="s">
        <v>7</v>
      </c>
      <c r="B9" s="131"/>
      <c r="C9">
        <v>9.2051397681810609</v>
      </c>
      <c r="D9">
        <v>5.9351185045091848</v>
      </c>
      <c r="E9">
        <v>2.080209889083902</v>
      </c>
      <c r="F9">
        <v>1.2647972911105827</v>
      </c>
      <c r="G9">
        <v>12.851254380711904</v>
      </c>
      <c r="H9">
        <v>7.9866271960342727</v>
      </c>
      <c r="I9" s="147">
        <v>2.8606601586785296</v>
      </c>
      <c r="J9" s="112">
        <v>0.36005286539498771</v>
      </c>
      <c r="K9" s="112">
        <v>13.487546734327699</v>
      </c>
      <c r="L9" s="126">
        <v>8.0471560140717049</v>
      </c>
      <c r="M9" s="112">
        <v>2.0022530534803753</v>
      </c>
      <c r="N9" s="126">
        <v>0.5776908178188862</v>
      </c>
      <c r="O9" s="147">
        <v>13.744387284885207</v>
      </c>
      <c r="P9" s="147">
        <v>10.159267918045762</v>
      </c>
      <c r="Q9" s="147">
        <v>5.5084828718404646</v>
      </c>
      <c r="R9" s="112">
        <v>1.8498450297843669</v>
      </c>
      <c r="S9" s="112">
        <v>11.4734</v>
      </c>
      <c r="T9" s="112">
        <v>7.4811000000000005</v>
      </c>
      <c r="U9" s="146">
        <v>3.8739000000000003</v>
      </c>
      <c r="V9" s="113">
        <v>1.1125</v>
      </c>
      <c r="W9">
        <v>15.7822</v>
      </c>
      <c r="X9">
        <v>12.4499</v>
      </c>
      <c r="Y9">
        <v>7.0731000000000002</v>
      </c>
      <c r="Z9">
        <v>5.4115000000000002</v>
      </c>
      <c r="AA9" s="104">
        <v>14.7481108972597</v>
      </c>
      <c r="AB9" s="104">
        <v>9.3156003880554348</v>
      </c>
      <c r="AC9" s="104">
        <v>4.0054872572167346</v>
      </c>
      <c r="AD9" s="104">
        <v>1.5993212928483147</v>
      </c>
    </row>
    <row r="10" spans="1:77" ht="14.7" customHeight="1">
      <c r="A10" s="131" t="s">
        <v>8</v>
      </c>
      <c r="B10" s="131"/>
      <c r="C10">
        <v>14.779450700153404</v>
      </c>
      <c r="D10">
        <v>11.523192090138135</v>
      </c>
      <c r="E10">
        <v>3.760747307640365</v>
      </c>
      <c r="F10">
        <v>2.4657042837231837</v>
      </c>
      <c r="G10">
        <v>18.035740771176485</v>
      </c>
      <c r="H10">
        <v>12.607991848082275</v>
      </c>
      <c r="I10" s="147">
        <v>5.5099662409509511</v>
      </c>
      <c r="J10" s="112">
        <v>3.3999755281997381</v>
      </c>
      <c r="K10" s="112">
        <v>19.901172590481281</v>
      </c>
      <c r="L10" s="126">
        <v>13.359574553960108</v>
      </c>
      <c r="M10" s="112">
        <v>6.0538034714521025</v>
      </c>
      <c r="N10" s="126">
        <v>4.1410644992033463</v>
      </c>
      <c r="O10" s="147">
        <v>19.525846455869829</v>
      </c>
      <c r="P10" s="147">
        <v>14.965271264750479</v>
      </c>
      <c r="Q10" s="147">
        <v>3.7555701678178273</v>
      </c>
      <c r="R10" s="112">
        <v>2.1879027715052022</v>
      </c>
      <c r="S10" s="112">
        <v>24.415200000000002</v>
      </c>
      <c r="T10" s="112">
        <v>16.5304</v>
      </c>
      <c r="U10" s="146">
        <v>9.7514000000000003</v>
      </c>
      <c r="V10" s="113">
        <v>6.7836999999999996</v>
      </c>
      <c r="W10">
        <v>22.8096</v>
      </c>
      <c r="X10">
        <v>15.138099999999998</v>
      </c>
      <c r="Y10">
        <v>7.2022000000000004</v>
      </c>
      <c r="Z10">
        <v>4.0434000000000001</v>
      </c>
      <c r="AA10" s="104">
        <v>20.42654230698858</v>
      </c>
      <c r="AB10" s="104">
        <v>15.209827268045251</v>
      </c>
      <c r="AC10" s="104">
        <v>8.5906840195102827</v>
      </c>
      <c r="AD10" s="104">
        <v>4.9776610111861253</v>
      </c>
    </row>
    <row r="11" spans="1:77" ht="14.7" customHeight="1">
      <c r="A11" s="131" t="s">
        <v>9</v>
      </c>
      <c r="B11" s="131"/>
      <c r="C11">
        <v>10.440528077176314</v>
      </c>
      <c r="D11">
        <v>5.1782018842176019</v>
      </c>
      <c r="E11">
        <v>3.1004119904178955</v>
      </c>
      <c r="F11">
        <v>2.2545359666908138</v>
      </c>
      <c r="G11">
        <v>14.554954587202776</v>
      </c>
      <c r="H11">
        <v>9.04602510460251</v>
      </c>
      <c r="I11" s="147">
        <v>6.0336769058067157</v>
      </c>
      <c r="J11" s="112">
        <v>3.3115624043269722</v>
      </c>
      <c r="K11" s="112">
        <v>12.530140599810361</v>
      </c>
      <c r="L11" s="126">
        <v>6.8567564116886652</v>
      </c>
      <c r="M11" s="112">
        <v>3.3273352591008472</v>
      </c>
      <c r="N11" s="126">
        <v>2.2817951132319378</v>
      </c>
      <c r="O11" s="147">
        <v>11.521190387560209</v>
      </c>
      <c r="P11" s="147">
        <v>8.9108817206249018</v>
      </c>
      <c r="Q11" s="147">
        <v>4.3973226649199644</v>
      </c>
      <c r="R11" s="112">
        <v>3.5913444125973344</v>
      </c>
      <c r="S11" s="112">
        <v>13.972999999999999</v>
      </c>
      <c r="T11" s="112">
        <v>10.2019</v>
      </c>
      <c r="U11" s="146">
        <v>1.9730000000000001</v>
      </c>
      <c r="V11" s="113">
        <v>1.7905</v>
      </c>
      <c r="W11">
        <v>12.3062</v>
      </c>
      <c r="X11">
        <v>6.2654000000000005</v>
      </c>
      <c r="Y11">
        <v>3.4276</v>
      </c>
      <c r="Z11">
        <v>1.9314999999999998</v>
      </c>
      <c r="AA11" s="104">
        <v>14.192870702068689</v>
      </c>
      <c r="AB11" s="104">
        <v>10.593741900324572</v>
      </c>
      <c r="AC11" s="104">
        <v>3.576760508598626</v>
      </c>
      <c r="AD11" s="104">
        <v>2.1789431530299561</v>
      </c>
    </row>
    <row r="12" spans="1:77" ht="14.7" customHeight="1">
      <c r="A12" s="131" t="s">
        <v>10</v>
      </c>
      <c r="B12" s="131"/>
      <c r="C12">
        <v>16.315057880030672</v>
      </c>
      <c r="D12">
        <v>9.9441130324557907</v>
      </c>
      <c r="E12">
        <v>4.1028057730431824</v>
      </c>
      <c r="F12">
        <v>1.7844432726535939</v>
      </c>
      <c r="G12">
        <v>17.204103581348175</v>
      </c>
      <c r="H12">
        <v>9.9478258737071439</v>
      </c>
      <c r="I12" s="147">
        <v>5.1285142942391833</v>
      </c>
      <c r="J12" s="112">
        <v>3.1357610412753951</v>
      </c>
      <c r="K12" s="112">
        <v>12.489225434483737</v>
      </c>
      <c r="L12" s="126">
        <v>6.9671250007396708</v>
      </c>
      <c r="M12" s="112">
        <v>1.6499632136115556</v>
      </c>
      <c r="N12" s="126">
        <v>0.71422794937088385</v>
      </c>
      <c r="O12" s="147">
        <v>22.571129530722025</v>
      </c>
      <c r="P12" s="147">
        <v>15.27497589743844</v>
      </c>
      <c r="Q12" s="147">
        <v>6.6868559321131809</v>
      </c>
      <c r="R12" s="112">
        <v>4.74949307505634</v>
      </c>
      <c r="S12" s="112">
        <v>19.042300000000001</v>
      </c>
      <c r="T12" s="112">
        <v>14.457700000000001</v>
      </c>
      <c r="U12" s="146">
        <v>8.2601999999999993</v>
      </c>
      <c r="V12" s="113">
        <v>5.0466999999999995</v>
      </c>
      <c r="W12">
        <v>15.632999999999999</v>
      </c>
      <c r="X12">
        <v>10.3757</v>
      </c>
      <c r="Y12">
        <v>4.6044999999999998</v>
      </c>
      <c r="Z12">
        <v>2.4481999999999999</v>
      </c>
      <c r="AA12" s="104">
        <v>17.022345995580352</v>
      </c>
      <c r="AB12" s="104">
        <v>10.838436310864981</v>
      </c>
      <c r="AC12" s="104">
        <v>3.4427198049088585</v>
      </c>
      <c r="AD12" s="104">
        <v>2.2626226515852776</v>
      </c>
    </row>
    <row r="13" spans="1:77" ht="14.7" customHeight="1">
      <c r="A13" s="131" t="s">
        <v>11</v>
      </c>
      <c r="B13" s="131"/>
      <c r="C13">
        <v>14.202565703727998</v>
      </c>
      <c r="D13">
        <v>6.7926415518691678</v>
      </c>
      <c r="E13">
        <v>3.1721894313229448</v>
      </c>
      <c r="F13">
        <v>2.2135133413805561</v>
      </c>
      <c r="G13">
        <v>15.447262444502108</v>
      </c>
      <c r="H13">
        <v>9.6150034836228873</v>
      </c>
      <c r="I13" s="147">
        <v>3.9016576324032104</v>
      </c>
      <c r="J13" s="112">
        <v>1.8464222886482928</v>
      </c>
      <c r="K13" s="112">
        <v>12.11731789676797</v>
      </c>
      <c r="L13" s="126">
        <v>6.8984801631686281</v>
      </c>
      <c r="M13" s="112">
        <v>3.816427551348192</v>
      </c>
      <c r="N13" s="126">
        <v>2.1203020322544437</v>
      </c>
      <c r="O13" s="147">
        <v>18.538226137820029</v>
      </c>
      <c r="P13" s="147">
        <v>12.642540304710792</v>
      </c>
      <c r="Q13" s="147">
        <v>4.8293795208026129</v>
      </c>
      <c r="R13" s="112">
        <v>3.2927566780618269</v>
      </c>
      <c r="S13" s="112">
        <v>21.915699999999998</v>
      </c>
      <c r="T13" s="112">
        <v>15.4206</v>
      </c>
      <c r="U13" s="146">
        <v>6.3671000000000006</v>
      </c>
      <c r="V13" s="113">
        <v>3.2078000000000002</v>
      </c>
      <c r="W13">
        <v>15.0723</v>
      </c>
      <c r="X13">
        <v>9.0675000000000008</v>
      </c>
      <c r="Y13">
        <v>4.9367999999999999</v>
      </c>
      <c r="Z13">
        <v>2.6686000000000001</v>
      </c>
      <c r="AA13" s="104">
        <v>16.622485099938665</v>
      </c>
      <c r="AB13" s="104">
        <v>9.7311068348841587</v>
      </c>
      <c r="AC13" s="104">
        <v>4.7756167111697296</v>
      </c>
      <c r="AD13" s="104">
        <v>1.827453009918887</v>
      </c>
    </row>
    <row r="14" spans="1:77" ht="14.7" customHeight="1">
      <c r="A14" s="131" t="s">
        <v>12</v>
      </c>
      <c r="B14" s="131"/>
      <c r="C14">
        <v>15.964478617123005</v>
      </c>
      <c r="D14">
        <v>8.8669495033336521</v>
      </c>
      <c r="E14">
        <v>2.9263480121436034</v>
      </c>
      <c r="F14">
        <v>1.3189490022295178</v>
      </c>
      <c r="G14">
        <v>18.488349340256555</v>
      </c>
      <c r="H14">
        <v>11.633513070807686</v>
      </c>
      <c r="I14" s="147">
        <v>4.5531476247823885</v>
      </c>
      <c r="J14" s="112">
        <v>2.3765288275912151</v>
      </c>
      <c r="K14" s="112">
        <v>16.557785722301492</v>
      </c>
      <c r="L14" s="126">
        <v>9.6568045914359484</v>
      </c>
      <c r="M14" s="112">
        <v>2.9313689340622342</v>
      </c>
      <c r="N14" s="126">
        <v>1.7137727046828157</v>
      </c>
      <c r="O14" s="147">
        <v>19.314357666545458</v>
      </c>
      <c r="P14" s="147">
        <v>12.454930538708298</v>
      </c>
      <c r="Q14" s="147">
        <v>4.5464129761094618</v>
      </c>
      <c r="R14" s="112">
        <v>2.2651723953029541</v>
      </c>
      <c r="S14" s="112">
        <v>21.271000000000001</v>
      </c>
      <c r="T14" s="112">
        <v>12.575900000000001</v>
      </c>
      <c r="U14" s="147">
        <v>7.7243000000000004</v>
      </c>
      <c r="V14" s="149">
        <v>2.9674999999999998</v>
      </c>
      <c r="W14">
        <v>17.1189</v>
      </c>
      <c r="X14">
        <v>9.3808000000000007</v>
      </c>
      <c r="Y14">
        <v>2.6534</v>
      </c>
      <c r="Z14">
        <v>1.4845999999999999</v>
      </c>
      <c r="AA14" s="104">
        <v>17.86524032826561</v>
      </c>
      <c r="AB14" s="104">
        <v>11.143818589595369</v>
      </c>
      <c r="AC14" s="104">
        <v>3.3098325204171601</v>
      </c>
      <c r="AD14" s="104">
        <v>1.7803633533361254</v>
      </c>
    </row>
    <row r="15" spans="1:77" ht="14.7" customHeight="1">
      <c r="A15" s="131" t="s">
        <v>338</v>
      </c>
      <c r="B15" s="131"/>
      <c r="C15">
        <v>9.2525598803695512</v>
      </c>
      <c r="D15">
        <v>6.8219363334604237</v>
      </c>
      <c r="E15">
        <v>3.0777998430490126</v>
      </c>
      <c r="F15">
        <v>1.6346990544279343</v>
      </c>
      <c r="G15">
        <v>6.5117188932767665</v>
      </c>
      <c r="H15">
        <v>4.7433810089516593</v>
      </c>
      <c r="I15" s="147">
        <v>2.0493248048383381</v>
      </c>
      <c r="J15" s="112">
        <v>1.9566090062700332</v>
      </c>
      <c r="K15" s="112">
        <v>8.7804520773824724</v>
      </c>
      <c r="L15" s="126">
        <v>5.3283646618778082</v>
      </c>
      <c r="M15" s="112">
        <v>3.4738391118268397</v>
      </c>
      <c r="N15" s="126">
        <v>2.2521647039224475</v>
      </c>
      <c r="O15" s="147">
        <v>9.9116813020906402</v>
      </c>
      <c r="P15" s="147">
        <v>7.0650474943520267</v>
      </c>
      <c r="Q15" s="147">
        <v>2.9300924808159143</v>
      </c>
      <c r="R15" s="112">
        <v>1.5045855224407709</v>
      </c>
      <c r="S15" s="112">
        <v>9.6269999999999989</v>
      </c>
      <c r="T15" s="112">
        <v>6.8425000000000002</v>
      </c>
      <c r="U15" s="146">
        <v>2.9722</v>
      </c>
      <c r="V15" s="113">
        <v>1.5245</v>
      </c>
      <c r="W15">
        <v>10.757</v>
      </c>
      <c r="X15">
        <v>6.7043000000000008</v>
      </c>
      <c r="Y15">
        <v>1.8509000000000002</v>
      </c>
      <c r="Z15">
        <v>1.4121999999999999</v>
      </c>
      <c r="AA15" s="104">
        <v>4.8311902623852436</v>
      </c>
      <c r="AB15" s="104">
        <v>3.4591035044146978</v>
      </c>
      <c r="AC15" s="104">
        <v>1.2023573115900557</v>
      </c>
      <c r="AD15" s="104">
        <v>0.47336723157268651</v>
      </c>
    </row>
    <row r="16" spans="1:77" ht="14.7" customHeight="1">
      <c r="A16" s="131" t="s">
        <v>196</v>
      </c>
      <c r="B16" s="131"/>
      <c r="C16">
        <v>10.0453243823072</v>
      </c>
      <c r="D16">
        <v>6.1467539998718097</v>
      </c>
      <c r="E16">
        <v>2.32452623631983</v>
      </c>
      <c r="F16">
        <v>0.77714571699358415</v>
      </c>
      <c r="G16">
        <v>12.089733874293747</v>
      </c>
      <c r="H16">
        <v>6.8003097271908199</v>
      </c>
      <c r="I16" s="147">
        <v>1.044409894108441</v>
      </c>
      <c r="J16" s="112">
        <v>0.65643368344491826</v>
      </c>
      <c r="K16" s="112">
        <v>7.3645688641948936</v>
      </c>
      <c r="L16" s="126">
        <v>5.336546080454875</v>
      </c>
      <c r="M16" s="112">
        <v>2.7578200925255891</v>
      </c>
      <c r="N16" s="126">
        <v>1.6784821679169522</v>
      </c>
      <c r="O16" s="147">
        <v>10.708919301494348</v>
      </c>
      <c r="P16" s="147">
        <v>7.5632393690604944</v>
      </c>
      <c r="Q16" s="147">
        <v>2.5161509913677471</v>
      </c>
      <c r="R16" s="112">
        <v>1.5954441634022942</v>
      </c>
      <c r="S16" s="112">
        <v>11.729100000000001</v>
      </c>
      <c r="T16" s="112">
        <v>8.0103999999999989</v>
      </c>
      <c r="U16" s="146">
        <v>2.3602000000000003</v>
      </c>
      <c r="V16" s="113">
        <v>0.89789999999999992</v>
      </c>
      <c r="W16">
        <v>7.1956999999999995</v>
      </c>
      <c r="X16">
        <v>4.8353000000000002</v>
      </c>
      <c r="Y16">
        <v>2.3733</v>
      </c>
      <c r="Z16">
        <v>2.2031999999999998</v>
      </c>
      <c r="AA16" s="104">
        <v>12.665502192503645</v>
      </c>
      <c r="AB16" s="104">
        <v>9.5421970038242456</v>
      </c>
      <c r="AC16" s="104">
        <v>6.3665674801077401</v>
      </c>
      <c r="AD16" s="104">
        <v>2.7047493521211985</v>
      </c>
    </row>
    <row r="17" spans="1:30" ht="14.7" customHeight="1">
      <c r="A17" s="131" t="s">
        <v>222</v>
      </c>
      <c r="B17" s="131"/>
      <c r="C17">
        <v>8.8533420084538736</v>
      </c>
      <c r="D17">
        <v>4.8533840744218262</v>
      </c>
      <c r="E17">
        <v>1.8736247909556687</v>
      </c>
      <c r="F17">
        <v>0.25159838757745784</v>
      </c>
      <c r="G17">
        <v>7.4907036833763989</v>
      </c>
      <c r="H17">
        <v>4.3316038613390662</v>
      </c>
      <c r="I17" s="146">
        <v>1.1445521632180582</v>
      </c>
      <c r="J17" s="144">
        <v>0.41941418442648359</v>
      </c>
      <c r="K17" s="144">
        <v>7.2984591987675183</v>
      </c>
      <c r="L17" s="126">
        <v>3.9798256227264703</v>
      </c>
      <c r="M17" s="144">
        <v>2.0158535595260956</v>
      </c>
      <c r="N17" s="126">
        <v>0.96951070996461353</v>
      </c>
      <c r="O17" s="146">
        <v>6.2813440834425514</v>
      </c>
      <c r="P17" s="146">
        <v>3.9996880355587292</v>
      </c>
      <c r="Q17" s="146">
        <v>2.5501616901462429</v>
      </c>
      <c r="R17" s="144">
        <v>1.9554322988456991</v>
      </c>
      <c r="S17" s="144">
        <v>13.789899999999999</v>
      </c>
      <c r="T17" s="144">
        <v>8.5769000000000002</v>
      </c>
      <c r="U17" s="146">
        <v>3.2968999999999999</v>
      </c>
      <c r="V17" s="113">
        <v>1.4617</v>
      </c>
      <c r="W17">
        <v>10.9369</v>
      </c>
      <c r="X17">
        <v>8.0688999999999993</v>
      </c>
      <c r="Y17">
        <v>2.7725</v>
      </c>
      <c r="Z17">
        <v>0.68289999999999995</v>
      </c>
      <c r="AA17" s="104">
        <v>9.6213347116322421</v>
      </c>
      <c r="AB17" s="104">
        <v>5.6845043228895689</v>
      </c>
      <c r="AC17" s="104">
        <v>2.7323340781788219</v>
      </c>
      <c r="AD17" s="104">
        <v>1.6966101116510517</v>
      </c>
    </row>
    <row r="18" spans="1:30" ht="14.7" customHeight="1">
      <c r="A18" s="131" t="s">
        <v>13</v>
      </c>
      <c r="B18" s="131"/>
      <c r="C18">
        <v>12.4973753808888</v>
      </c>
      <c r="D18">
        <v>8.7592671642698487</v>
      </c>
      <c r="E18">
        <v>5.5327204739084186</v>
      </c>
      <c r="F18">
        <v>3.2721210536732568</v>
      </c>
      <c r="G18">
        <v>9.3096979626670109</v>
      </c>
      <c r="H18">
        <v>7.5123031248427523</v>
      </c>
      <c r="I18" s="147">
        <v>4.2336838927187639</v>
      </c>
      <c r="J18" s="112">
        <v>1.3620490112212551</v>
      </c>
      <c r="K18" s="112">
        <v>19.069069677043178</v>
      </c>
      <c r="L18" s="126">
        <v>12.821074272089728</v>
      </c>
      <c r="M18" s="112">
        <v>5.5659969952983115</v>
      </c>
      <c r="N18" s="126">
        <v>2.0159074827614871</v>
      </c>
      <c r="O18" s="147">
        <v>14.73902614040243</v>
      </c>
      <c r="P18" s="147">
        <v>9.9313422753575331</v>
      </c>
      <c r="Q18" s="147">
        <v>5.2873976815083852</v>
      </c>
      <c r="R18" s="112">
        <v>2.9375303190903406</v>
      </c>
      <c r="S18" s="112">
        <v>15.1647</v>
      </c>
      <c r="T18" s="112">
        <v>10.628500000000001</v>
      </c>
      <c r="U18" s="146">
        <v>5.9866999999999999</v>
      </c>
      <c r="V18" s="113">
        <v>2.5117000000000003</v>
      </c>
      <c r="W18">
        <v>14.883099999999999</v>
      </c>
      <c r="X18">
        <v>9.3416999999999994</v>
      </c>
      <c r="Y18">
        <v>4.2511000000000001</v>
      </c>
      <c r="Z18">
        <v>3.2437</v>
      </c>
      <c r="AA18" s="104">
        <v>15.720029078166339</v>
      </c>
      <c r="AB18" s="104">
        <v>11.360068452202269</v>
      </c>
      <c r="AC18" s="104">
        <v>5.6277434175984045</v>
      </c>
      <c r="AD18" s="104">
        <v>3.5770702292800105</v>
      </c>
    </row>
    <row r="19" spans="1:30" ht="14.7" customHeight="1">
      <c r="A19" s="131" t="s">
        <v>14</v>
      </c>
      <c r="B19" s="131"/>
      <c r="C19">
        <v>11.633738162065752</v>
      </c>
      <c r="D19">
        <v>6.7301950080655262</v>
      </c>
      <c r="E19">
        <v>4.3608828997001483</v>
      </c>
      <c r="F19">
        <v>2.4514452912643456</v>
      </c>
      <c r="G19">
        <v>11.338155995352929</v>
      </c>
      <c r="H19">
        <v>7.1962055813725572</v>
      </c>
      <c r="I19" s="147">
        <v>4.1919505402513826</v>
      </c>
      <c r="J19" s="112">
        <v>2.8799114690100702</v>
      </c>
      <c r="K19" s="112">
        <v>8.3514991244684289</v>
      </c>
      <c r="L19" s="126">
        <v>5.304003414764888</v>
      </c>
      <c r="M19" s="112">
        <v>1.5985864461628565</v>
      </c>
      <c r="N19" s="126">
        <v>8.4972056502446922E-2</v>
      </c>
      <c r="O19" s="147">
        <v>13.255832335633833</v>
      </c>
      <c r="P19" s="147">
        <v>6.7410487546755116</v>
      </c>
      <c r="Q19" s="147">
        <v>3.5209624806300375</v>
      </c>
      <c r="R19" s="112">
        <v>2.3949019778130158</v>
      </c>
      <c r="S19" s="112">
        <v>12.667300000000001</v>
      </c>
      <c r="T19" s="112">
        <v>8.7970000000000006</v>
      </c>
      <c r="U19" s="146">
        <v>4.7778</v>
      </c>
      <c r="V19" s="113">
        <v>3.266</v>
      </c>
      <c r="W19">
        <v>10.5404</v>
      </c>
      <c r="X19">
        <v>7.9272999999999998</v>
      </c>
      <c r="Y19">
        <v>1.8200999999999998</v>
      </c>
      <c r="Z19">
        <v>0.88470000000000004</v>
      </c>
      <c r="AA19" s="104">
        <v>9.6576687728514727</v>
      </c>
      <c r="AB19" s="104">
        <v>7.0433025322746703</v>
      </c>
      <c r="AC19" s="104">
        <v>2.7901201047024258</v>
      </c>
      <c r="AD19" s="104">
        <v>0.94031861529778626</v>
      </c>
    </row>
    <row r="20" spans="1:30" ht="14.7" customHeight="1">
      <c r="A20" s="131" t="s">
        <v>343</v>
      </c>
      <c r="B20" s="131"/>
      <c r="C20">
        <v>19.358933595416069</v>
      </c>
      <c r="D20">
        <v>11.662373150143615</v>
      </c>
      <c r="E20">
        <v>5.0710790499056735</v>
      </c>
      <c r="F20">
        <v>1.2108773128844108</v>
      </c>
      <c r="G20">
        <v>14.482644486260856</v>
      </c>
      <c r="H20">
        <v>9.9400950470127203</v>
      </c>
      <c r="I20" s="147">
        <v>3.0806510270879897</v>
      </c>
      <c r="J20" s="112">
        <v>1.7998046755284589</v>
      </c>
      <c r="K20" s="112">
        <v>17.297653310365924</v>
      </c>
      <c r="L20" s="126">
        <v>13.087330058399308</v>
      </c>
      <c r="M20" s="112">
        <v>3.1395718163412836</v>
      </c>
      <c r="N20" s="126">
        <v>1.4388405096737862</v>
      </c>
      <c r="O20" s="147">
        <v>14.840408408564535</v>
      </c>
      <c r="P20" s="147">
        <v>8.9768650702897972</v>
      </c>
      <c r="Q20" s="147">
        <v>4.36975722073434</v>
      </c>
      <c r="R20" s="112">
        <v>2.5620044322085525</v>
      </c>
      <c r="S20" s="112">
        <v>16.001300000000001</v>
      </c>
      <c r="T20" s="112">
        <v>12.847800000000001</v>
      </c>
      <c r="U20" s="146">
        <v>4.7504</v>
      </c>
      <c r="V20" s="113">
        <v>3.2888000000000002</v>
      </c>
      <c r="W20">
        <v>17.997199999999999</v>
      </c>
      <c r="X20">
        <v>12.556800000000001</v>
      </c>
      <c r="Y20">
        <v>5.8852000000000002</v>
      </c>
      <c r="Z20">
        <v>3.5219</v>
      </c>
      <c r="AA20" s="104">
        <v>15.602465242270247</v>
      </c>
      <c r="AB20" s="104">
        <v>12.388658453731489</v>
      </c>
      <c r="AC20" s="104">
        <v>7.2919275347382264</v>
      </c>
      <c r="AD20" s="104">
        <v>4.0654644007176177</v>
      </c>
    </row>
    <row r="21" spans="1:30" ht="14.7" customHeight="1">
      <c r="A21" s="131" t="s">
        <v>15</v>
      </c>
      <c r="B21" s="131"/>
      <c r="C21">
        <v>14.55966044920296</v>
      </c>
      <c r="D21">
        <v>9.4858618082529933</v>
      </c>
      <c r="E21">
        <v>2.7735302267856996</v>
      </c>
      <c r="F21">
        <v>1.8371725065229376</v>
      </c>
      <c r="G21">
        <v>18.948036911415461</v>
      </c>
      <c r="H21">
        <v>10.63153316330177</v>
      </c>
      <c r="I21" s="147">
        <v>3.2994835750735634</v>
      </c>
      <c r="J21" s="112">
        <v>1.014675942848158</v>
      </c>
      <c r="K21" s="112">
        <v>13.835523016748569</v>
      </c>
      <c r="L21" s="126">
        <v>8.2859803144552853</v>
      </c>
      <c r="M21" s="112">
        <v>1.6372701027063039</v>
      </c>
      <c r="N21" s="126">
        <v>0.62650641685190211</v>
      </c>
      <c r="O21" s="147">
        <v>15.800064606300076</v>
      </c>
      <c r="P21" s="147">
        <v>9.9872801014937611</v>
      </c>
      <c r="Q21" s="147">
        <v>2.8073724174154742</v>
      </c>
      <c r="R21" s="112">
        <v>1.1903726267147048</v>
      </c>
      <c r="S21" s="112">
        <v>12.906899999999998</v>
      </c>
      <c r="T21" s="112">
        <v>8.966899999999999</v>
      </c>
      <c r="U21" s="146">
        <v>4.6210000000000004</v>
      </c>
      <c r="V21" s="113">
        <v>2.2488999999999999</v>
      </c>
      <c r="W21">
        <v>16.816300000000002</v>
      </c>
      <c r="X21">
        <v>10.442</v>
      </c>
      <c r="Y21">
        <v>3.4285999999999999</v>
      </c>
      <c r="Z21">
        <v>2.7972000000000001</v>
      </c>
      <c r="AA21" s="104">
        <v>14.90442135104581</v>
      </c>
      <c r="AB21" s="104">
        <v>10.54343893637534</v>
      </c>
      <c r="AC21" s="104">
        <v>4.3098794170700643</v>
      </c>
      <c r="AD21" s="104">
        <v>2.1567424465649609</v>
      </c>
    </row>
    <row r="22" spans="1:30" ht="14.7" customHeight="1">
      <c r="A22" s="131" t="s">
        <v>258</v>
      </c>
      <c r="B22" s="131"/>
      <c r="C22">
        <v>16.787632899527917</v>
      </c>
      <c r="D22">
        <v>10.761959340255501</v>
      </c>
      <c r="E22">
        <v>3.752084950065151</v>
      </c>
      <c r="F22">
        <v>2.5619880712930367</v>
      </c>
      <c r="G22">
        <v>21.190109707546622</v>
      </c>
      <c r="H22">
        <v>13.911501378099722</v>
      </c>
      <c r="I22" s="147">
        <v>6.5147988094499416</v>
      </c>
      <c r="J22" s="112">
        <v>2.2874253654416221</v>
      </c>
      <c r="K22" s="112">
        <v>17.107147403258658</v>
      </c>
      <c r="L22" s="126">
        <v>8.2349314319241813</v>
      </c>
      <c r="M22" s="112">
        <v>3.2067384667402568</v>
      </c>
      <c r="N22" s="126">
        <v>1.1398510297642133</v>
      </c>
      <c r="O22" s="147">
        <v>19.204543662841811</v>
      </c>
      <c r="P22" s="147">
        <v>11.064580949049267</v>
      </c>
      <c r="Q22" s="147">
        <v>4.6500093716040265</v>
      </c>
      <c r="R22" s="112">
        <v>2.0437483117674549</v>
      </c>
      <c r="S22" s="112">
        <v>19.595499999999998</v>
      </c>
      <c r="T22" s="112">
        <v>13.5822</v>
      </c>
      <c r="U22" s="146">
        <v>6.7592999999999996</v>
      </c>
      <c r="V22" s="113">
        <v>3.9083999999999999</v>
      </c>
      <c r="W22">
        <v>22.260999999999999</v>
      </c>
      <c r="X22">
        <v>15.348400000000002</v>
      </c>
      <c r="Y22">
        <v>7.9317000000000002</v>
      </c>
      <c r="Z22">
        <v>4.7318999999999996</v>
      </c>
      <c r="AA22" s="104">
        <v>18.598214660190965</v>
      </c>
      <c r="AB22" s="104">
        <v>12.092138590580348</v>
      </c>
      <c r="AC22" s="104">
        <v>6.7462685239238125</v>
      </c>
      <c r="AD22" s="104">
        <v>4.0728741591669868</v>
      </c>
    </row>
    <row r="23" spans="1:30" ht="14.7" customHeight="1">
      <c r="A23" s="131" t="s">
        <v>259</v>
      </c>
      <c r="B23" s="131"/>
      <c r="C23">
        <v>17.265569808010682</v>
      </c>
      <c r="D23">
        <v>9.6573529248730772</v>
      </c>
      <c r="E23">
        <v>4.0045081050278091</v>
      </c>
      <c r="F23">
        <v>2.872635126882455</v>
      </c>
      <c r="G23">
        <v>20.134319301457353</v>
      </c>
      <c r="H23">
        <v>12.076806779730747</v>
      </c>
      <c r="I23" s="147">
        <v>6.290586335633698</v>
      </c>
      <c r="J23" s="112">
        <v>4.3667143195071532</v>
      </c>
      <c r="K23" s="112">
        <v>15.113615052520254</v>
      </c>
      <c r="L23" s="126">
        <v>10.739043431477659</v>
      </c>
      <c r="M23" s="112">
        <v>4.5610599122932634</v>
      </c>
      <c r="N23" s="126">
        <v>2.4506407700852679</v>
      </c>
      <c r="O23" s="147">
        <v>22.177144703717897</v>
      </c>
      <c r="P23" s="147">
        <v>15.652168885229775</v>
      </c>
      <c r="Q23" s="147">
        <v>6.825685097884131</v>
      </c>
      <c r="R23" s="112">
        <v>4.6145015237133897</v>
      </c>
      <c r="S23" s="112">
        <v>24.175799999999999</v>
      </c>
      <c r="T23" s="112">
        <v>16.884599999999999</v>
      </c>
      <c r="U23" s="146">
        <v>5.6308999999999996</v>
      </c>
      <c r="V23" s="113">
        <v>4.1591999999999993</v>
      </c>
      <c r="W23">
        <v>19.814599999999999</v>
      </c>
      <c r="X23">
        <v>11.6675</v>
      </c>
      <c r="Y23">
        <v>7.0797999999999996</v>
      </c>
      <c r="Z23">
        <v>5.1494999999999997</v>
      </c>
      <c r="AA23" s="104">
        <v>18.454936991064681</v>
      </c>
      <c r="AB23" s="104">
        <v>13.237598782684859</v>
      </c>
      <c r="AC23" s="104">
        <v>5.7969791452742756</v>
      </c>
      <c r="AD23" s="104">
        <v>2.6129455990199664</v>
      </c>
    </row>
    <row r="24" spans="1:30" ht="14.7" customHeight="1">
      <c r="A24" s="131" t="s">
        <v>197</v>
      </c>
      <c r="B24" s="131"/>
      <c r="C24">
        <v>7.6977086133941874</v>
      </c>
      <c r="D24">
        <v>3.2070892172634951</v>
      </c>
      <c r="E24">
        <v>0.90300468277771562</v>
      </c>
      <c r="F24">
        <v>0.32231031858926151</v>
      </c>
      <c r="G24">
        <v>9.2025949479631812</v>
      </c>
      <c r="H24">
        <v>5.0418573055483398</v>
      </c>
      <c r="I24" s="147">
        <v>2.3953567361291483</v>
      </c>
      <c r="J24" s="112">
        <v>0.9568240394797306</v>
      </c>
      <c r="K24" s="112">
        <v>10.55701457300963</v>
      </c>
      <c r="L24" s="126">
        <v>8.1607269471941297</v>
      </c>
      <c r="M24" s="112">
        <v>3.2190150245788329</v>
      </c>
      <c r="N24" s="126">
        <v>2.0867250537723852</v>
      </c>
      <c r="O24" s="147">
        <v>10.348926735436073</v>
      </c>
      <c r="P24" s="147">
        <v>7.2676921959759122</v>
      </c>
      <c r="Q24" s="147">
        <v>1.1514880563589469</v>
      </c>
      <c r="R24" s="112">
        <v>0.85399749133500857</v>
      </c>
      <c r="S24" s="112">
        <v>13.5053</v>
      </c>
      <c r="T24" s="112">
        <v>8.8917999999999999</v>
      </c>
      <c r="U24" s="146">
        <v>3.4909999999999997</v>
      </c>
      <c r="V24" s="113">
        <v>1.6402000000000001</v>
      </c>
      <c r="W24">
        <v>14.8782</v>
      </c>
      <c r="X24">
        <v>8.0001999999999995</v>
      </c>
      <c r="Y24">
        <v>2.1417999999999999</v>
      </c>
      <c r="Z24">
        <v>1.8873000000000002</v>
      </c>
      <c r="AA24" s="104">
        <v>12.596981531874436</v>
      </c>
      <c r="AB24" s="104">
        <v>9.2255445652405772</v>
      </c>
      <c r="AC24" s="104">
        <v>3.9754055142157059</v>
      </c>
      <c r="AD24" s="104">
        <v>1.1083325063098901</v>
      </c>
    </row>
    <row r="25" spans="1:30" ht="14.7" customHeight="1">
      <c r="A25" s="131" t="s">
        <v>223</v>
      </c>
      <c r="B25" s="131"/>
      <c r="C25">
        <v>10.698469194776381</v>
      </c>
      <c r="D25">
        <v>5.1910809237618372</v>
      </c>
      <c r="E25">
        <v>2.1101660678479006</v>
      </c>
      <c r="F25">
        <v>1.5096601890308847</v>
      </c>
      <c r="G25">
        <v>9.1759063413582673</v>
      </c>
      <c r="H25">
        <v>6.4362995759541022</v>
      </c>
      <c r="I25" s="147">
        <v>3.8160233225243192</v>
      </c>
      <c r="J25" s="112">
        <v>0.41274320279371418</v>
      </c>
      <c r="K25" s="112">
        <v>10.761421851226288</v>
      </c>
      <c r="L25" s="126">
        <v>6.6133670207568507</v>
      </c>
      <c r="M25" s="112">
        <v>3.3251790225994218</v>
      </c>
      <c r="N25" s="126">
        <v>2.134486801881657</v>
      </c>
      <c r="O25" s="147">
        <v>12.694912649542356</v>
      </c>
      <c r="P25" s="147">
        <v>8.9906972259523634</v>
      </c>
      <c r="Q25" s="147">
        <v>4.3313599784045245</v>
      </c>
      <c r="R25" s="112">
        <v>2.7784236269831308</v>
      </c>
      <c r="S25" s="112">
        <v>13.640499999999999</v>
      </c>
      <c r="T25" s="112">
        <v>9.8974999999999991</v>
      </c>
      <c r="U25" s="146">
        <v>4.6288</v>
      </c>
      <c r="V25" s="113">
        <v>3.0065</v>
      </c>
      <c r="W25">
        <v>13.6328</v>
      </c>
      <c r="X25">
        <v>9.9116999999999997</v>
      </c>
      <c r="Y25">
        <v>4.8121999999999998</v>
      </c>
      <c r="Z25">
        <v>3.0562</v>
      </c>
      <c r="AA25" s="104">
        <v>8.915823999998544</v>
      </c>
      <c r="AB25" s="104">
        <v>6.688221816871244</v>
      </c>
      <c r="AC25" s="104">
        <v>2.3790406941937787</v>
      </c>
      <c r="AD25" s="104">
        <v>1.4649338559952434</v>
      </c>
    </row>
    <row r="26" spans="1:30" ht="14.7" customHeight="1">
      <c r="A26" s="131" t="s">
        <v>16</v>
      </c>
      <c r="B26" s="131"/>
      <c r="C26">
        <v>13.080458523460306</v>
      </c>
      <c r="D26">
        <v>9.625606294982866</v>
      </c>
      <c r="E26">
        <v>4.2245527689784765</v>
      </c>
      <c r="F26">
        <v>1.8591635669789026</v>
      </c>
      <c r="G26">
        <v>12.804087964230312</v>
      </c>
      <c r="H26">
        <v>6.8117923399283589</v>
      </c>
      <c r="I26" s="147">
        <v>2.8054880547182748</v>
      </c>
      <c r="J26" s="112">
        <v>0.46227368062345076</v>
      </c>
      <c r="K26" s="112">
        <v>16.349426674713335</v>
      </c>
      <c r="L26" s="126">
        <v>11.808654564545767</v>
      </c>
      <c r="M26" s="112">
        <v>3.4319407144155241</v>
      </c>
      <c r="N26" s="126">
        <v>2.0990246955959861</v>
      </c>
      <c r="O26" s="147">
        <v>18.33476549915143</v>
      </c>
      <c r="P26" s="147">
        <v>11.544228221729254</v>
      </c>
      <c r="Q26" s="147">
        <v>5.5368286929414987</v>
      </c>
      <c r="R26" s="112">
        <v>2.5077170262104533</v>
      </c>
      <c r="S26" s="112">
        <v>18.078099999999999</v>
      </c>
      <c r="T26" s="112">
        <v>12.5617</v>
      </c>
      <c r="U26" s="146">
        <v>3.7234999999999996</v>
      </c>
      <c r="V26" s="113">
        <v>3.0394000000000001</v>
      </c>
      <c r="W26">
        <v>16.2362</v>
      </c>
      <c r="X26">
        <v>13.078200000000001</v>
      </c>
      <c r="Y26">
        <v>6.3744999999999994</v>
      </c>
      <c r="Z26">
        <v>5.4492000000000003</v>
      </c>
      <c r="AA26" s="104">
        <v>15.59268834396117</v>
      </c>
      <c r="AB26" s="104">
        <v>12.493181303373303</v>
      </c>
      <c r="AC26" s="104">
        <v>4.6479911579891393</v>
      </c>
      <c r="AD26" s="104">
        <v>3.3042448374931213</v>
      </c>
    </row>
    <row r="27" spans="1:30" ht="14.7" customHeight="1">
      <c r="A27" s="131" t="s">
        <v>260</v>
      </c>
      <c r="B27" s="131"/>
      <c r="C27">
        <v>9.3445263271297616</v>
      </c>
      <c r="D27">
        <v>6.234338777434318</v>
      </c>
      <c r="E27">
        <v>2.6415619906932459</v>
      </c>
      <c r="F27">
        <v>0.99989634424098883</v>
      </c>
      <c r="G27">
        <v>7.9668799030472606</v>
      </c>
      <c r="H27">
        <v>4.2331334500505298</v>
      </c>
      <c r="I27" s="147">
        <v>1.0628585139501452</v>
      </c>
      <c r="J27" s="112">
        <v>0.5376311289237008</v>
      </c>
      <c r="K27" s="112">
        <v>6.5156141091465987</v>
      </c>
      <c r="L27" s="126">
        <v>4.2565481956235978</v>
      </c>
      <c r="M27" s="112">
        <v>1.0947879683352424</v>
      </c>
      <c r="N27" s="126">
        <v>0.89418163027524911</v>
      </c>
      <c r="O27" s="147">
        <v>10.12197736163554</v>
      </c>
      <c r="P27" s="147">
        <v>6.3914217216651652</v>
      </c>
      <c r="Q27" s="147">
        <v>1.8608570609323372</v>
      </c>
      <c r="R27" s="112">
        <v>0.36755296306032065</v>
      </c>
      <c r="S27" s="112">
        <v>8.4256999999999991</v>
      </c>
      <c r="T27" s="112">
        <v>4.9653999999999998</v>
      </c>
      <c r="U27" s="146">
        <v>2.8201000000000001</v>
      </c>
      <c r="V27" s="113">
        <v>0.75960000000000005</v>
      </c>
      <c r="W27">
        <v>7.9236000000000004</v>
      </c>
      <c r="X27">
        <v>5.5335000000000001</v>
      </c>
      <c r="Y27">
        <v>2.2544</v>
      </c>
      <c r="Z27">
        <v>1.4043999999999999</v>
      </c>
      <c r="AA27" s="104">
        <v>9.5744744527282606</v>
      </c>
      <c r="AB27" s="104">
        <v>5.375420298287044</v>
      </c>
      <c r="AC27" s="104">
        <v>2.4825485774184792</v>
      </c>
      <c r="AD27" s="104">
        <v>1.7532640124423817</v>
      </c>
    </row>
    <row r="28" spans="1:30" ht="14.7" customHeight="1">
      <c r="A28" s="131" t="s">
        <v>261</v>
      </c>
      <c r="B28" s="131"/>
      <c r="C28">
        <v>10.660915985546577</v>
      </c>
      <c r="D28">
        <v>5.7922615084494753</v>
      </c>
      <c r="E28">
        <v>3.3894551394199772</v>
      </c>
      <c r="F28">
        <v>1.613038512819118</v>
      </c>
      <c r="G28">
        <v>10.763867678260903</v>
      </c>
      <c r="H28">
        <v>7.9292454174862446</v>
      </c>
      <c r="I28" s="147">
        <v>3.6391328959532157</v>
      </c>
      <c r="J28" s="112">
        <v>3.0099408274384754</v>
      </c>
      <c r="K28" s="112">
        <v>13.736200046366248</v>
      </c>
      <c r="L28" s="126">
        <v>8.4947024130201001</v>
      </c>
      <c r="M28" s="112">
        <v>4.5586891120513799</v>
      </c>
      <c r="N28" s="126">
        <v>3.7437222938521355</v>
      </c>
      <c r="O28" s="147">
        <v>16.817005921931234</v>
      </c>
      <c r="P28" s="147">
        <v>13.204805385281809</v>
      </c>
      <c r="Q28" s="147">
        <v>7.5288615834099835</v>
      </c>
      <c r="R28" s="112">
        <v>4.7487893567226385</v>
      </c>
      <c r="S28" s="112">
        <v>12.656600000000001</v>
      </c>
      <c r="T28" s="112">
        <v>7.5273999999999992</v>
      </c>
      <c r="U28" s="146">
        <v>4.2744</v>
      </c>
      <c r="V28" s="113">
        <v>2.4112</v>
      </c>
      <c r="W28">
        <v>11.837200000000001</v>
      </c>
      <c r="X28">
        <v>7.069</v>
      </c>
      <c r="Y28">
        <v>2.9444000000000004</v>
      </c>
      <c r="Z28">
        <v>2.3369999999999997</v>
      </c>
      <c r="AA28" s="104">
        <v>16.689668699331779</v>
      </c>
      <c r="AB28" s="104">
        <v>11.428067708910147</v>
      </c>
      <c r="AC28" s="104">
        <v>3.5951351097469111</v>
      </c>
      <c r="AD28" s="104">
        <v>2.649412453053273</v>
      </c>
    </row>
    <row r="29" spans="1:30" ht="14.7" customHeight="1">
      <c r="A29" s="131" t="s">
        <v>17</v>
      </c>
      <c r="B29" s="131"/>
      <c r="C29">
        <v>6.7617920104635383</v>
      </c>
      <c r="D29">
        <v>3.0018416564280401</v>
      </c>
      <c r="E29">
        <v>0.64855848705411845</v>
      </c>
      <c r="F29">
        <v>0</v>
      </c>
      <c r="G29">
        <v>11.901234364950364</v>
      </c>
      <c r="H29">
        <v>6.7215044991544186</v>
      </c>
      <c r="I29" s="147">
        <v>3.4125351640922479</v>
      </c>
      <c r="J29" s="112">
        <v>1.4573191656375157</v>
      </c>
      <c r="K29" s="112">
        <v>5.914279509132534</v>
      </c>
      <c r="L29" s="126">
        <v>3.1518985570126952</v>
      </c>
      <c r="M29" s="112">
        <v>1.2784343677708176</v>
      </c>
      <c r="N29" s="126">
        <v>0.4114823160576076</v>
      </c>
      <c r="O29" s="147">
        <v>10.080618332149561</v>
      </c>
      <c r="P29" s="147">
        <v>6.5716664039961401</v>
      </c>
      <c r="Q29" s="147">
        <v>2.6850533648842303</v>
      </c>
      <c r="R29" s="112">
        <v>1.7660465337292117</v>
      </c>
      <c r="S29" s="112">
        <v>8.8589000000000002</v>
      </c>
      <c r="T29" s="112">
        <v>4.9986999999999995</v>
      </c>
      <c r="U29" s="146">
        <v>2.0896999999999997</v>
      </c>
      <c r="V29" s="113">
        <v>0.83069999999999999</v>
      </c>
      <c r="W29">
        <v>8.2865000000000002</v>
      </c>
      <c r="X29">
        <v>5.2832999999999997</v>
      </c>
      <c r="Y29">
        <v>1.5322</v>
      </c>
      <c r="Z29">
        <v>1.0145999999999999</v>
      </c>
      <c r="AA29" s="104">
        <v>10.370491390965189</v>
      </c>
      <c r="AB29" s="104">
        <v>6.6595138184202431</v>
      </c>
      <c r="AC29" s="104">
        <v>2.1512554214079267</v>
      </c>
      <c r="AD29" s="104">
        <v>1.0651242979087838</v>
      </c>
    </row>
    <row r="30" spans="1:30" ht="14.7" customHeight="1">
      <c r="A30" s="131" t="s">
        <v>224</v>
      </c>
      <c r="B30" s="131"/>
      <c r="C30">
        <v>6.8861557464234249</v>
      </c>
      <c r="D30">
        <v>4.9563505377712405</v>
      </c>
      <c r="E30">
        <v>2.3888788077200691</v>
      </c>
      <c r="F30">
        <v>1.3338542830978453</v>
      </c>
      <c r="G30">
        <v>7.9376282314320878</v>
      </c>
      <c r="H30">
        <v>5.8689623603935352</v>
      </c>
      <c r="I30" s="147">
        <v>2.8965069903299239</v>
      </c>
      <c r="J30" s="112">
        <v>0.74655204619303617</v>
      </c>
      <c r="K30" s="112">
        <v>10.674682645905781</v>
      </c>
      <c r="L30" s="126">
        <v>6.4925873279783648</v>
      </c>
      <c r="M30" s="112">
        <v>3.0704416366990035</v>
      </c>
      <c r="N30" s="126">
        <v>1.0889184556653215</v>
      </c>
      <c r="O30" s="147">
        <v>10.118778060770531</v>
      </c>
      <c r="P30" s="147">
        <v>6.7492670586199495</v>
      </c>
      <c r="Q30" s="147">
        <v>4.4054729532788297</v>
      </c>
      <c r="R30" s="112">
        <v>2.299608256442994</v>
      </c>
      <c r="S30" s="112">
        <v>8.4908999999999999</v>
      </c>
      <c r="T30" s="112">
        <v>6.2197000000000005</v>
      </c>
      <c r="U30" s="146">
        <v>2.1648000000000001</v>
      </c>
      <c r="V30" s="113">
        <v>1.4901</v>
      </c>
      <c r="W30">
        <v>10.5847</v>
      </c>
      <c r="X30">
        <v>7.5548000000000002</v>
      </c>
      <c r="Y30">
        <v>3.5566</v>
      </c>
      <c r="Z30">
        <v>1.5809</v>
      </c>
      <c r="AA30" s="104">
        <v>7.3055113461282533</v>
      </c>
      <c r="AB30" s="104">
        <v>5.2875598716885479</v>
      </c>
      <c r="AC30" s="104">
        <v>3.1131580541868713</v>
      </c>
      <c r="AD30" s="104">
        <v>2.0737871867847977</v>
      </c>
    </row>
    <row r="31" spans="1:30" ht="14.7" customHeight="1">
      <c r="A31" s="131" t="s">
        <v>18</v>
      </c>
      <c r="B31" s="131"/>
      <c r="C31">
        <v>23.803439947574347</v>
      </c>
      <c r="D31">
        <v>18.47464701880908</v>
      </c>
      <c r="E31">
        <v>11.976479638540509</v>
      </c>
      <c r="F31">
        <v>8.294225692544293</v>
      </c>
      <c r="G31">
        <v>16.614341303404029</v>
      </c>
      <c r="H31">
        <v>12.147658021257095</v>
      </c>
      <c r="I31" s="147">
        <v>7.7571513563055747</v>
      </c>
      <c r="J31" s="112">
        <v>4.7723947194931737</v>
      </c>
      <c r="K31" s="112">
        <v>15.906302558560903</v>
      </c>
      <c r="L31" s="126">
        <v>10.715649552719029</v>
      </c>
      <c r="M31" s="112">
        <v>5.9072775579515264</v>
      </c>
      <c r="N31" s="126">
        <v>2.9599356500402187</v>
      </c>
      <c r="O31" s="147">
        <v>21.673531200402842</v>
      </c>
      <c r="P31" s="147">
        <v>15.154440121051266</v>
      </c>
      <c r="Q31" s="147">
        <v>7.6359795585528509</v>
      </c>
      <c r="R31" s="112">
        <v>4.6667099066645772</v>
      </c>
      <c r="S31" s="112">
        <v>25.597799999999999</v>
      </c>
      <c r="T31" s="112">
        <v>19.087699999999998</v>
      </c>
      <c r="U31" s="147">
        <v>7.7278000000000002</v>
      </c>
      <c r="V31" s="149">
        <v>4.8640999999999996</v>
      </c>
      <c r="W31">
        <v>19.843900000000001</v>
      </c>
      <c r="X31">
        <v>13.529</v>
      </c>
      <c r="Y31">
        <v>6.9129999999999994</v>
      </c>
      <c r="Z31">
        <v>3.42</v>
      </c>
      <c r="AA31" s="104">
        <v>24.043796902288534</v>
      </c>
      <c r="AB31" s="104">
        <v>18.421819632022661</v>
      </c>
      <c r="AC31" s="104">
        <v>8.5989606476643274</v>
      </c>
      <c r="AD31" s="104">
        <v>6.7667260910448483</v>
      </c>
    </row>
    <row r="32" spans="1:30" ht="14.7" customHeight="1">
      <c r="A32" s="131" t="s">
        <v>262</v>
      </c>
      <c r="B32" s="131"/>
      <c r="C32">
        <v>22.457269115750535</v>
      </c>
      <c r="D32">
        <v>12.279239658438946</v>
      </c>
      <c r="E32">
        <v>6.0932668995785981</v>
      </c>
      <c r="F32">
        <v>3.7300379723660306</v>
      </c>
      <c r="G32">
        <v>23.197338612568114</v>
      </c>
      <c r="H32">
        <v>15.981998897891708</v>
      </c>
      <c r="I32" s="147">
        <v>7.9753862481376405</v>
      </c>
      <c r="J32" s="112">
        <v>4.3580219197093699</v>
      </c>
      <c r="K32" s="112">
        <v>17.881378668202728</v>
      </c>
      <c r="L32" s="126">
        <v>8.673686785395839</v>
      </c>
      <c r="M32" s="112">
        <v>3.3243642044961379</v>
      </c>
      <c r="N32" s="126">
        <v>2.1417411683013627</v>
      </c>
      <c r="O32" s="147">
        <v>21.779457660534412</v>
      </c>
      <c r="P32" s="147">
        <v>14.63284785713323</v>
      </c>
      <c r="Q32" s="147">
        <v>8.1020975744284218</v>
      </c>
      <c r="R32" s="112">
        <v>4.2304148859712569</v>
      </c>
      <c r="S32" s="112">
        <v>22.792399999999997</v>
      </c>
      <c r="T32" s="112">
        <v>15.243399999999999</v>
      </c>
      <c r="U32" s="146">
        <v>6.569</v>
      </c>
      <c r="V32" s="113">
        <v>4.7593000000000005</v>
      </c>
      <c r="W32">
        <v>15.9916</v>
      </c>
      <c r="X32">
        <v>13.005800000000001</v>
      </c>
      <c r="Y32">
        <v>7.3006000000000002</v>
      </c>
      <c r="Z32">
        <v>2.6974</v>
      </c>
    </row>
    <row r="33" spans="1:30" ht="14.7" customHeight="1">
      <c r="A33" s="131" t="s">
        <v>906</v>
      </c>
      <c r="B33" s="131"/>
      <c r="C33"/>
      <c r="D33"/>
      <c r="E33"/>
      <c r="F33"/>
      <c r="G33"/>
      <c r="H33"/>
      <c r="I33" s="147"/>
      <c r="J33" s="112"/>
      <c r="K33" s="112"/>
      <c r="L33" s="126"/>
      <c r="M33" s="112"/>
      <c r="N33" s="126"/>
      <c r="O33" s="147"/>
      <c r="P33" s="147"/>
      <c r="Q33" s="147"/>
      <c r="R33" s="112"/>
      <c r="S33" s="112"/>
      <c r="T33" s="112"/>
      <c r="U33" s="146"/>
      <c r="V33" s="113"/>
      <c r="W33"/>
      <c r="X33"/>
      <c r="Y33"/>
      <c r="Z33"/>
      <c r="AA33" s="104">
        <v>18.608030210957686</v>
      </c>
      <c r="AB33" s="104">
        <v>12.647974655494091</v>
      </c>
      <c r="AC33" s="104">
        <v>6.9132254904717527</v>
      </c>
      <c r="AD33" s="104">
        <v>4.4654884933094685</v>
      </c>
    </row>
    <row r="34" spans="1:30" ht="14.7" customHeight="1">
      <c r="A34" s="131" t="s">
        <v>263</v>
      </c>
      <c r="B34" s="131"/>
      <c r="C34">
        <v>17.665681056214552</v>
      </c>
      <c r="D34">
        <v>8.9140218454681737</v>
      </c>
      <c r="E34">
        <v>4.8260800351858988</v>
      </c>
      <c r="F34">
        <v>1.8524290789638014</v>
      </c>
      <c r="G34">
        <v>21.932511241621423</v>
      </c>
      <c r="H34">
        <v>12.846922882250428</v>
      </c>
      <c r="I34" s="147">
        <v>6.3416751882112585</v>
      </c>
      <c r="J34" s="112">
        <v>3.9107202745549081</v>
      </c>
      <c r="K34" s="112">
        <v>19.388153315711762</v>
      </c>
      <c r="L34" s="126">
        <v>13.522745102772383</v>
      </c>
      <c r="M34" s="112">
        <v>6.2222651362453183</v>
      </c>
      <c r="N34" s="126">
        <v>4.5015469164262818</v>
      </c>
      <c r="O34" s="147">
        <v>16.901109558495559</v>
      </c>
      <c r="P34" s="147">
        <v>11.769014232773301</v>
      </c>
      <c r="Q34" s="147">
        <v>6.0574064175767601</v>
      </c>
      <c r="R34" s="112">
        <v>3.0719535741687802</v>
      </c>
      <c r="S34" s="112">
        <v>17.3962</v>
      </c>
      <c r="T34" s="112">
        <v>10.600900000000001</v>
      </c>
      <c r="U34" s="146">
        <v>4.3087</v>
      </c>
      <c r="V34" s="113">
        <v>2.7944</v>
      </c>
      <c r="W34">
        <v>18.940100000000001</v>
      </c>
      <c r="X34">
        <v>14.3508</v>
      </c>
      <c r="Y34">
        <v>7.9945000000000004</v>
      </c>
      <c r="Z34">
        <v>5.8874999999999993</v>
      </c>
      <c r="AA34" s="104">
        <v>16.797092986637889</v>
      </c>
      <c r="AB34" s="104">
        <v>11.73587295742025</v>
      </c>
      <c r="AC34" s="104">
        <v>5.4698461183662079</v>
      </c>
      <c r="AD34" s="104">
        <v>3.3957846942543162</v>
      </c>
    </row>
    <row r="35" spans="1:30" ht="14.7" customHeight="1">
      <c r="A35" s="131" t="s">
        <v>225</v>
      </c>
      <c r="B35" s="131"/>
      <c r="C35">
        <v>10.651299478815833</v>
      </c>
      <c r="D35">
        <v>7.4191345092624097</v>
      </c>
      <c r="E35">
        <v>2.6103705537169253</v>
      </c>
      <c r="F35">
        <v>1.7661068120155821</v>
      </c>
      <c r="G35">
        <v>7.3538887282640131</v>
      </c>
      <c r="H35">
        <v>4.5446042567342868</v>
      </c>
      <c r="I35" s="147">
        <v>1.6037578982374461</v>
      </c>
      <c r="J35" s="112">
        <v>1.0444379780512139</v>
      </c>
      <c r="K35" s="112">
        <v>6.7763225836736609</v>
      </c>
      <c r="L35" s="126">
        <v>5.0034267474064675</v>
      </c>
      <c r="M35" s="112">
        <v>2.3392010514950941</v>
      </c>
      <c r="N35" s="126">
        <v>1.8254705909965732</v>
      </c>
      <c r="O35" s="147">
        <v>13.10682639174907</v>
      </c>
      <c r="P35" s="147">
        <v>7.3048418600815044</v>
      </c>
      <c r="Q35" s="147">
        <v>3.4385233919718541</v>
      </c>
      <c r="R35" s="112">
        <v>2.5345131504556075</v>
      </c>
      <c r="S35" s="112">
        <v>10.38</v>
      </c>
      <c r="T35" s="112">
        <v>4.7393999999999998</v>
      </c>
      <c r="U35" s="146">
        <v>1.9890999999999999</v>
      </c>
      <c r="V35" s="113">
        <v>0.8095</v>
      </c>
      <c r="W35">
        <v>11.614599999999999</v>
      </c>
      <c r="X35">
        <v>7.4845999999999995</v>
      </c>
      <c r="Y35">
        <v>3.0514000000000001</v>
      </c>
      <c r="Z35">
        <v>1.7520999999999998</v>
      </c>
      <c r="AA35" s="104">
        <v>10.018858636440607</v>
      </c>
      <c r="AB35" s="104">
        <v>6.5354663063211555</v>
      </c>
      <c r="AC35" s="104">
        <v>1.8848644463365558</v>
      </c>
      <c r="AD35" s="104">
        <v>1.2203127616022613</v>
      </c>
    </row>
    <row r="36" spans="1:30" ht="14.7" customHeight="1">
      <c r="A36" s="131" t="s">
        <v>19</v>
      </c>
      <c r="B36" s="131"/>
      <c r="C36">
        <v>15.761031317119459</v>
      </c>
      <c r="D36">
        <v>10.243836814617996</v>
      </c>
      <c r="E36">
        <v>2.7129266841276625</v>
      </c>
      <c r="F36">
        <v>2.0633599554537847</v>
      </c>
      <c r="G36">
        <v>11.263841471860767</v>
      </c>
      <c r="H36">
        <v>8.1376154286181244</v>
      </c>
      <c r="I36" s="147">
        <v>2.5543433848165398</v>
      </c>
      <c r="J36" s="112">
        <v>2.1226607828716189</v>
      </c>
      <c r="K36" s="112">
        <v>13.193943621839905</v>
      </c>
      <c r="L36" s="126">
        <v>7.530974581683485</v>
      </c>
      <c r="M36" s="112">
        <v>2.6894091985419104</v>
      </c>
      <c r="N36" s="126">
        <v>1.4681116558750995</v>
      </c>
      <c r="O36" s="147">
        <v>16.546601583395077</v>
      </c>
      <c r="P36" s="147">
        <v>9.2308208139017989</v>
      </c>
      <c r="Q36" s="147">
        <v>2.6503444770645972</v>
      </c>
      <c r="R36" s="112">
        <v>2.0779670479591927</v>
      </c>
      <c r="S36" s="112">
        <v>19.886599999999998</v>
      </c>
      <c r="T36" s="112">
        <v>13.6898</v>
      </c>
      <c r="U36" s="146">
        <v>6.7447999999999997</v>
      </c>
      <c r="V36" s="113">
        <v>2.2041999999999997</v>
      </c>
      <c r="W36">
        <v>15.0815</v>
      </c>
      <c r="X36">
        <v>8.1346000000000007</v>
      </c>
      <c r="Y36">
        <v>3.2349000000000001</v>
      </c>
      <c r="Z36">
        <v>1.2670000000000001</v>
      </c>
      <c r="AA36" s="104">
        <v>13.221644663047666</v>
      </c>
      <c r="AB36" s="104">
        <v>7.5713265761623791</v>
      </c>
      <c r="AC36" s="104">
        <v>2.4855092054184165</v>
      </c>
      <c r="AD36" s="104">
        <v>0.74014645669181856</v>
      </c>
    </row>
    <row r="37" spans="1:30" ht="14.7" customHeight="1">
      <c r="A37" s="131" t="s">
        <v>20</v>
      </c>
      <c r="B37" s="131"/>
      <c r="C37">
        <v>15.645391037522794</v>
      </c>
      <c r="D37">
        <v>9.2774859265783274</v>
      </c>
      <c r="E37">
        <v>3.7446531037281767</v>
      </c>
      <c r="F37">
        <v>2.4442727654073018</v>
      </c>
      <c r="G37">
        <v>16.540066870489316</v>
      </c>
      <c r="H37">
        <v>10.351461563307494</v>
      </c>
      <c r="I37" s="147">
        <v>3.4282138242894056</v>
      </c>
      <c r="J37" s="112">
        <v>1.7262193152454781</v>
      </c>
      <c r="K37" s="112">
        <v>16.654530986543882</v>
      </c>
      <c r="L37" s="126">
        <v>10.740559760659925</v>
      </c>
      <c r="M37" s="112">
        <v>4.0509350911721134</v>
      </c>
      <c r="N37" s="126">
        <v>2.7750469814990431</v>
      </c>
      <c r="O37" s="147">
        <v>17.811917444330359</v>
      </c>
      <c r="P37" s="147">
        <v>11.829908564943178</v>
      </c>
      <c r="Q37" s="147">
        <v>2.8825524272527643</v>
      </c>
      <c r="R37" s="112">
        <v>0.84288500347683049</v>
      </c>
      <c r="S37" s="112">
        <v>19.808999999999997</v>
      </c>
      <c r="T37" s="112">
        <v>14.2301</v>
      </c>
      <c r="U37" s="146">
        <v>6.4076999999999993</v>
      </c>
      <c r="V37" s="113">
        <v>3.3921999999999999</v>
      </c>
      <c r="W37">
        <v>13.816600000000001</v>
      </c>
      <c r="X37">
        <v>9.3171999999999997</v>
      </c>
      <c r="Y37">
        <v>2.5146999999999999</v>
      </c>
      <c r="Z37">
        <v>1.7883</v>
      </c>
      <c r="AA37" s="104">
        <v>18.665339995359385</v>
      </c>
      <c r="AB37" s="104">
        <v>11.377797342432212</v>
      </c>
      <c r="AC37" s="104">
        <v>4.3061507020005285</v>
      </c>
      <c r="AD37" s="104">
        <v>2.8075217370161747</v>
      </c>
    </row>
    <row r="38" spans="1:30" ht="14.7" customHeight="1">
      <c r="A38" s="131" t="s">
        <v>198</v>
      </c>
      <c r="B38" s="131"/>
      <c r="C38">
        <v>12.128066045364127</v>
      </c>
      <c r="D38">
        <v>8.0193421062129353</v>
      </c>
      <c r="E38">
        <v>4.0375166796786743</v>
      </c>
      <c r="F38">
        <v>2.3813980406387643</v>
      </c>
      <c r="G38">
        <v>11.657687458037893</v>
      </c>
      <c r="H38">
        <v>7.1233235626443081</v>
      </c>
      <c r="I38" s="147">
        <v>4.5245386215140746</v>
      </c>
      <c r="J38" s="112">
        <v>4.0482175315636928</v>
      </c>
      <c r="K38" s="112">
        <v>7.8738746377258417</v>
      </c>
      <c r="L38" s="126">
        <v>5.1165443670222617</v>
      </c>
      <c r="M38" s="112">
        <v>3.1722112597891101</v>
      </c>
      <c r="N38" s="126">
        <v>1.6493109083060988</v>
      </c>
      <c r="O38" s="147">
        <v>11.219590634937834</v>
      </c>
      <c r="P38" s="147">
        <v>7.2109277482016578</v>
      </c>
      <c r="Q38" s="147">
        <v>3.2136952052890981</v>
      </c>
      <c r="R38" s="112">
        <v>2.0646128738507739</v>
      </c>
      <c r="S38" s="112">
        <v>9.7591000000000001</v>
      </c>
      <c r="T38" s="112">
        <v>7.3758000000000008</v>
      </c>
      <c r="U38" s="146">
        <v>3.3333000000000004</v>
      </c>
      <c r="V38" s="113">
        <v>0.95790000000000008</v>
      </c>
      <c r="W38">
        <v>15.963099999999999</v>
      </c>
      <c r="X38">
        <v>12.861000000000001</v>
      </c>
      <c r="Y38">
        <v>7.0954000000000006</v>
      </c>
      <c r="Z38">
        <v>4.5768999999999993</v>
      </c>
      <c r="AA38" s="104">
        <v>13.851489510931087</v>
      </c>
      <c r="AB38" s="104">
        <v>9.049942681920859</v>
      </c>
      <c r="AC38" s="104">
        <v>5.213199352884998</v>
      </c>
      <c r="AD38" s="104">
        <v>3.5368525830433706</v>
      </c>
    </row>
    <row r="39" spans="1:30" ht="14.7" customHeight="1">
      <c r="A39" s="131" t="s">
        <v>21</v>
      </c>
      <c r="B39" s="131"/>
      <c r="C39">
        <v>9.5398993468314508</v>
      </c>
      <c r="D39">
        <v>4.9139004246914704</v>
      </c>
      <c r="E39">
        <v>2.3631142114378534</v>
      </c>
      <c r="F39">
        <v>1.6835801562575829</v>
      </c>
      <c r="G39">
        <v>11.697203175933211</v>
      </c>
      <c r="H39">
        <v>7.11824502458584</v>
      </c>
      <c r="I39" s="147">
        <v>2.8362619710365298</v>
      </c>
      <c r="J39" s="112">
        <v>2.76820639845005</v>
      </c>
      <c r="K39" s="112">
        <v>13.273379713805053</v>
      </c>
      <c r="L39" s="126">
        <v>8.9077279030086043</v>
      </c>
      <c r="M39" s="112">
        <v>3.0831292033134998</v>
      </c>
      <c r="N39" s="126">
        <v>2.172036651495111</v>
      </c>
      <c r="O39" s="147">
        <v>15.839291055823827</v>
      </c>
      <c r="P39" s="147">
        <v>9.7237864285596789</v>
      </c>
      <c r="Q39" s="147">
        <v>3.0799937047853772</v>
      </c>
      <c r="R39" s="112">
        <v>1.6204371683165419</v>
      </c>
      <c r="S39" s="112">
        <v>13.611899999999999</v>
      </c>
      <c r="T39" s="112">
        <v>8.5831</v>
      </c>
      <c r="U39" s="146">
        <v>3.2592999999999996</v>
      </c>
      <c r="V39" s="113">
        <v>1.4454</v>
      </c>
      <c r="W39">
        <v>10.256400000000001</v>
      </c>
      <c r="X39">
        <v>7.0218000000000007</v>
      </c>
      <c r="Y39">
        <v>1.9619999999999997</v>
      </c>
      <c r="Z39">
        <v>0.80940000000000001</v>
      </c>
      <c r="AA39" s="104">
        <v>16.545630498092613</v>
      </c>
      <c r="AB39" s="104">
        <v>9.6870765755509591</v>
      </c>
      <c r="AC39" s="104">
        <v>2.9648519511102625</v>
      </c>
      <c r="AD39" s="104">
        <v>1.5201168617697804</v>
      </c>
    </row>
    <row r="40" spans="1:30" ht="14.7" customHeight="1">
      <c r="A40" s="131" t="s">
        <v>811</v>
      </c>
      <c r="B40" s="131"/>
      <c r="C40">
        <v>15.338486391461423</v>
      </c>
      <c r="D40">
        <v>12.025143663124984</v>
      </c>
      <c r="E40">
        <v>5.6526915780267295</v>
      </c>
      <c r="F40">
        <v>3.3946521545883006</v>
      </c>
      <c r="G40">
        <v>16.392670631207171</v>
      </c>
      <c r="H40">
        <v>10.983277537949611</v>
      </c>
      <c r="I40" s="147">
        <v>5.984105382605569</v>
      </c>
      <c r="J40" s="112">
        <v>2.6803994653334997</v>
      </c>
      <c r="K40" s="112">
        <v>14.507521178129743</v>
      </c>
      <c r="L40" s="126">
        <v>9.0975543015474827</v>
      </c>
      <c r="M40" s="112">
        <v>5.6619804014994513</v>
      </c>
      <c r="N40" s="126">
        <v>3.5086712170703285</v>
      </c>
      <c r="O40" s="147">
        <v>28.666739468392905</v>
      </c>
      <c r="P40" s="147">
        <v>21.546570413382717</v>
      </c>
      <c r="Q40" s="147">
        <v>13.658386726655108</v>
      </c>
      <c r="R40" s="112">
        <v>9.9216069776315763</v>
      </c>
      <c r="S40" s="112">
        <v>22.623899999999999</v>
      </c>
      <c r="T40" s="112">
        <v>17.208200000000001</v>
      </c>
      <c r="U40" s="146">
        <v>6.8998000000000008</v>
      </c>
      <c r="V40" s="113">
        <v>4.7479000000000005</v>
      </c>
      <c r="W40">
        <v>25.893699999999995</v>
      </c>
      <c r="X40">
        <v>19.600100000000001</v>
      </c>
      <c r="Y40">
        <v>10.6343</v>
      </c>
      <c r="Z40">
        <v>5.3933</v>
      </c>
      <c r="AA40" s="104">
        <v>22.50801166188295</v>
      </c>
      <c r="AB40" s="104">
        <v>16.16630531255139</v>
      </c>
      <c r="AC40" s="104">
        <v>6.4186253795706261</v>
      </c>
      <c r="AD40" s="104">
        <v>3.6339359724299145</v>
      </c>
    </row>
    <row r="41" spans="1:30" ht="14.7" customHeight="1">
      <c r="A41" s="131" t="s">
        <v>815</v>
      </c>
      <c r="B41" s="131"/>
      <c r="C41">
        <v>22.132941411346497</v>
      </c>
      <c r="D41">
        <v>15.841553659213167</v>
      </c>
      <c r="E41">
        <v>8.611812967242706</v>
      </c>
      <c r="F41">
        <v>4.8898144066388536</v>
      </c>
      <c r="G41">
        <v>25.903240750065461</v>
      </c>
      <c r="H41">
        <v>17.018469656992085</v>
      </c>
      <c r="I41" s="147">
        <v>9.4005921569417303</v>
      </c>
      <c r="J41" s="112">
        <v>4.95881085218232</v>
      </c>
      <c r="K41" s="112">
        <v>19.3193512967561</v>
      </c>
      <c r="L41" s="126">
        <v>13.906221904255442</v>
      </c>
      <c r="M41" s="112">
        <v>9.1930232647111705</v>
      </c>
      <c r="N41" s="126">
        <v>5.9131619118305325</v>
      </c>
      <c r="O41" s="147">
        <v>25.781250722490206</v>
      </c>
      <c r="P41" s="147">
        <v>19.701307975531574</v>
      </c>
      <c r="Q41" s="147">
        <v>11.852365330783915</v>
      </c>
      <c r="R41" s="112">
        <v>7.9080529562647772</v>
      </c>
      <c r="S41" s="112">
        <v>28.836499999999997</v>
      </c>
      <c r="T41" s="112">
        <v>20.563000000000002</v>
      </c>
      <c r="U41" s="147">
        <v>11.4381</v>
      </c>
      <c r="V41" s="149">
        <v>7.3451000000000004</v>
      </c>
      <c r="W41">
        <v>26.273800000000001</v>
      </c>
      <c r="X41">
        <v>21.3261</v>
      </c>
      <c r="Y41">
        <v>12.4206</v>
      </c>
      <c r="Z41">
        <v>8.6883999999999997</v>
      </c>
      <c r="AA41" s="104">
        <v>26.218360567306064</v>
      </c>
      <c r="AB41" s="104">
        <v>20.675372724176633</v>
      </c>
      <c r="AC41" s="104">
        <v>11.649930445922188</v>
      </c>
      <c r="AD41" s="104">
        <v>7.0860815777929815</v>
      </c>
    </row>
    <row r="42" spans="1:30" ht="14.7" customHeight="1">
      <c r="A42" s="131" t="s">
        <v>22</v>
      </c>
      <c r="B42" s="131"/>
      <c r="C42">
        <v>16.469950658502363</v>
      </c>
      <c r="D42">
        <v>11.296167825316923</v>
      </c>
      <c r="E42">
        <v>4.9151893167497356</v>
      </c>
      <c r="F42">
        <v>2.5540831980026284</v>
      </c>
      <c r="G42">
        <v>16.300741034855783</v>
      </c>
      <c r="H42">
        <v>10.240988262558901</v>
      </c>
      <c r="I42" s="147">
        <v>5.1878517282034871</v>
      </c>
      <c r="J42" s="112">
        <v>3.3784139666230444</v>
      </c>
      <c r="K42" s="112">
        <v>14.939801109532617</v>
      </c>
      <c r="L42" s="126">
        <v>10.555097849577914</v>
      </c>
      <c r="M42" s="112">
        <v>5.6206294054200345</v>
      </c>
      <c r="N42" s="126">
        <v>3.9973652055895847</v>
      </c>
      <c r="O42" s="147">
        <v>21.385759832894227</v>
      </c>
      <c r="P42" s="147">
        <v>12.513931376409273</v>
      </c>
      <c r="Q42" s="147">
        <v>5.8593059018863585</v>
      </c>
      <c r="R42" s="112">
        <v>4.1976576047254568</v>
      </c>
      <c r="S42" s="112">
        <v>22.380700000000001</v>
      </c>
      <c r="T42" s="112">
        <v>13.936000000000002</v>
      </c>
      <c r="U42" s="146">
        <v>4.9883999999999995</v>
      </c>
      <c r="V42" s="113">
        <v>3.5394000000000001</v>
      </c>
      <c r="W42">
        <v>20.488500000000002</v>
      </c>
      <c r="X42">
        <v>11.5868</v>
      </c>
      <c r="Y42">
        <v>6.8858000000000006</v>
      </c>
      <c r="Z42">
        <v>4.694</v>
      </c>
      <c r="AA42" s="104">
        <v>18.301486340637595</v>
      </c>
      <c r="AB42" s="104">
        <v>11.740228946226267</v>
      </c>
      <c r="AC42" s="104">
        <v>6.422841979347198</v>
      </c>
      <c r="AD42" s="104">
        <v>4.2115043254495204</v>
      </c>
    </row>
    <row r="43" spans="1:30" ht="14.7" customHeight="1">
      <c r="A43" s="131" t="s">
        <v>199</v>
      </c>
      <c r="B43" s="131"/>
      <c r="C43">
        <v>11.692308705182155</v>
      </c>
      <c r="D43">
        <v>5.4807942442947022</v>
      </c>
      <c r="E43">
        <v>2.3612978276744783</v>
      </c>
      <c r="F43">
        <v>1.918303409897594</v>
      </c>
      <c r="G43">
        <v>12.184635172822453</v>
      </c>
      <c r="H43">
        <v>6.3444561431926783</v>
      </c>
      <c r="I43" s="147">
        <v>2.4388515428849113</v>
      </c>
      <c r="J43" s="112">
        <v>0.71272373855997406</v>
      </c>
      <c r="K43" s="112">
        <v>12.976753518502596</v>
      </c>
      <c r="L43" s="126">
        <v>6.4211269248939882</v>
      </c>
      <c r="M43" s="112">
        <v>3.2538861292870793</v>
      </c>
      <c r="N43" s="126">
        <v>0.9892487103616725</v>
      </c>
      <c r="O43" s="147">
        <v>12.942449888547458</v>
      </c>
      <c r="P43" s="147">
        <v>9.8661527468074848</v>
      </c>
      <c r="Q43" s="147">
        <v>4.0167048117547832</v>
      </c>
      <c r="R43" s="112">
        <v>2.5290954469443698</v>
      </c>
      <c r="S43" s="112">
        <v>11.6136</v>
      </c>
      <c r="T43" s="112">
        <v>6.8019999999999996</v>
      </c>
      <c r="U43" s="146">
        <v>2.3523000000000001</v>
      </c>
      <c r="V43" s="113">
        <v>1.8969</v>
      </c>
      <c r="W43">
        <v>15.020200000000001</v>
      </c>
      <c r="X43">
        <v>10.8772</v>
      </c>
      <c r="Y43">
        <v>4.5504999999999995</v>
      </c>
      <c r="Z43">
        <v>3.1172</v>
      </c>
      <c r="AA43" s="104">
        <v>9.0970708172497226</v>
      </c>
      <c r="AB43" s="104">
        <v>5.2040038794651986</v>
      </c>
      <c r="AC43" s="104">
        <v>1.8656711567503457</v>
      </c>
      <c r="AD43" s="104">
        <v>0.71177244771795833</v>
      </c>
    </row>
    <row r="44" spans="1:30" ht="14.7" customHeight="1">
      <c r="A44" s="131" t="s">
        <v>23</v>
      </c>
      <c r="B44" s="131"/>
      <c r="C44">
        <v>12.804866233286925</v>
      </c>
      <c r="D44">
        <v>7.0248565807086187</v>
      </c>
      <c r="E44">
        <v>2.9355953720607122</v>
      </c>
      <c r="F44">
        <v>2.3838868702898557</v>
      </c>
      <c r="G44">
        <v>13.526047112368534</v>
      </c>
      <c r="H44">
        <v>6.2489736600105106</v>
      </c>
      <c r="I44" s="147">
        <v>3.5466204676826063</v>
      </c>
      <c r="J44" s="112">
        <v>2.2834012086179714</v>
      </c>
      <c r="K44" s="112">
        <v>13.55007688873456</v>
      </c>
      <c r="L44" s="126">
        <v>7.363262066570762</v>
      </c>
      <c r="M44" s="112">
        <v>2.6267175951188055</v>
      </c>
      <c r="N44" s="126">
        <v>0.37501860211320004</v>
      </c>
      <c r="O44" s="147">
        <v>10.06110612396952</v>
      </c>
      <c r="P44" s="147">
        <v>7.5393995372096807</v>
      </c>
      <c r="Q44" s="147">
        <v>4.0448964674459971</v>
      </c>
      <c r="R44" s="112">
        <v>1.3797615299590453</v>
      </c>
      <c r="S44" s="112">
        <v>13.203000000000001</v>
      </c>
      <c r="T44" s="112">
        <v>8.9193999999999996</v>
      </c>
      <c r="U44" s="147">
        <v>5.1578999999999997</v>
      </c>
      <c r="V44" s="149">
        <v>1.4133</v>
      </c>
      <c r="W44">
        <v>14.128299999999999</v>
      </c>
      <c r="X44">
        <v>9.9561999999999991</v>
      </c>
      <c r="Y44">
        <v>3.948</v>
      </c>
      <c r="Z44">
        <v>2.2058</v>
      </c>
      <c r="AA44" s="104">
        <v>11.244484734371497</v>
      </c>
      <c r="AB44" s="104">
        <v>7.9428699859918837</v>
      </c>
      <c r="AC44" s="104">
        <v>3.7517725942109377</v>
      </c>
      <c r="AD44" s="104">
        <v>3.0790632340205111</v>
      </c>
    </row>
    <row r="45" spans="1:30" ht="14.7" customHeight="1">
      <c r="A45" s="131" t="s">
        <v>24</v>
      </c>
      <c r="B45" s="131"/>
      <c r="C45">
        <v>14.236976759398894</v>
      </c>
      <c r="D45">
        <v>9.3524974239185195</v>
      </c>
      <c r="E45">
        <v>3.8539297776953934</v>
      </c>
      <c r="F45">
        <v>3.1993266543904433</v>
      </c>
      <c r="G45">
        <v>13.503706792226417</v>
      </c>
      <c r="H45">
        <v>9.0970376480412227</v>
      </c>
      <c r="I45" s="147">
        <v>5.1297874723775196</v>
      </c>
      <c r="J45" s="112">
        <v>2.4884163789855291</v>
      </c>
      <c r="K45" s="112">
        <v>12.503971814604686</v>
      </c>
      <c r="L45" s="126">
        <v>6.4569039064659162</v>
      </c>
      <c r="M45" s="112">
        <v>1.7339373475444901</v>
      </c>
      <c r="N45" s="126">
        <v>1.1453439236090248</v>
      </c>
      <c r="O45" s="147">
        <v>19.552367609163117</v>
      </c>
      <c r="P45" s="147">
        <v>14.160103254386765</v>
      </c>
      <c r="Q45" s="147">
        <v>4.5136878167111529</v>
      </c>
      <c r="R45" s="112">
        <v>3.4995969087802399</v>
      </c>
      <c r="S45" s="112">
        <v>14.430000000000001</v>
      </c>
      <c r="T45" s="112">
        <v>8.2209000000000003</v>
      </c>
      <c r="U45" s="146">
        <v>1.9914999999999998</v>
      </c>
      <c r="V45" s="113">
        <v>0.85289999999999999</v>
      </c>
      <c r="W45">
        <v>11.3619</v>
      </c>
      <c r="X45">
        <v>7.6059999999999999</v>
      </c>
      <c r="Y45">
        <v>2.0291000000000001</v>
      </c>
      <c r="Z45">
        <v>0.86750000000000005</v>
      </c>
      <c r="AA45" s="104">
        <v>11.843262234152634</v>
      </c>
      <c r="AB45" s="104">
        <v>7.5837358784828988</v>
      </c>
      <c r="AC45" s="104">
        <v>2.4924767382547062</v>
      </c>
      <c r="AD45" s="104">
        <v>1.660489766798785</v>
      </c>
    </row>
    <row r="46" spans="1:30" ht="14.7" customHeight="1">
      <c r="A46" s="131" t="s">
        <v>25</v>
      </c>
      <c r="B46" s="131"/>
      <c r="C46">
        <v>16.375755600117085</v>
      </c>
      <c r="D46">
        <v>10.834374872560332</v>
      </c>
      <c r="E46">
        <v>6.3813610005576642</v>
      </c>
      <c r="F46">
        <v>1.7531642880256986</v>
      </c>
      <c r="G46">
        <v>21.822842586565738</v>
      </c>
      <c r="H46">
        <v>10.846130356870212</v>
      </c>
      <c r="I46" s="147">
        <v>5.8581037101323501</v>
      </c>
      <c r="J46" s="112">
        <v>2.9499449547182248</v>
      </c>
      <c r="K46" s="112">
        <v>16.040474646974264</v>
      </c>
      <c r="L46" s="126">
        <v>9.699298981691383</v>
      </c>
      <c r="M46" s="112">
        <v>4.3565006261249115</v>
      </c>
      <c r="N46" s="126">
        <v>2.9850656122535262</v>
      </c>
      <c r="O46" s="147">
        <v>20.476948786704561</v>
      </c>
      <c r="P46" s="147">
        <v>16.129391108925777</v>
      </c>
      <c r="Q46" s="147">
        <v>8.6005069214789192</v>
      </c>
      <c r="R46" s="112">
        <v>6.2333190250287931</v>
      </c>
      <c r="S46" s="112">
        <v>20.977699999999999</v>
      </c>
      <c r="T46" s="112">
        <v>14.796799999999999</v>
      </c>
      <c r="U46" s="146">
        <v>6.8265999999999991</v>
      </c>
      <c r="V46" s="113">
        <v>3.6942000000000004</v>
      </c>
      <c r="W46">
        <v>21.013200000000001</v>
      </c>
      <c r="X46">
        <v>14.666799999999999</v>
      </c>
      <c r="Y46">
        <v>5.6283000000000003</v>
      </c>
      <c r="Z46">
        <v>2.6909999999999998</v>
      </c>
      <c r="AA46" s="104">
        <v>21.042725290543054</v>
      </c>
      <c r="AB46" s="104">
        <v>14.535709470253956</v>
      </c>
      <c r="AC46" s="104">
        <v>7.6797784259395385</v>
      </c>
      <c r="AD46" s="104">
        <v>5.238610912514492</v>
      </c>
    </row>
    <row r="47" spans="1:30" ht="14.7" customHeight="1">
      <c r="A47" s="131" t="s">
        <v>300</v>
      </c>
      <c r="B47" s="131"/>
      <c r="C47">
        <v>12.514272201132307</v>
      </c>
      <c r="D47">
        <v>6.7351682378449658</v>
      </c>
      <c r="E47">
        <v>2.8214263588575639</v>
      </c>
      <c r="F47">
        <v>1.6331213075158855</v>
      </c>
      <c r="G47">
        <v>15.803448530291043</v>
      </c>
      <c r="H47">
        <v>9.990216300193639</v>
      </c>
      <c r="I47" s="147">
        <v>3.713886338045663</v>
      </c>
      <c r="J47" s="112">
        <v>1.8136495338235026</v>
      </c>
      <c r="K47" s="112">
        <v>14.51289233852717</v>
      </c>
      <c r="L47" s="126">
        <v>7.4920648827753205</v>
      </c>
      <c r="M47" s="112">
        <v>3.0502909211107969</v>
      </c>
      <c r="N47" s="126">
        <v>1.3081991565079911</v>
      </c>
      <c r="O47" s="147">
        <v>16.784462898234459</v>
      </c>
      <c r="P47" s="147">
        <v>10.916586335686258</v>
      </c>
      <c r="Q47" s="147">
        <v>4.6117600247771753</v>
      </c>
      <c r="R47" s="112">
        <v>2.5316377009384965</v>
      </c>
      <c r="S47" s="112">
        <v>20.605899999999998</v>
      </c>
      <c r="T47" s="112">
        <v>13.434299999999999</v>
      </c>
      <c r="U47" s="146">
        <v>5.2168000000000001</v>
      </c>
      <c r="V47" s="113">
        <v>2.2481</v>
      </c>
      <c r="W47">
        <v>15.722200000000001</v>
      </c>
      <c r="X47">
        <v>9.8211999999999993</v>
      </c>
      <c r="Y47">
        <v>5.0343</v>
      </c>
      <c r="Z47">
        <v>3.1008999999999998</v>
      </c>
      <c r="AA47" s="104">
        <v>17.595316909409966</v>
      </c>
      <c r="AB47" s="104">
        <v>11.430520665091178</v>
      </c>
      <c r="AC47" s="104">
        <v>4.9152061958987989</v>
      </c>
      <c r="AD47" s="104">
        <v>2.0344140826808133</v>
      </c>
    </row>
    <row r="48" spans="1:30" ht="14.7" customHeight="1">
      <c r="A48" s="131" t="s">
        <v>26</v>
      </c>
      <c r="B48" s="131"/>
      <c r="C48">
        <v>7.973418767733774</v>
      </c>
      <c r="D48">
        <v>4.4410961300304477</v>
      </c>
      <c r="E48">
        <v>0.82641709837768662</v>
      </c>
      <c r="F48">
        <v>0.65249635096914893</v>
      </c>
      <c r="G48">
        <v>5.8038921244343431</v>
      </c>
      <c r="H48">
        <v>2.6908013555469878</v>
      </c>
      <c r="I48" s="147">
        <v>1.2891901215527912</v>
      </c>
      <c r="J48" s="112">
        <v>0.94015706487550477</v>
      </c>
      <c r="K48" s="112">
        <v>4.9650729320773985</v>
      </c>
      <c r="L48" s="126">
        <v>2.8048625421577076</v>
      </c>
      <c r="M48" s="112">
        <v>0.17115373359356234</v>
      </c>
      <c r="N48" s="126">
        <v>2.7045519223511033E-2</v>
      </c>
      <c r="O48" s="147">
        <v>8.105892920028408</v>
      </c>
      <c r="P48" s="147">
        <v>4.6004704737274684</v>
      </c>
      <c r="Q48" s="147">
        <v>1.3201996686348723</v>
      </c>
      <c r="R48" s="112">
        <v>0.78722099261581013</v>
      </c>
      <c r="S48" s="112">
        <v>10.962400000000001</v>
      </c>
      <c r="T48" s="112">
        <v>8.9466000000000001</v>
      </c>
      <c r="U48" s="146">
        <v>3.6283000000000003</v>
      </c>
      <c r="V48" s="113">
        <v>1.1193</v>
      </c>
      <c r="W48">
        <v>7.2875999999999994</v>
      </c>
      <c r="X48">
        <v>5.4642999999999997</v>
      </c>
      <c r="Y48">
        <v>2.3561999999999999</v>
      </c>
      <c r="Z48">
        <v>1.6653000000000002</v>
      </c>
      <c r="AA48" s="104">
        <v>10.998091125723644</v>
      </c>
      <c r="AB48" s="104">
        <v>5.3286693132915639</v>
      </c>
      <c r="AC48" s="104">
        <v>1.7852171905097576</v>
      </c>
      <c r="AD48" s="104">
        <v>9.2296204086042138E-2</v>
      </c>
    </row>
    <row r="49" spans="1:30" ht="14.7" customHeight="1">
      <c r="A49" s="131" t="s">
        <v>226</v>
      </c>
      <c r="B49" s="131"/>
      <c r="C49">
        <v>12.426098883325048</v>
      </c>
      <c r="D49">
        <v>8.2057468058926393</v>
      </c>
      <c r="E49">
        <v>3.3191156999141511</v>
      </c>
      <c r="F49">
        <v>1.5690273230655811</v>
      </c>
      <c r="G49">
        <v>10.634051081207199</v>
      </c>
      <c r="H49">
        <v>6.5512775099304781</v>
      </c>
      <c r="I49" s="147">
        <v>2.3304517590942644</v>
      </c>
      <c r="J49" s="112">
        <v>1.0973777404023388</v>
      </c>
      <c r="K49" s="112">
        <v>11.012940475031636</v>
      </c>
      <c r="L49" s="126">
        <v>8.2663565455852144</v>
      </c>
      <c r="M49" s="112">
        <v>4.122527581486664</v>
      </c>
      <c r="N49" s="126">
        <v>2.4571144842808481</v>
      </c>
      <c r="O49" s="147">
        <v>12.549185777285052</v>
      </c>
      <c r="P49" s="147">
        <v>10.029987813175474</v>
      </c>
      <c r="Q49" s="147">
        <v>3.8206648669060232</v>
      </c>
      <c r="R49" s="112">
        <v>2.1758215385871784</v>
      </c>
      <c r="S49" s="112">
        <v>12.5006</v>
      </c>
      <c r="T49" s="112">
        <v>8.2004000000000001</v>
      </c>
      <c r="U49" s="146">
        <v>3.3938000000000001</v>
      </c>
      <c r="V49" s="113">
        <v>2.2210000000000001</v>
      </c>
      <c r="W49">
        <v>10.580499999999999</v>
      </c>
      <c r="X49">
        <v>8.6352999999999991</v>
      </c>
      <c r="Y49">
        <v>4.4513999999999996</v>
      </c>
      <c r="Z49">
        <v>1.8918999999999999</v>
      </c>
      <c r="AA49" s="104">
        <v>13.831136986063388</v>
      </c>
      <c r="AB49" s="104">
        <v>8.8820696861845647</v>
      </c>
      <c r="AC49" s="104">
        <v>3.8465241152012539</v>
      </c>
      <c r="AD49" s="104">
        <v>1.8528183328464214</v>
      </c>
    </row>
    <row r="50" spans="1:30" ht="14.7" customHeight="1">
      <c r="A50" s="131" t="s">
        <v>227</v>
      </c>
      <c r="B50" s="131"/>
      <c r="C50">
        <v>9.7780240399321841</v>
      </c>
      <c r="D50">
        <v>5.0957755641779068</v>
      </c>
      <c r="E50">
        <v>1.1582636936085009</v>
      </c>
      <c r="F50">
        <v>0.8222697131689285</v>
      </c>
      <c r="G50">
        <v>13.76734991702763</v>
      </c>
      <c r="H50">
        <v>10.292374919410134</v>
      </c>
      <c r="I50" s="147">
        <v>1.9859389870749204</v>
      </c>
      <c r="J50" s="112">
        <v>1.7110635815671786</v>
      </c>
      <c r="K50" s="112">
        <v>14.033891456423467</v>
      </c>
      <c r="L50" s="126">
        <v>10.273699833514971</v>
      </c>
      <c r="M50" s="112">
        <v>3.0893948842278265</v>
      </c>
      <c r="N50" s="126">
        <v>0</v>
      </c>
      <c r="O50" s="147">
        <v>10.624519998746287</v>
      </c>
      <c r="P50" s="147">
        <v>7.1392571122781705</v>
      </c>
      <c r="Q50" s="147">
        <v>3.5570556070355011</v>
      </c>
      <c r="R50" s="112">
        <v>3.0320601557036331</v>
      </c>
      <c r="S50" s="112">
        <v>11.648300000000001</v>
      </c>
      <c r="T50" s="112">
        <v>8.2337999999999987</v>
      </c>
      <c r="U50" s="146">
        <v>2.8344</v>
      </c>
      <c r="V50" s="113">
        <v>0.72789999999999999</v>
      </c>
      <c r="W50">
        <v>11.113799999999999</v>
      </c>
      <c r="X50">
        <v>7.3083999999999998</v>
      </c>
      <c r="Y50">
        <v>2.9340999999999999</v>
      </c>
      <c r="Z50">
        <v>1.8973</v>
      </c>
      <c r="AA50" s="104">
        <v>13.646521520589888</v>
      </c>
      <c r="AB50" s="104">
        <v>8.6602892169000132</v>
      </c>
      <c r="AC50" s="104">
        <v>3.2400481915931443</v>
      </c>
      <c r="AD50" s="104">
        <v>1.6100507329025582</v>
      </c>
    </row>
    <row r="51" spans="1:30" ht="14.7" customHeight="1">
      <c r="A51" s="131" t="s">
        <v>27</v>
      </c>
      <c r="B51" s="131"/>
      <c r="C51">
        <v>57.911827777681303</v>
      </c>
      <c r="D51">
        <v>48.573312669647478</v>
      </c>
      <c r="E51">
        <v>37.741397998889433</v>
      </c>
      <c r="F51">
        <v>25.588043273443358</v>
      </c>
      <c r="G51">
        <v>56.67852882301797</v>
      </c>
      <c r="H51">
        <v>48.137673199123597</v>
      </c>
      <c r="I51" s="147">
        <v>33.430440156908446</v>
      </c>
      <c r="J51" s="112">
        <v>28.399699778070449</v>
      </c>
      <c r="K51" s="112">
        <v>57.981410305122175</v>
      </c>
      <c r="L51" s="126">
        <v>51.889958402829407</v>
      </c>
      <c r="M51" s="112">
        <v>39.037638406044643</v>
      </c>
      <c r="N51" s="126">
        <v>30.979643510238532</v>
      </c>
      <c r="O51" s="147">
        <v>63.176116557165521</v>
      </c>
      <c r="P51" s="147">
        <v>56.898045871844026</v>
      </c>
      <c r="Q51" s="147">
        <v>40.238321300855489</v>
      </c>
      <c r="R51" s="112">
        <v>31.621549826499589</v>
      </c>
      <c r="S51" s="112">
        <v>60.656799999999997</v>
      </c>
      <c r="T51" s="112">
        <v>54.244199999999999</v>
      </c>
      <c r="U51" s="146">
        <v>36.858400000000003</v>
      </c>
      <c r="V51" s="113">
        <v>28.930399999999999</v>
      </c>
      <c r="W51">
        <v>63.693399999999997</v>
      </c>
      <c r="X51">
        <v>57.491999999999997</v>
      </c>
      <c r="Y51">
        <v>40.906300000000002</v>
      </c>
      <c r="Z51">
        <v>30.645800000000001</v>
      </c>
      <c r="AA51" s="104">
        <v>60.340783380593422</v>
      </c>
      <c r="AB51" s="104">
        <v>55.242090374825814</v>
      </c>
      <c r="AC51" s="104">
        <v>40.322472045550548</v>
      </c>
      <c r="AD51" s="104">
        <v>29.443585300257286</v>
      </c>
    </row>
    <row r="52" spans="1:30" ht="14.7" customHeight="1">
      <c r="A52" s="131" t="s">
        <v>302</v>
      </c>
      <c r="B52" s="131"/>
      <c r="C52">
        <v>29.853630178152578</v>
      </c>
      <c r="D52">
        <v>21.107833042644817</v>
      </c>
      <c r="E52">
        <v>13.636567000064955</v>
      </c>
      <c r="F52">
        <v>8.900606680195283</v>
      </c>
      <c r="G52">
        <v>29.874278860647372</v>
      </c>
      <c r="H52">
        <v>21.976319391308468</v>
      </c>
      <c r="I52" s="147">
        <v>12.61194335157048</v>
      </c>
      <c r="J52" s="112">
        <v>9.2676477486166213</v>
      </c>
      <c r="K52" s="112">
        <v>28.314866930713766</v>
      </c>
      <c r="L52" s="126">
        <v>21.479258330076526</v>
      </c>
      <c r="M52" s="112">
        <v>13.45813214659422</v>
      </c>
      <c r="N52" s="126">
        <v>9.3999776225715781</v>
      </c>
      <c r="O52" s="147">
        <v>33.122926672393113</v>
      </c>
      <c r="P52" s="147">
        <v>25.140485457884775</v>
      </c>
      <c r="Q52" s="147">
        <v>13.959333129052078</v>
      </c>
      <c r="R52" s="112">
        <v>10.245505379947033</v>
      </c>
      <c r="S52" s="112">
        <v>32.764500000000005</v>
      </c>
      <c r="T52" s="112">
        <v>26.090200000000003</v>
      </c>
      <c r="U52" s="146">
        <v>15.410499999999999</v>
      </c>
      <c r="V52" s="113">
        <v>10.2506</v>
      </c>
      <c r="W52">
        <v>32.462499999999999</v>
      </c>
      <c r="X52">
        <v>26.625500000000002</v>
      </c>
      <c r="Y52">
        <v>16.232399999999998</v>
      </c>
      <c r="Z52">
        <v>10.7003</v>
      </c>
      <c r="AA52" s="104">
        <v>30.572479096813858</v>
      </c>
      <c r="AB52" s="104">
        <v>24.044801146375789</v>
      </c>
      <c r="AC52" s="104">
        <v>13.847360264035371</v>
      </c>
      <c r="AD52" s="104">
        <v>9.4511887428115742</v>
      </c>
    </row>
    <row r="53" spans="1:30" ht="14.7" customHeight="1">
      <c r="A53" s="131" t="s">
        <v>200</v>
      </c>
      <c r="B53" s="131"/>
      <c r="C53">
        <v>16.244179119501435</v>
      </c>
      <c r="D53">
        <v>10.580189280203628</v>
      </c>
      <c r="E53">
        <v>9.2497635040316606</v>
      </c>
      <c r="F53">
        <v>5.3254115758553944</v>
      </c>
      <c r="G53">
        <v>15.073814763750857</v>
      </c>
      <c r="H53">
        <v>8.8281395074867355</v>
      </c>
      <c r="I53" s="147">
        <v>6.038109576513671</v>
      </c>
      <c r="J53" s="112">
        <v>4.0707321407534458</v>
      </c>
      <c r="K53" s="112">
        <v>18.818140299241552</v>
      </c>
      <c r="L53" s="126">
        <v>11.875035597218215</v>
      </c>
      <c r="M53" s="112">
        <v>4.8129403007645797</v>
      </c>
      <c r="N53" s="126">
        <v>3.6060718543352013</v>
      </c>
      <c r="O53" s="147">
        <v>17.918414762290421</v>
      </c>
      <c r="P53" s="147">
        <v>13.922843453993858</v>
      </c>
      <c r="Q53" s="147">
        <v>8.4095985924501271</v>
      </c>
      <c r="R53" s="112">
        <v>6.3842369566357471</v>
      </c>
      <c r="S53" s="112">
        <v>21.322499999999998</v>
      </c>
      <c r="T53" s="112">
        <v>15.3325</v>
      </c>
      <c r="U53" s="146">
        <v>7.5819999999999999</v>
      </c>
      <c r="V53" s="113">
        <v>4.0996999999999995</v>
      </c>
      <c r="W53">
        <v>20.2057</v>
      </c>
      <c r="X53">
        <v>14.549300000000001</v>
      </c>
      <c r="Y53">
        <v>10.050000000000001</v>
      </c>
      <c r="Z53">
        <v>6.6578999999999997</v>
      </c>
      <c r="AA53" s="104">
        <v>18.838687301045123</v>
      </c>
      <c r="AB53" s="104">
        <v>15.874769823516433</v>
      </c>
      <c r="AC53" s="104">
        <v>10.622261240656078</v>
      </c>
      <c r="AD53" s="104">
        <v>6.9612509091738799</v>
      </c>
    </row>
    <row r="54" spans="1:30" ht="14.7" customHeight="1">
      <c r="A54" s="131" t="s">
        <v>28</v>
      </c>
      <c r="B54" s="131"/>
      <c r="C54">
        <v>12.6611027528511</v>
      </c>
      <c r="D54">
        <v>6.4498308504771975</v>
      </c>
      <c r="E54">
        <v>2.3844781690614942</v>
      </c>
      <c r="F54">
        <v>2.0724428083714939</v>
      </c>
      <c r="G54">
        <v>10.319590646891712</v>
      </c>
      <c r="H54">
        <v>4.2755711688086793</v>
      </c>
      <c r="I54" s="147">
        <v>1.7581402636385752</v>
      </c>
      <c r="J54" s="112">
        <v>1.2456242346276114</v>
      </c>
      <c r="K54" s="112">
        <v>10.57635105516939</v>
      </c>
      <c r="L54" s="126">
        <v>7.3895095373193502</v>
      </c>
      <c r="M54" s="112">
        <v>1.7387312088714142</v>
      </c>
      <c r="N54" s="126">
        <v>0.61410840484851337</v>
      </c>
      <c r="O54" s="147">
        <v>9.9193235110831139</v>
      </c>
      <c r="P54" s="147">
        <v>7.4133992318511925</v>
      </c>
      <c r="Q54" s="147">
        <v>3.7940800496798177</v>
      </c>
      <c r="R54" s="112">
        <v>1.0000939849013619</v>
      </c>
      <c r="S54" s="112">
        <v>8.1326999999999998</v>
      </c>
      <c r="T54" s="112">
        <v>5.9998999999999993</v>
      </c>
      <c r="U54" s="147">
        <v>2.0575999999999999</v>
      </c>
      <c r="V54" s="149">
        <v>1.5370999999999999</v>
      </c>
      <c r="W54">
        <v>14.197399999999998</v>
      </c>
      <c r="X54">
        <v>10.093999999999999</v>
      </c>
      <c r="Y54">
        <v>4.835</v>
      </c>
      <c r="Z54">
        <v>2.7747999999999999</v>
      </c>
      <c r="AA54" s="104">
        <v>11.827959131765803</v>
      </c>
      <c r="AB54" s="104">
        <v>7.3071690499661219</v>
      </c>
      <c r="AC54" s="104">
        <v>3.0512581156315393</v>
      </c>
      <c r="AD54" s="104">
        <v>0.72849548389656316</v>
      </c>
    </row>
    <row r="55" spans="1:30" ht="14.7" customHeight="1">
      <c r="A55" s="131" t="s">
        <v>29</v>
      </c>
      <c r="B55" s="131"/>
      <c r="C55">
        <v>18.216069508905321</v>
      </c>
      <c r="D55">
        <v>11.833743285010726</v>
      </c>
      <c r="E55">
        <v>5.8153525373382111</v>
      </c>
      <c r="F55">
        <v>3.650115152426499</v>
      </c>
      <c r="G55">
        <v>19.58459384834811</v>
      </c>
      <c r="H55">
        <v>12.237679121807908</v>
      </c>
      <c r="I55" s="147">
        <v>3.9537335963737803</v>
      </c>
      <c r="J55" s="112">
        <v>2.5209623054370951</v>
      </c>
      <c r="K55" s="112">
        <v>16.058293257530032</v>
      </c>
      <c r="L55" s="126">
        <v>11.44358746843219</v>
      </c>
      <c r="M55" s="112">
        <v>3.1200210614585058</v>
      </c>
      <c r="N55" s="126">
        <v>1.128348138108564</v>
      </c>
      <c r="O55" s="147">
        <v>19.044105188065558</v>
      </c>
      <c r="P55" s="147">
        <v>14.250745616361518</v>
      </c>
      <c r="Q55" s="147">
        <v>8.2978211853885231</v>
      </c>
      <c r="R55" s="112">
        <v>5.5754930697643355</v>
      </c>
      <c r="S55" s="112">
        <v>18.004300000000001</v>
      </c>
      <c r="T55" s="112">
        <v>13.355700000000001</v>
      </c>
      <c r="U55" s="146">
        <v>5.4904000000000002</v>
      </c>
      <c r="V55" s="113">
        <v>3.8210000000000002</v>
      </c>
      <c r="W55">
        <v>16.826000000000001</v>
      </c>
      <c r="X55">
        <v>13.7011</v>
      </c>
      <c r="Y55">
        <v>6.6748000000000003</v>
      </c>
      <c r="Z55">
        <v>3.4058999999999999</v>
      </c>
      <c r="AA55" s="104">
        <v>22.376897582224775</v>
      </c>
      <c r="AB55" s="104">
        <v>16.386313301472441</v>
      </c>
      <c r="AC55" s="104">
        <v>9.4704601366935091</v>
      </c>
      <c r="AD55" s="104">
        <v>5.5777125714870435</v>
      </c>
    </row>
    <row r="56" spans="1:30" ht="14.7" customHeight="1">
      <c r="A56" s="131" t="s">
        <v>30</v>
      </c>
      <c r="B56" s="131"/>
      <c r="C56">
        <v>16.400830205875288</v>
      </c>
      <c r="D56">
        <v>10.426844860343254</v>
      </c>
      <c r="E56">
        <v>4.0403387136218196</v>
      </c>
      <c r="F56">
        <v>2.1948422100061058</v>
      </c>
      <c r="G56">
        <v>14.732747712375751</v>
      </c>
      <c r="H56">
        <v>10.79730164090504</v>
      </c>
      <c r="I56" s="147">
        <v>2.807400144031833</v>
      </c>
      <c r="J56" s="112">
        <v>2.3946309489419355</v>
      </c>
      <c r="K56" s="112">
        <v>12.567328844415471</v>
      </c>
      <c r="L56" s="126">
        <v>7.7466328192544243</v>
      </c>
      <c r="M56" s="112">
        <v>2.1720506765871885</v>
      </c>
      <c r="N56" s="126">
        <v>2.1720506765871885</v>
      </c>
      <c r="O56" s="147">
        <v>16.257756715027899</v>
      </c>
      <c r="P56" s="147">
        <v>11.618143606730639</v>
      </c>
      <c r="Q56" s="147">
        <v>5.0101870340493617</v>
      </c>
      <c r="R56" s="112">
        <v>3.4243316072258501</v>
      </c>
      <c r="S56" s="112">
        <v>19.010199999999998</v>
      </c>
      <c r="T56" s="112">
        <v>14.1538</v>
      </c>
      <c r="U56" s="146">
        <v>5.9890999999999996</v>
      </c>
      <c r="V56" s="113">
        <v>5.6099000000000006</v>
      </c>
      <c r="W56">
        <v>15.2774</v>
      </c>
      <c r="X56">
        <v>9.6089000000000002</v>
      </c>
      <c r="Y56">
        <v>5.1108000000000002</v>
      </c>
      <c r="Z56">
        <v>2.3748999999999998</v>
      </c>
      <c r="AA56" s="104">
        <v>16.823734230796841</v>
      </c>
      <c r="AB56" s="104">
        <v>11.285287327781951</v>
      </c>
      <c r="AC56" s="104">
        <v>3.0678464854701768</v>
      </c>
      <c r="AD56" s="104">
        <v>2.1234642132134312</v>
      </c>
    </row>
    <row r="57" spans="1:30" ht="14.7" customHeight="1">
      <c r="A57" s="131" t="s">
        <v>31</v>
      </c>
      <c r="B57" s="131"/>
      <c r="C57">
        <v>12.236049493106437</v>
      </c>
      <c r="D57">
        <v>8.7449437598178381</v>
      </c>
      <c r="E57">
        <v>2.6926626390801625</v>
      </c>
      <c r="F57">
        <v>1.873048233284538</v>
      </c>
      <c r="G57">
        <v>11.884848731625882</v>
      </c>
      <c r="H57">
        <v>7.4638239261278656</v>
      </c>
      <c r="I57" s="146">
        <v>3.8150425636825234</v>
      </c>
      <c r="J57" s="144">
        <v>2.0140833017518558</v>
      </c>
      <c r="K57" s="144">
        <v>12.78024473065563</v>
      </c>
      <c r="L57" s="126">
        <v>8.6720475154262395</v>
      </c>
      <c r="M57" s="144">
        <v>3.8365170356707279</v>
      </c>
      <c r="N57" s="126">
        <v>2.2992177877438009</v>
      </c>
      <c r="O57" s="146">
        <v>18.251961313504342</v>
      </c>
      <c r="P57" s="146">
        <v>12.685659975944391</v>
      </c>
      <c r="Q57" s="146">
        <v>3.1725329474837825</v>
      </c>
      <c r="R57" s="144">
        <v>2.1864108338973347</v>
      </c>
      <c r="S57" s="144">
        <v>12.3719</v>
      </c>
      <c r="T57" s="144">
        <v>8.5877999999999997</v>
      </c>
      <c r="U57" s="146">
        <v>5.1674999999999995</v>
      </c>
      <c r="V57" s="113">
        <v>3.6117000000000004</v>
      </c>
      <c r="W57">
        <v>15.299399999999999</v>
      </c>
      <c r="X57">
        <v>10.3515</v>
      </c>
      <c r="Y57">
        <v>6.0094000000000003</v>
      </c>
      <c r="Z57">
        <v>3.2002000000000002</v>
      </c>
      <c r="AA57" s="104">
        <v>12.520784858601314</v>
      </c>
      <c r="AB57" s="104">
        <v>8.1836865389782201</v>
      </c>
      <c r="AC57" s="104">
        <v>3.4936179470591773</v>
      </c>
      <c r="AD57" s="104">
        <v>2.0018011991765925</v>
      </c>
    </row>
    <row r="58" spans="1:30" ht="14.7" customHeight="1">
      <c r="A58" s="131" t="s">
        <v>303</v>
      </c>
      <c r="B58" s="131"/>
      <c r="C58">
        <v>14.037864438129544</v>
      </c>
      <c r="D58">
        <v>8.4209142655311275</v>
      </c>
      <c r="E58">
        <v>3.8237193442567574</v>
      </c>
      <c r="F58">
        <v>2.4117501046473557</v>
      </c>
      <c r="G58">
        <v>15.70256881138593</v>
      </c>
      <c r="H58">
        <v>9.1754338602379732</v>
      </c>
      <c r="I58" s="147">
        <v>4.0996619375531376</v>
      </c>
      <c r="J58" s="112">
        <v>2.5691134221670646</v>
      </c>
      <c r="K58" s="112">
        <v>15.485708006106917</v>
      </c>
      <c r="L58" s="126">
        <v>9.634027543188445</v>
      </c>
      <c r="M58" s="112">
        <v>2.4675742982614635</v>
      </c>
      <c r="N58" s="126">
        <v>1.2815124399996858</v>
      </c>
      <c r="O58" s="147">
        <v>15.977860403391928</v>
      </c>
      <c r="P58" s="147">
        <v>8.4305541980803902</v>
      </c>
      <c r="Q58" s="147">
        <v>2.6002494813602315</v>
      </c>
      <c r="R58" s="112">
        <v>1.9153869593289523</v>
      </c>
      <c r="S58" s="112">
        <v>20.218399999999999</v>
      </c>
      <c r="T58" s="112">
        <v>13.198399999999999</v>
      </c>
      <c r="U58" s="146">
        <v>5.9973999999999998</v>
      </c>
      <c r="V58" s="113">
        <v>4.2038000000000002</v>
      </c>
      <c r="W58">
        <v>15.759600000000001</v>
      </c>
      <c r="X58">
        <v>10.447900000000001</v>
      </c>
      <c r="Y58">
        <v>1.7361000000000002</v>
      </c>
      <c r="Z58">
        <v>1.4232</v>
      </c>
      <c r="AA58" s="104">
        <v>14.388922175507101</v>
      </c>
      <c r="AB58" s="104">
        <v>9.2308116890133807</v>
      </c>
      <c r="AC58" s="104">
        <v>5.0516790031840051</v>
      </c>
      <c r="AD58" s="104">
        <v>1.872623500025083</v>
      </c>
    </row>
    <row r="59" spans="1:30" ht="14.7" customHeight="1">
      <c r="A59" s="131" t="s">
        <v>32</v>
      </c>
      <c r="B59" s="131"/>
      <c r="C59">
        <v>19.522889845630132</v>
      </c>
      <c r="D59">
        <v>13.067079233149398</v>
      </c>
      <c r="E59">
        <v>7.7959222807882655</v>
      </c>
      <c r="F59">
        <v>4.6172801342316996</v>
      </c>
      <c r="G59">
        <v>23.865560089132767</v>
      </c>
      <c r="H59">
        <v>17.943102375867323</v>
      </c>
      <c r="I59" s="147">
        <v>10.049578592032399</v>
      </c>
      <c r="J59" s="112">
        <v>5.6758731609321496</v>
      </c>
      <c r="K59" s="112">
        <v>16.760274909586965</v>
      </c>
      <c r="L59" s="126">
        <v>13.092308966931085</v>
      </c>
      <c r="M59" s="112">
        <v>6.5523201035824181</v>
      </c>
      <c r="N59" s="126">
        <v>4.4666064234201084</v>
      </c>
      <c r="O59" s="147">
        <v>22.125837185649537</v>
      </c>
      <c r="P59" s="147">
        <v>14.347956268071666</v>
      </c>
      <c r="Q59" s="147">
        <v>7.7712478393051354</v>
      </c>
      <c r="R59" s="112">
        <v>5.6712489603497378</v>
      </c>
      <c r="S59" s="112">
        <v>22.9955</v>
      </c>
      <c r="T59" s="112">
        <v>15.202399999999999</v>
      </c>
      <c r="U59" s="147">
        <v>6.5357000000000003</v>
      </c>
      <c r="V59" s="149">
        <v>4.4735999999999994</v>
      </c>
      <c r="W59">
        <v>15.6739</v>
      </c>
      <c r="X59">
        <v>11.645099999999999</v>
      </c>
      <c r="Y59">
        <v>7.7757000000000005</v>
      </c>
      <c r="Z59">
        <v>4.3864999999999998</v>
      </c>
      <c r="AA59" s="104">
        <v>17.945707019887656</v>
      </c>
      <c r="AB59" s="104">
        <v>13.962730161393294</v>
      </c>
      <c r="AC59" s="104">
        <v>8.5847046455206453</v>
      </c>
      <c r="AD59" s="104">
        <v>4.9172314846384015</v>
      </c>
    </row>
    <row r="60" spans="1:30" ht="14.7" customHeight="1">
      <c r="A60" s="131" t="s">
        <v>33</v>
      </c>
      <c r="B60" s="131"/>
      <c r="C60">
        <v>15.994273977479473</v>
      </c>
      <c r="D60">
        <v>10.234202448440604</v>
      </c>
      <c r="E60">
        <v>5.2294161093724023</v>
      </c>
      <c r="F60">
        <v>1.7863458603643401</v>
      </c>
      <c r="G60">
        <v>17.07322013847531</v>
      </c>
      <c r="H60">
        <v>12.323994303806442</v>
      </c>
      <c r="I60" s="147">
        <v>4.4463530789222609</v>
      </c>
      <c r="J60" s="112">
        <v>3.7444572512017307</v>
      </c>
      <c r="K60" s="112">
        <v>20.521629557423235</v>
      </c>
      <c r="L60" s="126">
        <v>10.116994805081418</v>
      </c>
      <c r="M60" s="112">
        <v>5.1466998972128408</v>
      </c>
      <c r="N60" s="126">
        <v>3.2812518602888354</v>
      </c>
      <c r="O60" s="147">
        <v>25.137066159204192</v>
      </c>
      <c r="P60" s="147">
        <v>16.377713864073193</v>
      </c>
      <c r="Q60" s="147">
        <v>7.3582943492323682</v>
      </c>
      <c r="R60" s="112">
        <v>3.5020299949106102</v>
      </c>
      <c r="S60" s="112">
        <v>17.6526</v>
      </c>
      <c r="T60" s="112">
        <v>13.643800000000001</v>
      </c>
      <c r="U60" s="147">
        <v>7.0135000000000005</v>
      </c>
      <c r="V60" s="149">
        <v>4.9992000000000001</v>
      </c>
      <c r="W60">
        <v>20.239999999999998</v>
      </c>
      <c r="X60">
        <v>14.4076</v>
      </c>
      <c r="Y60">
        <v>7.3111999999999995</v>
      </c>
      <c r="Z60">
        <v>5.6911000000000005</v>
      </c>
      <c r="AA60" s="104">
        <v>14.035180367129602</v>
      </c>
      <c r="AB60" s="104">
        <v>10.276553681354377</v>
      </c>
      <c r="AC60" s="104">
        <v>4.4573084688375602</v>
      </c>
      <c r="AD60" s="104">
        <v>1.946630195882237</v>
      </c>
    </row>
    <row r="61" spans="1:30" ht="14.7" customHeight="1">
      <c r="A61" s="131" t="s">
        <v>34</v>
      </c>
      <c r="B61" s="131"/>
      <c r="C61">
        <v>19.974974016135285</v>
      </c>
      <c r="D61">
        <v>14.33158830057468</v>
      </c>
      <c r="E61">
        <v>7.281458572123797</v>
      </c>
      <c r="F61">
        <v>4.9227388917594057</v>
      </c>
      <c r="G61">
        <v>26.123695249635382</v>
      </c>
      <c r="H61">
        <v>17.584877102303381</v>
      </c>
      <c r="I61" s="147">
        <v>7.2472606654912299</v>
      </c>
      <c r="J61" s="112">
        <v>4.230369779967635</v>
      </c>
      <c r="K61" s="112">
        <v>22.95709968361902</v>
      </c>
      <c r="L61" s="126">
        <v>16.230659048338609</v>
      </c>
      <c r="M61" s="112">
        <v>7.1400182588027894</v>
      </c>
      <c r="N61" s="126">
        <v>5.0857061906785663</v>
      </c>
      <c r="O61" s="147">
        <v>26.089466962163133</v>
      </c>
      <c r="P61" s="147">
        <v>19.561602697770862</v>
      </c>
      <c r="Q61" s="147">
        <v>11.60333242420119</v>
      </c>
      <c r="R61" s="112">
        <v>8.599905268112682</v>
      </c>
      <c r="S61" s="112">
        <v>21.504300000000001</v>
      </c>
      <c r="T61" s="112">
        <v>17.066600000000001</v>
      </c>
      <c r="U61" s="146">
        <v>9.2835000000000001</v>
      </c>
      <c r="V61" s="113">
        <v>6.9762000000000004</v>
      </c>
      <c r="W61">
        <v>18.668100000000003</v>
      </c>
      <c r="X61">
        <v>13.540699999999999</v>
      </c>
      <c r="Y61">
        <v>7.9658999999999995</v>
      </c>
      <c r="Z61">
        <v>5.5972</v>
      </c>
      <c r="AA61" s="104">
        <v>23.141166876284405</v>
      </c>
      <c r="AB61" s="104">
        <v>19.142284461125076</v>
      </c>
      <c r="AC61" s="104">
        <v>11.522734618937443</v>
      </c>
      <c r="AD61" s="104">
        <v>8.9143149399272055</v>
      </c>
    </row>
    <row r="62" spans="1:30" ht="14.7" customHeight="1">
      <c r="A62" s="131" t="s">
        <v>35</v>
      </c>
      <c r="B62" s="131"/>
      <c r="C62">
        <v>18.184015320469438</v>
      </c>
      <c r="D62">
        <v>11.08786197715084</v>
      </c>
      <c r="E62">
        <v>2.9821952960666063</v>
      </c>
      <c r="F62">
        <v>1.5773730936613457</v>
      </c>
      <c r="G62">
        <v>14.90745271535391</v>
      </c>
      <c r="H62">
        <v>9.1273831611191909</v>
      </c>
      <c r="I62" s="147">
        <v>3.9526635359909692</v>
      </c>
      <c r="J62" s="112">
        <v>1.2016210452626106</v>
      </c>
      <c r="K62" s="112">
        <v>13.951220277984369</v>
      </c>
      <c r="L62" s="126">
        <v>8.9407796485946562</v>
      </c>
      <c r="M62" s="112">
        <v>4.1762385678990954</v>
      </c>
      <c r="N62" s="126">
        <v>2.8808303222069425</v>
      </c>
      <c r="O62" s="147">
        <v>18.595791043615879</v>
      </c>
      <c r="P62" s="147">
        <v>12.81371132239836</v>
      </c>
      <c r="Q62" s="147">
        <v>7.1640527677231187</v>
      </c>
      <c r="R62" s="112">
        <v>4.3546969503986839</v>
      </c>
      <c r="S62" s="112">
        <v>17.837299999999999</v>
      </c>
      <c r="T62" s="112">
        <v>13.478899999999999</v>
      </c>
      <c r="U62" s="146">
        <v>6.0409999999999995</v>
      </c>
      <c r="V62" s="113">
        <v>4.7740999999999998</v>
      </c>
      <c r="W62">
        <v>19.321099999999998</v>
      </c>
      <c r="X62">
        <v>10.0809</v>
      </c>
      <c r="Y62">
        <v>5.4020999999999999</v>
      </c>
      <c r="Z62">
        <v>4.4207999999999998</v>
      </c>
      <c r="AA62" s="104">
        <v>17.654112574739948</v>
      </c>
      <c r="AB62" s="104">
        <v>11.420640128545674</v>
      </c>
      <c r="AC62" s="104">
        <v>5.230383243791449</v>
      </c>
      <c r="AD62" s="104">
        <v>3.3313557923952941</v>
      </c>
    </row>
    <row r="63" spans="1:30" ht="14.7" customHeight="1">
      <c r="A63" s="131" t="s">
        <v>304</v>
      </c>
      <c r="B63" s="131"/>
      <c r="C63">
        <v>14.40678639821669</v>
      </c>
      <c r="D63">
        <v>10.107206066440714</v>
      </c>
      <c r="E63">
        <v>3.9927648465518466</v>
      </c>
      <c r="F63">
        <v>2.4639731972228551</v>
      </c>
      <c r="G63">
        <v>13.429121396873464</v>
      </c>
      <c r="H63">
        <v>9.3879228211103882</v>
      </c>
      <c r="I63" s="147">
        <v>5.259468594460345</v>
      </c>
      <c r="J63" s="112">
        <v>3.4597155443472452</v>
      </c>
      <c r="K63" s="112">
        <v>15.250287541254901</v>
      </c>
      <c r="L63" s="126">
        <v>9.811658486062953</v>
      </c>
      <c r="M63" s="112">
        <v>3.2375302081926121</v>
      </c>
      <c r="N63" s="126">
        <v>1.2790636586061455</v>
      </c>
      <c r="O63" s="147">
        <v>17.115251092246201</v>
      </c>
      <c r="P63" s="147">
        <v>9.7482799138013636</v>
      </c>
      <c r="Q63" s="147">
        <v>3.9195539344999433</v>
      </c>
      <c r="R63" s="112">
        <v>1.5258910214031656</v>
      </c>
      <c r="S63" s="112">
        <v>19.839000000000002</v>
      </c>
      <c r="T63" s="112">
        <v>15.133699999999999</v>
      </c>
      <c r="U63" s="146">
        <v>7.1153999999999993</v>
      </c>
      <c r="V63" s="113">
        <v>4.5682999999999998</v>
      </c>
      <c r="W63">
        <v>16.882899999999999</v>
      </c>
      <c r="X63">
        <v>10.171099999999999</v>
      </c>
      <c r="Y63">
        <v>4.6651999999999996</v>
      </c>
      <c r="Z63">
        <v>3.4337</v>
      </c>
      <c r="AA63" s="104">
        <v>12.305258547674832</v>
      </c>
      <c r="AB63" s="104">
        <v>8.7179446591120549</v>
      </c>
      <c r="AC63" s="104">
        <v>4.93954722153447</v>
      </c>
      <c r="AD63" s="104">
        <v>2.0333576271567764</v>
      </c>
    </row>
    <row r="64" spans="1:30" ht="14.7" customHeight="1">
      <c r="A64" s="131" t="s">
        <v>812</v>
      </c>
      <c r="B64" s="131"/>
      <c r="C64">
        <v>14.103242736584084</v>
      </c>
      <c r="D64">
        <v>8.2137609550017956</v>
      </c>
      <c r="E64">
        <v>2.8854426917261988</v>
      </c>
      <c r="F64">
        <v>1.6534395986447741</v>
      </c>
      <c r="G64">
        <v>18.753723006323845</v>
      </c>
      <c r="H64">
        <v>11.919035518232452</v>
      </c>
      <c r="I64" s="147">
        <v>2.8079239614191249</v>
      </c>
      <c r="J64" s="112">
        <v>1.4593181959489678</v>
      </c>
      <c r="K64" s="112">
        <v>15.237422256619054</v>
      </c>
      <c r="L64" s="126">
        <v>9.2133835337421921</v>
      </c>
      <c r="M64" s="112">
        <v>3.7057403157538382</v>
      </c>
      <c r="N64" s="126">
        <v>2.2451777494730263</v>
      </c>
      <c r="O64" s="147">
        <v>19.250770367257299</v>
      </c>
      <c r="P64" s="147">
        <v>11.517616234968292</v>
      </c>
      <c r="Q64" s="147">
        <v>4.287389412595247</v>
      </c>
      <c r="R64" s="112">
        <v>2.1865824577183859</v>
      </c>
      <c r="S64" s="112">
        <v>17.5139</v>
      </c>
      <c r="T64" s="112">
        <v>12.552900000000001</v>
      </c>
      <c r="U64" s="146">
        <v>5.8310000000000004</v>
      </c>
      <c r="V64" s="113">
        <v>3.6609000000000003</v>
      </c>
      <c r="W64">
        <v>16.7745</v>
      </c>
      <c r="X64">
        <v>13.0015</v>
      </c>
      <c r="Y64">
        <v>5.2820999999999998</v>
      </c>
      <c r="Z64">
        <v>3.5505</v>
      </c>
      <c r="AA64" s="104">
        <v>14.228800242680995</v>
      </c>
      <c r="AB64" s="104">
        <v>8.7022958290640648</v>
      </c>
      <c r="AC64" s="104">
        <v>2.3877953231093803</v>
      </c>
      <c r="AD64" s="104">
        <v>1.3323239822395927</v>
      </c>
    </row>
    <row r="65" spans="1:30" ht="14.7" customHeight="1">
      <c r="A65" s="131" t="s">
        <v>36</v>
      </c>
      <c r="B65" s="131"/>
      <c r="C65">
        <v>11.777246280646066</v>
      </c>
      <c r="D65">
        <v>7.4746948721004545</v>
      </c>
      <c r="E65">
        <v>1.5890575710149977</v>
      </c>
      <c r="F65">
        <v>1.3888499658170521</v>
      </c>
      <c r="G65">
        <v>8.082634406840743</v>
      </c>
      <c r="H65">
        <v>4.2850882940733221</v>
      </c>
      <c r="I65" s="147">
        <v>0.96586999967237819</v>
      </c>
      <c r="J65" s="112">
        <v>0.18551584051371098</v>
      </c>
      <c r="K65" s="112">
        <v>6.290175738681822</v>
      </c>
      <c r="L65" s="126">
        <v>4.8130091554374941</v>
      </c>
      <c r="M65" s="112">
        <v>0.89839947345396065</v>
      </c>
      <c r="N65" s="126">
        <v>5.8132889815511818E-2</v>
      </c>
      <c r="O65" s="147">
        <v>14.74087246290034</v>
      </c>
      <c r="P65" s="147">
        <v>10.50646203225131</v>
      </c>
      <c r="Q65" s="147">
        <v>4.5151989726863055</v>
      </c>
      <c r="R65" s="112">
        <v>1.8926536996908789</v>
      </c>
      <c r="S65" s="112">
        <v>11.354000000000001</v>
      </c>
      <c r="T65" s="112">
        <v>8.0854999999999997</v>
      </c>
      <c r="U65" s="146">
        <v>2.2565</v>
      </c>
      <c r="V65" s="113">
        <v>2.2565</v>
      </c>
      <c r="W65">
        <v>10.452300000000001</v>
      </c>
      <c r="X65">
        <v>5.7580999999999998</v>
      </c>
      <c r="Y65">
        <v>1.6977</v>
      </c>
      <c r="Z65">
        <v>0.46010000000000001</v>
      </c>
      <c r="AA65" s="104">
        <v>11.460920519984221</v>
      </c>
      <c r="AB65" s="104">
        <v>7.0837550648405685</v>
      </c>
      <c r="AC65" s="104">
        <v>2.613059722004305</v>
      </c>
      <c r="AD65" s="104">
        <v>2.0497065424538796</v>
      </c>
    </row>
    <row r="66" spans="1:30" ht="14.7" customHeight="1">
      <c r="A66" s="131" t="s">
        <v>37</v>
      </c>
      <c r="B66" s="131"/>
      <c r="C66">
        <v>22.525566204414929</v>
      </c>
      <c r="D66">
        <v>14.812910469461183</v>
      </c>
      <c r="E66">
        <v>5.8538307114301675</v>
      </c>
      <c r="F66">
        <v>3.5952744467886801</v>
      </c>
      <c r="G66">
        <v>22.529543006306003</v>
      </c>
      <c r="H66">
        <v>16.90060108429309</v>
      </c>
      <c r="I66" s="147">
        <v>7.4723779766590379</v>
      </c>
      <c r="J66" s="112">
        <v>4.2622891259854914</v>
      </c>
      <c r="K66" s="112">
        <v>20.65966008522587</v>
      </c>
      <c r="L66" s="126">
        <v>12.534703272192299</v>
      </c>
      <c r="M66" s="112">
        <v>4.9444747644923241</v>
      </c>
      <c r="N66" s="126">
        <v>2.9947638595575383</v>
      </c>
      <c r="O66" s="147">
        <v>30.338706312997193</v>
      </c>
      <c r="P66" s="147">
        <v>20.433978084896452</v>
      </c>
      <c r="Q66" s="147">
        <v>7.5477611254652164</v>
      </c>
      <c r="R66" s="112">
        <v>3.7421361463611094</v>
      </c>
      <c r="S66" s="112">
        <v>27.188200000000002</v>
      </c>
      <c r="T66" s="112">
        <v>15.604699999999999</v>
      </c>
      <c r="U66" s="146">
        <v>6.1141000000000005</v>
      </c>
      <c r="V66" s="113">
        <v>4.1586999999999996</v>
      </c>
      <c r="W66">
        <v>23.4237</v>
      </c>
      <c r="X66">
        <v>18.126900000000003</v>
      </c>
      <c r="Y66">
        <v>7.6334</v>
      </c>
      <c r="Z66">
        <v>4.6032999999999999</v>
      </c>
      <c r="AA66" s="104">
        <v>23.761991291355585</v>
      </c>
      <c r="AB66" s="104">
        <v>18.999514833142442</v>
      </c>
      <c r="AC66" s="104">
        <v>9.8613432625091058</v>
      </c>
      <c r="AD66" s="104">
        <v>4.9475138332554192</v>
      </c>
    </row>
    <row r="67" spans="1:30" ht="14.7" customHeight="1">
      <c r="A67" s="131" t="s">
        <v>38</v>
      </c>
      <c r="B67" s="131"/>
      <c r="C67">
        <v>14.87951275086529</v>
      </c>
      <c r="D67">
        <v>8.4496995092685019</v>
      </c>
      <c r="E67">
        <v>3.9153705710821058</v>
      </c>
      <c r="F67">
        <v>2.0909866361348879</v>
      </c>
      <c r="G67">
        <v>14.919892986892322</v>
      </c>
      <c r="H67">
        <v>8.4615980211173163</v>
      </c>
      <c r="I67" s="147">
        <v>2.8709284366582315</v>
      </c>
      <c r="J67" s="112">
        <v>0.93931725287398482</v>
      </c>
      <c r="K67" s="112">
        <v>15.82795202017131</v>
      </c>
      <c r="L67" s="126">
        <v>8.1517115060888052</v>
      </c>
      <c r="M67" s="112">
        <v>2.139661820936074</v>
      </c>
      <c r="N67" s="126">
        <v>0.45526447779621126</v>
      </c>
      <c r="O67" s="147">
        <v>15.946480197706778</v>
      </c>
      <c r="P67" s="147">
        <v>10.496497634546349</v>
      </c>
      <c r="Q67" s="147">
        <v>5.1515658238235726</v>
      </c>
      <c r="R67" s="112">
        <v>2.6846979129604005</v>
      </c>
      <c r="S67" s="112">
        <v>22.591799999999999</v>
      </c>
      <c r="T67" s="112">
        <v>15.782599999999999</v>
      </c>
      <c r="U67" s="146">
        <v>4.0647000000000002</v>
      </c>
      <c r="V67" s="113">
        <v>2.2949000000000002</v>
      </c>
      <c r="W67">
        <v>16.6892</v>
      </c>
      <c r="X67">
        <v>11.479699999999999</v>
      </c>
      <c r="Y67">
        <v>5.5461</v>
      </c>
      <c r="Z67">
        <v>3.3985000000000003</v>
      </c>
      <c r="AA67" s="104">
        <v>21.723567066898237</v>
      </c>
      <c r="AB67" s="104">
        <v>13.51500197900859</v>
      </c>
      <c r="AC67" s="104">
        <v>4.5217982466415316</v>
      </c>
      <c r="AD67" s="104">
        <v>1.7773654359935713</v>
      </c>
    </row>
    <row r="68" spans="1:30" ht="14.7" customHeight="1">
      <c r="A68" s="131" t="s">
        <v>39</v>
      </c>
      <c r="B68" s="131"/>
      <c r="C68">
        <v>14.340320067247889</v>
      </c>
      <c r="D68">
        <v>8.6809452335774271</v>
      </c>
      <c r="E68">
        <v>1.6534226281960731</v>
      </c>
      <c r="F68">
        <v>0.88653100983278987</v>
      </c>
      <c r="G68">
        <v>17.180006951238866</v>
      </c>
      <c r="H68">
        <v>11.010193767996835</v>
      </c>
      <c r="I68" s="147">
        <v>2.1042605650076252</v>
      </c>
      <c r="J68" s="112">
        <v>0.59498811430362675</v>
      </c>
      <c r="K68" s="112">
        <v>14.718075956591703</v>
      </c>
      <c r="L68" s="126">
        <v>10.673914594414631</v>
      </c>
      <c r="M68" s="112">
        <v>4.7211278547137958</v>
      </c>
      <c r="N68" s="126">
        <v>2.9222915395042453</v>
      </c>
      <c r="O68" s="147">
        <v>19.309183295281404</v>
      </c>
      <c r="P68" s="147">
        <v>13.220844290078237</v>
      </c>
      <c r="Q68" s="147">
        <v>5.7374852974452581</v>
      </c>
      <c r="R68" s="112">
        <v>2.4776068879234958</v>
      </c>
      <c r="S68" s="112">
        <v>17.831299999999999</v>
      </c>
      <c r="T68" s="112">
        <v>13.134499999999999</v>
      </c>
      <c r="U68" s="147">
        <v>4.5364000000000004</v>
      </c>
      <c r="V68" s="149">
        <v>2.7652999999999999</v>
      </c>
      <c r="W68">
        <v>15.690499999999998</v>
      </c>
      <c r="X68">
        <v>10.7386</v>
      </c>
      <c r="Y68">
        <v>3.4708999999999999</v>
      </c>
      <c r="Z68">
        <v>2.2578</v>
      </c>
      <c r="AA68" s="104">
        <v>14.931839908853616</v>
      </c>
      <c r="AB68" s="104">
        <v>11.14419289046055</v>
      </c>
      <c r="AC68" s="104">
        <v>6.6359833234335488</v>
      </c>
      <c r="AD68" s="104">
        <v>3.8298380532869012</v>
      </c>
    </row>
    <row r="69" spans="1:30" ht="14.7" customHeight="1">
      <c r="A69" s="131" t="s">
        <v>40</v>
      </c>
      <c r="B69" s="131"/>
      <c r="C69">
        <v>16.154762869642418</v>
      </c>
      <c r="D69">
        <v>11.933700401487393</v>
      </c>
      <c r="E69">
        <v>3.5497311808668468</v>
      </c>
      <c r="F69">
        <v>1.2779898115959707</v>
      </c>
      <c r="G69">
        <v>20.936851783216852</v>
      </c>
      <c r="H69">
        <v>16.253786060676276</v>
      </c>
      <c r="I69" s="147">
        <v>5.5684056339893084</v>
      </c>
      <c r="J69" s="112">
        <v>3.4240056935732142</v>
      </c>
      <c r="K69" s="112">
        <v>15.517286298621785</v>
      </c>
      <c r="L69" s="126">
        <v>10.74063364698417</v>
      </c>
      <c r="M69" s="112">
        <v>4.184286936301973</v>
      </c>
      <c r="N69" s="126">
        <v>1.9935502785107009</v>
      </c>
      <c r="O69" s="147">
        <v>24.048511116290282</v>
      </c>
      <c r="P69" s="147">
        <v>16.529135082419664</v>
      </c>
      <c r="Q69" s="147">
        <v>6.1343726629908453</v>
      </c>
      <c r="R69" s="112">
        <v>2.6005277285785713</v>
      </c>
      <c r="S69" s="112">
        <v>21.299900000000001</v>
      </c>
      <c r="T69" s="112">
        <v>12.218500000000001</v>
      </c>
      <c r="U69" s="146">
        <v>4.5440000000000005</v>
      </c>
      <c r="V69" s="113">
        <v>2.4289999999999998</v>
      </c>
      <c r="W69">
        <v>19.164000000000001</v>
      </c>
      <c r="X69">
        <v>12.903899999999998</v>
      </c>
      <c r="Y69">
        <v>4.1764000000000001</v>
      </c>
      <c r="Z69">
        <v>1.9156</v>
      </c>
    </row>
    <row r="70" spans="1:30" ht="14.7" customHeight="1">
      <c r="A70" s="131" t="s">
        <v>370</v>
      </c>
      <c r="B70" s="131"/>
      <c r="C70">
        <v>11.359236339415958</v>
      </c>
      <c r="D70">
        <v>7.7178212823337589</v>
      </c>
      <c r="E70">
        <v>0</v>
      </c>
      <c r="F70">
        <v>0</v>
      </c>
      <c r="G70">
        <v>7.4974139312615637</v>
      </c>
      <c r="H70">
        <v>7.4215449168099301</v>
      </c>
      <c r="I70" s="147">
        <v>0.40793729421020436</v>
      </c>
      <c r="J70" s="112">
        <v>0.22727934963139956</v>
      </c>
      <c r="K70" s="112">
        <v>16.853175327501717</v>
      </c>
      <c r="L70" s="126">
        <v>12.7534400449312</v>
      </c>
      <c r="M70" s="112">
        <v>9.4341477113170455</v>
      </c>
      <c r="N70" s="126">
        <v>9.4341477113170455</v>
      </c>
      <c r="O70" s="147">
        <v>29.349429958768404</v>
      </c>
      <c r="P70" s="147">
        <v>21.725195535423573</v>
      </c>
      <c r="Q70" s="147">
        <v>9.3797017006736034</v>
      </c>
      <c r="R70" s="112">
        <v>3.3544534188628745</v>
      </c>
      <c r="S70" s="112">
        <v>19.146799999999999</v>
      </c>
      <c r="T70" s="112">
        <v>14.559900000000001</v>
      </c>
      <c r="U70" s="146">
        <v>6.8449</v>
      </c>
      <c r="V70" s="113">
        <v>1.3946999999999998</v>
      </c>
      <c r="W70">
        <v>20.325199999999999</v>
      </c>
      <c r="X70">
        <v>11.0923</v>
      </c>
      <c r="Y70">
        <v>4.3669000000000002</v>
      </c>
      <c r="Z70">
        <v>1.4994000000000001</v>
      </c>
      <c r="AA70" s="104">
        <v>25.734692283751198</v>
      </c>
      <c r="AB70" s="104">
        <v>13.402090842597806</v>
      </c>
      <c r="AC70" s="104">
        <v>2.6609003017183634</v>
      </c>
      <c r="AD70" s="104">
        <v>1.4983815107028988</v>
      </c>
    </row>
    <row r="71" spans="1:30" ht="14.7" customHeight="1">
      <c r="A71" s="131" t="s">
        <v>41</v>
      </c>
      <c r="B71" s="131"/>
      <c r="C71">
        <v>18.293117738484259</v>
      </c>
      <c r="D71">
        <v>11.970803813909667</v>
      </c>
      <c r="E71">
        <v>4.9720986383374095</v>
      </c>
      <c r="F71">
        <v>2.9354834289519838</v>
      </c>
      <c r="G71">
        <v>21.404022738984533</v>
      </c>
      <c r="H71">
        <v>11.270784741554435</v>
      </c>
      <c r="I71" s="147">
        <v>5.6925332525362613</v>
      </c>
      <c r="J71" s="112">
        <v>3.1293275067257458</v>
      </c>
      <c r="K71" s="112">
        <v>18.878898477741991</v>
      </c>
      <c r="L71" s="126">
        <v>12.65585502578471</v>
      </c>
      <c r="M71" s="112">
        <v>7.0147917067949708</v>
      </c>
      <c r="N71" s="126">
        <v>4.3062552497751154</v>
      </c>
      <c r="O71" s="147">
        <v>19.126104144441147</v>
      </c>
      <c r="P71" s="147">
        <v>14.915571318987448</v>
      </c>
      <c r="Q71" s="147">
        <v>10.010699177353212</v>
      </c>
      <c r="R71" s="112">
        <v>6.3044168531881519</v>
      </c>
      <c r="S71" s="112">
        <v>19.587699999999998</v>
      </c>
      <c r="T71" s="112">
        <v>14.127700000000001</v>
      </c>
      <c r="U71" s="146">
        <v>7.2202999999999999</v>
      </c>
      <c r="V71" s="113">
        <v>4.4970999999999997</v>
      </c>
      <c r="W71">
        <v>22.773800000000001</v>
      </c>
      <c r="X71">
        <v>17.881800000000002</v>
      </c>
      <c r="Y71">
        <v>5.2450999999999999</v>
      </c>
      <c r="Z71">
        <v>2.3923000000000001</v>
      </c>
      <c r="AA71" s="104">
        <v>22.688163821930118</v>
      </c>
      <c r="AB71" s="104">
        <v>17.029379564933944</v>
      </c>
      <c r="AC71" s="104">
        <v>6.6510058815484774</v>
      </c>
      <c r="AD71" s="104">
        <v>3.4316533052683158</v>
      </c>
    </row>
    <row r="72" spans="1:30" ht="14.7" customHeight="1">
      <c r="A72" s="131" t="s">
        <v>42</v>
      </c>
      <c r="B72" s="131"/>
      <c r="C72">
        <v>16.980545465911511</v>
      </c>
      <c r="D72">
        <v>11.957125437299613</v>
      </c>
      <c r="E72">
        <v>5.9149632734300885</v>
      </c>
      <c r="F72">
        <v>1.4515325010094742</v>
      </c>
      <c r="G72">
        <v>12.195196498542078</v>
      </c>
      <c r="H72">
        <v>8.8455359472860131</v>
      </c>
      <c r="I72" s="147">
        <v>3.828165775052192</v>
      </c>
      <c r="J72" s="112">
        <v>1.592469663361169</v>
      </c>
      <c r="K72" s="112">
        <v>8.0868758787806261</v>
      </c>
      <c r="L72" s="126">
        <v>5.9110248667531318</v>
      </c>
      <c r="M72" s="112">
        <v>1.2488334029461197</v>
      </c>
      <c r="N72" s="126">
        <v>0.71624562588556473</v>
      </c>
      <c r="O72" s="147">
        <v>14.366969310039334</v>
      </c>
      <c r="P72" s="147">
        <v>10.609159338915125</v>
      </c>
      <c r="Q72" s="147">
        <v>4.1606716475076473</v>
      </c>
      <c r="R72" s="112">
        <v>2.6397097540137286</v>
      </c>
      <c r="S72" s="112">
        <v>16.0444</v>
      </c>
      <c r="T72" s="112">
        <v>9.6027000000000005</v>
      </c>
      <c r="U72" s="146">
        <v>4.9436999999999998</v>
      </c>
      <c r="V72" s="113">
        <v>2.6695000000000002</v>
      </c>
      <c r="W72">
        <v>12.8772</v>
      </c>
      <c r="X72">
        <v>9.8863000000000003</v>
      </c>
      <c r="Y72">
        <v>4.5118999999999998</v>
      </c>
      <c r="Z72">
        <v>2.8011999999999997</v>
      </c>
      <c r="AA72" s="104">
        <v>8.6197321840163177</v>
      </c>
      <c r="AB72" s="104">
        <v>5.7883662038814689</v>
      </c>
      <c r="AC72" s="104">
        <v>3.0581834916978821</v>
      </c>
      <c r="AD72" s="104">
        <v>1.0093401554034165</v>
      </c>
    </row>
    <row r="73" spans="1:30" ht="14.7" customHeight="1">
      <c r="A73" s="131" t="s">
        <v>43</v>
      </c>
      <c r="B73" s="131"/>
      <c r="C73">
        <v>13.402400730139682</v>
      </c>
      <c r="D73">
        <v>8.6521380977625721</v>
      </c>
      <c r="E73">
        <v>4.6226119469214089</v>
      </c>
      <c r="F73">
        <v>2.8681530420526635</v>
      </c>
      <c r="G73">
        <v>11.481941141346768</v>
      </c>
      <c r="H73">
        <v>7.4448072218867374</v>
      </c>
      <c r="I73" s="147">
        <v>3.0379824570381664</v>
      </c>
      <c r="J73" s="112">
        <v>2.8686938988567388</v>
      </c>
      <c r="K73" s="112">
        <v>7.3648561319611616</v>
      </c>
      <c r="L73" s="126">
        <v>3.8097642247690215</v>
      </c>
      <c r="M73" s="112">
        <v>2.4403493714343414</v>
      </c>
      <c r="N73" s="126">
        <v>1.6105417276720351</v>
      </c>
      <c r="O73" s="147">
        <v>18.017233678405365</v>
      </c>
      <c r="P73" s="147">
        <v>13.151575048740419</v>
      </c>
      <c r="Q73" s="147">
        <v>5.7705849620868781</v>
      </c>
      <c r="R73" s="112">
        <v>4.2960174904324004</v>
      </c>
      <c r="S73" s="112">
        <v>18.2956</v>
      </c>
      <c r="T73" s="112">
        <v>14.273900000000001</v>
      </c>
      <c r="U73" s="146">
        <v>10.343399999999999</v>
      </c>
      <c r="V73" s="113">
        <v>6.0738000000000003</v>
      </c>
      <c r="W73">
        <v>12.208500000000001</v>
      </c>
      <c r="X73">
        <v>10.191000000000001</v>
      </c>
      <c r="Y73">
        <v>4.7182000000000004</v>
      </c>
      <c r="Z73">
        <v>3.4784000000000002</v>
      </c>
      <c r="AA73" s="104">
        <v>11.579199149309465</v>
      </c>
      <c r="AB73" s="104">
        <v>8.5299856104444114</v>
      </c>
      <c r="AC73" s="104">
        <v>3.5996258868169928</v>
      </c>
      <c r="AD73" s="104">
        <v>1.8338137899061258</v>
      </c>
    </row>
    <row r="74" spans="1:30" ht="14.7" customHeight="1">
      <c r="A74" s="131" t="s">
        <v>305</v>
      </c>
      <c r="B74" s="131"/>
      <c r="C74">
        <v>13.642798925358479</v>
      </c>
      <c r="D74">
        <v>7.2669664715937792</v>
      </c>
      <c r="E74">
        <v>3.2857509329951471</v>
      </c>
      <c r="F74">
        <v>0.46506558054157365</v>
      </c>
      <c r="G74">
        <v>12.072185976476749</v>
      </c>
      <c r="H74">
        <v>8.0940295419583066</v>
      </c>
      <c r="I74" s="147">
        <v>3.36141683412299</v>
      </c>
      <c r="J74" s="112">
        <v>1.7302795854867086</v>
      </c>
      <c r="K74" s="112">
        <v>14.096306455634929</v>
      </c>
      <c r="L74" s="126">
        <v>9.6880363193639703</v>
      </c>
      <c r="M74" s="112">
        <v>4.8683129684772553</v>
      </c>
      <c r="N74" s="126">
        <v>1.1975048772974637</v>
      </c>
      <c r="O74" s="147">
        <v>16.451293668785191</v>
      </c>
      <c r="P74" s="147">
        <v>9.0922939729610608</v>
      </c>
      <c r="Q74" s="147">
        <v>2.86076868630603</v>
      </c>
      <c r="R74" s="112">
        <v>1.2481845739357698</v>
      </c>
      <c r="S74" s="112">
        <v>13.822699999999999</v>
      </c>
      <c r="T74" s="112">
        <v>9.6700999999999997</v>
      </c>
      <c r="U74" s="146">
        <v>4.8953999999999995</v>
      </c>
      <c r="V74" s="113">
        <v>2.9288000000000003</v>
      </c>
      <c r="W74">
        <v>12.8194</v>
      </c>
      <c r="X74">
        <v>9.4671000000000003</v>
      </c>
      <c r="Y74">
        <v>5.1563999999999997</v>
      </c>
      <c r="Z74">
        <v>3.7042999999999999</v>
      </c>
      <c r="AA74" s="104">
        <v>14.736420150086701</v>
      </c>
      <c r="AB74" s="104">
        <v>9.6223055708976357</v>
      </c>
      <c r="AC74" s="104">
        <v>4.9432981427725844</v>
      </c>
      <c r="AD74" s="104">
        <v>4.5687680210093902</v>
      </c>
    </row>
    <row r="75" spans="1:30" ht="14.7" customHeight="1">
      <c r="A75" s="131" t="s">
        <v>44</v>
      </c>
      <c r="B75" s="131"/>
      <c r="C75">
        <v>16.920871254000623</v>
      </c>
      <c r="D75">
        <v>8.9903618024830454</v>
      </c>
      <c r="E75">
        <v>2.3002292609620478</v>
      </c>
      <c r="F75">
        <v>1.9353703849483965</v>
      </c>
      <c r="G75">
        <v>14.231563950158563</v>
      </c>
      <c r="H75">
        <v>8.9804847741572509</v>
      </c>
      <c r="I75" s="147">
        <v>4.6728877393868382</v>
      </c>
      <c r="J75" s="112">
        <v>2.8960166111141468</v>
      </c>
      <c r="K75" s="112">
        <v>18.97857093909996</v>
      </c>
      <c r="L75" s="126">
        <v>11.388898683937297</v>
      </c>
      <c r="M75" s="112">
        <v>3.460786503206899</v>
      </c>
      <c r="N75" s="126">
        <v>1.454368787490548</v>
      </c>
      <c r="O75" s="147">
        <v>19.675742044908802</v>
      </c>
      <c r="P75" s="147">
        <v>12.402210453053002</v>
      </c>
      <c r="Q75" s="147">
        <v>5.8214870592339567</v>
      </c>
      <c r="R75" s="112">
        <v>3.8657845495697987</v>
      </c>
      <c r="S75" s="112">
        <v>14.985599999999998</v>
      </c>
      <c r="T75" s="112">
        <v>11.660299999999999</v>
      </c>
      <c r="U75" s="146">
        <v>5.6611000000000002</v>
      </c>
      <c r="V75" s="113">
        <v>3.7863000000000002</v>
      </c>
      <c r="W75">
        <v>18.014600000000002</v>
      </c>
      <c r="X75">
        <v>14.397699999999999</v>
      </c>
      <c r="Y75">
        <v>5.0845000000000002</v>
      </c>
      <c r="Z75">
        <v>1.7891000000000001</v>
      </c>
      <c r="AA75" s="104">
        <v>14.183362037295097</v>
      </c>
      <c r="AB75" s="104">
        <v>8.8642234309135866</v>
      </c>
      <c r="AC75" s="104">
        <v>4.1775121076570709</v>
      </c>
      <c r="AD75" s="104">
        <v>1.3083494551323596</v>
      </c>
    </row>
    <row r="76" spans="1:30" ht="14.7" customHeight="1">
      <c r="A76" s="131" t="s">
        <v>228</v>
      </c>
      <c r="B76" s="131"/>
      <c r="C76">
        <v>13.373516462511715</v>
      </c>
      <c r="D76">
        <v>8.8164445570671344</v>
      </c>
      <c r="E76">
        <v>5.342953078513478</v>
      </c>
      <c r="F76">
        <v>3.8682913026007744</v>
      </c>
      <c r="G76">
        <v>12.41326889386592</v>
      </c>
      <c r="H76">
        <v>9.1919751853557727</v>
      </c>
      <c r="I76" s="147">
        <v>4.4566905383978908</v>
      </c>
      <c r="J76" s="112">
        <v>1.8185041921586049</v>
      </c>
      <c r="K76" s="112">
        <v>12.938747550455371</v>
      </c>
      <c r="L76" s="126">
        <v>8.1940557467427499</v>
      </c>
      <c r="M76" s="112">
        <v>3.6575311282297505</v>
      </c>
      <c r="N76" s="126">
        <v>3.5764226973526889</v>
      </c>
      <c r="O76" s="147">
        <v>11.657636231217591</v>
      </c>
      <c r="P76" s="147">
        <v>7.7227369727229158</v>
      </c>
      <c r="Q76" s="147">
        <v>4.2410409210889473</v>
      </c>
      <c r="R76" s="112">
        <v>2.911612116749803</v>
      </c>
      <c r="S76" s="112">
        <v>15.043799999999999</v>
      </c>
      <c r="T76" s="112">
        <v>10.565799999999999</v>
      </c>
      <c r="U76" s="147">
        <v>6.2076000000000002</v>
      </c>
      <c r="V76" s="149">
        <v>3.6311000000000004</v>
      </c>
      <c r="W76">
        <v>9.5200999999999993</v>
      </c>
      <c r="X76">
        <v>5.3737000000000004</v>
      </c>
      <c r="Y76">
        <v>3.1650999999999998</v>
      </c>
      <c r="Z76">
        <v>1.6835</v>
      </c>
      <c r="AA76" s="104">
        <v>14.755879353720339</v>
      </c>
      <c r="AB76" s="104">
        <v>9.962452185224782</v>
      </c>
      <c r="AC76" s="104">
        <v>5.0781376154961535</v>
      </c>
      <c r="AD76" s="104">
        <v>3.808997503426486</v>
      </c>
    </row>
    <row r="77" spans="1:30" ht="14.7" customHeight="1">
      <c r="A77" s="131" t="s">
        <v>45</v>
      </c>
      <c r="B77" s="131"/>
      <c r="C77">
        <v>15.773500613639404</v>
      </c>
      <c r="D77">
        <v>9.5555218237029678</v>
      </c>
      <c r="E77">
        <v>3.6587507023739225</v>
      </c>
      <c r="F77">
        <v>1.8408717339613139</v>
      </c>
      <c r="G77">
        <v>14.907961180768488</v>
      </c>
      <c r="H77">
        <v>9.3433316129815722</v>
      </c>
      <c r="I77" s="147">
        <v>3.7635224708299178</v>
      </c>
      <c r="J77" s="112">
        <v>1.9508788973557183</v>
      </c>
      <c r="K77" s="112">
        <v>13.45688272564839</v>
      </c>
      <c r="L77" s="126">
        <v>9.8569264091274249</v>
      </c>
      <c r="M77" s="112">
        <v>4.1620483826684689</v>
      </c>
      <c r="N77" s="126">
        <v>2.3322927364985104</v>
      </c>
      <c r="O77" s="147">
        <v>13.256496935756438</v>
      </c>
      <c r="P77" s="147">
        <v>9.1122719357911333</v>
      </c>
      <c r="Q77" s="147">
        <v>4.9214810235558852</v>
      </c>
      <c r="R77" s="112">
        <v>1.4665132527396847</v>
      </c>
      <c r="S77" s="112">
        <v>18.976900000000001</v>
      </c>
      <c r="T77" s="112">
        <v>14.116999999999999</v>
      </c>
      <c r="U77" s="147">
        <v>5.3804999999999996</v>
      </c>
      <c r="V77" s="149">
        <v>2.9771999999999998</v>
      </c>
      <c r="W77">
        <v>15.195</v>
      </c>
      <c r="X77">
        <v>11.296799999999999</v>
      </c>
      <c r="Y77">
        <v>5.359</v>
      </c>
      <c r="Z77">
        <v>4.0710000000000006</v>
      </c>
      <c r="AA77" s="104">
        <v>15.410557572049409</v>
      </c>
      <c r="AB77" s="104">
        <v>11.631656040400284</v>
      </c>
      <c r="AC77" s="104">
        <v>5.7885630655269544</v>
      </c>
      <c r="AD77" s="104">
        <v>3.0369535665669276</v>
      </c>
    </row>
    <row r="78" spans="1:30" ht="14.7" customHeight="1">
      <c r="A78" s="131" t="s">
        <v>46</v>
      </c>
      <c r="B78" s="131"/>
      <c r="C78">
        <v>13.679261214958599</v>
      </c>
      <c r="D78">
        <v>8.9662922512853598</v>
      </c>
      <c r="E78">
        <v>5.6246309995281951</v>
      </c>
      <c r="F78">
        <v>4.6375017195258783</v>
      </c>
      <c r="G78">
        <v>15.94377888106221</v>
      </c>
      <c r="H78">
        <v>11.994621614131606</v>
      </c>
      <c r="I78" s="147">
        <v>6.3701027435926401</v>
      </c>
      <c r="J78" s="112">
        <v>2.6514210639761053</v>
      </c>
      <c r="K78" s="112">
        <v>12.813101925152026</v>
      </c>
      <c r="L78" s="126">
        <v>10.718326761529228</v>
      </c>
      <c r="M78" s="112">
        <v>4.7772813908693941</v>
      </c>
      <c r="N78" s="126">
        <v>2.9088048728834925</v>
      </c>
      <c r="O78" s="147">
        <v>18.140026560635427</v>
      </c>
      <c r="P78" s="147">
        <v>15.028151490883978</v>
      </c>
      <c r="Q78" s="147">
        <v>9.3392067407404369</v>
      </c>
      <c r="R78" s="112">
        <v>6.5526064487137727</v>
      </c>
      <c r="S78" s="112">
        <v>13.793800000000001</v>
      </c>
      <c r="T78" s="112">
        <v>8.4814000000000007</v>
      </c>
      <c r="U78" s="146">
        <v>5.4648000000000003</v>
      </c>
      <c r="V78" s="113">
        <v>3.6229999999999998</v>
      </c>
      <c r="W78">
        <v>15.3459</v>
      </c>
      <c r="X78">
        <v>11.662699999999999</v>
      </c>
      <c r="Y78">
        <v>4.2206999999999999</v>
      </c>
      <c r="Z78">
        <v>3.1906999999999996</v>
      </c>
      <c r="AA78" s="104">
        <v>15.015793404181776</v>
      </c>
      <c r="AB78" s="104">
        <v>9.9533514937600422</v>
      </c>
      <c r="AC78" s="104">
        <v>3.0407006518029833</v>
      </c>
      <c r="AD78" s="104">
        <v>2.409584557812384</v>
      </c>
    </row>
    <row r="79" spans="1:30" ht="14.7" customHeight="1">
      <c r="A79" s="131" t="s">
        <v>201</v>
      </c>
      <c r="B79" s="131"/>
      <c r="C79">
        <v>11.7767706101257</v>
      </c>
      <c r="D79">
        <v>6.065503093383275</v>
      </c>
      <c r="E79">
        <v>1.2838201908658269</v>
      </c>
      <c r="F79">
        <v>0.63905461829414945</v>
      </c>
      <c r="G79">
        <v>6.8456903758797774</v>
      </c>
      <c r="H79">
        <v>4.4184287695538291</v>
      </c>
      <c r="I79" s="146">
        <v>2.745727574531748</v>
      </c>
      <c r="J79" s="144">
        <v>1.3512260361906843</v>
      </c>
      <c r="K79" s="144">
        <v>12.760424141870516</v>
      </c>
      <c r="L79" s="126">
        <v>8.9985514059037381</v>
      </c>
      <c r="M79" s="144">
        <v>2.375694317865674</v>
      </c>
      <c r="N79" s="126">
        <v>1.0500868197123916</v>
      </c>
      <c r="O79" s="146">
        <v>10.347687757224278</v>
      </c>
      <c r="P79" s="146">
        <v>7.8502750757681552</v>
      </c>
      <c r="Q79" s="146">
        <v>4.6382316097592842</v>
      </c>
      <c r="R79" s="144">
        <v>2.6668600691292674</v>
      </c>
      <c r="S79" s="144">
        <v>9.9460000000000015</v>
      </c>
      <c r="T79" s="144">
        <v>7.6486999999999998</v>
      </c>
      <c r="U79" s="146">
        <v>2.8973</v>
      </c>
      <c r="V79" s="113">
        <v>0.33210000000000001</v>
      </c>
      <c r="W79">
        <v>12.846399999999999</v>
      </c>
      <c r="X79">
        <v>8.0389999999999997</v>
      </c>
      <c r="Y79">
        <v>5.3053999999999997</v>
      </c>
      <c r="Z79">
        <v>3.8700999999999999</v>
      </c>
      <c r="AA79" s="104">
        <v>6.6083539403089961</v>
      </c>
      <c r="AB79" s="104">
        <v>4.1626353437436174</v>
      </c>
      <c r="AC79" s="104">
        <v>1.1002744493410233</v>
      </c>
      <c r="AD79" s="104">
        <v>0.39123920100814719</v>
      </c>
    </row>
    <row r="80" spans="1:30" ht="14.7" customHeight="1">
      <c r="A80" s="131" t="s">
        <v>306</v>
      </c>
      <c r="B80" s="131"/>
      <c r="C80">
        <v>15.398990265904075</v>
      </c>
      <c r="D80">
        <v>10.348716342488299</v>
      </c>
      <c r="E80">
        <v>4.3596505772828245</v>
      </c>
      <c r="F80">
        <v>2.298243446361063</v>
      </c>
      <c r="G80">
        <v>13.937738672565597</v>
      </c>
      <c r="H80">
        <v>9.3347200969837552</v>
      </c>
      <c r="I80" s="147">
        <v>3.5711630751304542</v>
      </c>
      <c r="J80" s="112">
        <v>1.7390271821597252</v>
      </c>
      <c r="K80" s="112">
        <v>13.90390081578577</v>
      </c>
      <c r="L80" s="126">
        <v>9.1222249342102426</v>
      </c>
      <c r="M80" s="112">
        <v>3.7178913845468413</v>
      </c>
      <c r="N80" s="126">
        <v>2.3436238294284593</v>
      </c>
      <c r="O80" s="147">
        <v>16.742616824433576</v>
      </c>
      <c r="P80" s="147">
        <v>10.923596826834411</v>
      </c>
      <c r="Q80" s="147">
        <v>4.6186588037518899</v>
      </c>
      <c r="R80" s="112">
        <v>2.9884983338269269</v>
      </c>
      <c r="S80" s="112">
        <v>17.934699999999999</v>
      </c>
      <c r="T80" s="112">
        <v>11.977500000000001</v>
      </c>
      <c r="U80" s="146">
        <v>4.6115000000000004</v>
      </c>
      <c r="V80" s="113">
        <v>2.8722000000000003</v>
      </c>
      <c r="W80">
        <v>14.782300000000001</v>
      </c>
      <c r="X80">
        <v>10.448699999999999</v>
      </c>
      <c r="Y80">
        <v>4.8319999999999999</v>
      </c>
      <c r="Z80">
        <v>2.823</v>
      </c>
      <c r="AA80" s="104">
        <v>16.018311396308022</v>
      </c>
      <c r="AB80" s="104">
        <v>11.041070024509924</v>
      </c>
      <c r="AC80" s="104">
        <v>4.4024087082600118</v>
      </c>
      <c r="AD80" s="104">
        <v>2.805875095695209</v>
      </c>
    </row>
    <row r="81" spans="1:30" ht="14.7" customHeight="1">
      <c r="A81" s="131" t="s">
        <v>47</v>
      </c>
      <c r="B81" s="131"/>
      <c r="C81">
        <v>10.000972850709312</v>
      </c>
      <c r="D81">
        <v>5.7753288533665765</v>
      </c>
      <c r="E81">
        <v>2.470039207855816</v>
      </c>
      <c r="F81">
        <v>1.5254205267826135</v>
      </c>
      <c r="G81">
        <v>16.270602505427746</v>
      </c>
      <c r="H81">
        <v>12.684899783094414</v>
      </c>
      <c r="I81" s="147">
        <v>3.4256405238351522</v>
      </c>
      <c r="J81" s="112">
        <v>1.0616957776799256</v>
      </c>
      <c r="K81" s="112">
        <v>14.179586117059594</v>
      </c>
      <c r="L81" s="126">
        <v>8.6346994562482102</v>
      </c>
      <c r="M81" s="112">
        <v>3.4322481323951721</v>
      </c>
      <c r="N81" s="126">
        <v>0.87197655255444928</v>
      </c>
      <c r="O81" s="147">
        <v>11.645707665845965</v>
      </c>
      <c r="P81" s="147">
        <v>6.5063135823515932</v>
      </c>
      <c r="Q81" s="147">
        <v>2.344584484708546</v>
      </c>
      <c r="R81" s="112">
        <v>1.3951232024892064</v>
      </c>
      <c r="S81" s="112">
        <v>14.468500000000001</v>
      </c>
      <c r="T81" s="112">
        <v>10.9148</v>
      </c>
      <c r="U81" s="146">
        <v>5.0121000000000002</v>
      </c>
      <c r="V81" s="113">
        <v>2.4009999999999998</v>
      </c>
      <c r="W81">
        <v>17.373799999999999</v>
      </c>
      <c r="X81">
        <v>9.829699999999999</v>
      </c>
      <c r="Y81">
        <v>3.1405000000000003</v>
      </c>
      <c r="Z81">
        <v>1.538</v>
      </c>
      <c r="AA81" s="104">
        <v>13.273069196328619</v>
      </c>
      <c r="AB81" s="104">
        <v>7.9428731371646428</v>
      </c>
      <c r="AC81" s="104">
        <v>4.558190927232852</v>
      </c>
      <c r="AD81" s="104">
        <v>2.2112048184955988</v>
      </c>
    </row>
    <row r="82" spans="1:30" ht="14.7" customHeight="1">
      <c r="A82" s="131" t="s">
        <v>264</v>
      </c>
      <c r="B82" s="131"/>
      <c r="C82">
        <v>12.202026469376023</v>
      </c>
      <c r="D82">
        <v>8.7522383878514791</v>
      </c>
      <c r="E82">
        <v>3.2402270511889384</v>
      </c>
      <c r="F82">
        <v>1.7890493668882745</v>
      </c>
      <c r="G82">
        <v>9.7567138319376259</v>
      </c>
      <c r="H82">
        <v>7.0501251323515275</v>
      </c>
      <c r="I82" s="147">
        <v>2.6855327750505342</v>
      </c>
      <c r="J82" s="112">
        <v>1.4897567940449836</v>
      </c>
      <c r="K82" s="112">
        <v>12.060640734530494</v>
      </c>
      <c r="L82" s="126">
        <v>9.228392487658807</v>
      </c>
      <c r="M82" s="112">
        <v>3.1128002891194955</v>
      </c>
      <c r="N82" s="126">
        <v>1.1656122542186425</v>
      </c>
      <c r="O82" s="147">
        <v>16.069659269218366</v>
      </c>
      <c r="P82" s="147">
        <v>10.839256695305295</v>
      </c>
      <c r="Q82" s="147">
        <v>5.3363674400212364</v>
      </c>
      <c r="R82" s="112">
        <v>2.6766039716675811</v>
      </c>
      <c r="S82" s="112">
        <v>12.829599999999999</v>
      </c>
      <c r="T82" s="112">
        <v>8.0519999999999996</v>
      </c>
      <c r="U82" s="146">
        <v>2.6863000000000001</v>
      </c>
      <c r="V82" s="113">
        <v>1.0616999999999999</v>
      </c>
      <c r="W82">
        <v>12.2546</v>
      </c>
      <c r="X82">
        <v>7.9182000000000006</v>
      </c>
      <c r="Y82">
        <v>2.6532</v>
      </c>
      <c r="Z82">
        <v>1.7139000000000002</v>
      </c>
      <c r="AA82" s="104">
        <v>12.934954480666184</v>
      </c>
      <c r="AB82" s="104">
        <v>9.4463467375586028</v>
      </c>
      <c r="AC82" s="104">
        <v>3.7902258608713408</v>
      </c>
      <c r="AD82" s="104">
        <v>2.5668731493830044</v>
      </c>
    </row>
    <row r="83" spans="1:30" ht="14.7" customHeight="1">
      <c r="A83" s="131" t="s">
        <v>48</v>
      </c>
      <c r="B83" s="131"/>
      <c r="C83">
        <v>10.396650886056097</v>
      </c>
      <c r="D83">
        <v>7.9294405482476948</v>
      </c>
      <c r="E83">
        <v>5.0741675238365547</v>
      </c>
      <c r="F83">
        <v>4.6816655402298313</v>
      </c>
      <c r="G83">
        <v>10.405382150729722</v>
      </c>
      <c r="H83">
        <v>6.6786807250306346</v>
      </c>
      <c r="I83" s="147">
        <v>2.1709458197439693</v>
      </c>
      <c r="J83" s="112">
        <v>1.409052004589425</v>
      </c>
      <c r="K83" s="112">
        <v>8.8583717197447118</v>
      </c>
      <c r="L83" s="126">
        <v>4.4830329377164571</v>
      </c>
      <c r="M83" s="112">
        <v>1.9281300473293854</v>
      </c>
      <c r="N83" s="126">
        <v>1.049844512121626</v>
      </c>
      <c r="O83" s="147">
        <v>11.599756391881339</v>
      </c>
      <c r="P83" s="147">
        <v>7.5352501166301922</v>
      </c>
      <c r="Q83" s="147">
        <v>2.7797568170144422</v>
      </c>
      <c r="R83" s="112">
        <v>0.92478004976623962</v>
      </c>
      <c r="S83" s="112">
        <v>16.125</v>
      </c>
      <c r="T83" s="112">
        <v>11.4216</v>
      </c>
      <c r="U83" s="146">
        <v>4.6196000000000002</v>
      </c>
      <c r="V83" s="113">
        <v>3.4819999999999998</v>
      </c>
      <c r="W83">
        <v>9.5865000000000009</v>
      </c>
      <c r="X83">
        <v>5.7422000000000004</v>
      </c>
      <c r="Y83">
        <v>2.8264</v>
      </c>
      <c r="Z83">
        <v>2.2393000000000001</v>
      </c>
      <c r="AA83" s="104">
        <v>9.6137899400222722</v>
      </c>
      <c r="AB83" s="104">
        <v>6.6709982544347373</v>
      </c>
      <c r="AC83" s="104">
        <v>3.1786649140979262</v>
      </c>
      <c r="AD83" s="104">
        <v>1.4938412677624833</v>
      </c>
    </row>
    <row r="84" spans="1:30" ht="14.7" customHeight="1">
      <c r="A84" s="131" t="s">
        <v>49</v>
      </c>
      <c r="B84" s="131"/>
      <c r="C84">
        <v>14.989601319194318</v>
      </c>
      <c r="D84">
        <v>9.8844348137748774</v>
      </c>
      <c r="E84">
        <v>2.1265785662707382</v>
      </c>
      <c r="F84">
        <v>0.58639359360926702</v>
      </c>
      <c r="G84">
        <v>13.567235668060015</v>
      </c>
      <c r="H84">
        <v>7.7732833283205576</v>
      </c>
      <c r="I84" s="147">
        <v>2.9644952133090263</v>
      </c>
      <c r="J84" s="112">
        <v>1.4113526110432513</v>
      </c>
      <c r="K84" s="112">
        <v>14.031733319985983</v>
      </c>
      <c r="L84" s="126">
        <v>8.2071415967532353</v>
      </c>
      <c r="M84" s="112">
        <v>2.9826833924188709</v>
      </c>
      <c r="N84" s="126">
        <v>1.3348385440895747</v>
      </c>
      <c r="O84" s="147">
        <v>14.734363472760847</v>
      </c>
      <c r="P84" s="147">
        <v>10.589473781504307</v>
      </c>
      <c r="Q84" s="147">
        <v>2.6290533140345484</v>
      </c>
      <c r="R84" s="112">
        <v>1.1426005214871595</v>
      </c>
      <c r="S84" s="112">
        <v>17.617599999999999</v>
      </c>
      <c r="T84" s="112">
        <v>11.2402</v>
      </c>
      <c r="U84" s="146">
        <v>3.5350000000000001</v>
      </c>
      <c r="V84" s="113">
        <v>2.4721000000000002</v>
      </c>
      <c r="W84">
        <v>12.0603</v>
      </c>
      <c r="X84">
        <v>8.2309999999999999</v>
      </c>
      <c r="Y84">
        <v>3.5498000000000003</v>
      </c>
      <c r="Z84">
        <v>2.0045999999999999</v>
      </c>
      <c r="AA84" s="104">
        <v>13.325942426255821</v>
      </c>
      <c r="AB84" s="104">
        <v>9.9367198169720758</v>
      </c>
      <c r="AC84" s="104">
        <v>2.8410758630750026</v>
      </c>
      <c r="AD84" s="104">
        <v>1.8545687759708482</v>
      </c>
    </row>
    <row r="85" spans="1:30" ht="14.7" customHeight="1">
      <c r="A85" s="131" t="s">
        <v>265</v>
      </c>
      <c r="B85" s="131"/>
      <c r="C85">
        <v>18.039836535806259</v>
      </c>
      <c r="D85">
        <v>12.708500908492912</v>
      </c>
      <c r="E85">
        <v>4.1841245634622242</v>
      </c>
      <c r="F85">
        <v>2.8953022210716566</v>
      </c>
      <c r="G85">
        <v>16.309169859514689</v>
      </c>
      <c r="H85">
        <v>9.3856449553001298</v>
      </c>
      <c r="I85" s="147">
        <v>4.8308556832694762</v>
      </c>
      <c r="J85" s="112">
        <v>2.7108045977011495</v>
      </c>
      <c r="K85" s="112">
        <v>15.913002842789831</v>
      </c>
      <c r="L85" s="126">
        <v>8.1969702870049446</v>
      </c>
      <c r="M85" s="112">
        <v>4.0443553097862068</v>
      </c>
      <c r="N85" s="126">
        <v>2.4138401028077414</v>
      </c>
      <c r="O85" s="147">
        <v>18.140030954778467</v>
      </c>
      <c r="P85" s="147">
        <v>11.76022342121353</v>
      </c>
      <c r="Q85" s="147">
        <v>6.6427973208252471</v>
      </c>
      <c r="R85" s="112">
        <v>3.2039501583103176</v>
      </c>
      <c r="S85" s="112">
        <v>12.1685</v>
      </c>
      <c r="T85" s="112">
        <v>8.0620999999999992</v>
      </c>
      <c r="U85" s="146">
        <v>3.5291000000000001</v>
      </c>
      <c r="V85" s="113">
        <v>1.9520999999999999</v>
      </c>
      <c r="W85">
        <v>17.3522</v>
      </c>
      <c r="X85">
        <v>11.710599999999999</v>
      </c>
      <c r="Y85">
        <v>5.5504999999999995</v>
      </c>
      <c r="Z85">
        <v>3.7343000000000002</v>
      </c>
      <c r="AA85" s="104">
        <v>13.947962931963536</v>
      </c>
      <c r="AB85" s="104">
        <v>10.053908913779313</v>
      </c>
      <c r="AC85" s="104">
        <v>3.525145537532858</v>
      </c>
      <c r="AD85" s="104">
        <v>2.8293808281087194</v>
      </c>
    </row>
    <row r="86" spans="1:30" ht="14.7" customHeight="1">
      <c r="A86" s="131" t="s">
        <v>307</v>
      </c>
      <c r="B86" s="131"/>
      <c r="C86">
        <v>12.371215371041822</v>
      </c>
      <c r="D86">
        <v>7.6446090232111965</v>
      </c>
      <c r="E86">
        <v>3.2508360557557592</v>
      </c>
      <c r="F86">
        <v>1.7598479018519135</v>
      </c>
      <c r="G86">
        <v>12.671420470251549</v>
      </c>
      <c r="H86">
        <v>7.5928189131371946</v>
      </c>
      <c r="I86" s="147">
        <v>2.6705391203910818</v>
      </c>
      <c r="J86" s="112">
        <v>1.0699237845795952</v>
      </c>
      <c r="K86" s="112">
        <v>11.760927396667764</v>
      </c>
      <c r="L86" s="126">
        <v>7.2537723630470623</v>
      </c>
      <c r="M86" s="112">
        <v>2.7483986739286279</v>
      </c>
      <c r="N86" s="126">
        <v>1.3967666950011004</v>
      </c>
      <c r="O86" s="147">
        <v>14.465831630743962</v>
      </c>
      <c r="P86" s="147">
        <v>10.092488340481667</v>
      </c>
      <c r="Q86" s="147">
        <v>4.3414426623237858</v>
      </c>
      <c r="R86" s="112">
        <v>1.9654048519115337</v>
      </c>
      <c r="S86" s="112">
        <v>14.016</v>
      </c>
      <c r="T86" s="112">
        <v>9.2779000000000007</v>
      </c>
      <c r="U86" s="147">
        <v>3.9916</v>
      </c>
      <c r="V86" s="149">
        <v>2.1760999999999999</v>
      </c>
      <c r="W86">
        <v>13.4884</v>
      </c>
      <c r="X86">
        <v>9.0496999999999996</v>
      </c>
      <c r="Y86">
        <v>3.6031</v>
      </c>
      <c r="Z86">
        <v>2.3216000000000001</v>
      </c>
      <c r="AA86" s="104">
        <v>13.91293811582649</v>
      </c>
      <c r="AB86" s="104">
        <v>8.5501146876357978</v>
      </c>
      <c r="AC86" s="104">
        <v>3.339195399137767</v>
      </c>
      <c r="AD86" s="104">
        <v>1.6232786145077969</v>
      </c>
    </row>
    <row r="87" spans="1:30" ht="14.7" customHeight="1">
      <c r="A87" s="131" t="s">
        <v>50</v>
      </c>
      <c r="B87" s="131"/>
      <c r="C87">
        <v>16.087046685098322</v>
      </c>
      <c r="D87">
        <v>11.72876836600733</v>
      </c>
      <c r="E87">
        <v>7.9427934444588137</v>
      </c>
      <c r="F87">
        <v>4.839528488195211</v>
      </c>
      <c r="G87">
        <v>13.46433473580456</v>
      </c>
      <c r="H87">
        <v>8.0435622278127106</v>
      </c>
      <c r="I87" s="147">
        <v>1.7148182284503279</v>
      </c>
      <c r="J87" s="112">
        <v>0.58672901130745947</v>
      </c>
      <c r="K87" s="112">
        <v>16.48860947366947</v>
      </c>
      <c r="L87" s="126">
        <v>10.759220217068654</v>
      </c>
      <c r="M87" s="112">
        <v>4.0779382878539963</v>
      </c>
      <c r="N87" s="126">
        <v>2.0884756787895999</v>
      </c>
      <c r="O87" s="147">
        <v>14.299729980918036</v>
      </c>
      <c r="P87" s="147">
        <v>8.9309593689565236</v>
      </c>
      <c r="Q87" s="147">
        <v>4.0672651912062268</v>
      </c>
      <c r="R87" s="112">
        <v>1.070375331184461</v>
      </c>
      <c r="S87" s="112">
        <v>24.218899999999998</v>
      </c>
      <c r="T87" s="112">
        <v>15.000500000000001</v>
      </c>
      <c r="U87" s="146">
        <v>7.2250999999999994</v>
      </c>
      <c r="V87" s="113">
        <v>2.8281000000000001</v>
      </c>
      <c r="W87">
        <v>18.276600000000002</v>
      </c>
      <c r="X87">
        <v>11.5084</v>
      </c>
      <c r="Y87">
        <v>4.3846000000000007</v>
      </c>
      <c r="Z87">
        <v>2.7326999999999999</v>
      </c>
      <c r="AA87" s="104">
        <v>17.35651758530194</v>
      </c>
      <c r="AB87" s="104">
        <v>12.506642928337779</v>
      </c>
      <c r="AC87" s="104">
        <v>3.8932561884567702</v>
      </c>
      <c r="AD87" s="104">
        <v>1.1526412198486307</v>
      </c>
    </row>
    <row r="88" spans="1:30" ht="14.7" customHeight="1">
      <c r="A88" s="131" t="s">
        <v>308</v>
      </c>
      <c r="B88" s="131"/>
      <c r="C88">
        <v>16.188360120979169</v>
      </c>
      <c r="D88">
        <v>10.52936910274131</v>
      </c>
      <c r="E88">
        <v>3.813426885031125</v>
      </c>
      <c r="F88">
        <v>2.0506222478961247</v>
      </c>
      <c r="G88">
        <v>17.442122355311596</v>
      </c>
      <c r="H88">
        <v>11.258791304582076</v>
      </c>
      <c r="I88" s="147">
        <v>5.5209164050305297</v>
      </c>
      <c r="J88" s="112">
        <v>3.6305540180143918</v>
      </c>
      <c r="K88" s="112">
        <v>18.115702806329047</v>
      </c>
      <c r="L88" s="126">
        <v>10.598103077891546</v>
      </c>
      <c r="M88" s="112">
        <v>4.6394574144820577</v>
      </c>
      <c r="N88" s="126">
        <v>2.5269208840760204</v>
      </c>
      <c r="O88" s="147">
        <v>21.609163403598615</v>
      </c>
      <c r="P88" s="147">
        <v>14.684466913581367</v>
      </c>
      <c r="Q88" s="147">
        <v>6.1848790332483281</v>
      </c>
      <c r="R88" s="112">
        <v>3.3582325410808904</v>
      </c>
      <c r="S88" s="112">
        <v>20.747900000000001</v>
      </c>
      <c r="T88" s="112">
        <v>15.0625</v>
      </c>
      <c r="U88" s="146">
        <v>7.0468000000000002</v>
      </c>
      <c r="V88" s="113">
        <v>4.6031000000000004</v>
      </c>
      <c r="W88">
        <v>18.775200000000002</v>
      </c>
      <c r="X88">
        <v>12.592900000000002</v>
      </c>
      <c r="Y88">
        <v>5.4975000000000005</v>
      </c>
      <c r="Z88">
        <v>3.0526</v>
      </c>
      <c r="AA88" s="104">
        <v>20.569845842883787</v>
      </c>
      <c r="AB88" s="104">
        <v>13.53453660117715</v>
      </c>
      <c r="AC88" s="104">
        <v>5.8860108964643185</v>
      </c>
      <c r="AD88" s="104">
        <v>3.0085112231444699</v>
      </c>
    </row>
    <row r="89" spans="1:30" ht="14.7" customHeight="1">
      <c r="A89" s="131" t="s">
        <v>229</v>
      </c>
      <c r="B89" s="131"/>
      <c r="C89">
        <v>13.948296154825618</v>
      </c>
      <c r="D89">
        <v>6.6287356901609877</v>
      </c>
      <c r="E89">
        <v>4.0143124520573252</v>
      </c>
      <c r="F89">
        <v>2.3823430918004447</v>
      </c>
      <c r="G89">
        <v>14.389008821193272</v>
      </c>
      <c r="H89">
        <v>7.6906140601950721</v>
      </c>
      <c r="I89" s="147">
        <v>3.7515336993528945</v>
      </c>
      <c r="J89" s="112">
        <v>2.3007992249939453</v>
      </c>
      <c r="K89" s="112">
        <v>15.448704194700305</v>
      </c>
      <c r="L89" s="126">
        <v>9.3086917571318715</v>
      </c>
      <c r="M89" s="112">
        <v>3.7992507006696896</v>
      </c>
      <c r="N89" s="126">
        <v>2.1015294837584673</v>
      </c>
      <c r="O89" s="147">
        <v>18.759929928947621</v>
      </c>
      <c r="P89" s="147">
        <v>13.576275245247837</v>
      </c>
      <c r="Q89" s="147">
        <v>4.7870363490650387</v>
      </c>
      <c r="R89" s="112">
        <v>3.8397130797243189</v>
      </c>
      <c r="S89" s="112">
        <v>14.339499999999999</v>
      </c>
      <c r="T89" s="112">
        <v>9.8938000000000006</v>
      </c>
      <c r="U89" s="146">
        <v>4.9009</v>
      </c>
      <c r="V89" s="113">
        <v>3.5015999999999998</v>
      </c>
      <c r="W89">
        <v>15.773100000000001</v>
      </c>
      <c r="X89">
        <v>11.562899999999999</v>
      </c>
      <c r="Y89">
        <v>6.1619000000000002</v>
      </c>
      <c r="Z89">
        <v>2.4893999999999998</v>
      </c>
      <c r="AA89" s="104">
        <v>13.564783086077096</v>
      </c>
      <c r="AB89" s="104">
        <v>9.0347923926150226</v>
      </c>
      <c r="AC89" s="104">
        <v>4.3607595194727393</v>
      </c>
      <c r="AD89" s="104">
        <v>2.7047156266128356</v>
      </c>
    </row>
    <row r="90" spans="1:30" ht="14.7" customHeight="1">
      <c r="A90" s="131" t="s">
        <v>309</v>
      </c>
      <c r="B90" s="131"/>
      <c r="C90">
        <v>14.578579147864588</v>
      </c>
      <c r="D90">
        <v>9.6713010415082667</v>
      </c>
      <c r="E90">
        <v>4.2660355484100627</v>
      </c>
      <c r="F90">
        <v>2.501598118312196</v>
      </c>
      <c r="G90">
        <v>19.623437955992841</v>
      </c>
      <c r="H90">
        <v>12.699611737850311</v>
      </c>
      <c r="I90" s="147">
        <v>5.5277148563349048</v>
      </c>
      <c r="J90" s="112">
        <v>2.5796835239878368</v>
      </c>
      <c r="K90" s="112">
        <v>15.978511917907213</v>
      </c>
      <c r="L90" s="126">
        <v>9.5177654344111868</v>
      </c>
      <c r="M90" s="112">
        <v>4.0668552237470674</v>
      </c>
      <c r="N90" s="126">
        <v>2.2774617103027421</v>
      </c>
      <c r="O90" s="147">
        <v>20.397592161621361</v>
      </c>
      <c r="P90" s="147">
        <v>14.172602112955863</v>
      </c>
      <c r="Q90" s="147">
        <v>6.1087892222726561</v>
      </c>
      <c r="R90" s="112">
        <v>2.9793530864003137</v>
      </c>
      <c r="S90" s="112">
        <v>18.091799999999999</v>
      </c>
      <c r="T90" s="112">
        <v>11.6386</v>
      </c>
      <c r="U90" s="147">
        <v>5.5853999999999999</v>
      </c>
      <c r="V90" s="149">
        <v>2.9653</v>
      </c>
      <c r="W90">
        <v>19.596</v>
      </c>
      <c r="X90">
        <v>14.107100000000001</v>
      </c>
      <c r="Y90">
        <v>5.9707999999999997</v>
      </c>
      <c r="Z90">
        <v>3.3045999999999998</v>
      </c>
    </row>
    <row r="91" spans="1:30" ht="14.7" customHeight="1">
      <c r="A91" s="131" t="s">
        <v>907</v>
      </c>
      <c r="B91" s="131"/>
      <c r="C91"/>
      <c r="D91"/>
      <c r="E91"/>
      <c r="F91"/>
      <c r="G91"/>
      <c r="H91"/>
      <c r="I91" s="147"/>
      <c r="J91" s="112"/>
      <c r="K91" s="112"/>
      <c r="L91" s="126"/>
      <c r="M91" s="112"/>
      <c r="N91" s="126"/>
      <c r="O91" s="147"/>
      <c r="P91" s="147"/>
      <c r="Q91" s="147"/>
      <c r="R91" s="112"/>
      <c r="S91" s="112"/>
      <c r="T91" s="112"/>
      <c r="U91" s="146"/>
      <c r="V91" s="113"/>
      <c r="W91"/>
      <c r="X91"/>
      <c r="Y91"/>
      <c r="Z91"/>
      <c r="AA91" s="104">
        <v>21.214615942843405</v>
      </c>
      <c r="AB91" s="104">
        <v>14.414812177517433</v>
      </c>
      <c r="AC91" s="104">
        <v>5.7336714735703058</v>
      </c>
      <c r="AD91" s="104">
        <v>3.0976682033443859</v>
      </c>
    </row>
    <row r="92" spans="1:30" ht="14.7" customHeight="1">
      <c r="A92" s="131" t="s">
        <v>51</v>
      </c>
      <c r="B92" s="131"/>
      <c r="C92">
        <v>17.439691219862723</v>
      </c>
      <c r="D92">
        <v>11.362127869632312</v>
      </c>
      <c r="E92">
        <v>4.607797825388853</v>
      </c>
      <c r="F92">
        <v>2.8397824340583697</v>
      </c>
      <c r="G92">
        <v>15.719631349178851</v>
      </c>
      <c r="H92">
        <v>8.5635986680392868</v>
      </c>
      <c r="I92" s="147">
        <v>3.9443065228825853</v>
      </c>
      <c r="J92" s="112">
        <v>1.6919666887022795</v>
      </c>
      <c r="K92" s="112">
        <v>17.529900295869172</v>
      </c>
      <c r="L92" s="126">
        <v>9.9960802806280284</v>
      </c>
      <c r="M92" s="112">
        <v>3.6473287211965291</v>
      </c>
      <c r="N92" s="126">
        <v>2.9377998237121132</v>
      </c>
      <c r="O92" s="147">
        <v>21.20047545297858</v>
      </c>
      <c r="P92" s="147">
        <v>14.481387166074578</v>
      </c>
      <c r="Q92" s="147">
        <v>7.5602916972321035</v>
      </c>
      <c r="R92" s="112">
        <v>5.3522944277301985</v>
      </c>
      <c r="S92" s="112">
        <v>15.666600000000001</v>
      </c>
      <c r="T92" s="112">
        <v>10.549300000000001</v>
      </c>
      <c r="U92" s="146">
        <v>5.4923000000000002</v>
      </c>
      <c r="V92" s="113">
        <v>1.8480000000000001</v>
      </c>
      <c r="W92">
        <v>17.5808</v>
      </c>
      <c r="X92">
        <v>10.5167</v>
      </c>
      <c r="Y92">
        <v>4.9813000000000001</v>
      </c>
      <c r="Z92">
        <v>3.4722000000000004</v>
      </c>
      <c r="AA92" s="104">
        <v>18.013729224933677</v>
      </c>
      <c r="AB92" s="104">
        <v>10.340518413935463</v>
      </c>
      <c r="AC92" s="104">
        <v>3.9658368210246633</v>
      </c>
      <c r="AD92" s="104">
        <v>1.6894085925591267</v>
      </c>
    </row>
    <row r="93" spans="1:30" ht="14.7" customHeight="1">
      <c r="A93" s="131" t="s">
        <v>230</v>
      </c>
      <c r="B93" s="131"/>
      <c r="C93">
        <v>8.0371349436749107</v>
      </c>
      <c r="D93">
        <v>4.999167618549504</v>
      </c>
      <c r="E93">
        <v>2.2487039781827947</v>
      </c>
      <c r="F93">
        <v>1.9341032382716301</v>
      </c>
      <c r="G93">
        <v>7.3673954495733103</v>
      </c>
      <c r="H93">
        <v>4.0692426781327269</v>
      </c>
      <c r="I93" s="147">
        <v>0.572240364863007</v>
      </c>
      <c r="J93" s="112">
        <v>0.572240364863007</v>
      </c>
      <c r="K93" s="112">
        <v>8.578024532158528</v>
      </c>
      <c r="L93" s="126">
        <v>5.3108391361349021</v>
      </c>
      <c r="M93" s="112">
        <v>1.818756329436886</v>
      </c>
      <c r="N93" s="126">
        <v>0.84137351724354503</v>
      </c>
      <c r="O93" s="147">
        <v>8.1053468298074396</v>
      </c>
      <c r="P93" s="147">
        <v>5.3377637876452857</v>
      </c>
      <c r="Q93" s="147">
        <v>2.1617183486666978</v>
      </c>
      <c r="R93" s="112">
        <v>1.325403341074312</v>
      </c>
      <c r="S93" s="112">
        <v>8.670300000000001</v>
      </c>
      <c r="T93" s="112">
        <v>4.8938000000000006</v>
      </c>
      <c r="U93" s="146">
        <v>2.0777000000000001</v>
      </c>
      <c r="V93" s="113">
        <v>0.89650000000000007</v>
      </c>
      <c r="W93">
        <v>9.9254999999999995</v>
      </c>
      <c r="X93">
        <v>7.9394000000000009</v>
      </c>
      <c r="Y93">
        <v>2.5108999999999999</v>
      </c>
      <c r="Z93">
        <v>0.74399999999999999</v>
      </c>
      <c r="AA93" s="104">
        <v>7.6398698929340165</v>
      </c>
      <c r="AB93" s="104">
        <v>3.6805982781228224</v>
      </c>
      <c r="AC93" s="104">
        <v>1.0928216531066637</v>
      </c>
      <c r="AD93" s="104">
        <v>0.68197373537011896</v>
      </c>
    </row>
    <row r="94" spans="1:30" ht="14.7" customHeight="1">
      <c r="A94" s="131" t="s">
        <v>266</v>
      </c>
      <c r="B94" s="131"/>
      <c r="C94">
        <v>11.7999472450566</v>
      </c>
      <c r="D94">
        <v>7.8763452093862609</v>
      </c>
      <c r="E94">
        <v>2.3046302218232433</v>
      </c>
      <c r="F94">
        <v>0.63949306644026127</v>
      </c>
      <c r="G94">
        <v>12.648195667002307</v>
      </c>
      <c r="H94">
        <v>8.7446223345263405</v>
      </c>
      <c r="I94" s="147">
        <v>4.7638295884333983</v>
      </c>
      <c r="J94" s="112">
        <v>2.4746401686728392</v>
      </c>
      <c r="K94" s="112">
        <v>11.53602288477985</v>
      </c>
      <c r="L94" s="126">
        <v>6.0699224394703473</v>
      </c>
      <c r="M94" s="112">
        <v>2.9726621250995313</v>
      </c>
      <c r="N94" s="126">
        <v>0.56142911911291993</v>
      </c>
      <c r="O94" s="147">
        <v>13.755395077508132</v>
      </c>
      <c r="P94" s="147">
        <v>10.692336607427707</v>
      </c>
      <c r="Q94" s="147">
        <v>4.3764653721376314</v>
      </c>
      <c r="R94" s="112">
        <v>1.6519137618589592</v>
      </c>
      <c r="S94" s="112">
        <v>13.495099999999999</v>
      </c>
      <c r="T94" s="112">
        <v>10.2987</v>
      </c>
      <c r="U94" s="146">
        <v>4.7915000000000001</v>
      </c>
      <c r="V94" s="113">
        <v>2.9062000000000001</v>
      </c>
      <c r="W94">
        <v>10.7942</v>
      </c>
      <c r="X94">
        <v>8.5709999999999997</v>
      </c>
      <c r="Y94">
        <v>4.2295999999999996</v>
      </c>
      <c r="Z94">
        <v>2.3087</v>
      </c>
      <c r="AA94" s="104">
        <v>9.9857686634970584</v>
      </c>
      <c r="AB94" s="104">
        <v>7.0460781270023061</v>
      </c>
      <c r="AC94" s="104">
        <v>2.4440724094209587</v>
      </c>
      <c r="AD94" s="104">
        <v>1.5498796674077668</v>
      </c>
    </row>
    <row r="95" spans="1:30" ht="14.7" customHeight="1">
      <c r="A95" s="131" t="s">
        <v>202</v>
      </c>
      <c r="B95" s="131"/>
      <c r="C95">
        <v>16.298583162558053</v>
      </c>
      <c r="D95">
        <v>10.417141363682216</v>
      </c>
      <c r="E95">
        <v>7.0338470981412122</v>
      </c>
      <c r="F95">
        <v>4.3637196289005598</v>
      </c>
      <c r="G95">
        <v>13.355881262955558</v>
      </c>
      <c r="H95">
        <v>8.7270129605061761</v>
      </c>
      <c r="I95" s="147">
        <v>4.425757730380651</v>
      </c>
      <c r="J95" s="112">
        <v>3.4838248800898053</v>
      </c>
      <c r="K95" s="112">
        <v>15.035812930106268</v>
      </c>
      <c r="L95" s="126">
        <v>10.368926214757048</v>
      </c>
      <c r="M95" s="112">
        <v>4.5324685062987404</v>
      </c>
      <c r="N95" s="126">
        <v>2.6162267546490701</v>
      </c>
      <c r="O95" s="147">
        <v>16.393394625216619</v>
      </c>
      <c r="P95" s="147">
        <v>10.587952852667177</v>
      </c>
      <c r="Q95" s="147">
        <v>7.3457422608719112</v>
      </c>
      <c r="R95" s="112">
        <v>4.1128986200099051</v>
      </c>
      <c r="S95" s="112">
        <v>18.026900000000001</v>
      </c>
      <c r="T95" s="112">
        <v>11.3759</v>
      </c>
      <c r="U95" s="146">
        <v>5.0513000000000003</v>
      </c>
      <c r="V95" s="113">
        <v>3.0918999999999999</v>
      </c>
      <c r="W95">
        <v>16.261300000000002</v>
      </c>
      <c r="X95">
        <v>11.756399999999999</v>
      </c>
      <c r="Y95">
        <v>6.365899999999999</v>
      </c>
      <c r="Z95">
        <v>3.1520000000000001</v>
      </c>
      <c r="AA95" s="104">
        <v>13.927509308210762</v>
      </c>
      <c r="AB95" s="104">
        <v>11.095687229532485</v>
      </c>
      <c r="AC95" s="104">
        <v>4.2154387334273018</v>
      </c>
      <c r="AD95" s="104">
        <v>2.8493207799316416</v>
      </c>
    </row>
    <row r="96" spans="1:30" ht="14.7" customHeight="1">
      <c r="A96" s="131" t="s">
        <v>52</v>
      </c>
      <c r="B96" s="131"/>
      <c r="C96">
        <v>20.37410239467404</v>
      </c>
      <c r="D96">
        <v>10.230953109989191</v>
      </c>
      <c r="E96">
        <v>3.7690981577184446</v>
      </c>
      <c r="F96">
        <v>1.561351855681794</v>
      </c>
      <c r="G96">
        <v>16.656038822529943</v>
      </c>
      <c r="H96">
        <v>11.726878096113579</v>
      </c>
      <c r="I96" s="147">
        <v>4.6218272815484402</v>
      </c>
      <c r="J96" s="112">
        <v>2.0491292579541387</v>
      </c>
      <c r="K96" s="112">
        <v>19.65669382502611</v>
      </c>
      <c r="L96" s="126">
        <v>9.7134486683537951</v>
      </c>
      <c r="M96" s="112">
        <v>4.2785172552716295</v>
      </c>
      <c r="N96" s="126">
        <v>2.456377781515366</v>
      </c>
      <c r="O96" s="147">
        <v>24.978646787933183</v>
      </c>
      <c r="P96" s="147">
        <v>15.911949877232756</v>
      </c>
      <c r="Q96" s="147">
        <v>5.8236253688449677</v>
      </c>
      <c r="R96" s="112">
        <v>4.6869796583309098</v>
      </c>
      <c r="S96" s="112">
        <v>22.839000000000002</v>
      </c>
      <c r="T96" s="112">
        <v>15.231400000000001</v>
      </c>
      <c r="U96" s="146">
        <v>7.8895000000000008</v>
      </c>
      <c r="V96" s="113">
        <v>2.3908</v>
      </c>
      <c r="W96">
        <v>28.075199999999999</v>
      </c>
      <c r="X96">
        <v>20.253599999999999</v>
      </c>
      <c r="Y96">
        <v>10.3522</v>
      </c>
      <c r="Z96">
        <v>4.7671999999999999</v>
      </c>
      <c r="AA96" s="104">
        <v>25.915533131882306</v>
      </c>
      <c r="AB96" s="104">
        <v>17.586360999032092</v>
      </c>
      <c r="AC96" s="104">
        <v>6.7075532377053104</v>
      </c>
      <c r="AD96" s="104">
        <v>5.4648282236273555</v>
      </c>
    </row>
    <row r="97" spans="1:30" ht="14.7" customHeight="1">
      <c r="A97" s="131" t="s">
        <v>53</v>
      </c>
      <c r="B97" s="131"/>
      <c r="C97">
        <v>18.947468269135122</v>
      </c>
      <c r="D97">
        <v>14.204554541248084</v>
      </c>
      <c r="E97">
        <v>3.8325417865163041</v>
      </c>
      <c r="F97">
        <v>2.139004551403842</v>
      </c>
      <c r="G97">
        <v>17.910304974485385</v>
      </c>
      <c r="H97">
        <v>10.636349017987451</v>
      </c>
      <c r="I97" s="147">
        <v>3.0865868626688679</v>
      </c>
      <c r="J97" s="112">
        <v>1.713458731861417</v>
      </c>
      <c r="K97" s="112">
        <v>19.492048198433729</v>
      </c>
      <c r="L97" s="126">
        <v>11.599388217507869</v>
      </c>
      <c r="M97" s="112">
        <v>5.483717459888493</v>
      </c>
      <c r="N97" s="126">
        <v>2.2373927569182928</v>
      </c>
      <c r="O97" s="147">
        <v>22.918998735422804</v>
      </c>
      <c r="P97" s="147">
        <v>19.218444841655892</v>
      </c>
      <c r="Q97" s="147">
        <v>7.9644037591393682</v>
      </c>
      <c r="R97" s="112">
        <v>4.3677527375609602</v>
      </c>
      <c r="S97" s="112">
        <v>18.847799999999999</v>
      </c>
      <c r="T97" s="112">
        <v>14.787000000000001</v>
      </c>
      <c r="U97" s="146">
        <v>6.8712</v>
      </c>
      <c r="V97" s="113">
        <v>6.0596999999999994</v>
      </c>
      <c r="W97">
        <v>19.642699999999998</v>
      </c>
      <c r="X97">
        <v>14.729200000000001</v>
      </c>
      <c r="Y97">
        <v>5.0330000000000004</v>
      </c>
      <c r="Z97">
        <v>2.9068000000000001</v>
      </c>
      <c r="AA97" s="104">
        <v>18.572474285437107</v>
      </c>
      <c r="AB97" s="104">
        <v>11.842272490974935</v>
      </c>
      <c r="AC97" s="104">
        <v>6.6703638548776549</v>
      </c>
      <c r="AD97" s="104">
        <v>3.4531348042167025</v>
      </c>
    </row>
    <row r="98" spans="1:30" ht="14.7" customHeight="1">
      <c r="A98" s="131" t="s">
        <v>54</v>
      </c>
      <c r="B98" s="131"/>
      <c r="C98">
        <v>12.91564410957041</v>
      </c>
      <c r="D98">
        <v>8.85311221562241</v>
      </c>
      <c r="E98">
        <v>3.7053677340507991</v>
      </c>
      <c r="F98">
        <v>1.5747467884880302</v>
      </c>
      <c r="G98">
        <v>21.52368896116187</v>
      </c>
      <c r="H98">
        <v>15.808663840304416</v>
      </c>
      <c r="I98" s="147">
        <v>8.4470709629004261</v>
      </c>
      <c r="J98" s="112">
        <v>3.1291867784976231</v>
      </c>
      <c r="K98" s="112">
        <v>12.208772537175646</v>
      </c>
      <c r="L98" s="126">
        <v>8.0839210926852569</v>
      </c>
      <c r="M98" s="112">
        <v>3.4605015767535789</v>
      </c>
      <c r="N98" s="126">
        <v>2.5787133292878246</v>
      </c>
      <c r="O98" s="147">
        <v>19.727787749027407</v>
      </c>
      <c r="P98" s="147">
        <v>13.140958512934958</v>
      </c>
      <c r="Q98" s="147">
        <v>4.7214169610728831</v>
      </c>
      <c r="R98" s="112">
        <v>1.3835466840633426</v>
      </c>
      <c r="S98" s="112">
        <v>19.281400000000001</v>
      </c>
      <c r="T98" s="112">
        <v>14.117099999999999</v>
      </c>
      <c r="U98" s="146">
        <v>6.6033999999999997</v>
      </c>
      <c r="V98" s="113">
        <v>2.7803999999999998</v>
      </c>
      <c r="W98">
        <v>21.608799999999999</v>
      </c>
      <c r="X98">
        <v>13.831199999999999</v>
      </c>
      <c r="Y98">
        <v>5.0442999999999998</v>
      </c>
      <c r="Z98">
        <v>2.7778</v>
      </c>
    </row>
    <row r="99" spans="1:30" ht="14.7" customHeight="1">
      <c r="A99" s="131" t="s">
        <v>55</v>
      </c>
      <c r="B99" s="131"/>
      <c r="C99">
        <v>15.525496877851982</v>
      </c>
      <c r="D99">
        <v>11.474616467950764</v>
      </c>
      <c r="E99">
        <v>3.5215617149955394</v>
      </c>
      <c r="F99">
        <v>1.9073824772634491</v>
      </c>
      <c r="G99">
        <v>17.332956947865874</v>
      </c>
      <c r="H99">
        <v>11.62302346456757</v>
      </c>
      <c r="I99" s="147">
        <v>5.4014809038143641</v>
      </c>
      <c r="J99" s="112">
        <v>2.663677239328841</v>
      </c>
      <c r="K99" s="112">
        <v>15.344738511826536</v>
      </c>
      <c r="L99" s="126">
        <v>9.2361676920109748</v>
      </c>
      <c r="M99" s="112">
        <v>4.3729655476440694</v>
      </c>
      <c r="N99" s="126">
        <v>1.956616718032284</v>
      </c>
      <c r="O99" s="147">
        <v>19.726052831508916</v>
      </c>
      <c r="P99" s="147">
        <v>12.64642663683302</v>
      </c>
      <c r="Q99" s="147">
        <v>4.2601203685223537</v>
      </c>
      <c r="R99" s="112">
        <v>1.8539264529985235</v>
      </c>
      <c r="S99" s="112">
        <v>22.380300000000002</v>
      </c>
      <c r="T99" s="112">
        <v>16.896799999999999</v>
      </c>
      <c r="U99" s="146">
        <v>8.1225000000000005</v>
      </c>
      <c r="V99" s="113">
        <v>6.3230999999999993</v>
      </c>
      <c r="W99">
        <v>20.985500000000002</v>
      </c>
      <c r="X99">
        <v>13.813500000000001</v>
      </c>
      <c r="Y99">
        <v>4.5143000000000004</v>
      </c>
      <c r="Z99">
        <v>3.1722999999999999</v>
      </c>
      <c r="AA99" s="104">
        <v>15.288633696193148</v>
      </c>
      <c r="AB99" s="104">
        <v>9.4187597080017511</v>
      </c>
      <c r="AC99" s="104">
        <v>4.0195138177011334</v>
      </c>
      <c r="AD99" s="104">
        <v>2.2059259360410235</v>
      </c>
    </row>
    <row r="100" spans="1:30" ht="14.7" customHeight="1">
      <c r="A100" s="131" t="s">
        <v>56</v>
      </c>
      <c r="B100" s="131"/>
      <c r="C100">
        <v>15.549095749279118</v>
      </c>
      <c r="D100">
        <v>8.9918154559614525</v>
      </c>
      <c r="E100">
        <v>1.859384644416215</v>
      </c>
      <c r="F100">
        <v>0.67249523073356965</v>
      </c>
      <c r="G100">
        <v>12.963133179321574</v>
      </c>
      <c r="H100">
        <v>8.3288906863736365</v>
      </c>
      <c r="I100" s="147">
        <v>3.5988504268004977</v>
      </c>
      <c r="J100" s="112">
        <v>1.2843845555208315</v>
      </c>
      <c r="K100" s="112">
        <v>14.768565529548058</v>
      </c>
      <c r="L100" s="126">
        <v>8.7696116280735836</v>
      </c>
      <c r="M100" s="112">
        <v>3.972076066450684</v>
      </c>
      <c r="N100" s="126">
        <v>2.0049432048843001</v>
      </c>
      <c r="O100" s="147">
        <v>22.857111249844539</v>
      </c>
      <c r="P100" s="147">
        <v>14.63612785603515</v>
      </c>
      <c r="Q100" s="147">
        <v>7.4501967265225675</v>
      </c>
      <c r="R100" s="112">
        <v>4.1604595665711352</v>
      </c>
      <c r="S100" s="112">
        <v>14.1295</v>
      </c>
      <c r="T100" s="112">
        <v>9.3852000000000011</v>
      </c>
      <c r="U100" s="146">
        <v>4.3258999999999999</v>
      </c>
      <c r="V100" s="113">
        <v>2.7334000000000001</v>
      </c>
      <c r="W100">
        <v>14.016300000000001</v>
      </c>
      <c r="X100">
        <v>8.0314999999999994</v>
      </c>
      <c r="Y100">
        <v>1.0165999999999999</v>
      </c>
      <c r="Z100">
        <v>0.27029999999999998</v>
      </c>
      <c r="AA100" s="104">
        <v>17.63569429600161</v>
      </c>
      <c r="AB100" s="104">
        <v>9.4620774931230986</v>
      </c>
      <c r="AC100" s="104">
        <v>3.061736745119306</v>
      </c>
      <c r="AD100" s="104">
        <v>2.0546020301566306</v>
      </c>
    </row>
    <row r="101" spans="1:30" ht="14.7" customHeight="1">
      <c r="A101" s="131" t="s">
        <v>57</v>
      </c>
      <c r="B101" s="131"/>
      <c r="C101">
        <v>15.769609080175739</v>
      </c>
      <c r="D101">
        <v>9.2540822787982098</v>
      </c>
      <c r="E101">
        <v>4.9098967463757335</v>
      </c>
      <c r="F101">
        <v>2.853441492148173</v>
      </c>
      <c r="G101">
        <v>19.948134448375683</v>
      </c>
      <c r="H101">
        <v>12.655056794439856</v>
      </c>
      <c r="I101" s="147">
        <v>5.4898936782247265</v>
      </c>
      <c r="J101" s="112">
        <v>2.6617788660490973</v>
      </c>
      <c r="K101" s="112">
        <v>15.813197977696841</v>
      </c>
      <c r="L101" s="126">
        <v>10.201889387505144</v>
      </c>
      <c r="M101" s="112">
        <v>2.1255107470208516</v>
      </c>
      <c r="N101" s="126">
        <v>1.4564948950396048</v>
      </c>
      <c r="O101" s="147">
        <v>24.146156828333794</v>
      </c>
      <c r="P101" s="147">
        <v>16.249611885882032</v>
      </c>
      <c r="Q101" s="147">
        <v>8.4525447033566561</v>
      </c>
      <c r="R101" s="112">
        <v>3.5873107809043363</v>
      </c>
      <c r="S101" s="112">
        <v>12.770899999999999</v>
      </c>
      <c r="T101" s="112">
        <v>9.7459000000000007</v>
      </c>
      <c r="U101" s="146">
        <v>5.0715000000000003</v>
      </c>
      <c r="V101" s="113">
        <v>2.7397</v>
      </c>
      <c r="W101">
        <v>14.490300000000001</v>
      </c>
      <c r="X101">
        <v>11.999000000000001</v>
      </c>
      <c r="Y101">
        <v>6.6045000000000007</v>
      </c>
      <c r="Z101">
        <v>3.2704999999999997</v>
      </c>
      <c r="AA101" s="104">
        <v>14.783623878592769</v>
      </c>
      <c r="AB101" s="104">
        <v>11.03930086530055</v>
      </c>
      <c r="AC101" s="104">
        <v>6.4279746700012073</v>
      </c>
      <c r="AD101" s="104">
        <v>4.250561671233366</v>
      </c>
    </row>
    <row r="102" spans="1:30" ht="14.7" customHeight="1">
      <c r="A102" s="131" t="s">
        <v>58</v>
      </c>
      <c r="B102" s="131"/>
      <c r="C102">
        <v>14.358433415876293</v>
      </c>
      <c r="D102">
        <v>8.804466348760938</v>
      </c>
      <c r="E102">
        <v>1.9491784667474841</v>
      </c>
      <c r="F102">
        <v>1.5922117604114316</v>
      </c>
      <c r="G102">
        <v>14.061619580730206</v>
      </c>
      <c r="H102">
        <v>9.5882156973229087</v>
      </c>
      <c r="I102" s="147">
        <v>4.9344608183863414</v>
      </c>
      <c r="J102" s="112">
        <v>1.3663078840324592</v>
      </c>
      <c r="K102" s="112">
        <v>16.162625133300104</v>
      </c>
      <c r="L102" s="126">
        <v>6.0804705667414005</v>
      </c>
      <c r="M102" s="112">
        <v>1.2753121257916091</v>
      </c>
      <c r="N102" s="126">
        <v>0.96194517865689089</v>
      </c>
      <c r="O102" s="147">
        <v>14.826055827666529</v>
      </c>
      <c r="P102" s="147">
        <v>9.5748569844253897</v>
      </c>
      <c r="Q102" s="147">
        <v>3.016930458596256</v>
      </c>
      <c r="R102" s="112">
        <v>1.4008962814279227</v>
      </c>
      <c r="S102" s="112">
        <v>16.131599999999999</v>
      </c>
      <c r="T102" s="112">
        <v>8.8315999999999999</v>
      </c>
      <c r="U102" s="146">
        <v>3.2133000000000003</v>
      </c>
      <c r="V102" s="113">
        <v>1.7335</v>
      </c>
      <c r="W102">
        <v>16.948399999999999</v>
      </c>
      <c r="X102">
        <v>8.8668999999999993</v>
      </c>
      <c r="Y102">
        <v>2.9329000000000001</v>
      </c>
      <c r="Z102">
        <v>1.9897999999999998</v>
      </c>
      <c r="AA102" s="104">
        <v>15.435739864575353</v>
      </c>
      <c r="AB102" s="104">
        <v>9.3587677982052639</v>
      </c>
      <c r="AC102" s="104">
        <v>3.0562815004044723</v>
      </c>
      <c r="AD102" s="104">
        <v>1.2209493939437079</v>
      </c>
    </row>
    <row r="103" spans="1:30" ht="14.7" customHeight="1">
      <c r="A103" s="131" t="s">
        <v>267</v>
      </c>
      <c r="B103" s="131"/>
      <c r="C103">
        <v>17.416721712256429</v>
      </c>
      <c r="D103">
        <v>9.5334927412900292</v>
      </c>
      <c r="E103">
        <v>3.4197546842546238</v>
      </c>
      <c r="F103">
        <v>1.9014111092690293</v>
      </c>
      <c r="G103">
        <v>21.796605077362177</v>
      </c>
      <c r="H103">
        <v>13.057271026533366</v>
      </c>
      <c r="I103" s="147">
        <v>7.7825833316569781</v>
      </c>
      <c r="J103" s="112">
        <v>4.0665043954054436</v>
      </c>
      <c r="K103" s="112">
        <v>20.625050102495393</v>
      </c>
      <c r="L103" s="126">
        <v>11.522810473234768</v>
      </c>
      <c r="M103" s="112">
        <v>4.6273710409485309</v>
      </c>
      <c r="N103" s="126">
        <v>2.4492008413401893</v>
      </c>
      <c r="O103" s="147">
        <v>17.664647348001118</v>
      </c>
      <c r="P103" s="147">
        <v>14.140488583807551</v>
      </c>
      <c r="Q103" s="147">
        <v>5.4121806454918824</v>
      </c>
      <c r="R103" s="112">
        <v>1.9171370603673885</v>
      </c>
      <c r="S103" s="112">
        <v>18.607299999999999</v>
      </c>
      <c r="T103" s="112">
        <v>12.586</v>
      </c>
      <c r="U103" s="146">
        <v>5.4926000000000004</v>
      </c>
      <c r="V103" s="113">
        <v>2.5284999999999997</v>
      </c>
      <c r="W103">
        <v>17.627100000000002</v>
      </c>
      <c r="X103">
        <v>10.9998</v>
      </c>
      <c r="Y103">
        <v>5.1024000000000003</v>
      </c>
      <c r="Z103">
        <v>4.2347000000000001</v>
      </c>
      <c r="AA103" s="104">
        <v>17.275442292247849</v>
      </c>
      <c r="AB103" s="104">
        <v>12.370519535103044</v>
      </c>
      <c r="AC103" s="104">
        <v>6.3378068807230941</v>
      </c>
      <c r="AD103" s="104">
        <v>1.8690010910473973</v>
      </c>
    </row>
    <row r="104" spans="1:30" ht="14.7" customHeight="1">
      <c r="A104" s="131" t="s">
        <v>59</v>
      </c>
      <c r="B104" s="131"/>
      <c r="C104">
        <v>15.63817308647851</v>
      </c>
      <c r="D104">
        <v>10.333953880719376</v>
      </c>
      <c r="E104">
        <v>6.0127793857958824</v>
      </c>
      <c r="F104">
        <v>3.6786308431426393</v>
      </c>
      <c r="G104">
        <v>14.648474862851819</v>
      </c>
      <c r="H104">
        <v>8.4445993290016066</v>
      </c>
      <c r="I104" s="147">
        <v>1.9078294831002849</v>
      </c>
      <c r="J104" s="112">
        <v>0.85142973797244648</v>
      </c>
      <c r="K104" s="112">
        <v>16.229963827196677</v>
      </c>
      <c r="L104" s="126">
        <v>9.1738084513358764</v>
      </c>
      <c r="M104" s="112">
        <v>3.4772311971250587</v>
      </c>
      <c r="N104" s="126">
        <v>0.57219513250575837</v>
      </c>
      <c r="O104" s="147">
        <v>19.889953601746182</v>
      </c>
      <c r="P104" s="147">
        <v>16.491238530538599</v>
      </c>
      <c r="Q104" s="147">
        <v>6.3616815996248199</v>
      </c>
      <c r="R104" s="112">
        <v>2.7002887232855497</v>
      </c>
      <c r="S104" s="112">
        <v>13.4754</v>
      </c>
      <c r="T104" s="112">
        <v>9.5659999999999989</v>
      </c>
      <c r="U104" s="146">
        <v>5.5231000000000003</v>
      </c>
      <c r="V104" s="113">
        <v>2.6623999999999999</v>
      </c>
      <c r="W104">
        <v>23.968700000000002</v>
      </c>
      <c r="X104">
        <v>17.922499999999999</v>
      </c>
      <c r="Y104">
        <v>6.9286000000000003</v>
      </c>
      <c r="Z104">
        <v>4.3802000000000003</v>
      </c>
      <c r="AA104" s="104">
        <v>12.883004912520324</v>
      </c>
      <c r="AB104" s="104">
        <v>8.4556886840285639</v>
      </c>
      <c r="AC104" s="104">
        <v>3.77276368418676</v>
      </c>
      <c r="AD104" s="104">
        <v>1.19741069906363</v>
      </c>
    </row>
    <row r="105" spans="1:30" ht="14.7" customHeight="1">
      <c r="A105" s="131" t="s">
        <v>908</v>
      </c>
      <c r="B105" s="131"/>
      <c r="C105"/>
      <c r="D105"/>
      <c r="E105"/>
      <c r="F105"/>
      <c r="G105"/>
      <c r="H105"/>
      <c r="I105" s="147"/>
      <c r="J105" s="112"/>
      <c r="K105" s="112"/>
      <c r="L105" s="126"/>
      <c r="M105" s="112"/>
      <c r="N105" s="126"/>
      <c r="O105" s="147"/>
      <c r="P105" s="147"/>
      <c r="Q105" s="147"/>
      <c r="R105" s="112"/>
      <c r="S105" s="112"/>
      <c r="T105" s="112"/>
      <c r="U105" s="146"/>
      <c r="V105" s="113"/>
      <c r="W105"/>
      <c r="X105"/>
      <c r="Y105"/>
      <c r="Z105"/>
      <c r="AA105" s="104">
        <v>21.592272617150616</v>
      </c>
      <c r="AB105" s="104">
        <v>14.569042251157557</v>
      </c>
      <c r="AC105" s="104">
        <v>6.03047096673673</v>
      </c>
      <c r="AD105" s="104">
        <v>3.7532698018408466</v>
      </c>
    </row>
    <row r="106" spans="1:30" ht="14.7" customHeight="1">
      <c r="A106" s="131" t="s">
        <v>310</v>
      </c>
      <c r="B106" s="131"/>
      <c r="C106">
        <v>15.356317647757123</v>
      </c>
      <c r="D106">
        <v>8.8284388522768715</v>
      </c>
      <c r="E106">
        <v>3.6814578104317199</v>
      </c>
      <c r="F106">
        <v>2.4380785773217362</v>
      </c>
      <c r="G106">
        <v>14.014762102663935</v>
      </c>
      <c r="H106">
        <v>8.9035843772036678</v>
      </c>
      <c r="I106" s="147">
        <v>3.5364465546906136</v>
      </c>
      <c r="J106" s="112">
        <v>2.2550518782366873</v>
      </c>
      <c r="K106" s="112">
        <v>13.535310482314244</v>
      </c>
      <c r="L106" s="126">
        <v>7.5935816487977466</v>
      </c>
      <c r="M106" s="112">
        <v>2.5386767133651205</v>
      </c>
      <c r="N106" s="126">
        <v>1.3775065318319208</v>
      </c>
      <c r="O106" s="147">
        <v>13.610674289716254</v>
      </c>
      <c r="P106" s="147">
        <v>8.4688877391224597</v>
      </c>
      <c r="Q106" s="147">
        <v>3.8501667672708297</v>
      </c>
      <c r="R106" s="112">
        <v>2.0474137282307723</v>
      </c>
      <c r="S106" s="112">
        <v>15.1896</v>
      </c>
      <c r="T106" s="112">
        <v>10.4369</v>
      </c>
      <c r="U106" s="146">
        <v>4.2786999999999997</v>
      </c>
      <c r="V106" s="113">
        <v>2.5973999999999999</v>
      </c>
      <c r="W106">
        <v>12.992999999999999</v>
      </c>
      <c r="X106">
        <v>8.4862000000000002</v>
      </c>
      <c r="Y106">
        <v>4.1581000000000001</v>
      </c>
      <c r="Z106">
        <v>2.4726999999999997</v>
      </c>
      <c r="AA106" s="104">
        <v>13.818832595268283</v>
      </c>
      <c r="AB106" s="104">
        <v>9.4782847876007388</v>
      </c>
      <c r="AC106" s="104">
        <v>4.6961463764137523</v>
      </c>
      <c r="AD106" s="104">
        <v>2.1687107677451851</v>
      </c>
    </row>
    <row r="107" spans="1:30" ht="14.7" customHeight="1">
      <c r="A107" s="131" t="s">
        <v>60</v>
      </c>
      <c r="B107" s="131"/>
      <c r="C107">
        <v>15.449994983059609</v>
      </c>
      <c r="D107">
        <v>8.5987618725202246</v>
      </c>
      <c r="E107">
        <v>4.2510172977311145</v>
      </c>
      <c r="F107">
        <v>2.462500357441332</v>
      </c>
      <c r="G107">
        <v>11.75792613022068</v>
      </c>
      <c r="H107">
        <v>7.8492090205318084</v>
      </c>
      <c r="I107" s="147">
        <v>3.3373111797884603</v>
      </c>
      <c r="J107" s="112">
        <v>2.8432422508491175</v>
      </c>
      <c r="K107" s="112">
        <v>10.536396190838365</v>
      </c>
      <c r="L107" s="126">
        <v>5.9884568458747305</v>
      </c>
      <c r="M107" s="112">
        <v>0.90118996688374453</v>
      </c>
      <c r="N107" s="126">
        <v>0.77819239118378736</v>
      </c>
      <c r="O107" s="147">
        <v>10.856254590527662</v>
      </c>
      <c r="P107" s="147">
        <v>7.3100440352551459</v>
      </c>
      <c r="Q107" s="147">
        <v>2.8726657876494217</v>
      </c>
      <c r="R107" s="112">
        <v>1.400211003539896</v>
      </c>
      <c r="S107" s="112">
        <v>16.9559</v>
      </c>
      <c r="T107" s="112">
        <v>12.696899999999999</v>
      </c>
      <c r="U107" s="146">
        <v>4.2646999999999995</v>
      </c>
      <c r="V107" s="113">
        <v>2.3222</v>
      </c>
      <c r="W107">
        <v>12.3371</v>
      </c>
      <c r="X107">
        <v>9.1477000000000004</v>
      </c>
      <c r="Y107">
        <v>5.8979999999999997</v>
      </c>
      <c r="Z107">
        <v>4.1688000000000001</v>
      </c>
      <c r="AA107" s="104">
        <v>13.255046238646528</v>
      </c>
      <c r="AB107" s="104">
        <v>9.612385575410995</v>
      </c>
      <c r="AC107" s="104">
        <v>6.2154666831685752</v>
      </c>
      <c r="AD107" s="104">
        <v>3.5208831548382786</v>
      </c>
    </row>
    <row r="108" spans="1:30" ht="14.7" customHeight="1">
      <c r="A108" s="131" t="s">
        <v>61</v>
      </c>
      <c r="B108" s="131"/>
      <c r="C108">
        <v>15.506172446166703</v>
      </c>
      <c r="D108">
        <v>11.402349768282333</v>
      </c>
      <c r="E108">
        <v>5.2549376349913519</v>
      </c>
      <c r="F108">
        <v>2.4752579287081007</v>
      </c>
      <c r="G108">
        <v>17.782315503738531</v>
      </c>
      <c r="H108">
        <v>10.15229777398347</v>
      </c>
      <c r="I108" s="147">
        <v>5.009509653987811</v>
      </c>
      <c r="J108" s="112">
        <v>2.4360683057256511</v>
      </c>
      <c r="K108" s="112">
        <v>18.693674056577599</v>
      </c>
      <c r="L108" s="126">
        <v>9.3438831984876671</v>
      </c>
      <c r="M108" s="112">
        <v>4.8657388967821324</v>
      </c>
      <c r="N108" s="126">
        <v>4.1912133335711212</v>
      </c>
      <c r="O108" s="147">
        <v>17.669712055120122</v>
      </c>
      <c r="P108" s="147">
        <v>14.336456419194304</v>
      </c>
      <c r="Q108" s="147">
        <v>6.1167915415737291</v>
      </c>
      <c r="R108" s="112">
        <v>3.5994888999611918</v>
      </c>
      <c r="S108" s="112">
        <v>18.247800000000002</v>
      </c>
      <c r="T108" s="112">
        <v>12.805</v>
      </c>
      <c r="U108" s="146">
        <v>4.0411000000000001</v>
      </c>
      <c r="V108" s="113">
        <v>1.4321999999999999</v>
      </c>
      <c r="W108">
        <v>18.429200000000002</v>
      </c>
      <c r="X108">
        <v>12.8565</v>
      </c>
      <c r="Y108">
        <v>6.6218000000000004</v>
      </c>
      <c r="Z108">
        <v>2.3570000000000002</v>
      </c>
      <c r="AA108" s="104">
        <v>21.19133335053575</v>
      </c>
      <c r="AB108" s="104">
        <v>15.132737375192887</v>
      </c>
      <c r="AC108" s="104">
        <v>9.0779469897412799</v>
      </c>
      <c r="AD108" s="104">
        <v>4.8240392698502701</v>
      </c>
    </row>
    <row r="109" spans="1:30" ht="14.7" customHeight="1">
      <c r="A109" s="131" t="s">
        <v>62</v>
      </c>
      <c r="B109" s="131"/>
      <c r="C109">
        <v>17.157169494664604</v>
      </c>
      <c r="D109">
        <v>12.57445325121882</v>
      </c>
      <c r="E109">
        <v>4.415670922778828</v>
      </c>
      <c r="F109">
        <v>1.8822442194449802</v>
      </c>
      <c r="G109">
        <v>17.686695459770231</v>
      </c>
      <c r="H109">
        <v>8.2696256785594358</v>
      </c>
      <c r="I109" s="147">
        <v>2.1164819295525081</v>
      </c>
      <c r="J109" s="112">
        <v>0.58166546994828972</v>
      </c>
      <c r="K109" s="112">
        <v>15.478713351053777</v>
      </c>
      <c r="L109" s="126">
        <v>11.904398074610841</v>
      </c>
      <c r="M109" s="112">
        <v>8.1611890122528408</v>
      </c>
      <c r="N109" s="126">
        <v>5.4759788802341989</v>
      </c>
      <c r="O109" s="147">
        <v>15.636190074436202</v>
      </c>
      <c r="P109" s="147">
        <v>11.971866795183363</v>
      </c>
      <c r="Q109" s="147">
        <v>4.5192256147535037</v>
      </c>
      <c r="R109" s="112">
        <v>2.4631002600297349</v>
      </c>
      <c r="S109" s="112">
        <v>14.3545</v>
      </c>
      <c r="T109" s="112">
        <v>9.2807999999999993</v>
      </c>
      <c r="U109" s="146">
        <v>3.1531000000000002</v>
      </c>
      <c r="V109" s="113">
        <v>1.3786</v>
      </c>
      <c r="W109">
        <v>16.996300000000002</v>
      </c>
      <c r="X109">
        <v>10.821999999999999</v>
      </c>
      <c r="Y109">
        <v>4.0747</v>
      </c>
      <c r="Z109">
        <v>2.5886</v>
      </c>
      <c r="AA109" s="104">
        <v>17.368471444255732</v>
      </c>
      <c r="AB109" s="104">
        <v>10.622772626958337</v>
      </c>
      <c r="AC109" s="104">
        <v>3.4668764461183361</v>
      </c>
      <c r="AD109" s="104">
        <v>1.4723036070045594</v>
      </c>
    </row>
    <row r="110" spans="1:30" ht="14.7" customHeight="1">
      <c r="A110" s="131" t="s">
        <v>63</v>
      </c>
      <c r="B110" s="131"/>
      <c r="C110">
        <v>22.320780978912623</v>
      </c>
      <c r="D110">
        <v>15.126371142137129</v>
      </c>
      <c r="E110">
        <v>5.8803399873650521</v>
      </c>
      <c r="F110">
        <v>3.5699073530242584</v>
      </c>
      <c r="G110">
        <v>20.991095625241968</v>
      </c>
      <c r="H110">
        <v>13.280966644252912</v>
      </c>
      <c r="I110" s="147">
        <v>4.8611365812906255</v>
      </c>
      <c r="J110" s="112">
        <v>2.619964545510117</v>
      </c>
      <c r="K110" s="112">
        <v>20.87066630335476</v>
      </c>
      <c r="L110" s="126">
        <v>13.371671725670486</v>
      </c>
      <c r="M110" s="112">
        <v>5.2453281374546101</v>
      </c>
      <c r="N110" s="126">
        <v>2.9927295271374623</v>
      </c>
      <c r="O110" s="147">
        <v>27.678258642101888</v>
      </c>
      <c r="P110" s="147">
        <v>21.090589290012453</v>
      </c>
      <c r="Q110" s="147">
        <v>9.5424815829373504</v>
      </c>
      <c r="R110" s="112">
        <v>4.6614733037241978</v>
      </c>
      <c r="S110" s="112">
        <v>27.810200000000002</v>
      </c>
      <c r="T110" s="112">
        <v>18.110299999999999</v>
      </c>
      <c r="U110" s="146">
        <v>7.8705999999999996</v>
      </c>
      <c r="V110" s="113">
        <v>5.4539999999999997</v>
      </c>
      <c r="W110">
        <v>28.019100000000002</v>
      </c>
      <c r="X110">
        <v>21.003</v>
      </c>
      <c r="Y110">
        <v>11.376100000000001</v>
      </c>
      <c r="Z110">
        <v>5.4601999999999995</v>
      </c>
      <c r="AA110" s="104">
        <v>23.984668805215019</v>
      </c>
      <c r="AB110" s="104">
        <v>17.79288207146028</v>
      </c>
      <c r="AC110" s="104">
        <v>9.1649801323380835</v>
      </c>
      <c r="AD110" s="104">
        <v>7.4655119889975659</v>
      </c>
    </row>
    <row r="111" spans="1:30" ht="14.7" customHeight="1">
      <c r="A111" s="131" t="s">
        <v>203</v>
      </c>
      <c r="B111" s="131"/>
      <c r="C111">
        <v>8.5555054713348575</v>
      </c>
      <c r="D111">
        <v>6.1130478989990022</v>
      </c>
      <c r="E111">
        <v>1.5726685939166603</v>
      </c>
      <c r="F111">
        <v>1.3708384526552377</v>
      </c>
      <c r="G111">
        <v>7.8839482163311381</v>
      </c>
      <c r="H111">
        <v>4.8887011876680297</v>
      </c>
      <c r="I111" s="147">
        <v>2.2158815834200301</v>
      </c>
      <c r="J111" s="112">
        <v>1.1293661993592976</v>
      </c>
      <c r="K111" s="112">
        <v>7.8827157024441012</v>
      </c>
      <c r="L111" s="126">
        <v>6.2297229726848817</v>
      </c>
      <c r="M111" s="112">
        <v>3.545500001938068</v>
      </c>
      <c r="N111" s="126">
        <v>1.352189434433251</v>
      </c>
      <c r="O111" s="147">
        <v>10.818458950463656</v>
      </c>
      <c r="P111" s="147">
        <v>7.4720161988018949</v>
      </c>
      <c r="Q111" s="147">
        <v>2.9701529456710065</v>
      </c>
      <c r="R111" s="112">
        <v>2.2836723141777191</v>
      </c>
      <c r="S111" s="112">
        <v>8.9642999999999997</v>
      </c>
      <c r="T111" s="112">
        <v>5.9656000000000002</v>
      </c>
      <c r="U111" s="146">
        <v>2.5417000000000001</v>
      </c>
      <c r="V111" s="113">
        <v>1.2272000000000001</v>
      </c>
      <c r="W111">
        <v>9.7216000000000005</v>
      </c>
      <c r="X111">
        <v>7.5665999999999993</v>
      </c>
      <c r="Y111">
        <v>3.7282000000000002</v>
      </c>
      <c r="Z111">
        <v>3.2454999999999998</v>
      </c>
      <c r="AA111" s="104">
        <v>10.267195950180803</v>
      </c>
      <c r="AB111" s="104">
        <v>6.9492374466795628</v>
      </c>
      <c r="AC111" s="104">
        <v>2.9612201423644273</v>
      </c>
      <c r="AD111" s="104">
        <v>1.8735370488425804</v>
      </c>
    </row>
    <row r="112" spans="1:30" ht="14.7" customHeight="1">
      <c r="A112" s="131" t="s">
        <v>64</v>
      </c>
      <c r="B112" s="131"/>
      <c r="C112">
        <v>11.242358230231938</v>
      </c>
      <c r="D112">
        <v>5.700756119360058</v>
      </c>
      <c r="E112">
        <v>2.1112018116183831</v>
      </c>
      <c r="F112">
        <v>1.5068578660971075</v>
      </c>
      <c r="G112">
        <v>11.106047197941553</v>
      </c>
      <c r="H112">
        <v>6.5498522697853696</v>
      </c>
      <c r="I112" s="147">
        <v>1.0219889952290744</v>
      </c>
      <c r="J112" s="112">
        <v>0.35196364069710584</v>
      </c>
      <c r="K112" s="112">
        <v>10.903430455734222</v>
      </c>
      <c r="L112" s="126">
        <v>6.9816773120973643</v>
      </c>
      <c r="M112" s="112">
        <v>1.7346366634122627</v>
      </c>
      <c r="N112" s="126">
        <v>1.1543332588349233</v>
      </c>
      <c r="O112" s="147">
        <v>17.812105517587185</v>
      </c>
      <c r="P112" s="147">
        <v>11.812871129006036</v>
      </c>
      <c r="Q112" s="147">
        <v>3.4552367406635192</v>
      </c>
      <c r="R112" s="112">
        <v>1.3719962021770247</v>
      </c>
      <c r="S112" s="112">
        <v>14.0847</v>
      </c>
      <c r="T112" s="112">
        <v>9.8574000000000002</v>
      </c>
      <c r="U112" s="146">
        <v>2.1819999999999999</v>
      </c>
      <c r="V112" s="113">
        <v>1.1171</v>
      </c>
      <c r="W112">
        <v>13.395899999999999</v>
      </c>
      <c r="X112">
        <v>9.1395999999999997</v>
      </c>
      <c r="Y112">
        <v>4.6177999999999999</v>
      </c>
      <c r="Z112">
        <v>3.0501</v>
      </c>
      <c r="AA112" s="104">
        <v>12.771000407132895</v>
      </c>
      <c r="AB112" s="104">
        <v>9.3240896819595793</v>
      </c>
      <c r="AC112" s="104">
        <v>3.287380434457011</v>
      </c>
      <c r="AD112" s="104">
        <v>2.1559851234823091</v>
      </c>
    </row>
    <row r="113" spans="1:30" ht="14.7" customHeight="1">
      <c r="A113" s="131" t="s">
        <v>344</v>
      </c>
      <c r="B113" s="131"/>
      <c r="C113">
        <v>15.990676502474974</v>
      </c>
      <c r="D113">
        <v>9.5548991266201497</v>
      </c>
      <c r="E113">
        <v>4.5551988451508194</v>
      </c>
      <c r="F113">
        <v>1.9360268011770649</v>
      </c>
      <c r="G113">
        <v>15.24474089276552</v>
      </c>
      <c r="H113">
        <v>9.4692662904053364</v>
      </c>
      <c r="I113" s="147">
        <v>3.4423807080554125</v>
      </c>
      <c r="J113" s="112">
        <v>1.6277065161621342</v>
      </c>
      <c r="K113" s="112">
        <v>20.086580434267542</v>
      </c>
      <c r="L113" s="126">
        <v>9.6570597173130626</v>
      </c>
      <c r="M113" s="112">
        <v>3.9112280800744803</v>
      </c>
      <c r="N113" s="126">
        <v>2.3377895284117702</v>
      </c>
      <c r="O113" s="147">
        <v>21.896137788804193</v>
      </c>
      <c r="P113" s="147">
        <v>14.528660278718997</v>
      </c>
      <c r="Q113" s="147">
        <v>6.1704562352996328</v>
      </c>
      <c r="R113" s="112">
        <v>3.5456757084301662</v>
      </c>
      <c r="S113" s="112">
        <v>21.829599999999999</v>
      </c>
      <c r="T113" s="112">
        <v>12.234</v>
      </c>
      <c r="U113" s="146">
        <v>5.1874000000000002</v>
      </c>
      <c r="V113" s="113">
        <v>3.2320000000000002</v>
      </c>
      <c r="W113">
        <v>22.331400000000002</v>
      </c>
      <c r="X113">
        <v>16.677800000000001</v>
      </c>
      <c r="Y113">
        <v>5.0076000000000001</v>
      </c>
      <c r="Z113">
        <v>1.3280000000000001</v>
      </c>
      <c r="AA113" s="104">
        <v>19.66408572878446</v>
      </c>
      <c r="AB113" s="104">
        <v>14.500854118346135</v>
      </c>
      <c r="AC113" s="104">
        <v>6.3789771731148788</v>
      </c>
      <c r="AD113" s="104">
        <v>4.2000177244554466</v>
      </c>
    </row>
    <row r="114" spans="1:30" ht="14.7" customHeight="1">
      <c r="A114" s="131" t="s">
        <v>65</v>
      </c>
      <c r="B114" s="131"/>
      <c r="C114">
        <v>18.524982277058548</v>
      </c>
      <c r="D114">
        <v>10.562316319645673</v>
      </c>
      <c r="E114">
        <v>5.1070955085359744</v>
      </c>
      <c r="F114">
        <v>2.6375361090658336</v>
      </c>
      <c r="G114">
        <v>14.803398747851254</v>
      </c>
      <c r="H114">
        <v>9.2666974799883874</v>
      </c>
      <c r="I114" s="147">
        <v>3.6145662479599814</v>
      </c>
      <c r="J114" s="112">
        <v>2.0999415092255909</v>
      </c>
      <c r="K114" s="112">
        <v>15.514082077031995</v>
      </c>
      <c r="L114" s="126">
        <v>10.961477798697345</v>
      </c>
      <c r="M114" s="112">
        <v>5.9639279670348202</v>
      </c>
      <c r="N114" s="126">
        <v>5.2241160050550839</v>
      </c>
      <c r="O114" s="147">
        <v>17.76351873389493</v>
      </c>
      <c r="P114" s="147">
        <v>13.109771094615388</v>
      </c>
      <c r="Q114" s="147">
        <v>7.1219181964521479</v>
      </c>
      <c r="R114" s="112">
        <v>2.9063184263067274</v>
      </c>
      <c r="S114" s="112">
        <v>16.915299999999998</v>
      </c>
      <c r="T114" s="112">
        <v>12.221299999999999</v>
      </c>
      <c r="U114" s="146">
        <v>6.3393000000000006</v>
      </c>
      <c r="V114" s="113">
        <v>5.2111000000000001</v>
      </c>
      <c r="W114">
        <v>14.8614</v>
      </c>
      <c r="X114">
        <v>10.150700000000001</v>
      </c>
      <c r="Y114">
        <v>4.1315</v>
      </c>
      <c r="Z114">
        <v>2.6363000000000003</v>
      </c>
      <c r="AA114" s="104">
        <v>17.316148345551994</v>
      </c>
      <c r="AB114" s="104">
        <v>9.5811833357495466</v>
      </c>
      <c r="AC114" s="104">
        <v>3.8429060440924556</v>
      </c>
      <c r="AD114" s="104">
        <v>1.5931099774759201</v>
      </c>
    </row>
    <row r="115" spans="1:30" ht="14.7" customHeight="1">
      <c r="A115" s="131" t="s">
        <v>311</v>
      </c>
      <c r="B115" s="131"/>
      <c r="C115">
        <v>14.141450657720227</v>
      </c>
      <c r="D115">
        <v>8.8199505195292023</v>
      </c>
      <c r="E115">
        <v>3.5858407531043377</v>
      </c>
      <c r="F115">
        <v>2.1019869982554238</v>
      </c>
      <c r="G115">
        <v>13.81305878745084</v>
      </c>
      <c r="H115">
        <v>8.6122396718393901</v>
      </c>
      <c r="I115" s="147">
        <v>3.4702031814714389</v>
      </c>
      <c r="J115" s="112">
        <v>2.3254450823543404</v>
      </c>
      <c r="K115" s="112">
        <v>13.892836301905811</v>
      </c>
      <c r="L115" s="126">
        <v>8.2269869767687123</v>
      </c>
      <c r="M115" s="112">
        <v>3.5032570100377565</v>
      </c>
      <c r="N115" s="126">
        <v>1.9176254959969528</v>
      </c>
      <c r="O115" s="147">
        <v>17.228956940986411</v>
      </c>
      <c r="P115" s="147">
        <v>11.305695982276259</v>
      </c>
      <c r="Q115" s="147">
        <v>4.9060564270736622</v>
      </c>
      <c r="R115" s="112">
        <v>2.9260201404165622</v>
      </c>
      <c r="S115" s="112">
        <v>16.528399999999998</v>
      </c>
      <c r="T115" s="112">
        <v>11.414100000000001</v>
      </c>
      <c r="U115" s="146">
        <v>5.2930999999999999</v>
      </c>
      <c r="V115" s="113">
        <v>3.206</v>
      </c>
      <c r="W115">
        <v>15.5161</v>
      </c>
      <c r="X115">
        <v>10.6576</v>
      </c>
      <c r="Y115">
        <v>4.2481999999999998</v>
      </c>
      <c r="Z115">
        <v>2.6395999999999997</v>
      </c>
      <c r="AA115" s="104">
        <v>14.894377995293434</v>
      </c>
      <c r="AB115" s="104">
        <v>10.356914554164812</v>
      </c>
      <c r="AC115" s="104">
        <v>3.8606179645213503</v>
      </c>
      <c r="AD115" s="104">
        <v>2.1249614220944455</v>
      </c>
    </row>
    <row r="116" spans="1:30" ht="14.7" customHeight="1">
      <c r="A116" s="131" t="s">
        <v>66</v>
      </c>
      <c r="B116" s="131"/>
      <c r="C116">
        <v>22.745022097222929</v>
      </c>
      <c r="D116">
        <v>15.611433138159638</v>
      </c>
      <c r="E116">
        <v>6.4686845925680592</v>
      </c>
      <c r="F116">
        <v>5.050167066969216</v>
      </c>
      <c r="G116">
        <v>22.569476858635344</v>
      </c>
      <c r="H116">
        <v>16.909568906889167</v>
      </c>
      <c r="I116" s="147">
        <v>12.241745079529419</v>
      </c>
      <c r="J116" s="112">
        <v>9.1710060192657092</v>
      </c>
      <c r="K116" s="112">
        <v>26.186363781081855</v>
      </c>
      <c r="L116" s="126">
        <v>14.581210799452391</v>
      </c>
      <c r="M116" s="112">
        <v>8.9803081919195122</v>
      </c>
      <c r="N116" s="126">
        <v>6.7279680983157713</v>
      </c>
      <c r="O116" s="147">
        <v>27.692960778078657</v>
      </c>
      <c r="P116" s="147">
        <v>17.970322746589641</v>
      </c>
      <c r="Q116" s="147">
        <v>8.3810325054455301</v>
      </c>
      <c r="R116" s="112">
        <v>5.4218800559300462</v>
      </c>
      <c r="S116" s="112">
        <v>33.292000000000002</v>
      </c>
      <c r="T116" s="112">
        <v>29.048200000000001</v>
      </c>
      <c r="U116" s="147">
        <v>17.580200000000001</v>
      </c>
      <c r="V116" s="149">
        <v>12.007300000000001</v>
      </c>
      <c r="W116">
        <v>27.678000000000004</v>
      </c>
      <c r="X116">
        <v>20.735500000000002</v>
      </c>
      <c r="Y116">
        <v>13.1464</v>
      </c>
      <c r="Z116">
        <v>7.5119000000000007</v>
      </c>
      <c r="AA116" s="104">
        <v>32.224554012680088</v>
      </c>
      <c r="AB116" s="104">
        <v>25.531375586394017</v>
      </c>
      <c r="AC116" s="104">
        <v>10.317655808158849</v>
      </c>
      <c r="AD116" s="104">
        <v>5.7540126319510936</v>
      </c>
    </row>
    <row r="117" spans="1:30" ht="14.7" customHeight="1">
      <c r="A117" s="131" t="s">
        <v>67</v>
      </c>
      <c r="B117" s="131"/>
      <c r="C117">
        <v>19.389653829250815</v>
      </c>
      <c r="D117">
        <v>12.734683612234335</v>
      </c>
      <c r="E117">
        <v>8.203386578127942</v>
      </c>
      <c r="F117">
        <v>3.4557767601131077</v>
      </c>
      <c r="G117">
        <v>25.596206099956238</v>
      </c>
      <c r="H117">
        <v>15.192666227031076</v>
      </c>
      <c r="I117" s="147">
        <v>8.3512444129643644</v>
      </c>
      <c r="J117" s="112">
        <v>3.8097680515187782</v>
      </c>
      <c r="K117" s="112">
        <v>20.26867110799439</v>
      </c>
      <c r="L117" s="126">
        <v>13.124001109379643</v>
      </c>
      <c r="M117" s="112">
        <v>5.1356695485263799</v>
      </c>
      <c r="N117" s="126">
        <v>3.6559646115874305</v>
      </c>
      <c r="O117" s="147">
        <v>23.252013972836338</v>
      </c>
      <c r="P117" s="147">
        <v>14.49498807812153</v>
      </c>
      <c r="Q117" s="147">
        <v>5.8252592063825741</v>
      </c>
      <c r="R117" s="112">
        <v>2.7044517717776273</v>
      </c>
      <c r="S117" s="112">
        <v>23.9452</v>
      </c>
      <c r="T117" s="112">
        <v>17.4498</v>
      </c>
      <c r="U117" s="146">
        <v>8.9655000000000005</v>
      </c>
      <c r="V117" s="113">
        <v>6.5480999999999998</v>
      </c>
      <c r="W117">
        <v>21.670500000000001</v>
      </c>
      <c r="X117">
        <v>14.172000000000001</v>
      </c>
      <c r="Y117">
        <v>7.4865000000000004</v>
      </c>
      <c r="Z117">
        <v>3.7186999999999997</v>
      </c>
      <c r="AA117" s="104">
        <v>19.598717612081344</v>
      </c>
      <c r="AB117" s="104">
        <v>11.411572111849273</v>
      </c>
      <c r="AC117" s="104">
        <v>5.5481908111540852</v>
      </c>
      <c r="AD117" s="104">
        <v>2.5389459633964369</v>
      </c>
    </row>
    <row r="118" spans="1:30" ht="14.7" customHeight="1">
      <c r="A118" s="131" t="s">
        <v>68</v>
      </c>
      <c r="B118" s="131"/>
      <c r="C118">
        <v>20.825722143542603</v>
      </c>
      <c r="D118">
        <v>12.929866106070145</v>
      </c>
      <c r="E118">
        <v>8.3946172282301745</v>
      </c>
      <c r="F118">
        <v>5.4274239063957213</v>
      </c>
      <c r="G118">
        <v>21.542896323404118</v>
      </c>
      <c r="H118">
        <v>12.005331104601627</v>
      </c>
      <c r="I118" s="147">
        <v>7.3732746938874856</v>
      </c>
      <c r="J118" s="112">
        <v>4.5937162748805171</v>
      </c>
      <c r="K118" s="112">
        <v>15.323517377654447</v>
      </c>
      <c r="L118" s="126">
        <v>9.1636485488681831</v>
      </c>
      <c r="M118" s="112">
        <v>5.7482237102295208</v>
      </c>
      <c r="N118" s="126">
        <v>2.7524455034103594</v>
      </c>
      <c r="O118" s="147">
        <v>15.456077411867991</v>
      </c>
      <c r="P118" s="147">
        <v>11.64630488862864</v>
      </c>
      <c r="Q118" s="147">
        <v>5.0224033145745492</v>
      </c>
      <c r="R118" s="112">
        <v>3.5950040083357755</v>
      </c>
      <c r="S118" s="112">
        <v>18.093500000000002</v>
      </c>
      <c r="T118" s="112">
        <v>12.924099999999999</v>
      </c>
      <c r="U118" s="146">
        <v>6.2633999999999999</v>
      </c>
      <c r="V118" s="113">
        <v>4.2356999999999996</v>
      </c>
      <c r="W118">
        <v>15.3093</v>
      </c>
      <c r="X118">
        <v>10.007000000000001</v>
      </c>
      <c r="Y118">
        <v>4.6439000000000004</v>
      </c>
      <c r="Z118">
        <v>2.2763999999999998</v>
      </c>
      <c r="AA118" s="104">
        <v>19.821297621924014</v>
      </c>
      <c r="AB118" s="104">
        <v>14.509511949019412</v>
      </c>
      <c r="AC118" s="104">
        <v>5.6872058499203266</v>
      </c>
      <c r="AD118" s="104">
        <v>3.6879645495350326</v>
      </c>
    </row>
    <row r="119" spans="1:30" ht="14.7" customHeight="1">
      <c r="A119" s="131" t="s">
        <v>898</v>
      </c>
      <c r="B119" s="131"/>
      <c r="C119">
        <v>20.445998132411987</v>
      </c>
      <c r="D119">
        <v>13.269093662771967</v>
      </c>
      <c r="E119">
        <v>5.5636927776479066</v>
      </c>
      <c r="F119">
        <v>3.270548060797057</v>
      </c>
      <c r="G119">
        <v>15.025956487896167</v>
      </c>
      <c r="H119">
        <v>9.4756183280786921</v>
      </c>
      <c r="I119" s="147">
        <v>3.7023639719332291</v>
      </c>
      <c r="J119" s="112">
        <v>2.4548148818014033</v>
      </c>
      <c r="K119" s="112">
        <v>14.93975041445195</v>
      </c>
      <c r="L119" s="126">
        <v>12.690374520954627</v>
      </c>
      <c r="M119" s="112">
        <v>3.5732904596845763</v>
      </c>
      <c r="N119" s="126">
        <v>1.8342015512513878</v>
      </c>
      <c r="O119" s="147">
        <v>16.221971651536617</v>
      </c>
      <c r="P119" s="147">
        <v>8.4802785716351696</v>
      </c>
      <c r="Q119" s="147">
        <v>2.1427909362185624</v>
      </c>
      <c r="R119" s="112">
        <v>1.4196413301865318</v>
      </c>
      <c r="S119" s="112">
        <v>16.214700000000001</v>
      </c>
      <c r="T119" s="112">
        <v>10.2934</v>
      </c>
      <c r="U119" s="146">
        <v>4.8136999999999999</v>
      </c>
      <c r="V119" s="113">
        <v>3.2427999999999999</v>
      </c>
      <c r="W119">
        <v>21.8062</v>
      </c>
      <c r="X119">
        <v>17.2776</v>
      </c>
      <c r="Y119">
        <v>10.264900000000001</v>
      </c>
      <c r="Z119">
        <v>3.1818</v>
      </c>
      <c r="AA119" s="104">
        <v>15.540950047548899</v>
      </c>
      <c r="AB119" s="104">
        <v>10.300808954329341</v>
      </c>
      <c r="AC119" s="104">
        <v>4.8225971497223492</v>
      </c>
      <c r="AD119" s="104">
        <v>2.7964186061189342</v>
      </c>
    </row>
    <row r="120" spans="1:30" ht="14.7" customHeight="1">
      <c r="A120" s="131" t="s">
        <v>69</v>
      </c>
      <c r="B120" s="131"/>
      <c r="C120">
        <v>19.40207270681266</v>
      </c>
      <c r="D120">
        <v>10.225281469386564</v>
      </c>
      <c r="E120">
        <v>5.6165055554192831</v>
      </c>
      <c r="F120">
        <v>3.0675404115892797</v>
      </c>
      <c r="G120">
        <v>19.227619753770441</v>
      </c>
      <c r="H120">
        <v>14.285714285714288</v>
      </c>
      <c r="I120" s="146">
        <v>8.4269662921348321</v>
      </c>
      <c r="J120" s="144">
        <v>6.2586062201073904</v>
      </c>
      <c r="K120" s="144">
        <v>17.708205895237008</v>
      </c>
      <c r="L120" s="126">
        <v>14.223106233264469</v>
      </c>
      <c r="M120" s="144">
        <v>6.8718045862019297</v>
      </c>
      <c r="N120" s="126">
        <v>5.6989113640803426</v>
      </c>
      <c r="O120" s="146">
        <v>19.386493932555364</v>
      </c>
      <c r="P120" s="146">
        <v>13.808825021391547</v>
      </c>
      <c r="Q120" s="146">
        <v>6.0761264438091329</v>
      </c>
      <c r="R120" s="144">
        <v>4.704309471921988</v>
      </c>
      <c r="S120" s="144">
        <v>17.071000000000002</v>
      </c>
      <c r="T120" s="144">
        <v>13.217499999999999</v>
      </c>
      <c r="U120" s="146">
        <v>5.9962</v>
      </c>
      <c r="V120" s="113">
        <v>2.3271999999999999</v>
      </c>
      <c r="W120">
        <v>17.561599999999999</v>
      </c>
      <c r="X120">
        <v>12.991900000000001</v>
      </c>
      <c r="Y120">
        <v>5.2682000000000002</v>
      </c>
      <c r="Z120">
        <v>2.7517</v>
      </c>
    </row>
    <row r="121" spans="1:30" ht="14.7" customHeight="1">
      <c r="A121" s="131" t="s">
        <v>70</v>
      </c>
      <c r="B121" s="131"/>
      <c r="C121">
        <v>12.683332104971107</v>
      </c>
      <c r="D121">
        <v>8.9521962948805296</v>
      </c>
      <c r="E121">
        <v>4.4337834981216604</v>
      </c>
      <c r="F121">
        <v>1.4623268057111671</v>
      </c>
      <c r="G121">
        <v>18.828170117766618</v>
      </c>
      <c r="H121">
        <v>6.6799037623689657</v>
      </c>
      <c r="I121" s="147">
        <v>2.1920793735983199</v>
      </c>
      <c r="J121" s="112">
        <v>0.75463689476508933</v>
      </c>
      <c r="K121" s="112">
        <v>14.877774152734563</v>
      </c>
      <c r="L121" s="126">
        <v>8.5647437711497911</v>
      </c>
      <c r="M121" s="112">
        <v>3.9884171884777726</v>
      </c>
      <c r="N121" s="126">
        <v>0.90797125421999358</v>
      </c>
      <c r="O121" s="147">
        <v>17.259257592938248</v>
      </c>
      <c r="P121" s="147">
        <v>10.430626573902613</v>
      </c>
      <c r="Q121" s="147">
        <v>2.8939377112955409</v>
      </c>
      <c r="R121" s="112">
        <v>1.7647103987163841</v>
      </c>
      <c r="S121" s="112">
        <v>16.785399999999999</v>
      </c>
      <c r="T121" s="112">
        <v>11.928900000000001</v>
      </c>
      <c r="U121" s="146">
        <v>5.0699000000000005</v>
      </c>
      <c r="V121" s="113">
        <v>2.3779000000000003</v>
      </c>
      <c r="W121">
        <v>19.494</v>
      </c>
      <c r="X121">
        <v>12.634200000000002</v>
      </c>
      <c r="Y121">
        <v>5.2068000000000003</v>
      </c>
      <c r="Z121">
        <v>3.3738999999999999</v>
      </c>
      <c r="AA121" s="104">
        <v>13.704251454292013</v>
      </c>
      <c r="AB121" s="104">
        <v>9.164111026488623</v>
      </c>
      <c r="AC121" s="104">
        <v>3.6608157833439861</v>
      </c>
      <c r="AD121" s="104">
        <v>2.5625605686267825</v>
      </c>
    </row>
    <row r="122" spans="1:30" ht="14.7" customHeight="1">
      <c r="A122" s="131" t="s">
        <v>71</v>
      </c>
      <c r="B122" s="131"/>
      <c r="C122">
        <v>15.782745392714451</v>
      </c>
      <c r="D122">
        <v>11.513370899132603</v>
      </c>
      <c r="E122">
        <v>6.0315802433233916</v>
      </c>
      <c r="F122">
        <v>4.1834877040951763</v>
      </c>
      <c r="G122">
        <v>17.169334867701416</v>
      </c>
      <c r="H122">
        <v>10.976718085722826</v>
      </c>
      <c r="I122" s="147">
        <v>3.9506669838423396</v>
      </c>
      <c r="J122" s="112">
        <v>1.3626354858582346</v>
      </c>
      <c r="K122" s="112">
        <v>11.457968172860779</v>
      </c>
      <c r="L122" s="126">
        <v>8.4863291134216219</v>
      </c>
      <c r="M122" s="112">
        <v>3.8870288818193184</v>
      </c>
      <c r="N122" s="126">
        <v>1.4342672178550093</v>
      </c>
      <c r="O122" s="147">
        <v>19.152340326238733</v>
      </c>
      <c r="P122" s="147">
        <v>12.667565702017026</v>
      </c>
      <c r="Q122" s="147">
        <v>4.5623366595631767</v>
      </c>
      <c r="R122" s="112">
        <v>1.7901811844629305</v>
      </c>
      <c r="S122" s="112">
        <v>18.716699999999999</v>
      </c>
      <c r="T122" s="112">
        <v>11.0227</v>
      </c>
      <c r="U122" s="146">
        <v>5.5449000000000002</v>
      </c>
      <c r="V122" s="113">
        <v>3.7904</v>
      </c>
      <c r="W122">
        <v>14.486599999999999</v>
      </c>
      <c r="X122">
        <v>8.8182999999999989</v>
      </c>
      <c r="Y122">
        <v>4.4790000000000001</v>
      </c>
      <c r="Z122">
        <v>3.2188000000000003</v>
      </c>
      <c r="AA122" s="104">
        <v>16.4446895856758</v>
      </c>
      <c r="AB122" s="104">
        <v>11.959417421270608</v>
      </c>
      <c r="AC122" s="104">
        <v>6.0926067581327743</v>
      </c>
      <c r="AD122" s="104">
        <v>4.6395234855168752</v>
      </c>
    </row>
    <row r="123" spans="1:30" ht="14.7" customHeight="1">
      <c r="A123" s="131" t="s">
        <v>231</v>
      </c>
      <c r="B123" s="131"/>
      <c r="C123">
        <v>9.2668596017283846</v>
      </c>
      <c r="D123">
        <v>6.6310954647890359</v>
      </c>
      <c r="E123">
        <v>3.7449958008277098</v>
      </c>
      <c r="F123">
        <v>1.0526174758251761</v>
      </c>
      <c r="G123">
        <v>10.066868094482068</v>
      </c>
      <c r="H123">
        <v>6.1484474303588836</v>
      </c>
      <c r="I123" s="147">
        <v>3.4313238552624381</v>
      </c>
      <c r="J123" s="112">
        <v>2.5721751787527944</v>
      </c>
      <c r="K123" s="112">
        <v>9.2371919345731701</v>
      </c>
      <c r="L123" s="126">
        <v>4.8798214704266067</v>
      </c>
      <c r="M123" s="112">
        <v>2.0974861287012292</v>
      </c>
      <c r="N123" s="126">
        <v>0.94957091055203524</v>
      </c>
      <c r="O123" s="147">
        <v>11.277121998578099</v>
      </c>
      <c r="P123" s="147">
        <v>7.2996520041654414</v>
      </c>
      <c r="Q123" s="147">
        <v>2.0560921589526115</v>
      </c>
      <c r="R123" s="112">
        <v>1.4429206151020204</v>
      </c>
      <c r="S123" s="112">
        <v>10.8033</v>
      </c>
      <c r="T123" s="112">
        <v>6.7588999999999997</v>
      </c>
      <c r="U123" s="146">
        <v>3.5156000000000001</v>
      </c>
      <c r="V123" s="113">
        <v>1.0749</v>
      </c>
      <c r="W123">
        <v>9.4901</v>
      </c>
      <c r="X123">
        <v>7.3846999999999996</v>
      </c>
      <c r="Y123">
        <v>2.468</v>
      </c>
      <c r="Z123">
        <v>0.91720000000000002</v>
      </c>
      <c r="AA123" s="104">
        <v>8.9452271263902716</v>
      </c>
      <c r="AB123" s="104">
        <v>5.441875056942286</v>
      </c>
      <c r="AC123" s="104">
        <v>2.9371478430177782</v>
      </c>
      <c r="AD123" s="104">
        <v>2.009903360650636</v>
      </c>
    </row>
    <row r="124" spans="1:30" ht="14.7" customHeight="1">
      <c r="A124" s="131" t="s">
        <v>72</v>
      </c>
      <c r="B124" s="131"/>
      <c r="C124">
        <v>16.406909521079964</v>
      </c>
      <c r="D124">
        <v>11.25007651845366</v>
      </c>
      <c r="E124">
        <v>4.9354427101606158</v>
      </c>
      <c r="F124">
        <v>1.7734348408333853</v>
      </c>
      <c r="G124">
        <v>11.417951160726645</v>
      </c>
      <c r="H124">
        <v>6.2976722409388382</v>
      </c>
      <c r="I124" s="147">
        <v>1.8178302069232255</v>
      </c>
      <c r="J124" s="112">
        <v>0.41995338374945296</v>
      </c>
      <c r="K124" s="112">
        <v>13.139413872272138</v>
      </c>
      <c r="L124" s="126">
        <v>8.7921319862484513</v>
      </c>
      <c r="M124" s="112">
        <v>3.3844613878257901</v>
      </c>
      <c r="N124" s="126">
        <v>2.1836836429284996</v>
      </c>
      <c r="O124" s="147">
        <v>13.392933201602011</v>
      </c>
      <c r="P124" s="147">
        <v>7.3089070866026074</v>
      </c>
      <c r="Q124" s="147">
        <v>4.0780412174807372</v>
      </c>
      <c r="R124" s="112">
        <v>1.7999890134470915</v>
      </c>
      <c r="S124" s="112">
        <v>12.623599999999998</v>
      </c>
      <c r="T124" s="112">
        <v>8.5498000000000012</v>
      </c>
      <c r="U124" s="146">
        <v>3.8824999999999998</v>
      </c>
      <c r="V124" s="113">
        <v>2.0653000000000001</v>
      </c>
      <c r="W124">
        <v>14.4361</v>
      </c>
      <c r="X124">
        <v>8.6088000000000005</v>
      </c>
      <c r="Y124">
        <v>3.9938000000000002</v>
      </c>
      <c r="Z124">
        <v>2.4597000000000002</v>
      </c>
      <c r="AA124" s="104">
        <v>10.398923260996039</v>
      </c>
      <c r="AB124" s="104">
        <v>6.2795840906455807</v>
      </c>
      <c r="AC124" s="104">
        <v>1.6402068616544405</v>
      </c>
      <c r="AD124" s="104">
        <v>1.5003383721893155</v>
      </c>
    </row>
    <row r="125" spans="1:30" ht="14.7" customHeight="1">
      <c r="A125" s="131" t="s">
        <v>73</v>
      </c>
      <c r="B125" s="131"/>
      <c r="C125">
        <v>16.905841240338638</v>
      </c>
      <c r="D125">
        <v>11.527387675978874</v>
      </c>
      <c r="E125">
        <v>6.6176817038638092</v>
      </c>
      <c r="F125">
        <v>2.8026315383714269</v>
      </c>
      <c r="G125">
        <v>16.738108307583506</v>
      </c>
      <c r="H125">
        <v>12.175726251268369</v>
      </c>
      <c r="I125" s="147">
        <v>5.8558884372242392</v>
      </c>
      <c r="J125" s="112">
        <v>3.3131565296999934</v>
      </c>
      <c r="K125" s="112">
        <v>13.869080234833659</v>
      </c>
      <c r="L125" s="126">
        <v>9.7514704208993983</v>
      </c>
      <c r="M125" s="112">
        <v>4.547808788388874</v>
      </c>
      <c r="N125" s="126">
        <v>3.0526683381791497</v>
      </c>
      <c r="O125" s="147">
        <v>15.882262737062703</v>
      </c>
      <c r="P125" s="147">
        <v>10.272696583837419</v>
      </c>
      <c r="Q125" s="147">
        <v>5.7465882796075363</v>
      </c>
      <c r="R125" s="112">
        <v>1.8616885027035248</v>
      </c>
      <c r="S125" s="112">
        <v>19.498899999999999</v>
      </c>
      <c r="T125" s="112">
        <v>15.6782</v>
      </c>
      <c r="U125" s="146">
        <v>9.5212000000000003</v>
      </c>
      <c r="V125" s="113">
        <v>5.7336</v>
      </c>
      <c r="W125">
        <v>21.085799999999999</v>
      </c>
      <c r="X125">
        <v>15.3385</v>
      </c>
      <c r="Y125">
        <v>8.6192000000000011</v>
      </c>
      <c r="Z125">
        <v>4.1187000000000005</v>
      </c>
      <c r="AA125" s="104">
        <v>18.124004910345036</v>
      </c>
      <c r="AB125" s="104">
        <v>11.337591973548724</v>
      </c>
      <c r="AC125" s="104">
        <v>6.9035968417988354</v>
      </c>
      <c r="AD125" s="104">
        <v>5.7943039393242408</v>
      </c>
    </row>
    <row r="126" spans="1:30" ht="14.7" customHeight="1">
      <c r="A126" s="131" t="s">
        <v>312</v>
      </c>
      <c r="B126" s="131"/>
      <c r="C126">
        <v>17.644481636774533</v>
      </c>
      <c r="D126">
        <v>11.299806432400937</v>
      </c>
      <c r="E126">
        <v>5.1020022531151623</v>
      </c>
      <c r="F126">
        <v>2.9440089927301267</v>
      </c>
      <c r="G126">
        <v>19.142253369286813</v>
      </c>
      <c r="H126">
        <v>11.486955511296053</v>
      </c>
      <c r="I126" s="147">
        <v>4.855709244209347</v>
      </c>
      <c r="J126" s="112">
        <v>2.6133018585715821</v>
      </c>
      <c r="K126" s="112">
        <v>17.954844398902392</v>
      </c>
      <c r="L126" s="126">
        <v>11.522528762763134</v>
      </c>
      <c r="M126" s="112">
        <v>5.0907222439376874</v>
      </c>
      <c r="N126" s="126">
        <v>2.9319822332797592</v>
      </c>
      <c r="O126" s="147">
        <v>20.132779314733686</v>
      </c>
      <c r="P126" s="147">
        <v>13.632254958702674</v>
      </c>
      <c r="Q126" s="147">
        <v>6.5888837142809589</v>
      </c>
      <c r="R126" s="112">
        <v>3.5443800834591039</v>
      </c>
      <c r="S126" s="112">
        <v>18.7135</v>
      </c>
      <c r="T126" s="112">
        <v>14.656600000000001</v>
      </c>
      <c r="U126" s="146">
        <v>7.4674000000000005</v>
      </c>
      <c r="V126" s="113">
        <v>4.7925000000000004</v>
      </c>
      <c r="W126">
        <v>18.691500000000001</v>
      </c>
      <c r="X126">
        <v>13.6028</v>
      </c>
      <c r="Y126">
        <v>6.6888000000000005</v>
      </c>
      <c r="Z126">
        <v>3.5823</v>
      </c>
      <c r="AA126" s="104">
        <v>17.475104043290408</v>
      </c>
      <c r="AB126" s="104">
        <v>12.139744558514396</v>
      </c>
      <c r="AC126" s="104">
        <v>5.8497116323335785</v>
      </c>
      <c r="AD126" s="104">
        <v>3.9669831636193433</v>
      </c>
    </row>
    <row r="127" spans="1:30" ht="14.7" customHeight="1">
      <c r="A127" s="131" t="s">
        <v>74</v>
      </c>
      <c r="B127" s="131"/>
      <c r="C127">
        <v>23.680943054055849</v>
      </c>
      <c r="D127">
        <v>16.029766668894677</v>
      </c>
      <c r="E127">
        <v>8.5840543848272457</v>
      </c>
      <c r="F127">
        <v>6.0172680658402413</v>
      </c>
      <c r="G127">
        <v>23.862300932145168</v>
      </c>
      <c r="H127">
        <v>17.676712778284813</v>
      </c>
      <c r="I127" s="147">
        <v>12.875293538562509</v>
      </c>
      <c r="J127" s="112">
        <v>9.0117620517448227</v>
      </c>
      <c r="K127" s="112">
        <v>27.627027027027022</v>
      </c>
      <c r="L127" s="126">
        <v>20.574174174174171</v>
      </c>
      <c r="M127" s="112">
        <v>13.402202202202201</v>
      </c>
      <c r="N127" s="126">
        <v>7.8772772772772779</v>
      </c>
      <c r="O127" s="147">
        <v>28.09671679016769</v>
      </c>
      <c r="P127" s="147">
        <v>23.863996189019232</v>
      </c>
      <c r="Q127" s="147">
        <v>17.446193429989489</v>
      </c>
      <c r="R127" s="112">
        <v>9.7862240902495667</v>
      </c>
      <c r="S127" s="112">
        <v>27.206900000000001</v>
      </c>
      <c r="T127" s="112">
        <v>23.263200000000001</v>
      </c>
      <c r="U127" s="146">
        <v>11.434099999999999</v>
      </c>
      <c r="V127" s="113">
        <v>7.6435000000000004</v>
      </c>
      <c r="W127">
        <v>23.7958</v>
      </c>
      <c r="X127">
        <v>19.587199999999999</v>
      </c>
      <c r="Y127">
        <v>10.6739</v>
      </c>
      <c r="Z127">
        <v>6.9287999999999998</v>
      </c>
      <c r="AA127" s="104">
        <v>22.531739024673385</v>
      </c>
      <c r="AB127" s="104">
        <v>16.574370574084003</v>
      </c>
      <c r="AC127" s="104">
        <v>10.076292682563334</v>
      </c>
      <c r="AD127" s="104">
        <v>5.8961366558643284</v>
      </c>
    </row>
    <row r="128" spans="1:30" ht="14.7" customHeight="1">
      <c r="A128" s="131" t="s">
        <v>75</v>
      </c>
      <c r="B128" s="131"/>
      <c r="C128">
        <v>12.96777990897356</v>
      </c>
      <c r="D128">
        <v>7.7452275221313922</v>
      </c>
      <c r="E128">
        <v>2.976296759199609</v>
      </c>
      <c r="F128">
        <v>1.6639827082486287</v>
      </c>
      <c r="G128">
        <v>10.757748514369116</v>
      </c>
      <c r="H128">
        <v>5.2779021478831298</v>
      </c>
      <c r="I128" s="147">
        <v>1.9646825413125537</v>
      </c>
      <c r="J128" s="112">
        <v>1.7406109698540555</v>
      </c>
      <c r="K128" s="112">
        <v>12.836870406312642</v>
      </c>
      <c r="L128" s="126">
        <v>6.533562685810308</v>
      </c>
      <c r="M128" s="112">
        <v>2.1600230678213834</v>
      </c>
      <c r="N128" s="126">
        <v>1.4300060652461395</v>
      </c>
      <c r="O128" s="147">
        <v>12.018433042430477</v>
      </c>
      <c r="P128" s="147">
        <v>8.9238457803684312</v>
      </c>
      <c r="Q128" s="147">
        <v>4.4001374566470206</v>
      </c>
      <c r="R128" s="112">
        <v>1.8177486274557633</v>
      </c>
      <c r="S128" s="112">
        <v>13.752500000000001</v>
      </c>
      <c r="T128" s="112">
        <v>8.7138999999999989</v>
      </c>
      <c r="U128" s="147">
        <v>3.3466000000000005</v>
      </c>
      <c r="V128" s="149">
        <v>1.7661</v>
      </c>
      <c r="W128">
        <v>13.542599999999998</v>
      </c>
      <c r="X128">
        <v>10.873199999999999</v>
      </c>
      <c r="Y128">
        <v>5.0533000000000001</v>
      </c>
      <c r="Z128">
        <v>3.7069999999999999</v>
      </c>
      <c r="AA128" s="104">
        <v>11.557937706419104</v>
      </c>
      <c r="AB128" s="104">
        <v>8.0820231610777391</v>
      </c>
      <c r="AC128" s="104">
        <v>3.2110871301693411</v>
      </c>
      <c r="AD128" s="104">
        <v>1.1703756141782464</v>
      </c>
    </row>
    <row r="129" spans="1:30" ht="14.7" customHeight="1">
      <c r="A129" s="131" t="s">
        <v>76</v>
      </c>
      <c r="B129" s="131"/>
      <c r="C129">
        <v>13.427229547054568</v>
      </c>
      <c r="D129">
        <v>9.0092237219892546</v>
      </c>
      <c r="E129">
        <v>5.2100932374375644</v>
      </c>
      <c r="F129">
        <v>2.6292424692395113</v>
      </c>
      <c r="G129">
        <v>10.475828956007879</v>
      </c>
      <c r="H129">
        <v>8.3196803771090213</v>
      </c>
      <c r="I129" s="147">
        <v>2.08017672879275</v>
      </c>
      <c r="J129" s="112">
        <v>1.5211241002393887</v>
      </c>
      <c r="K129" s="112">
        <v>13.691417905964249</v>
      </c>
      <c r="L129" s="126">
        <v>10.168132099495706</v>
      </c>
      <c r="M129" s="112">
        <v>4.6796266404659983</v>
      </c>
      <c r="N129" s="126">
        <v>2.7699186910359623</v>
      </c>
      <c r="O129" s="147">
        <v>16.385291623158334</v>
      </c>
      <c r="P129" s="147">
        <v>11.782459272291527</v>
      </c>
      <c r="Q129" s="147">
        <v>5.8040608976583865</v>
      </c>
      <c r="R129" s="112">
        <v>4.3397037077644631</v>
      </c>
      <c r="S129" s="112">
        <v>17.966699999999999</v>
      </c>
      <c r="T129" s="112">
        <v>15.271599999999999</v>
      </c>
      <c r="U129" s="146">
        <v>7.7976000000000001</v>
      </c>
      <c r="V129" s="113">
        <v>5.3712999999999997</v>
      </c>
      <c r="W129">
        <v>15.104200000000001</v>
      </c>
      <c r="X129">
        <v>11.7729</v>
      </c>
      <c r="Y129">
        <v>4.7183000000000002</v>
      </c>
      <c r="Z129">
        <v>2.9005000000000001</v>
      </c>
      <c r="AA129" s="104">
        <v>18.391647914025448</v>
      </c>
      <c r="AB129" s="104">
        <v>13.703137617961492</v>
      </c>
      <c r="AC129" s="104">
        <v>6.1145937129450836</v>
      </c>
      <c r="AD129" s="104">
        <v>4.408167856646938</v>
      </c>
    </row>
    <row r="130" spans="1:30" ht="14.7" customHeight="1">
      <c r="A130" s="131" t="s">
        <v>204</v>
      </c>
      <c r="B130" s="131"/>
      <c r="C130">
        <v>11.098744735035739</v>
      </c>
      <c r="D130">
        <v>9.2141914897778925</v>
      </c>
      <c r="E130">
        <v>4.0691674377017835</v>
      </c>
      <c r="F130">
        <v>2.342678262854518</v>
      </c>
      <c r="G130">
        <v>11.606152443330885</v>
      </c>
      <c r="H130">
        <v>8.087437036493883</v>
      </c>
      <c r="I130" s="147">
        <v>4.3567792829951175</v>
      </c>
      <c r="J130" s="112">
        <v>3.3762493405763006</v>
      </c>
      <c r="K130" s="112">
        <v>7.6834786275068625</v>
      </c>
      <c r="L130" s="126">
        <v>5.6059606397888722</v>
      </c>
      <c r="M130" s="112">
        <v>3.996142839853678</v>
      </c>
      <c r="N130" s="126">
        <v>2.8011259159779347</v>
      </c>
      <c r="O130" s="147">
        <v>13.133820863767751</v>
      </c>
      <c r="P130" s="147">
        <v>8.3107873386414539</v>
      </c>
      <c r="Q130" s="147">
        <v>3.816016732603047</v>
      </c>
      <c r="R130" s="112">
        <v>1.3839869280369117</v>
      </c>
      <c r="S130" s="112">
        <v>16.993200000000002</v>
      </c>
      <c r="T130" s="112">
        <v>11.710700000000001</v>
      </c>
      <c r="U130" s="146">
        <v>6.9710999999999999</v>
      </c>
      <c r="V130" s="113">
        <v>4.3810000000000002</v>
      </c>
      <c r="W130">
        <v>14.804600000000001</v>
      </c>
      <c r="X130">
        <v>9.1945999999999994</v>
      </c>
      <c r="Y130">
        <v>2.9548000000000001</v>
      </c>
      <c r="Z130">
        <v>1.1052999999999999</v>
      </c>
      <c r="AA130" s="104">
        <v>16.626382544027773</v>
      </c>
      <c r="AB130" s="104">
        <v>11.699305495154762</v>
      </c>
      <c r="AC130" s="104">
        <v>7.2558968697944843</v>
      </c>
      <c r="AD130" s="104">
        <v>6.0143210171063988</v>
      </c>
    </row>
    <row r="131" spans="1:30" ht="14.7" customHeight="1">
      <c r="A131" s="131" t="s">
        <v>77</v>
      </c>
      <c r="B131" s="131"/>
      <c r="C131">
        <v>16.778417331156966</v>
      </c>
      <c r="D131">
        <v>10.434854532476463</v>
      </c>
      <c r="E131">
        <v>4.340719130267142</v>
      </c>
      <c r="F131">
        <v>2.5783623695168325</v>
      </c>
      <c r="G131">
        <v>19.705413288540953</v>
      </c>
      <c r="H131">
        <v>12.52600848074005</v>
      </c>
      <c r="I131" s="147">
        <v>6.9539637228544393</v>
      </c>
      <c r="J131" s="112">
        <v>3.2441970951540653</v>
      </c>
      <c r="K131" s="112">
        <v>21.622507479052693</v>
      </c>
      <c r="L131" s="126">
        <v>15.744945431719135</v>
      </c>
      <c r="M131" s="112">
        <v>7.5273238697989298</v>
      </c>
      <c r="N131" s="126">
        <v>6.5982527025899573</v>
      </c>
      <c r="O131" s="147">
        <v>24.929179132557515</v>
      </c>
      <c r="P131" s="147">
        <v>17.357665221430803</v>
      </c>
      <c r="Q131" s="147">
        <v>7.1517671310213569</v>
      </c>
      <c r="R131" s="112">
        <v>4.6305426825292102</v>
      </c>
      <c r="S131" s="112">
        <v>21.7407</v>
      </c>
      <c r="T131" s="112">
        <v>15.180199999999999</v>
      </c>
      <c r="U131" s="146">
        <v>7.5796000000000001</v>
      </c>
      <c r="V131" s="113">
        <v>3.4957000000000003</v>
      </c>
      <c r="W131">
        <v>23.240400000000001</v>
      </c>
      <c r="X131">
        <v>18.357599999999998</v>
      </c>
      <c r="Y131">
        <v>4.9965999999999999</v>
      </c>
      <c r="Z131">
        <v>1.3673</v>
      </c>
      <c r="AA131" s="104">
        <v>27.795212606268326</v>
      </c>
      <c r="AB131" s="104">
        <v>16.886006178221631</v>
      </c>
      <c r="AC131" s="104">
        <v>7.6749437714723436</v>
      </c>
      <c r="AD131" s="104">
        <v>4.9102609298872792</v>
      </c>
    </row>
    <row r="132" spans="1:30" ht="14.7" customHeight="1">
      <c r="A132" s="131" t="s">
        <v>205</v>
      </c>
      <c r="B132" s="131"/>
      <c r="C132">
        <v>21.841419779484117</v>
      </c>
      <c r="D132">
        <v>17.584437822046176</v>
      </c>
      <c r="E132">
        <v>12.658114182286361</v>
      </c>
      <c r="F132">
        <v>10.673196321661772</v>
      </c>
      <c r="G132">
        <v>24.108132241177856</v>
      </c>
      <c r="H132">
        <v>18.322606962481597</v>
      </c>
      <c r="I132" s="147">
        <v>13.338327978562067</v>
      </c>
      <c r="J132" s="112">
        <v>10.147476660803679</v>
      </c>
      <c r="K132" s="112">
        <v>25.215271761991925</v>
      </c>
      <c r="L132" s="126">
        <v>18.816647218382762</v>
      </c>
      <c r="M132" s="112">
        <v>12.270681663952878</v>
      </c>
      <c r="N132" s="126">
        <v>8.5123889092876919</v>
      </c>
      <c r="O132" s="147">
        <v>35.938015945786098</v>
      </c>
      <c r="P132" s="147">
        <v>30.107480528802359</v>
      </c>
      <c r="Q132" s="147">
        <v>18.283922262942301</v>
      </c>
      <c r="R132" s="112">
        <v>11.860762048437934</v>
      </c>
      <c r="S132" s="112">
        <v>30.545099999999998</v>
      </c>
      <c r="T132" s="112">
        <v>25.975300000000001</v>
      </c>
      <c r="U132" s="146">
        <v>18.505600000000001</v>
      </c>
      <c r="V132" s="113">
        <v>14.163600000000001</v>
      </c>
      <c r="W132">
        <v>28.268300000000004</v>
      </c>
      <c r="X132">
        <v>25.290600000000001</v>
      </c>
      <c r="Y132">
        <v>16.456900000000001</v>
      </c>
      <c r="Z132">
        <v>12.8748</v>
      </c>
      <c r="AA132" s="104">
        <v>30.801146880430242</v>
      </c>
      <c r="AB132" s="104">
        <v>22.770183387730395</v>
      </c>
      <c r="AC132" s="104">
        <v>15.556700093477652</v>
      </c>
      <c r="AD132" s="104">
        <v>11.19622214666922</v>
      </c>
    </row>
    <row r="133" spans="1:30" ht="14.7" customHeight="1">
      <c r="A133" s="131" t="s">
        <v>268</v>
      </c>
      <c r="B133" s="131"/>
      <c r="C133">
        <v>13.294218264216953</v>
      </c>
      <c r="D133">
        <v>7.574102764463567</v>
      </c>
      <c r="E133">
        <v>4.0799807109041586</v>
      </c>
      <c r="F133">
        <v>3.6674796878173135</v>
      </c>
      <c r="G133">
        <v>12.221917664652555</v>
      </c>
      <c r="H133">
        <v>7.4104127418385488</v>
      </c>
      <c r="I133" s="147">
        <v>3.3003968165639046</v>
      </c>
      <c r="J133" s="112">
        <v>2.4533421829565158</v>
      </c>
      <c r="K133" s="112">
        <v>11.589389485742469</v>
      </c>
      <c r="L133" s="126">
        <v>6.772243883370586</v>
      </c>
      <c r="M133" s="112">
        <v>3.5910954304443266</v>
      </c>
      <c r="N133" s="126">
        <v>3.0769076566869469</v>
      </c>
      <c r="O133" s="147">
        <v>14.861375536916018</v>
      </c>
      <c r="P133" s="147">
        <v>9.899314181839193</v>
      </c>
      <c r="Q133" s="147">
        <v>3.6409914187368226</v>
      </c>
      <c r="R133" s="112">
        <v>1.3992772548469514</v>
      </c>
      <c r="S133" s="112">
        <v>12.479899999999999</v>
      </c>
      <c r="T133" s="112">
        <v>9.0944000000000003</v>
      </c>
      <c r="U133" s="146">
        <v>4.4436</v>
      </c>
      <c r="V133" s="113">
        <v>3.1912999999999996</v>
      </c>
      <c r="W133">
        <v>14.2232</v>
      </c>
      <c r="X133">
        <v>9.9291999999999998</v>
      </c>
      <c r="Y133">
        <v>4.0140000000000002</v>
      </c>
      <c r="Z133">
        <v>2.4313000000000002</v>
      </c>
      <c r="AA133" s="104">
        <v>12.149406744405891</v>
      </c>
      <c r="AB133" s="104">
        <v>10.31278816775905</v>
      </c>
      <c r="AC133" s="104">
        <v>5.8605659411245421</v>
      </c>
      <c r="AD133" s="104">
        <v>3.3287927270861282</v>
      </c>
    </row>
    <row r="134" spans="1:30" ht="14.7" customHeight="1">
      <c r="A134" s="131" t="s">
        <v>78</v>
      </c>
      <c r="B134" s="131"/>
      <c r="C134">
        <v>17.649597211762082</v>
      </c>
      <c r="D134">
        <v>12.04340389106215</v>
      </c>
      <c r="E134">
        <v>5.3170322444612541</v>
      </c>
      <c r="F134">
        <v>4.4094106830675379</v>
      </c>
      <c r="G134">
        <v>17.457405460155265</v>
      </c>
      <c r="H134">
        <v>12.501991738879969</v>
      </c>
      <c r="I134" s="147">
        <v>5.0212247866285882</v>
      </c>
      <c r="J134" s="112">
        <v>2.0536359959307244</v>
      </c>
      <c r="K134" s="112">
        <v>17.754558427766906</v>
      </c>
      <c r="L134" s="126">
        <v>11.772118851839567</v>
      </c>
      <c r="M134" s="112">
        <v>6.2234880977385023</v>
      </c>
      <c r="N134" s="126">
        <v>4.3989392294691632</v>
      </c>
      <c r="O134" s="147">
        <v>19.170714580840759</v>
      </c>
      <c r="P134" s="147">
        <v>13.225142628846495</v>
      </c>
      <c r="Q134" s="147">
        <v>6.6650225891970667</v>
      </c>
      <c r="R134" s="112">
        <v>3.0517929493907889</v>
      </c>
      <c r="S134" s="112">
        <v>18.4374</v>
      </c>
      <c r="T134" s="112">
        <v>13.9047</v>
      </c>
      <c r="U134" s="146">
        <v>7.4129000000000005</v>
      </c>
      <c r="V134" s="113">
        <v>2.2319</v>
      </c>
      <c r="W134">
        <v>16.334699999999998</v>
      </c>
      <c r="X134">
        <v>12.251900000000001</v>
      </c>
      <c r="Y134">
        <v>4.6104000000000003</v>
      </c>
      <c r="Z134">
        <v>2.5260000000000002</v>
      </c>
      <c r="AA134" s="104">
        <v>17.455699515012597</v>
      </c>
      <c r="AB134" s="104">
        <v>12.246414410570345</v>
      </c>
      <c r="AC134" s="104">
        <v>3.3665766696556116</v>
      </c>
      <c r="AD134" s="104">
        <v>1.2590875099931054</v>
      </c>
    </row>
    <row r="135" spans="1:30" ht="14.7" customHeight="1">
      <c r="A135" s="131" t="s">
        <v>336</v>
      </c>
      <c r="B135" s="131"/>
      <c r="C135">
        <v>23.647913123418427</v>
      </c>
      <c r="D135">
        <v>19.202462805461661</v>
      </c>
      <c r="E135">
        <v>12.278399964220132</v>
      </c>
      <c r="F135">
        <v>6.5838927032428236</v>
      </c>
      <c r="G135">
        <v>24.033719578204565</v>
      </c>
      <c r="H135">
        <v>19.882866745828885</v>
      </c>
      <c r="I135" s="147">
        <v>10.713466299031941</v>
      </c>
      <c r="J135" s="112">
        <v>6.8929498661621738</v>
      </c>
      <c r="K135" s="112">
        <v>20.070957633541322</v>
      </c>
      <c r="L135" s="126">
        <v>12.926305373067514</v>
      </c>
      <c r="M135" s="112">
        <v>7.257744670323846</v>
      </c>
      <c r="N135" s="126">
        <v>4.9778331023054365</v>
      </c>
      <c r="O135" s="147">
        <v>36.942786074144266</v>
      </c>
      <c r="P135" s="147">
        <v>26.784360933435647</v>
      </c>
      <c r="Q135" s="147">
        <v>16.034242108829936</v>
      </c>
      <c r="R135" s="112">
        <v>11.31712564090105</v>
      </c>
      <c r="S135" s="112">
        <v>26.379300000000001</v>
      </c>
      <c r="T135" s="112">
        <v>19.328500000000002</v>
      </c>
      <c r="U135" s="146">
        <v>13.4842</v>
      </c>
      <c r="V135" s="113">
        <v>9.1495000000000015</v>
      </c>
      <c r="W135">
        <v>23.710700000000003</v>
      </c>
      <c r="X135">
        <v>19.797600000000003</v>
      </c>
      <c r="Y135">
        <v>13.269300000000001</v>
      </c>
      <c r="Z135">
        <v>8.3975999999999988</v>
      </c>
      <c r="AA135" s="104">
        <v>30.862481626002907</v>
      </c>
      <c r="AB135" s="104">
        <v>18.357744263505541</v>
      </c>
      <c r="AC135" s="104">
        <v>10.95260437207836</v>
      </c>
      <c r="AD135" s="104">
        <v>5.8993620701365979</v>
      </c>
    </row>
    <row r="136" spans="1:30" ht="14.7" customHeight="1">
      <c r="A136" s="131" t="s">
        <v>313</v>
      </c>
      <c r="B136" s="131"/>
      <c r="C136">
        <v>19.6166488397911</v>
      </c>
      <c r="D136">
        <v>12.899215711581613</v>
      </c>
      <c r="E136">
        <v>5.8891998833551389</v>
      </c>
      <c r="F136">
        <v>2.8876781310276241</v>
      </c>
      <c r="G136">
        <v>18.819905308582911</v>
      </c>
      <c r="H136">
        <v>12.662762147884202</v>
      </c>
      <c r="I136" s="147">
        <v>5.8159676056421254</v>
      </c>
      <c r="J136" s="112">
        <v>3.1007352550124976</v>
      </c>
      <c r="K136" s="112">
        <v>18.991758135688201</v>
      </c>
      <c r="L136" s="126">
        <v>11.986688078022656</v>
      </c>
      <c r="M136" s="112">
        <v>5.4522222105864877</v>
      </c>
      <c r="N136" s="126">
        <v>3.3869857040560127</v>
      </c>
      <c r="O136" s="147">
        <v>19.338391025127731</v>
      </c>
      <c r="P136" s="147">
        <v>12.629902430090498</v>
      </c>
      <c r="Q136" s="147">
        <v>5.4170451416231868</v>
      </c>
      <c r="R136" s="112">
        <v>2.8078684598858725</v>
      </c>
      <c r="S136" s="112">
        <v>20.968299999999999</v>
      </c>
      <c r="T136" s="112">
        <v>14.9232</v>
      </c>
      <c r="U136" s="146">
        <v>6.8360000000000003</v>
      </c>
      <c r="V136" s="113">
        <v>4.3003999999999998</v>
      </c>
      <c r="W136">
        <v>19.726900000000001</v>
      </c>
      <c r="X136">
        <v>13.625399999999999</v>
      </c>
      <c r="Y136">
        <v>6.3979999999999997</v>
      </c>
      <c r="Z136">
        <v>3.6256999999999997</v>
      </c>
      <c r="AA136" s="104">
        <v>18.924173536281611</v>
      </c>
      <c r="AB136" s="104">
        <v>12.554793741869986</v>
      </c>
      <c r="AC136" s="104">
        <v>5.8417328816779852</v>
      </c>
      <c r="AD136" s="104">
        <v>3.127927598589495</v>
      </c>
    </row>
    <row r="137" spans="1:30" ht="14.7" customHeight="1">
      <c r="A137" s="131" t="s">
        <v>79</v>
      </c>
      <c r="B137" s="131"/>
      <c r="C137">
        <v>17.234430285541695</v>
      </c>
      <c r="D137">
        <v>8.3452268038588677</v>
      </c>
      <c r="E137">
        <v>2.9145622820183474</v>
      </c>
      <c r="F137">
        <v>1.6332762164259114</v>
      </c>
      <c r="G137">
        <v>17.607683294038875</v>
      </c>
      <c r="H137">
        <v>11.894846592231929</v>
      </c>
      <c r="I137" s="147">
        <v>5.5749121865794775</v>
      </c>
      <c r="J137" s="112">
        <v>3.1541973296622094</v>
      </c>
      <c r="K137" s="112">
        <v>21.037835070923261</v>
      </c>
      <c r="L137" s="126">
        <v>11.548251516139157</v>
      </c>
      <c r="M137" s="112">
        <v>3.727712804352564</v>
      </c>
      <c r="N137" s="126">
        <v>2.0531113594964396</v>
      </c>
      <c r="O137" s="147">
        <v>14.367599214279839</v>
      </c>
      <c r="P137" s="147">
        <v>8.7755643966559109</v>
      </c>
      <c r="Q137" s="147">
        <v>3.5712059902734343</v>
      </c>
      <c r="R137" s="112">
        <v>1.646037798660356</v>
      </c>
      <c r="S137" s="112">
        <v>21.232699999999998</v>
      </c>
      <c r="T137" s="112">
        <v>14.497299999999999</v>
      </c>
      <c r="U137" s="146">
        <v>5.1608999999999998</v>
      </c>
      <c r="V137" s="113">
        <v>3.7600000000000002</v>
      </c>
      <c r="W137">
        <v>17.6904</v>
      </c>
      <c r="X137">
        <v>11.460900000000001</v>
      </c>
      <c r="Y137">
        <v>7.1727999999999996</v>
      </c>
      <c r="Z137">
        <v>2.2336</v>
      </c>
      <c r="AA137" s="104">
        <v>16.172171629605756</v>
      </c>
      <c r="AB137" s="104">
        <v>10.206126612975162</v>
      </c>
      <c r="AC137" s="104">
        <v>6.3555573081599839</v>
      </c>
      <c r="AD137" s="104">
        <v>1.7404679600122805</v>
      </c>
    </row>
    <row r="138" spans="1:30" ht="14.7" customHeight="1">
      <c r="A138" s="131" t="s">
        <v>206</v>
      </c>
      <c r="B138" s="131"/>
      <c r="C138">
        <v>16.344903142414655</v>
      </c>
      <c r="D138">
        <v>10.47832878552806</v>
      </c>
      <c r="E138">
        <v>5.8472996731924738</v>
      </c>
      <c r="F138">
        <v>4.1870487623049399</v>
      </c>
      <c r="G138">
        <v>15.227888114039171</v>
      </c>
      <c r="H138">
        <v>11.023602902291806</v>
      </c>
      <c r="I138" s="147">
        <v>5.3444394690613342</v>
      </c>
      <c r="J138" s="112">
        <v>2.1874575769794204</v>
      </c>
      <c r="K138" s="112">
        <v>14.091792347678558</v>
      </c>
      <c r="L138" s="126">
        <v>10.452669539005413</v>
      </c>
      <c r="M138" s="112">
        <v>5.8326625948897624</v>
      </c>
      <c r="N138" s="126">
        <v>3.5937771254517616</v>
      </c>
      <c r="O138" s="147">
        <v>18.923576085453742</v>
      </c>
      <c r="P138" s="147">
        <v>13.77984767689907</v>
      </c>
      <c r="Q138" s="147">
        <v>9.3081967475379521</v>
      </c>
      <c r="R138" s="112">
        <v>4.5442792842696447</v>
      </c>
      <c r="S138" s="112">
        <v>18.477799999999998</v>
      </c>
      <c r="T138" s="112">
        <v>15.090200000000001</v>
      </c>
      <c r="U138" s="146">
        <v>8.2239000000000004</v>
      </c>
      <c r="V138" s="113">
        <v>6.1756000000000002</v>
      </c>
      <c r="W138">
        <v>15.552099999999999</v>
      </c>
      <c r="X138">
        <v>11.212999999999999</v>
      </c>
      <c r="Y138">
        <v>6.6780000000000008</v>
      </c>
      <c r="Z138">
        <v>3.758</v>
      </c>
      <c r="AA138" s="104">
        <v>19.576538098379835</v>
      </c>
      <c r="AB138" s="104">
        <v>15.042205438572632</v>
      </c>
      <c r="AC138" s="104">
        <v>9.2206278415122735</v>
      </c>
      <c r="AD138" s="104">
        <v>5.7908438556101611</v>
      </c>
    </row>
    <row r="139" spans="1:30" ht="14.7" customHeight="1">
      <c r="A139" s="131" t="s">
        <v>80</v>
      </c>
      <c r="B139" s="131"/>
      <c r="C139">
        <v>12.37547296309654</v>
      </c>
      <c r="D139">
        <v>9.2900386888245823</v>
      </c>
      <c r="E139">
        <v>3.4072063234982362</v>
      </c>
      <c r="F139">
        <v>1.9678779827700543</v>
      </c>
      <c r="G139">
        <v>14.621420564557219</v>
      </c>
      <c r="H139">
        <v>9.7953575611633941</v>
      </c>
      <c r="I139" s="147">
        <v>4.9260387743568312</v>
      </c>
      <c r="J139" s="112">
        <v>3.64625566176049</v>
      </c>
      <c r="K139" s="112">
        <v>9.4444941153521036</v>
      </c>
      <c r="L139" s="126">
        <v>4.775190144007543</v>
      </c>
      <c r="M139" s="112">
        <v>2.2711617123222254</v>
      </c>
      <c r="N139" s="126">
        <v>1.7428428027724554</v>
      </c>
      <c r="O139" s="147">
        <v>14.81849182363297</v>
      </c>
      <c r="P139" s="147">
        <v>8.5173706507781866</v>
      </c>
      <c r="Q139" s="147">
        <v>4.2341795488178988</v>
      </c>
      <c r="R139" s="112">
        <v>2.0586940779008938</v>
      </c>
      <c r="S139" s="112">
        <v>12.5969</v>
      </c>
      <c r="T139" s="112">
        <v>8.9074000000000009</v>
      </c>
      <c r="U139" s="146">
        <v>4.0735999999999999</v>
      </c>
      <c r="V139" s="113">
        <v>2.6421000000000001</v>
      </c>
      <c r="W139">
        <v>12.609500000000001</v>
      </c>
      <c r="X139">
        <v>7.7888000000000002</v>
      </c>
      <c r="Y139">
        <v>4.7229999999999999</v>
      </c>
      <c r="Z139">
        <v>2.6677</v>
      </c>
      <c r="AA139" s="104">
        <v>15.959781951483409</v>
      </c>
      <c r="AB139" s="104">
        <v>10.465733500572</v>
      </c>
      <c r="AC139" s="104">
        <v>4.454491313662599</v>
      </c>
      <c r="AD139" s="104">
        <v>2.9375389345872529</v>
      </c>
    </row>
    <row r="140" spans="1:30" ht="14.7" customHeight="1">
      <c r="A140" s="131" t="s">
        <v>81</v>
      </c>
      <c r="B140" s="131"/>
      <c r="C140">
        <v>18.25091167044117</v>
      </c>
      <c r="D140">
        <v>8.6161478473984374</v>
      </c>
      <c r="E140">
        <v>2.4135053521484378</v>
      </c>
      <c r="F140">
        <v>1.4112206632644919</v>
      </c>
      <c r="G140">
        <v>21.054272729125483</v>
      </c>
      <c r="H140">
        <v>13.100417974750163</v>
      </c>
      <c r="I140" s="147">
        <v>3.9520950754863624</v>
      </c>
      <c r="J140" s="112">
        <v>2.1247559774061089</v>
      </c>
      <c r="K140" s="112">
        <v>16.820711413740792</v>
      </c>
      <c r="L140" s="126">
        <v>10.855669821659083</v>
      </c>
      <c r="M140" s="112">
        <v>3.9513452591266645</v>
      </c>
      <c r="N140" s="126">
        <v>2.3564946435326561</v>
      </c>
      <c r="O140" s="147">
        <v>17.556161019413359</v>
      </c>
      <c r="P140" s="147">
        <v>13.407922899595693</v>
      </c>
      <c r="Q140" s="147">
        <v>5.9452663008699691</v>
      </c>
      <c r="R140" s="112">
        <v>3.1909538854968353</v>
      </c>
      <c r="S140" s="112">
        <v>16.538499999999999</v>
      </c>
      <c r="T140" s="112">
        <v>10.111699999999999</v>
      </c>
      <c r="U140" s="146">
        <v>6.2523999999999997</v>
      </c>
      <c r="V140" s="113">
        <v>4.4117000000000006</v>
      </c>
      <c r="W140">
        <v>18.883199999999999</v>
      </c>
      <c r="X140">
        <v>12.930800000000001</v>
      </c>
      <c r="Y140">
        <v>4.4157999999999999</v>
      </c>
      <c r="Z140">
        <v>2.1764999999999999</v>
      </c>
      <c r="AA140" s="104">
        <v>18.204209344717864</v>
      </c>
      <c r="AB140" s="104">
        <v>10.703450420493533</v>
      </c>
      <c r="AC140" s="104">
        <v>4.26648906542919</v>
      </c>
      <c r="AD140" s="104">
        <v>2.1989084812441866</v>
      </c>
    </row>
    <row r="141" spans="1:30" ht="14.7" customHeight="1">
      <c r="A141" s="131" t="s">
        <v>207</v>
      </c>
      <c r="B141" s="131"/>
      <c r="C141">
        <v>7.1919282650346776</v>
      </c>
      <c r="D141">
        <v>5.0095321500195649</v>
      </c>
      <c r="E141">
        <v>3.643237927825191</v>
      </c>
      <c r="F141">
        <v>2.166611245979527</v>
      </c>
      <c r="G141">
        <v>5.1332082704288631</v>
      </c>
      <c r="H141">
        <v>3.3632697574295101</v>
      </c>
      <c r="I141" s="147">
        <v>1.3485633364938168</v>
      </c>
      <c r="J141" s="112">
        <v>0.58638496315256183</v>
      </c>
      <c r="K141" s="112">
        <v>8.2852428823574549</v>
      </c>
      <c r="L141" s="126">
        <v>4.89499347308608</v>
      </c>
      <c r="M141" s="112">
        <v>3.0014205636182139</v>
      </c>
      <c r="N141" s="126">
        <v>0.80568993319511639</v>
      </c>
      <c r="O141" s="147">
        <v>10.424973121565728</v>
      </c>
      <c r="P141" s="147">
        <v>7.6675188022428289</v>
      </c>
      <c r="Q141" s="147">
        <v>3.5174733227166852</v>
      </c>
      <c r="R141" s="112">
        <v>2.0911318324363877</v>
      </c>
      <c r="S141" s="112">
        <v>14.112399999999999</v>
      </c>
      <c r="T141" s="112">
        <v>6.2496999999999998</v>
      </c>
      <c r="U141" s="146">
        <v>2.5316000000000001</v>
      </c>
      <c r="V141" s="113">
        <v>1.3613999999999999</v>
      </c>
      <c r="W141">
        <v>8.7065999999999999</v>
      </c>
      <c r="X141">
        <v>4.5443999999999996</v>
      </c>
      <c r="Y141">
        <v>2.6037999999999997</v>
      </c>
      <c r="Z141">
        <v>1.4434</v>
      </c>
      <c r="AA141" s="104">
        <v>11.553801172996307</v>
      </c>
      <c r="AB141" s="104">
        <v>7.423408423659315</v>
      </c>
      <c r="AC141" s="104">
        <v>2.4945388351901703</v>
      </c>
      <c r="AD141" s="104">
        <v>1.3069389228619774</v>
      </c>
    </row>
    <row r="142" spans="1:30" ht="14.7" customHeight="1">
      <c r="A142" s="131" t="s">
        <v>82</v>
      </c>
      <c r="B142" s="131"/>
      <c r="C142">
        <v>18.395330803542368</v>
      </c>
      <c r="D142">
        <v>11.452358295353781</v>
      </c>
      <c r="E142">
        <v>5.739881297640868</v>
      </c>
      <c r="F142">
        <v>3.6585536441254911</v>
      </c>
      <c r="G142">
        <v>21.614504826533938</v>
      </c>
      <c r="H142">
        <v>13.147469423053165</v>
      </c>
      <c r="I142" s="147">
        <v>4.3283366964543095</v>
      </c>
      <c r="J142" s="112">
        <v>1.9081250257381708</v>
      </c>
      <c r="K142" s="112">
        <v>18.257475578210745</v>
      </c>
      <c r="L142" s="126">
        <v>11.928948778192661</v>
      </c>
      <c r="M142" s="112">
        <v>4.3139961597187799</v>
      </c>
      <c r="N142" s="126">
        <v>2.0868738224843049</v>
      </c>
      <c r="O142" s="147">
        <v>20.944726720110253</v>
      </c>
      <c r="P142" s="147">
        <v>11.150156479978406</v>
      </c>
      <c r="Q142" s="147">
        <v>5.0448373709676471</v>
      </c>
      <c r="R142" s="112">
        <v>2.2327757588754111</v>
      </c>
      <c r="S142" s="112">
        <v>20.678599999999999</v>
      </c>
      <c r="T142" s="112">
        <v>15.204699999999999</v>
      </c>
      <c r="U142" s="146">
        <v>5.8243</v>
      </c>
      <c r="V142" s="113">
        <v>3.8900999999999999</v>
      </c>
      <c r="W142">
        <v>23.225899999999999</v>
      </c>
      <c r="X142">
        <v>14.236099999999999</v>
      </c>
      <c r="Y142">
        <v>6.5970000000000004</v>
      </c>
      <c r="Z142">
        <v>3.1912999999999996</v>
      </c>
      <c r="AA142" s="104">
        <v>19.381243592683777</v>
      </c>
      <c r="AB142" s="104">
        <v>13.531715574624172</v>
      </c>
      <c r="AC142" s="104">
        <v>4.7928497860563821</v>
      </c>
      <c r="AD142" s="104">
        <v>1.3551689908742865</v>
      </c>
    </row>
    <row r="143" spans="1:30" ht="14.7" customHeight="1">
      <c r="A143" s="131" t="s">
        <v>269</v>
      </c>
      <c r="B143" s="131"/>
      <c r="C143">
        <v>8.8659126615729669</v>
      </c>
      <c r="D143">
        <v>6.0610432663329901</v>
      </c>
      <c r="E143">
        <v>1.1726167584527598</v>
      </c>
      <c r="F143">
        <v>0.80968151329295135</v>
      </c>
      <c r="G143">
        <v>10.738987399475164</v>
      </c>
      <c r="H143">
        <v>5.6089258240759801</v>
      </c>
      <c r="I143" s="147">
        <v>2.2110635960927314</v>
      </c>
      <c r="J143" s="112">
        <v>1.3275265404355501</v>
      </c>
      <c r="K143" s="112">
        <v>11.731638665848038</v>
      </c>
      <c r="L143" s="126">
        <v>8.3294794000621959</v>
      </c>
      <c r="M143" s="112">
        <v>4.2878329997687645</v>
      </c>
      <c r="N143" s="126">
        <v>2.7560938658671748</v>
      </c>
      <c r="O143" s="147">
        <v>17.032030009525506</v>
      </c>
      <c r="P143" s="147">
        <v>11.572214539857271</v>
      </c>
      <c r="Q143" s="147">
        <v>3.6361364268852778</v>
      </c>
      <c r="R143" s="112">
        <v>2.3507648434992019</v>
      </c>
      <c r="S143" s="112">
        <v>13.3849</v>
      </c>
      <c r="T143" s="112">
        <v>9.6823999999999995</v>
      </c>
      <c r="U143" s="146">
        <v>4.9528999999999996</v>
      </c>
      <c r="V143" s="113">
        <v>1.2683</v>
      </c>
      <c r="W143">
        <v>10.112</v>
      </c>
      <c r="X143">
        <v>7.6372999999999998</v>
      </c>
      <c r="Y143">
        <v>2.4470999999999998</v>
      </c>
      <c r="Z143">
        <v>0.83409999999999995</v>
      </c>
      <c r="AA143" s="104">
        <v>8.7389461306377818</v>
      </c>
      <c r="AB143" s="104">
        <v>5.9877939015266293</v>
      </c>
      <c r="AC143" s="104">
        <v>2.8517969659991165</v>
      </c>
      <c r="AD143" s="104">
        <v>1.3203886653469252</v>
      </c>
    </row>
    <row r="144" spans="1:30" ht="14.7" customHeight="1">
      <c r="A144" s="131" t="s">
        <v>83</v>
      </c>
      <c r="B144" s="131"/>
      <c r="C144">
        <v>7.8344025966321311</v>
      </c>
      <c r="D144">
        <v>4.4443610200990031</v>
      </c>
      <c r="E144">
        <v>1.2260673936213424</v>
      </c>
      <c r="F144">
        <v>0.13153692351165266</v>
      </c>
      <c r="G144">
        <v>15.908642151224925</v>
      </c>
      <c r="H144">
        <v>10.4459476540552</v>
      </c>
      <c r="I144" s="147">
        <v>5.1944318723929985</v>
      </c>
      <c r="J144" s="112">
        <v>3.9214606956897575</v>
      </c>
      <c r="K144" s="112">
        <v>12.547725284080249</v>
      </c>
      <c r="L144" s="126">
        <v>7.0689310768342297</v>
      </c>
      <c r="M144" s="112">
        <v>2.5327270821425536</v>
      </c>
      <c r="N144" s="126">
        <v>0.70092025449892303</v>
      </c>
      <c r="O144" s="147">
        <v>14.119669164161278</v>
      </c>
      <c r="P144" s="147">
        <v>10.346565411023498</v>
      </c>
      <c r="Q144" s="147">
        <v>5.6454159625350826</v>
      </c>
      <c r="R144" s="112">
        <v>2.7156235246805789</v>
      </c>
      <c r="S144" s="112">
        <v>10.786099999999999</v>
      </c>
      <c r="T144" s="112">
        <v>7.9112</v>
      </c>
      <c r="U144" s="146">
        <v>3.6935999999999996</v>
      </c>
      <c r="V144" s="113">
        <v>2.2901000000000002</v>
      </c>
      <c r="W144">
        <v>9.6898999999999997</v>
      </c>
      <c r="X144">
        <v>7.0696999999999992</v>
      </c>
      <c r="Y144">
        <v>3.2925999999999997</v>
      </c>
      <c r="Z144">
        <v>1.5744999999999998</v>
      </c>
      <c r="AA144" s="104">
        <v>13.522682142818402</v>
      </c>
      <c r="AB144" s="104">
        <v>8.4580367665863143</v>
      </c>
      <c r="AC144" s="104">
        <v>4.9363596367708045</v>
      </c>
      <c r="AD144" s="104">
        <v>2.1969832117030137</v>
      </c>
    </row>
    <row r="145" spans="1:30" ht="14.7" customHeight="1">
      <c r="A145" s="131" t="s">
        <v>84</v>
      </c>
      <c r="B145" s="131"/>
      <c r="C145">
        <v>15.577592287384217</v>
      </c>
      <c r="D145">
        <v>10.446008426421658</v>
      </c>
      <c r="E145">
        <v>6.2553887170341591</v>
      </c>
      <c r="F145">
        <v>2.935989018505246</v>
      </c>
      <c r="G145">
        <v>15.974294285964849</v>
      </c>
      <c r="H145">
        <v>9.3045547898408998</v>
      </c>
      <c r="I145" s="147">
        <v>5.8771942347736879</v>
      </c>
      <c r="J145" s="112">
        <v>4.4799406100926138</v>
      </c>
      <c r="K145" s="112">
        <v>19.409737833756399</v>
      </c>
      <c r="L145" s="126">
        <v>11.459540899378359</v>
      </c>
      <c r="M145" s="112">
        <v>4.8614336897294113</v>
      </c>
      <c r="N145" s="126">
        <v>3.522827794854809</v>
      </c>
      <c r="O145" s="147">
        <v>22.136384759962375</v>
      </c>
      <c r="P145" s="147">
        <v>15.291840388364996</v>
      </c>
      <c r="Q145" s="147">
        <v>6.5906234701768636</v>
      </c>
      <c r="R145" s="112">
        <v>3.4072633130077272</v>
      </c>
      <c r="S145" s="112">
        <v>18.180199999999999</v>
      </c>
      <c r="T145" s="112">
        <v>11.964600000000001</v>
      </c>
      <c r="U145" s="146">
        <v>5.5472000000000001</v>
      </c>
      <c r="V145" s="113">
        <v>3.3653000000000004</v>
      </c>
      <c r="W145">
        <v>18.106999999999999</v>
      </c>
      <c r="X145">
        <v>11.9419</v>
      </c>
      <c r="Y145">
        <v>4.5510000000000002</v>
      </c>
      <c r="Z145">
        <v>3.0259</v>
      </c>
      <c r="AA145" s="104">
        <v>19.731490905167405</v>
      </c>
      <c r="AB145" s="104">
        <v>12.325825703034345</v>
      </c>
      <c r="AC145" s="104">
        <v>2.3574544177493766</v>
      </c>
      <c r="AD145" s="104">
        <v>0.72855558922317754</v>
      </c>
    </row>
    <row r="146" spans="1:30" ht="14.7" customHeight="1">
      <c r="A146" s="131" t="s">
        <v>208</v>
      </c>
      <c r="B146" s="131"/>
      <c r="C146">
        <v>10.211085610380973</v>
      </c>
      <c r="D146">
        <v>6.4916643925119519</v>
      </c>
      <c r="E146">
        <v>2.6686241663802996</v>
      </c>
      <c r="F146">
        <v>1.911982075681947</v>
      </c>
      <c r="G146">
        <v>9.1880341880341874</v>
      </c>
      <c r="H146">
        <v>5.2310478484975134</v>
      </c>
      <c r="I146" s="147">
        <v>2.1791593939244946</v>
      </c>
      <c r="J146" s="112">
        <v>1.2922945808851849</v>
      </c>
      <c r="K146" s="112">
        <v>7.8012056880786869</v>
      </c>
      <c r="L146" s="126">
        <v>3.4231763888059796</v>
      </c>
      <c r="M146" s="112">
        <v>1.6055827603006283</v>
      </c>
      <c r="N146" s="126">
        <v>1.2418329600838032</v>
      </c>
      <c r="O146" s="147">
        <v>9.7044844885801389</v>
      </c>
      <c r="P146" s="147">
        <v>5.4850275175122416</v>
      </c>
      <c r="Q146" s="147">
        <v>1.5818858076659934</v>
      </c>
      <c r="R146" s="112">
        <v>0.90136458836592992</v>
      </c>
      <c r="S146" s="112">
        <v>11.7006</v>
      </c>
      <c r="T146" s="112">
        <v>7.1831000000000005</v>
      </c>
      <c r="U146" s="146">
        <v>3.5928</v>
      </c>
      <c r="V146" s="113">
        <v>2.1509</v>
      </c>
      <c r="W146">
        <v>5.9055999999999997</v>
      </c>
      <c r="X146">
        <v>3.3929</v>
      </c>
      <c r="Y146">
        <v>0.50249999999999995</v>
      </c>
      <c r="Z146">
        <v>0.16880000000000001</v>
      </c>
      <c r="AA146" s="104">
        <v>7.4535814553064403</v>
      </c>
      <c r="AB146" s="104">
        <v>4.0250384342929184</v>
      </c>
      <c r="AC146" s="104">
        <v>2.0316249377240121</v>
      </c>
      <c r="AD146" s="104">
        <v>1.7024917922202756</v>
      </c>
    </row>
    <row r="147" spans="1:30" ht="14.7" customHeight="1">
      <c r="A147" s="131" t="s">
        <v>816</v>
      </c>
      <c r="B147" s="131"/>
      <c r="C147">
        <v>16.900828875048607</v>
      </c>
      <c r="D147">
        <v>12.177342085206744</v>
      </c>
      <c r="E147">
        <v>6.1183025016762205</v>
      </c>
      <c r="F147">
        <v>2.9082621253832484</v>
      </c>
      <c r="G147">
        <v>12.902065062269008</v>
      </c>
      <c r="H147">
        <v>8.8697250242936523</v>
      </c>
      <c r="I147" s="147">
        <v>3.4419737425238566</v>
      </c>
      <c r="J147" s="112">
        <v>2.2890924541266684</v>
      </c>
      <c r="K147" s="112">
        <v>16.092141838673975</v>
      </c>
      <c r="L147" s="126">
        <v>7.2642814208766389</v>
      </c>
      <c r="M147" s="112">
        <v>2.6027229383924975</v>
      </c>
      <c r="N147" s="126">
        <v>1.1344604018464159</v>
      </c>
      <c r="O147" s="147">
        <v>17.360244647417527</v>
      </c>
      <c r="P147" s="147">
        <v>13.082378245497086</v>
      </c>
      <c r="Q147" s="147">
        <v>5.8285781536214412</v>
      </c>
      <c r="R147" s="112">
        <v>4.3037906890515627</v>
      </c>
      <c r="S147" s="112">
        <v>15.248999999999999</v>
      </c>
      <c r="T147" s="112">
        <v>9.8340999999999994</v>
      </c>
      <c r="U147" s="146">
        <v>4.8591000000000006</v>
      </c>
      <c r="V147" s="113">
        <v>1.5264</v>
      </c>
      <c r="W147">
        <v>17.426300000000001</v>
      </c>
      <c r="X147">
        <v>13.203999999999999</v>
      </c>
      <c r="Y147">
        <v>5.2122000000000002</v>
      </c>
      <c r="Z147">
        <v>2.8856999999999999</v>
      </c>
      <c r="AA147" s="104">
        <v>17.404307650728324</v>
      </c>
      <c r="AB147" s="104">
        <v>11.914938099323114</v>
      </c>
      <c r="AC147" s="104">
        <v>4.6274868076478235</v>
      </c>
      <c r="AD147" s="104">
        <v>2.9496486750433935</v>
      </c>
    </row>
    <row r="148" spans="1:30" ht="14.7" customHeight="1">
      <c r="A148" s="131" t="s">
        <v>314</v>
      </c>
      <c r="B148" s="131"/>
      <c r="C148">
        <v>14.248891182399658</v>
      </c>
      <c r="D148">
        <v>9.1144187948096622</v>
      </c>
      <c r="E148">
        <v>3.7403412727021177</v>
      </c>
      <c r="F148">
        <v>2.1508860662130123</v>
      </c>
      <c r="G148">
        <v>14.979067836679835</v>
      </c>
      <c r="H148">
        <v>9.5513873124026496</v>
      </c>
      <c r="I148" s="147">
        <v>3.9058151826390333</v>
      </c>
      <c r="J148" s="112">
        <v>2.4579508125460579</v>
      </c>
      <c r="K148" s="112">
        <v>15.607602888852215</v>
      </c>
      <c r="L148" s="126">
        <v>9.2399448456751863</v>
      </c>
      <c r="M148" s="112">
        <v>4.1889446450487355</v>
      </c>
      <c r="N148" s="126">
        <v>2.433323614451008</v>
      </c>
      <c r="O148" s="147">
        <v>18.102492579022794</v>
      </c>
      <c r="P148" s="147">
        <v>11.845996571428866</v>
      </c>
      <c r="Q148" s="147">
        <v>5.2100874073757053</v>
      </c>
      <c r="R148" s="112">
        <v>3.2319393897923661</v>
      </c>
      <c r="S148" s="112">
        <v>16.546700000000001</v>
      </c>
      <c r="T148" s="112">
        <v>10.826499999999999</v>
      </c>
      <c r="U148" s="147">
        <v>4.4218000000000002</v>
      </c>
      <c r="V148" s="149">
        <v>2.3281000000000001</v>
      </c>
      <c r="W148">
        <v>15.523300000000001</v>
      </c>
      <c r="X148">
        <v>9.934099999999999</v>
      </c>
      <c r="Y148">
        <v>4.0145</v>
      </c>
      <c r="Z148">
        <v>2.3632</v>
      </c>
      <c r="AA148" s="104">
        <v>15.573799350980138</v>
      </c>
      <c r="AB148" s="104">
        <v>9.8199787710460775</v>
      </c>
      <c r="AC148" s="104">
        <v>4.1804227305824737</v>
      </c>
      <c r="AD148" s="104">
        <v>2.2482765971426257</v>
      </c>
    </row>
    <row r="149" spans="1:30" ht="14.7" customHeight="1">
      <c r="A149" s="131" t="s">
        <v>85</v>
      </c>
      <c r="B149" s="131"/>
      <c r="C149">
        <v>10.60417738046295</v>
      </c>
      <c r="D149">
        <v>6.5467516667513266</v>
      </c>
      <c r="E149">
        <v>2.3946686740243917</v>
      </c>
      <c r="F149">
        <v>1.7351524203741482</v>
      </c>
      <c r="G149">
        <v>10.90314411032424</v>
      </c>
      <c r="H149">
        <v>7.7180051435692132</v>
      </c>
      <c r="I149" s="147">
        <v>3.7589660650879737</v>
      </c>
      <c r="J149" s="112">
        <v>3.1373324821902386</v>
      </c>
      <c r="K149" s="112">
        <v>10.774802844495762</v>
      </c>
      <c r="L149" s="126">
        <v>6.4303761431977513</v>
      </c>
      <c r="M149" s="112">
        <v>2.9297098956541685</v>
      </c>
      <c r="N149" s="126">
        <v>1.0701477606569954</v>
      </c>
      <c r="O149" s="147">
        <v>10.747374242808473</v>
      </c>
      <c r="P149" s="147">
        <v>7.115216423327082</v>
      </c>
      <c r="Q149" s="147">
        <v>2.3979929425341027</v>
      </c>
      <c r="R149" s="112">
        <v>1.9552506681313295</v>
      </c>
      <c r="S149" s="112">
        <v>10.044400000000001</v>
      </c>
      <c r="T149" s="112">
        <v>4.8449999999999998</v>
      </c>
      <c r="U149" s="147">
        <v>1.569</v>
      </c>
      <c r="V149" s="149">
        <v>0.5575</v>
      </c>
      <c r="W149">
        <v>11.494899999999999</v>
      </c>
      <c r="X149">
        <v>7.3569999999999993</v>
      </c>
      <c r="Y149">
        <v>3.0455000000000001</v>
      </c>
      <c r="Z149">
        <v>2.2551000000000001</v>
      </c>
      <c r="AA149" s="104">
        <v>11.804885118965744</v>
      </c>
      <c r="AB149" s="104">
        <v>5.3756138597705707</v>
      </c>
      <c r="AC149" s="104">
        <v>1.7016196084168402</v>
      </c>
      <c r="AD149" s="104">
        <v>1.1999710889293989</v>
      </c>
    </row>
    <row r="150" spans="1:30" ht="14.7" customHeight="1">
      <c r="A150" s="131" t="s">
        <v>86</v>
      </c>
      <c r="B150" s="131"/>
      <c r="C150">
        <v>13.392545997984891</v>
      </c>
      <c r="D150">
        <v>10.815596142969218</v>
      </c>
      <c r="E150">
        <v>4.1657278298018063</v>
      </c>
      <c r="F150">
        <v>1.3929205258527417</v>
      </c>
      <c r="G150">
        <v>13.988484742892105</v>
      </c>
      <c r="H150">
        <v>8.732470837064378</v>
      </c>
      <c r="I150" s="147">
        <v>3.1012588987978269</v>
      </c>
      <c r="J150" s="112">
        <v>0.76376705307471959</v>
      </c>
      <c r="K150" s="112">
        <v>16.004030689108163</v>
      </c>
      <c r="L150" s="126">
        <v>7.7722461114824766</v>
      </c>
      <c r="M150" s="112">
        <v>2.8160948209635741</v>
      </c>
      <c r="N150" s="126">
        <v>0.86061198631162039</v>
      </c>
      <c r="O150" s="147">
        <v>15.324806309184977</v>
      </c>
      <c r="P150" s="147">
        <v>11.040603410383667</v>
      </c>
      <c r="Q150" s="147">
        <v>4.7774653579463999</v>
      </c>
      <c r="R150" s="112">
        <v>3.0574745323293637</v>
      </c>
      <c r="S150" s="112">
        <v>16.2151</v>
      </c>
      <c r="T150" s="112">
        <v>11.7895</v>
      </c>
      <c r="U150" s="146">
        <v>5.3590999999999998</v>
      </c>
      <c r="V150" s="113">
        <v>4.2317</v>
      </c>
      <c r="W150">
        <v>14.196200000000001</v>
      </c>
      <c r="X150">
        <v>10.380699999999999</v>
      </c>
      <c r="Y150">
        <v>5.3806000000000003</v>
      </c>
      <c r="Z150">
        <v>3.9298000000000002</v>
      </c>
      <c r="AA150" s="104">
        <v>13.731396221149742</v>
      </c>
      <c r="AB150" s="104">
        <v>9.0138922145960265</v>
      </c>
      <c r="AC150" s="104">
        <v>3.5982803386453628</v>
      </c>
      <c r="AD150" s="104">
        <v>2.4432761596146224</v>
      </c>
    </row>
    <row r="151" spans="1:30" ht="14.7" customHeight="1">
      <c r="A151" s="131" t="s">
        <v>209</v>
      </c>
      <c r="B151" s="131"/>
      <c r="C151">
        <v>14.627994189509247</v>
      </c>
      <c r="D151">
        <v>10.061162245289099</v>
      </c>
      <c r="E151">
        <v>4.947779049117659</v>
      </c>
      <c r="F151">
        <v>2.0525112349855643</v>
      </c>
      <c r="G151">
        <v>13.310146626153482</v>
      </c>
      <c r="H151">
        <v>8.1377343768852715</v>
      </c>
      <c r="I151" s="146">
        <v>5.0567491694753022</v>
      </c>
      <c r="J151" s="144">
        <v>1.8478671803988127</v>
      </c>
      <c r="K151" s="144">
        <v>12.263998180226933</v>
      </c>
      <c r="L151" s="126">
        <v>8.8172246147440152</v>
      </c>
      <c r="M151" s="144">
        <v>4.787121250091567</v>
      </c>
      <c r="N151" s="126">
        <v>2.7980938648201623</v>
      </c>
      <c r="O151" s="146">
        <v>10.410402088519133</v>
      </c>
      <c r="P151" s="146">
        <v>6.3812703216791444</v>
      </c>
      <c r="Q151" s="146">
        <v>3.6975731586048264</v>
      </c>
      <c r="R151" s="144">
        <v>0.75928351040227327</v>
      </c>
      <c r="S151" s="144">
        <v>12.118500000000001</v>
      </c>
      <c r="T151" s="144">
        <v>9.7205999999999992</v>
      </c>
      <c r="U151" s="146">
        <v>3.286</v>
      </c>
      <c r="V151" s="113">
        <v>2.605</v>
      </c>
      <c r="W151">
        <v>8.7758000000000003</v>
      </c>
      <c r="X151">
        <v>5.2941000000000003</v>
      </c>
      <c r="Y151">
        <v>2.1827999999999999</v>
      </c>
      <c r="Z151">
        <v>1.8311000000000002</v>
      </c>
      <c r="AA151" s="104">
        <v>17.042856649603578</v>
      </c>
      <c r="AB151" s="104">
        <v>11.511753670576384</v>
      </c>
      <c r="AC151" s="104">
        <v>4.5046873744000422</v>
      </c>
      <c r="AD151" s="104">
        <v>2.4371711153233546</v>
      </c>
    </row>
    <row r="152" spans="1:30" ht="14.7" customHeight="1">
      <c r="A152" s="131" t="s">
        <v>345</v>
      </c>
      <c r="B152" s="131"/>
      <c r="C152">
        <v>16.30585276246185</v>
      </c>
      <c r="D152">
        <v>10.445781013872185</v>
      </c>
      <c r="E152">
        <v>3.7102285813368234</v>
      </c>
      <c r="F152">
        <v>2.005761779221348</v>
      </c>
      <c r="G152">
        <v>18.725539287359545</v>
      </c>
      <c r="H152">
        <v>11.31037626622237</v>
      </c>
      <c r="I152" s="147">
        <v>4.5906738259582145</v>
      </c>
      <c r="J152" s="112">
        <v>2.1088578079174454</v>
      </c>
      <c r="K152" s="112">
        <v>14.62405666974626</v>
      </c>
      <c r="L152" s="126">
        <v>9.3362855392470721</v>
      </c>
      <c r="M152" s="112">
        <v>5.0529604466130733</v>
      </c>
      <c r="N152" s="126">
        <v>2.7761635637642992</v>
      </c>
      <c r="O152" s="147">
        <v>14.911543133383359</v>
      </c>
      <c r="P152" s="147">
        <v>9.232020659359419</v>
      </c>
      <c r="Q152" s="147">
        <v>4.7783598687928333</v>
      </c>
      <c r="R152" s="112">
        <v>1.9526044326152132</v>
      </c>
      <c r="S152" s="112">
        <v>17.4313</v>
      </c>
      <c r="T152" s="112">
        <v>12.0885</v>
      </c>
      <c r="U152" s="146">
        <v>4.51</v>
      </c>
      <c r="V152" s="113">
        <v>2.4379999999999997</v>
      </c>
      <c r="W152">
        <v>11.513400000000001</v>
      </c>
      <c r="X152">
        <v>8.8031000000000006</v>
      </c>
      <c r="Y152">
        <v>3.9669000000000003</v>
      </c>
      <c r="Z152">
        <v>1.5977999999999999</v>
      </c>
      <c r="AA152" s="104">
        <v>12.144200315206726</v>
      </c>
      <c r="AB152" s="104">
        <v>8.6548293552868714</v>
      </c>
      <c r="AC152" s="104">
        <v>4.1971547988445836</v>
      </c>
      <c r="AD152" s="104">
        <v>2.4471182392218385</v>
      </c>
    </row>
    <row r="153" spans="1:30" ht="14.7" customHeight="1">
      <c r="A153" s="131" t="s">
        <v>87</v>
      </c>
      <c r="B153" s="131"/>
      <c r="C153">
        <v>17.127774485901085</v>
      </c>
      <c r="D153">
        <v>10.21613071778398</v>
      </c>
      <c r="E153">
        <v>2.1446704943279249</v>
      </c>
      <c r="F153">
        <v>0.62117407953311987</v>
      </c>
      <c r="G153">
        <v>21.512947361546498</v>
      </c>
      <c r="H153">
        <v>12.223052181295714</v>
      </c>
      <c r="I153" s="147">
        <v>4.5344337774294665</v>
      </c>
      <c r="J153" s="112">
        <v>2.1780303030303032</v>
      </c>
      <c r="K153" s="112">
        <v>14.66552830052866</v>
      </c>
      <c r="L153" s="126">
        <v>8.3996369414117229</v>
      </c>
      <c r="M153" s="112">
        <v>4.383351399438582</v>
      </c>
      <c r="N153" s="126">
        <v>2.9373283135607995</v>
      </c>
      <c r="O153" s="147">
        <v>20.516904970180668</v>
      </c>
      <c r="P153" s="147">
        <v>13.708644381592061</v>
      </c>
      <c r="Q153" s="147">
        <v>5.8745478280125418</v>
      </c>
      <c r="R153" s="112">
        <v>2.9951928665520935</v>
      </c>
      <c r="S153" s="112">
        <v>19.568300000000001</v>
      </c>
      <c r="T153" s="112">
        <v>11.063700000000001</v>
      </c>
      <c r="U153" s="146">
        <v>2.0188000000000001</v>
      </c>
      <c r="V153" s="113">
        <v>0.80409999999999993</v>
      </c>
      <c r="W153">
        <v>16.376799999999999</v>
      </c>
      <c r="X153">
        <v>9.4871999999999996</v>
      </c>
      <c r="Y153">
        <v>4.7361000000000004</v>
      </c>
      <c r="Z153">
        <v>2.5625999999999998</v>
      </c>
      <c r="AA153" s="104">
        <v>16.778973520619829</v>
      </c>
      <c r="AB153" s="104">
        <v>9.8967928554631293</v>
      </c>
      <c r="AC153" s="104">
        <v>4.2325969723694739</v>
      </c>
      <c r="AD153" s="104">
        <v>1.8195398145700863</v>
      </c>
    </row>
    <row r="154" spans="1:30" ht="14.7" customHeight="1">
      <c r="A154" s="131" t="s">
        <v>210</v>
      </c>
      <c r="B154" s="131"/>
      <c r="C154">
        <v>13.525112606960585</v>
      </c>
      <c r="D154">
        <v>8.1921467191431816</v>
      </c>
      <c r="E154">
        <v>5.016744073188768</v>
      </c>
      <c r="F154">
        <v>3.4128576105344477</v>
      </c>
      <c r="G154">
        <v>15.292781930712968</v>
      </c>
      <c r="H154">
        <v>11.403614821979087</v>
      </c>
      <c r="I154" s="147">
        <v>5.2082451792298867</v>
      </c>
      <c r="J154" s="112">
        <v>4.4532430635314038</v>
      </c>
      <c r="K154" s="112">
        <v>16.034357706211914</v>
      </c>
      <c r="L154" s="126">
        <v>11.731648952878084</v>
      </c>
      <c r="M154" s="112">
        <v>4.995459711363285</v>
      </c>
      <c r="N154" s="126">
        <v>2.5002998303816697</v>
      </c>
      <c r="O154" s="147">
        <v>13.302298299328896</v>
      </c>
      <c r="P154" s="147">
        <v>9.4809322992131317</v>
      </c>
      <c r="Q154" s="147">
        <v>3.3841935078359553</v>
      </c>
      <c r="R154" s="112">
        <v>1.6890296681300778</v>
      </c>
      <c r="S154" s="112">
        <v>13.0878</v>
      </c>
      <c r="T154" s="112">
        <v>10.266400000000001</v>
      </c>
      <c r="U154" s="146">
        <v>5.4626999999999999</v>
      </c>
      <c r="V154" s="113">
        <v>3.0287999999999999</v>
      </c>
      <c r="W154">
        <v>19.3308</v>
      </c>
      <c r="X154">
        <v>14.943899999999999</v>
      </c>
      <c r="Y154">
        <v>8.5465</v>
      </c>
      <c r="Z154">
        <v>6.1211000000000002</v>
      </c>
      <c r="AA154" s="104">
        <v>15.947905146206715</v>
      </c>
      <c r="AB154" s="104">
        <v>10.764631525912693</v>
      </c>
      <c r="AC154" s="104">
        <v>3.9896041750962605</v>
      </c>
      <c r="AD154" s="104">
        <v>2.5074306910461184</v>
      </c>
    </row>
    <row r="155" spans="1:30" ht="14.7" customHeight="1">
      <c r="A155" s="131" t="s">
        <v>88</v>
      </c>
      <c r="B155" s="131"/>
      <c r="C155">
        <v>20.585569716488155</v>
      </c>
      <c r="D155">
        <v>13.082021938953323</v>
      </c>
      <c r="E155">
        <v>6.8293108578523123</v>
      </c>
      <c r="F155">
        <v>3.4779271438395836</v>
      </c>
      <c r="G155">
        <v>17.530881372159914</v>
      </c>
      <c r="H155">
        <v>11.571465452593362</v>
      </c>
      <c r="I155" s="147">
        <v>6.5054276780848008</v>
      </c>
      <c r="J155" s="112">
        <v>3.5655890536702906</v>
      </c>
      <c r="K155" s="112">
        <v>16.54477011000008</v>
      </c>
      <c r="L155" s="126">
        <v>10.823771663006415</v>
      </c>
      <c r="M155" s="112">
        <v>4.673376473397612</v>
      </c>
      <c r="N155" s="126">
        <v>2.7395115229382219</v>
      </c>
      <c r="O155" s="147">
        <v>24.641299685949665</v>
      </c>
      <c r="P155" s="147">
        <v>14.554268248342424</v>
      </c>
      <c r="Q155" s="147">
        <v>6.0447008517750378</v>
      </c>
      <c r="R155" s="112">
        <v>2.5325369017292068</v>
      </c>
      <c r="S155" s="112">
        <v>19.570499999999999</v>
      </c>
      <c r="T155" s="112">
        <v>11.523199999999999</v>
      </c>
      <c r="U155" s="146">
        <v>5.0104999999999995</v>
      </c>
      <c r="V155" s="113">
        <v>2.6225999999999998</v>
      </c>
      <c r="W155">
        <v>22.541499999999999</v>
      </c>
      <c r="X155">
        <v>15.940999999999999</v>
      </c>
      <c r="Y155">
        <v>8.7619000000000007</v>
      </c>
      <c r="Z155">
        <v>5.2473000000000001</v>
      </c>
      <c r="AA155" s="104">
        <v>17.117697488870427</v>
      </c>
      <c r="AB155" s="104">
        <v>12.67580995664912</v>
      </c>
      <c r="AC155" s="104">
        <v>5.733008170831039</v>
      </c>
      <c r="AD155" s="104">
        <v>3.0803601483982099</v>
      </c>
    </row>
    <row r="156" spans="1:30" ht="14.7" customHeight="1">
      <c r="A156" s="131" t="s">
        <v>89</v>
      </c>
      <c r="B156" s="131"/>
      <c r="C156">
        <v>8.1573921833410488</v>
      </c>
      <c r="D156">
        <v>5.6073430205065833</v>
      </c>
      <c r="E156">
        <v>3.9156903621302743</v>
      </c>
      <c r="F156">
        <v>2.7839073033297157</v>
      </c>
      <c r="G156">
        <v>8.617323967570103</v>
      </c>
      <c r="H156">
        <v>7.53974944695097</v>
      </c>
      <c r="I156" s="147">
        <v>2.0576064809830359</v>
      </c>
      <c r="J156" s="112">
        <v>1.3393029449226137</v>
      </c>
      <c r="K156" s="112">
        <v>10.892434073695991</v>
      </c>
      <c r="L156" s="126">
        <v>6.5094883278907307</v>
      </c>
      <c r="M156" s="112">
        <v>3.7178877981215432</v>
      </c>
      <c r="N156" s="126">
        <v>2.911304101667155</v>
      </c>
      <c r="O156" s="147">
        <v>8.4905015500669876</v>
      </c>
      <c r="P156" s="147">
        <v>6.3614219241812373</v>
      </c>
      <c r="Q156" s="147">
        <v>1.5819116853284083</v>
      </c>
      <c r="R156" s="112">
        <v>0.51519020192498233</v>
      </c>
      <c r="S156" s="112">
        <v>12.3408</v>
      </c>
      <c r="T156" s="112">
        <v>8.5161999999999995</v>
      </c>
      <c r="U156" s="146">
        <v>2.2715000000000001</v>
      </c>
      <c r="V156" s="113">
        <v>0.66349999999999998</v>
      </c>
      <c r="W156">
        <v>9.6429000000000009</v>
      </c>
      <c r="X156">
        <v>7.5490000000000004</v>
      </c>
      <c r="Y156">
        <v>2.6120999999999999</v>
      </c>
      <c r="Z156">
        <v>1.3969</v>
      </c>
      <c r="AA156" s="104">
        <v>8.0346026888385378</v>
      </c>
      <c r="AB156" s="104">
        <v>5.319805005472344</v>
      </c>
      <c r="AC156" s="104">
        <v>2.3155512426939913</v>
      </c>
      <c r="AD156" s="104">
        <v>0.79995895395018646</v>
      </c>
    </row>
    <row r="157" spans="1:30" ht="14.7" customHeight="1">
      <c r="A157" s="131" t="s">
        <v>90</v>
      </c>
      <c r="B157" s="131"/>
      <c r="C157">
        <v>16.161176329231328</v>
      </c>
      <c r="D157">
        <v>12.507097395794956</v>
      </c>
      <c r="E157">
        <v>7.3002279060310942</v>
      </c>
      <c r="F157">
        <v>5.6058645411883674</v>
      </c>
      <c r="G157">
        <v>17.706772123028802</v>
      </c>
      <c r="H157">
        <v>12.707466340269274</v>
      </c>
      <c r="I157" s="147">
        <v>7.4628722970216232</v>
      </c>
      <c r="J157" s="112">
        <v>4.4228886168910648</v>
      </c>
      <c r="K157" s="112">
        <v>14.097583860209753</v>
      </c>
      <c r="L157" s="126">
        <v>11.088057882143254</v>
      </c>
      <c r="M157" s="112">
        <v>6.0320071292710367</v>
      </c>
      <c r="N157" s="126">
        <v>4.8803707535003502</v>
      </c>
      <c r="O157" s="147">
        <v>19.352008780068228</v>
      </c>
      <c r="P157" s="147">
        <v>15.119479581645221</v>
      </c>
      <c r="Q157" s="147">
        <v>7.2098541968429348</v>
      </c>
      <c r="R157" s="112">
        <v>5.5067942732529156</v>
      </c>
      <c r="S157" s="112">
        <v>17.7971</v>
      </c>
      <c r="T157" s="112">
        <v>12.556600000000001</v>
      </c>
      <c r="U157" s="146">
        <v>6.0625</v>
      </c>
      <c r="V157" s="113">
        <v>3.1593000000000004</v>
      </c>
      <c r="W157">
        <v>17.682400000000001</v>
      </c>
      <c r="X157">
        <v>13.323599999999999</v>
      </c>
      <c r="Y157">
        <v>7.2077</v>
      </c>
      <c r="Z157">
        <v>4.0361000000000002</v>
      </c>
      <c r="AA157" s="104">
        <v>17.894318722837387</v>
      </c>
      <c r="AB157" s="104">
        <v>14.254315773893886</v>
      </c>
      <c r="AC157" s="104">
        <v>7.8099243513482905</v>
      </c>
      <c r="AD157" s="104">
        <v>4.6181927835334422</v>
      </c>
    </row>
    <row r="158" spans="1:30" ht="14.7" customHeight="1">
      <c r="A158" s="131" t="s">
        <v>270</v>
      </c>
      <c r="B158" s="131"/>
      <c r="C158">
        <v>15.830526641242102</v>
      </c>
      <c r="D158">
        <v>9.5619782867512217</v>
      </c>
      <c r="E158">
        <v>4.4100282007973304</v>
      </c>
      <c r="F158">
        <v>2.1492934887393305</v>
      </c>
      <c r="G158">
        <v>15.071935115748285</v>
      </c>
      <c r="H158">
        <v>9.8336956034141743</v>
      </c>
      <c r="I158" s="147">
        <v>5.1447109247878364</v>
      </c>
      <c r="J158" s="112">
        <v>2.8626133198484585</v>
      </c>
      <c r="K158" s="112">
        <v>14.053521104586173</v>
      </c>
      <c r="L158" s="126">
        <v>8.4780452477289536</v>
      </c>
      <c r="M158" s="112">
        <v>3.4526189838940757</v>
      </c>
      <c r="N158" s="126">
        <v>2.5355416660106744</v>
      </c>
      <c r="O158" s="147">
        <v>12.268224419403996</v>
      </c>
      <c r="P158" s="147">
        <v>8.1656827541442887</v>
      </c>
      <c r="Q158" s="147">
        <v>3.1254839494384581</v>
      </c>
      <c r="R158" s="112">
        <v>2.1093331161794784</v>
      </c>
      <c r="S158" s="112">
        <v>19.977700000000002</v>
      </c>
      <c r="T158" s="112">
        <v>15.0641</v>
      </c>
      <c r="U158" s="146">
        <v>6.9089999999999998</v>
      </c>
      <c r="V158" s="113">
        <v>3.0701999999999998</v>
      </c>
      <c r="W158">
        <v>12.790699999999999</v>
      </c>
      <c r="X158">
        <v>9.8741000000000003</v>
      </c>
      <c r="Y158">
        <v>5.5651000000000002</v>
      </c>
      <c r="Z158">
        <v>3.1926000000000001</v>
      </c>
      <c r="AA158" s="104">
        <v>14.945418266973357</v>
      </c>
      <c r="AB158" s="104">
        <v>9.4879676048068227</v>
      </c>
      <c r="AC158" s="104">
        <v>3.8636375521342643</v>
      </c>
      <c r="AD158" s="104">
        <v>1.2082327263530748</v>
      </c>
    </row>
    <row r="159" spans="1:30" ht="14.7" customHeight="1">
      <c r="A159" s="131" t="s">
        <v>2</v>
      </c>
      <c r="B159" s="131"/>
      <c r="C159">
        <v>35.053081067123181</v>
      </c>
      <c r="D159">
        <v>30.642402745043569</v>
      </c>
      <c r="E159">
        <v>27.004212429049971</v>
      </c>
      <c r="F159">
        <v>18.125004333702446</v>
      </c>
      <c r="G159">
        <v>33.023490512170184</v>
      </c>
      <c r="H159">
        <v>28.250073035349111</v>
      </c>
      <c r="I159" s="147">
        <v>11.490452287998302</v>
      </c>
      <c r="J159" s="112">
        <v>9.1227790614293696</v>
      </c>
      <c r="K159" s="112">
        <v>28.200772560152647</v>
      </c>
      <c r="L159" s="126">
        <v>26.006725074755373</v>
      </c>
      <c r="M159" s="112">
        <v>19.009389507487175</v>
      </c>
      <c r="N159" s="126">
        <v>14.166870280521715</v>
      </c>
      <c r="O159" s="147">
        <v>43.142408198152012</v>
      </c>
      <c r="P159" s="147">
        <v>38.08279687151623</v>
      </c>
      <c r="Q159" s="147">
        <v>23.611827005997473</v>
      </c>
      <c r="R159" s="112">
        <v>20.153377870182279</v>
      </c>
      <c r="S159" s="112">
        <v>33.436</v>
      </c>
      <c r="T159" s="112">
        <v>27.114599999999999</v>
      </c>
      <c r="U159" s="146">
        <v>14.722899999999999</v>
      </c>
      <c r="V159" s="113">
        <v>12.0396</v>
      </c>
      <c r="W159">
        <v>39.264099999999999</v>
      </c>
      <c r="X159">
        <v>35.400300000000001</v>
      </c>
      <c r="Y159">
        <v>28.025699999999997</v>
      </c>
      <c r="Z159">
        <v>21.083199999999998</v>
      </c>
      <c r="AA159" s="104">
        <v>35.150923397790166</v>
      </c>
      <c r="AB159" s="104">
        <v>31.459160821746433</v>
      </c>
      <c r="AC159" s="104">
        <v>19.975588098299013</v>
      </c>
      <c r="AD159" s="104">
        <v>15.52243203587566</v>
      </c>
    </row>
    <row r="160" spans="1:30" ht="14.7" customHeight="1">
      <c r="A160" s="131" t="s">
        <v>211</v>
      </c>
      <c r="B160" s="131"/>
      <c r="C160">
        <v>20.060792947784385</v>
      </c>
      <c r="D160">
        <v>12.687261656500359</v>
      </c>
      <c r="E160">
        <v>8.4526025967899301</v>
      </c>
      <c r="F160">
        <v>6.7208398782689054</v>
      </c>
      <c r="G160">
        <v>20.97090895032526</v>
      </c>
      <c r="H160">
        <v>17.541921266763932</v>
      </c>
      <c r="I160" s="147">
        <v>11.433146745290026</v>
      </c>
      <c r="J160" s="112">
        <v>7.0345930569714135</v>
      </c>
      <c r="K160" s="112">
        <v>21.356812369443414</v>
      </c>
      <c r="L160" s="126">
        <v>18.193804718540136</v>
      </c>
      <c r="M160" s="112">
        <v>11.458223456746715</v>
      </c>
      <c r="N160" s="126">
        <v>5.8956357996476125</v>
      </c>
      <c r="O160" s="147">
        <v>26.331750558362018</v>
      </c>
      <c r="P160" s="147">
        <v>22.748187821901436</v>
      </c>
      <c r="Q160" s="147">
        <v>13.823106168237334</v>
      </c>
      <c r="R160" s="112">
        <v>7.9246905263928138</v>
      </c>
      <c r="S160" s="112">
        <v>22.401499999999999</v>
      </c>
      <c r="T160" s="112">
        <v>17.831199999999999</v>
      </c>
      <c r="U160" s="147">
        <v>9.3102999999999998</v>
      </c>
      <c r="V160" s="149">
        <v>5.1615000000000002</v>
      </c>
      <c r="W160">
        <v>29.770700000000001</v>
      </c>
      <c r="X160">
        <v>25.306000000000001</v>
      </c>
      <c r="Y160">
        <v>15.9878</v>
      </c>
      <c r="Z160">
        <v>7.3036000000000003</v>
      </c>
      <c r="AA160" s="104">
        <v>21.117252020241043</v>
      </c>
      <c r="AB160" s="104">
        <v>16.796514755874785</v>
      </c>
      <c r="AC160" s="104">
        <v>9.2936311422204767</v>
      </c>
      <c r="AD160" s="104">
        <v>5.3393149663540918</v>
      </c>
    </row>
    <row r="161" spans="1:30" ht="14.7" customHeight="1">
      <c r="A161" s="131" t="s">
        <v>337</v>
      </c>
      <c r="B161" s="131"/>
      <c r="C161">
        <v>14.744073048962672</v>
      </c>
      <c r="D161">
        <v>11.395479154339371</v>
      </c>
      <c r="E161">
        <v>6.7802766945608104</v>
      </c>
      <c r="F161">
        <v>3.3755277083346997</v>
      </c>
      <c r="G161">
        <v>16.174600474651506</v>
      </c>
      <c r="H161">
        <v>12.498455117360429</v>
      </c>
      <c r="I161" s="147">
        <v>6.5075521967724619</v>
      </c>
      <c r="J161" s="112">
        <v>4.1911399714323334</v>
      </c>
      <c r="K161" s="112">
        <v>16.918370484856837</v>
      </c>
      <c r="L161" s="126">
        <v>9.7329767422322409</v>
      </c>
      <c r="M161" s="112">
        <v>4.9235976228148957</v>
      </c>
      <c r="N161" s="126">
        <v>4.5945443161792214</v>
      </c>
      <c r="O161" s="147">
        <v>19.741162799910921</v>
      </c>
      <c r="P161" s="147">
        <v>14.187861593630183</v>
      </c>
      <c r="Q161" s="147">
        <v>7.7515311358039112</v>
      </c>
      <c r="R161" s="112">
        <v>4.3121936619308876</v>
      </c>
      <c r="S161" s="112">
        <v>21.1767</v>
      </c>
      <c r="T161" s="112">
        <v>15.6715</v>
      </c>
      <c r="U161" s="146">
        <v>7.6563000000000008</v>
      </c>
      <c r="V161" s="113">
        <v>5.2923</v>
      </c>
      <c r="W161">
        <v>20.435400000000001</v>
      </c>
      <c r="X161">
        <v>15.9884</v>
      </c>
      <c r="Y161">
        <v>8.3648000000000007</v>
      </c>
      <c r="Z161">
        <v>5.7138</v>
      </c>
      <c r="AA161" s="104">
        <v>15.678181053079946</v>
      </c>
      <c r="AB161" s="104">
        <v>11.869343389282093</v>
      </c>
      <c r="AC161" s="104">
        <v>6.4025099287150606</v>
      </c>
      <c r="AD161" s="104">
        <v>4.0292667181711126</v>
      </c>
    </row>
    <row r="162" spans="1:30" ht="14.7" customHeight="1">
      <c r="A162" s="131" t="s">
        <v>315</v>
      </c>
      <c r="B162" s="131"/>
      <c r="C162">
        <v>14.860789206309752</v>
      </c>
      <c r="D162">
        <v>8.9097178598831217</v>
      </c>
      <c r="E162">
        <v>3.6216473668431699</v>
      </c>
      <c r="F162">
        <v>2.3385426077726699</v>
      </c>
      <c r="G162">
        <v>14.516233270769485</v>
      </c>
      <c r="H162">
        <v>8.3766919881889415</v>
      </c>
      <c r="I162">
        <v>3.3574167637635952</v>
      </c>
      <c r="J162">
        <v>1.794995734519188</v>
      </c>
      <c r="K162">
        <v>13.516394589613812</v>
      </c>
      <c r="L162">
        <v>7.938446410233027</v>
      </c>
      <c r="M162">
        <v>3.0326430164060958</v>
      </c>
      <c r="N162">
        <v>1.7630143178312705</v>
      </c>
      <c r="O162">
        <v>15.551718440610166</v>
      </c>
      <c r="P162" s="147">
        <v>10.285988786966479</v>
      </c>
      <c r="Q162" s="147">
        <v>4.7158940553826074</v>
      </c>
      <c r="R162" s="112">
        <v>2.6610645622813385</v>
      </c>
      <c r="S162" s="112">
        <v>15.7941</v>
      </c>
      <c r="T162" s="112">
        <v>10.3811</v>
      </c>
      <c r="U162" s="146">
        <v>4.6006999999999998</v>
      </c>
      <c r="V162" s="113">
        <v>2.6662000000000003</v>
      </c>
      <c r="W162">
        <v>15.9642</v>
      </c>
      <c r="X162">
        <v>11.133600000000001</v>
      </c>
      <c r="Y162">
        <v>5.2855999999999996</v>
      </c>
      <c r="Z162">
        <v>2.9363000000000001</v>
      </c>
      <c r="AA162" s="104">
        <v>16.26259547069758</v>
      </c>
      <c r="AB162" s="104">
        <v>10.624998691458858</v>
      </c>
      <c r="AC162" s="104">
        <v>4.8822595378219393</v>
      </c>
      <c r="AD162" s="104">
        <v>2.4215605870976447</v>
      </c>
    </row>
    <row r="163" spans="1:30" ht="14.7" customHeight="1">
      <c r="A163" s="131" t="s">
        <v>91</v>
      </c>
      <c r="B163" s="131"/>
      <c r="C163">
        <v>10.425425035244965</v>
      </c>
      <c r="D163">
        <v>6.4227790554783084</v>
      </c>
      <c r="E163">
        <v>3.0268001151544079</v>
      </c>
      <c r="F163">
        <v>2.3448342340254968</v>
      </c>
      <c r="G163">
        <v>12.353276948803705</v>
      </c>
      <c r="H163">
        <v>7.0865223822999726</v>
      </c>
      <c r="I163" s="147">
        <v>2.3913847440185232</v>
      </c>
      <c r="J163" s="112">
        <v>0.93963049909956253</v>
      </c>
      <c r="K163" s="112">
        <v>12.062934273611321</v>
      </c>
      <c r="L163" s="126">
        <v>7.0740229591633232</v>
      </c>
      <c r="M163" s="112">
        <v>1.9411182819717117</v>
      </c>
      <c r="N163" s="126">
        <v>0.80692125437763751</v>
      </c>
      <c r="O163" s="147">
        <v>14.765500414460156</v>
      </c>
      <c r="P163" s="147">
        <v>7.3498179455877484</v>
      </c>
      <c r="Q163" s="147">
        <v>2.985053231839085</v>
      </c>
      <c r="R163" s="112">
        <v>1.0629554532345775</v>
      </c>
      <c r="S163" s="112">
        <v>10.689500000000001</v>
      </c>
      <c r="T163" s="112">
        <v>7.7216000000000005</v>
      </c>
      <c r="U163" s="147">
        <v>2.5384000000000002</v>
      </c>
      <c r="V163" s="113">
        <v>1.1229</v>
      </c>
      <c r="W163">
        <v>10.288400000000001</v>
      </c>
      <c r="X163">
        <v>6.833400000000001</v>
      </c>
      <c r="Y163">
        <v>2.8752</v>
      </c>
      <c r="Z163">
        <v>1.2479</v>
      </c>
      <c r="AA163" s="104">
        <v>12.747957801969298</v>
      </c>
      <c r="AB163" s="104">
        <v>8.7335448640075484</v>
      </c>
      <c r="AC163" s="104">
        <v>3.5650035388779147</v>
      </c>
      <c r="AD163" s="104">
        <v>1.6540744757190622</v>
      </c>
    </row>
    <row r="164" spans="1:30" ht="14.7" customHeight="1">
      <c r="A164" s="131" t="s">
        <v>377</v>
      </c>
      <c r="B164" s="131"/>
      <c r="C164">
        <v>20.690767644307417</v>
      </c>
      <c r="D164">
        <v>12.601655162309322</v>
      </c>
      <c r="E164">
        <v>3.8543998635212331</v>
      </c>
      <c r="F164">
        <v>2.6884027270408466</v>
      </c>
      <c r="G164">
        <v>21.480706127692702</v>
      </c>
      <c r="H164">
        <v>13.816199471190787</v>
      </c>
      <c r="I164" s="147">
        <v>8.0658530830061039</v>
      </c>
      <c r="J164" s="112">
        <v>5.7810019946312341</v>
      </c>
      <c r="K164" s="112">
        <v>14.387807089843635</v>
      </c>
      <c r="L164" s="126">
        <v>8.981495082956501</v>
      </c>
      <c r="M164" s="112">
        <v>4.7691550307885935</v>
      </c>
      <c r="N164" s="126">
        <v>2.7616434875475924</v>
      </c>
      <c r="O164" s="147">
        <v>19.156549034804122</v>
      </c>
      <c r="P164" s="147">
        <v>12.964185337205301</v>
      </c>
      <c r="Q164" s="147">
        <v>4.7962360483975317</v>
      </c>
      <c r="R164" s="112">
        <v>2.1953287967768698</v>
      </c>
      <c r="S164" s="112">
        <v>17.189899999999998</v>
      </c>
      <c r="T164" s="112">
        <v>10.886800000000001</v>
      </c>
      <c r="U164" s="147">
        <v>5.6994000000000007</v>
      </c>
      <c r="V164" s="149">
        <v>2.6065</v>
      </c>
      <c r="W164">
        <v>16.758700000000001</v>
      </c>
      <c r="X164">
        <v>9.4924999999999997</v>
      </c>
      <c r="Y164">
        <v>3.6002000000000001</v>
      </c>
      <c r="Z164">
        <v>1.3472</v>
      </c>
      <c r="AA164" s="104">
        <v>18.768803000595355</v>
      </c>
      <c r="AB164" s="104">
        <v>11.847081144915677</v>
      </c>
      <c r="AC164" s="104">
        <v>5.0732668434073931</v>
      </c>
      <c r="AD164" s="104">
        <v>2.8118434213370351</v>
      </c>
    </row>
    <row r="165" spans="1:30" ht="14.7" customHeight="1">
      <c r="A165" s="132" t="s">
        <v>817</v>
      </c>
      <c r="B165" s="131"/>
      <c r="C165">
        <v>21.399961666571638</v>
      </c>
      <c r="D165">
        <v>14.863308217663315</v>
      </c>
      <c r="E165">
        <v>8.3317409266185187</v>
      </c>
      <c r="F165">
        <v>4.944926375880315</v>
      </c>
      <c r="G165">
        <v>14.176640443631412</v>
      </c>
      <c r="H165">
        <v>12.072852213904229</v>
      </c>
      <c r="I165" s="147">
        <v>6.5037225483890184</v>
      </c>
      <c r="J165" s="112">
        <v>3.8090619342455967</v>
      </c>
      <c r="K165" s="112">
        <v>17.969878706071526</v>
      </c>
      <c r="L165" s="126">
        <v>13.077623903239735</v>
      </c>
      <c r="M165" s="112">
        <v>6.8754719421477386</v>
      </c>
      <c r="N165" s="126">
        <v>4.6847093597183473</v>
      </c>
      <c r="O165" s="147">
        <v>19.200923041698825</v>
      </c>
      <c r="P165" s="147">
        <v>16.137313823090153</v>
      </c>
      <c r="Q165" s="147">
        <v>10.000033171555032</v>
      </c>
      <c r="R165" s="112">
        <v>6.9073739266750573</v>
      </c>
      <c r="S165" s="112">
        <v>22.225300000000001</v>
      </c>
      <c r="T165" s="112">
        <v>17.241300000000003</v>
      </c>
      <c r="U165" s="146">
        <v>10.936300000000001</v>
      </c>
      <c r="V165" s="113">
        <v>6.5366999999999997</v>
      </c>
      <c r="W165">
        <v>15.259500000000001</v>
      </c>
      <c r="X165">
        <v>13.276</v>
      </c>
      <c r="Y165">
        <v>6.7157999999999998</v>
      </c>
      <c r="Z165">
        <v>4.9169999999999998</v>
      </c>
      <c r="AA165" s="104">
        <v>16.532177522431386</v>
      </c>
      <c r="AB165" s="104">
        <v>13.675282300378033</v>
      </c>
      <c r="AC165" s="104">
        <v>7.7615332798614673</v>
      </c>
      <c r="AD165" s="104">
        <v>3.4862820971181154</v>
      </c>
    </row>
    <row r="166" spans="1:30" ht="14.7" customHeight="1">
      <c r="A166" s="131" t="s">
        <v>393</v>
      </c>
      <c r="B166" s="131"/>
      <c r="C166">
        <v>21.651419263956932</v>
      </c>
      <c r="D166">
        <v>11.735844475748083</v>
      </c>
      <c r="E166">
        <v>4.5256499942018591</v>
      </c>
      <c r="F166">
        <v>3.2123167628229616</v>
      </c>
      <c r="G166">
        <v>21.05270598023753</v>
      </c>
      <c r="H166">
        <v>14.468042998418762</v>
      </c>
      <c r="I166" s="147">
        <v>7.3795238508747305</v>
      </c>
      <c r="J166" s="112">
        <v>6.6777602533215132</v>
      </c>
      <c r="K166" s="112">
        <v>20.448069023929559</v>
      </c>
      <c r="L166" s="126">
        <v>13.019833715185452</v>
      </c>
      <c r="M166" s="112">
        <v>7.7525985633580792</v>
      </c>
      <c r="N166" s="126">
        <v>3.11769502055804</v>
      </c>
      <c r="O166" s="147">
        <v>20.873170683124602</v>
      </c>
      <c r="P166" s="147">
        <v>14.534748822687627</v>
      </c>
      <c r="Q166" s="147">
        <v>8.6809548970165924</v>
      </c>
      <c r="R166" s="112">
        <v>6.526443243164759</v>
      </c>
      <c r="S166" s="112">
        <v>23.773399999999999</v>
      </c>
      <c r="T166" s="112">
        <v>17.363799999999998</v>
      </c>
      <c r="U166" s="146">
        <v>7.1185</v>
      </c>
      <c r="V166" s="113">
        <v>5.7374000000000001</v>
      </c>
      <c r="W166">
        <v>23.752800000000001</v>
      </c>
      <c r="X166">
        <v>19.295300000000001</v>
      </c>
      <c r="Y166">
        <v>9.1280000000000001</v>
      </c>
      <c r="Z166">
        <v>5.5476999999999999</v>
      </c>
      <c r="AA166" s="104">
        <v>24.480805822332584</v>
      </c>
      <c r="AB166" s="104">
        <v>16.300069841013819</v>
      </c>
      <c r="AC166" s="104">
        <v>10.304833994254494</v>
      </c>
      <c r="AD166" s="104">
        <v>6.4385158869438213</v>
      </c>
    </row>
    <row r="167" spans="1:30" ht="14.7" customHeight="1">
      <c r="A167" s="131" t="s">
        <v>232</v>
      </c>
      <c r="B167" s="131"/>
      <c r="C167">
        <v>10.437995519173903</v>
      </c>
      <c r="D167">
        <v>6.127673108731881</v>
      </c>
      <c r="E167">
        <v>3.265493178920543</v>
      </c>
      <c r="F167">
        <v>1.9804448525802136</v>
      </c>
      <c r="G167">
        <v>7.7623855846981078</v>
      </c>
      <c r="H167">
        <v>4.9275540779050209</v>
      </c>
      <c r="I167" s="147">
        <v>2.7256495505479621</v>
      </c>
      <c r="J167" s="112">
        <v>2.0485982842835448</v>
      </c>
      <c r="K167" s="112">
        <v>9.6376244032378828</v>
      </c>
      <c r="L167" s="126">
        <v>5.8856715215013526</v>
      </c>
      <c r="M167" s="112">
        <v>2.0561088404045056</v>
      </c>
      <c r="N167" s="126">
        <v>0.9233780438662138</v>
      </c>
      <c r="O167" s="147">
        <v>10.009655767992241</v>
      </c>
      <c r="P167" s="147">
        <v>6.9505065578546814</v>
      </c>
      <c r="Q167" s="147">
        <v>2.3787973077347688</v>
      </c>
      <c r="R167" s="112">
        <v>1.1412045975318259</v>
      </c>
      <c r="S167" s="112">
        <v>9.7313999999999989</v>
      </c>
      <c r="T167" s="112">
        <v>5.7552000000000003</v>
      </c>
      <c r="U167" s="146">
        <v>2.5887000000000002</v>
      </c>
      <c r="V167" s="113">
        <v>1.0382</v>
      </c>
      <c r="W167">
        <v>11.4156</v>
      </c>
      <c r="X167">
        <v>6.9655999999999993</v>
      </c>
      <c r="Y167">
        <v>3.8086000000000002</v>
      </c>
      <c r="Z167">
        <v>2.0889000000000002</v>
      </c>
      <c r="AA167" s="104">
        <v>11.306780314279793</v>
      </c>
      <c r="AB167" s="104">
        <v>7.0250186979649003</v>
      </c>
      <c r="AC167" s="104">
        <v>3.9155727671836242</v>
      </c>
      <c r="AD167" s="104">
        <v>2.9141677210625732</v>
      </c>
    </row>
    <row r="168" spans="1:30" ht="14.7" customHeight="1">
      <c r="A168" s="131" t="s">
        <v>233</v>
      </c>
      <c r="B168" s="131"/>
      <c r="C168">
        <v>9.2197073345570875</v>
      </c>
      <c r="D168">
        <v>5.9446970645984152</v>
      </c>
      <c r="E168">
        <v>3.347453521021758</v>
      </c>
      <c r="F168">
        <v>2.2153079340839783</v>
      </c>
      <c r="G168">
        <v>7.9223537276896074</v>
      </c>
      <c r="H168">
        <v>5.1987694130692814</v>
      </c>
      <c r="I168" s="147">
        <v>2.5818706602695363</v>
      </c>
      <c r="J168" s="112">
        <v>1.1263032952427847</v>
      </c>
      <c r="K168" s="112">
        <v>7.7291939493267892</v>
      </c>
      <c r="L168" s="126">
        <v>4.3059929763192057</v>
      </c>
      <c r="M168" s="112">
        <v>3.0976283751977007</v>
      </c>
      <c r="N168" s="126">
        <v>0.93616250189576355</v>
      </c>
      <c r="O168" s="147">
        <v>13.781907503376981</v>
      </c>
      <c r="P168" s="147">
        <v>8.3810111331411772</v>
      </c>
      <c r="Q168" s="147">
        <v>3.9087530517479152</v>
      </c>
      <c r="R168" s="112">
        <v>2.7659735013770286</v>
      </c>
      <c r="S168" s="112">
        <v>10.9878</v>
      </c>
      <c r="T168" s="112">
        <v>7.3990999999999998</v>
      </c>
      <c r="U168" s="146">
        <v>3.0249999999999999</v>
      </c>
      <c r="V168" s="113">
        <v>1.5465</v>
      </c>
      <c r="W168">
        <v>13.485200000000001</v>
      </c>
      <c r="X168">
        <v>11.296900000000001</v>
      </c>
      <c r="Y168">
        <v>4.4047999999999998</v>
      </c>
      <c r="Z168">
        <v>3.052</v>
      </c>
      <c r="AA168" s="104">
        <v>11.238012128840841</v>
      </c>
      <c r="AB168" s="104">
        <v>8.6845585489287096</v>
      </c>
      <c r="AC168" s="104">
        <v>2.3212734547143983</v>
      </c>
      <c r="AD168" s="104">
        <v>1.7478954893552592</v>
      </c>
    </row>
    <row r="169" spans="1:30" ht="14.7" customHeight="1">
      <c r="A169" s="131" t="s">
        <v>212</v>
      </c>
      <c r="B169" s="131"/>
      <c r="C169">
        <v>18.619685157574818</v>
      </c>
      <c r="D169">
        <v>16.564732584931061</v>
      </c>
      <c r="E169">
        <v>11.304035326456111</v>
      </c>
      <c r="F169">
        <v>5.3983713054051155</v>
      </c>
      <c r="G169">
        <v>20.235657678313313</v>
      </c>
      <c r="H169">
        <v>13.783808570619687</v>
      </c>
      <c r="I169" s="147">
        <v>10.327688436800948</v>
      </c>
      <c r="J169" s="112">
        <v>5.9474773413294946</v>
      </c>
      <c r="K169" s="112">
        <v>15.965185837279467</v>
      </c>
      <c r="L169" s="126">
        <v>12.716358582936573</v>
      </c>
      <c r="M169" s="112">
        <v>6.1646218518084268</v>
      </c>
      <c r="N169" s="126">
        <v>5.5153298645482352</v>
      </c>
      <c r="O169" s="147">
        <v>22.906704192434486</v>
      </c>
      <c r="P169" s="147">
        <v>16.826090373159204</v>
      </c>
      <c r="Q169" s="147">
        <v>9.4754311603994843</v>
      </c>
      <c r="R169" s="112">
        <v>5.3697205166340867</v>
      </c>
      <c r="S169" s="112">
        <v>24.101500000000001</v>
      </c>
      <c r="T169" s="112">
        <v>18.860299999999999</v>
      </c>
      <c r="U169" s="146">
        <v>11.6678</v>
      </c>
      <c r="V169" s="113">
        <v>6.7759</v>
      </c>
      <c r="W169">
        <v>20.749699999999997</v>
      </c>
      <c r="X169">
        <v>16.736799999999999</v>
      </c>
      <c r="Y169">
        <v>11.1343</v>
      </c>
      <c r="Z169">
        <v>7.7562999999999995</v>
      </c>
      <c r="AA169" s="104">
        <v>25.467390156762015</v>
      </c>
      <c r="AB169" s="104">
        <v>19.106605534773639</v>
      </c>
      <c r="AC169" s="104">
        <v>12.035343220112898</v>
      </c>
      <c r="AD169" s="104">
        <v>7.1405165566841138</v>
      </c>
    </row>
    <row r="170" spans="1:30" ht="14.7" customHeight="1">
      <c r="A170" s="131" t="s">
        <v>316</v>
      </c>
      <c r="B170" s="131"/>
      <c r="C170">
        <v>13.127018370334865</v>
      </c>
      <c r="D170">
        <v>8.0383621902867972</v>
      </c>
      <c r="E170">
        <v>3.3958674803189233</v>
      </c>
      <c r="F170">
        <v>2.1188463854854169</v>
      </c>
      <c r="G170">
        <v>14.15245138568344</v>
      </c>
      <c r="H170">
        <v>8.6100543126432143</v>
      </c>
      <c r="I170" s="147">
        <v>3.2628543391809428</v>
      </c>
      <c r="J170" s="112">
        <v>1.4416350219486311</v>
      </c>
      <c r="K170" s="112">
        <v>14.357566214397904</v>
      </c>
      <c r="L170" s="126">
        <v>9.1834543711232364</v>
      </c>
      <c r="M170" s="112">
        <v>3.5393428949445203</v>
      </c>
      <c r="N170" s="126">
        <v>2.0605280424310011</v>
      </c>
      <c r="O170" s="147">
        <v>16.792026257986457</v>
      </c>
      <c r="P170" s="147">
        <v>11.427938873973071</v>
      </c>
      <c r="Q170" s="147">
        <v>5.0304947595121536</v>
      </c>
      <c r="R170" s="112">
        <v>3.0424024851370426</v>
      </c>
      <c r="S170" s="112">
        <v>14.568900000000001</v>
      </c>
      <c r="T170" s="112">
        <v>10.249600000000001</v>
      </c>
      <c r="U170" s="146">
        <v>4.3734000000000002</v>
      </c>
      <c r="V170" s="113">
        <v>2.6760999999999999</v>
      </c>
      <c r="W170">
        <v>13.925699999999999</v>
      </c>
      <c r="X170">
        <v>9.940100000000001</v>
      </c>
      <c r="Y170">
        <v>4.5168999999999997</v>
      </c>
      <c r="Z170">
        <v>2.3109999999999999</v>
      </c>
      <c r="AA170" s="104">
        <v>13.756921881703718</v>
      </c>
      <c r="AB170" s="104">
        <v>9.5837798896565509</v>
      </c>
      <c r="AC170" s="104">
        <v>4.3170750108131113</v>
      </c>
      <c r="AD170" s="104">
        <v>2.1935377736191257</v>
      </c>
    </row>
    <row r="171" spans="1:30" ht="14.7" customHeight="1">
      <c r="A171" s="131" t="s">
        <v>92</v>
      </c>
      <c r="B171" s="131"/>
      <c r="C171">
        <v>18.322093028145268</v>
      </c>
      <c r="D171">
        <v>8.6253050445498083</v>
      </c>
      <c r="E171">
        <v>3.6106055828791019</v>
      </c>
      <c r="F171">
        <v>1.1703039546203358</v>
      </c>
      <c r="G171">
        <v>18.412355356932082</v>
      </c>
      <c r="H171">
        <v>11.219377185163475</v>
      </c>
      <c r="I171" s="147">
        <v>5.4731349540683212</v>
      </c>
      <c r="J171" s="112">
        <v>2.8177670325734359</v>
      </c>
      <c r="K171" s="112">
        <v>21.770241969069883</v>
      </c>
      <c r="L171" s="126">
        <v>13.705689116316941</v>
      </c>
      <c r="M171" s="112">
        <v>5.4083127437323126</v>
      </c>
      <c r="N171" s="126">
        <v>2.7176277586406474</v>
      </c>
      <c r="O171" s="147">
        <v>26.56661609277614</v>
      </c>
      <c r="P171" s="147">
        <v>20.661920056072471</v>
      </c>
      <c r="Q171" s="147">
        <v>11.572812038903987</v>
      </c>
      <c r="R171" s="112">
        <v>7.5211154427409523</v>
      </c>
      <c r="S171" s="112">
        <v>17.786099999999998</v>
      </c>
      <c r="T171" s="112">
        <v>11.9551</v>
      </c>
      <c r="U171" s="146">
        <v>5.8182999999999998</v>
      </c>
      <c r="V171" s="113">
        <v>4.1616999999999997</v>
      </c>
      <c r="W171">
        <v>17.0365</v>
      </c>
      <c r="X171">
        <v>12.8795</v>
      </c>
      <c r="Y171">
        <v>7.9386999999999999</v>
      </c>
      <c r="Z171">
        <v>3.1198000000000001</v>
      </c>
      <c r="AA171" s="104">
        <v>18.306069117003016</v>
      </c>
      <c r="AB171" s="104">
        <v>14.088187323489032</v>
      </c>
      <c r="AC171" s="104">
        <v>5.3523249943201092</v>
      </c>
      <c r="AD171" s="104">
        <v>1.766046695951913</v>
      </c>
    </row>
    <row r="172" spans="1:30" ht="14.7" customHeight="1">
      <c r="A172" s="131" t="s">
        <v>234</v>
      </c>
      <c r="B172" s="131"/>
      <c r="C172">
        <v>11.62188576927454</v>
      </c>
      <c r="D172">
        <v>7.6441027254491853</v>
      </c>
      <c r="E172">
        <v>2.7530925642501995</v>
      </c>
      <c r="F172">
        <v>1.2183948830416391</v>
      </c>
      <c r="G172">
        <v>11.24922187192514</v>
      </c>
      <c r="H172">
        <v>5.2055262153858504</v>
      </c>
      <c r="I172" s="147">
        <v>2.8494548083294839</v>
      </c>
      <c r="J172" s="112">
        <v>1.5203116528444345</v>
      </c>
      <c r="K172" s="112">
        <v>9.7672274802319645</v>
      </c>
      <c r="L172" s="126">
        <v>7.614161769852819</v>
      </c>
      <c r="M172" s="112">
        <v>4.4673678781292017</v>
      </c>
      <c r="N172" s="126">
        <v>2.152633227107779</v>
      </c>
      <c r="O172" s="147">
        <v>13.653988398554597</v>
      </c>
      <c r="P172" s="147">
        <v>8.5238245663770282</v>
      </c>
      <c r="Q172" s="147">
        <v>4.0406010197914402</v>
      </c>
      <c r="R172" s="112">
        <v>2.7554936564495502</v>
      </c>
      <c r="S172" s="112">
        <v>14.029199999999999</v>
      </c>
      <c r="T172" s="112">
        <v>8.8889999999999993</v>
      </c>
      <c r="U172" s="146">
        <v>4.3403999999999998</v>
      </c>
      <c r="V172" s="113">
        <v>2.5061</v>
      </c>
      <c r="W172">
        <v>13.565900000000001</v>
      </c>
      <c r="X172">
        <v>10.290100000000001</v>
      </c>
      <c r="Y172">
        <v>5.1293999999999995</v>
      </c>
      <c r="Z172">
        <v>2.6320999999999999</v>
      </c>
      <c r="AA172" s="104">
        <v>14.596719113188399</v>
      </c>
      <c r="AB172" s="104">
        <v>10.349084742434457</v>
      </c>
      <c r="AC172" s="104">
        <v>5.0564097502355008</v>
      </c>
      <c r="AD172" s="104">
        <v>2.8086245886064773</v>
      </c>
    </row>
    <row r="173" spans="1:30" ht="14.7" customHeight="1">
      <c r="A173" s="131" t="s">
        <v>271</v>
      </c>
      <c r="B173" s="131"/>
      <c r="C173">
        <v>10.724859056166904</v>
      </c>
      <c r="D173">
        <v>6.5283718906044559</v>
      </c>
      <c r="E173">
        <v>2.083208300548522</v>
      </c>
      <c r="F173">
        <v>0.65568325414592254</v>
      </c>
      <c r="G173">
        <v>12.180482123901101</v>
      </c>
      <c r="H173">
        <v>7.6999357495098577</v>
      </c>
      <c r="I173" s="147">
        <v>5.2468479040085283</v>
      </c>
      <c r="J173" s="112">
        <v>2.5539053348566139</v>
      </c>
      <c r="K173" s="112">
        <v>11.576226091126356</v>
      </c>
      <c r="L173" s="126">
        <v>7.3569334766770051</v>
      </c>
      <c r="M173" s="112">
        <v>4.0530036428886325</v>
      </c>
      <c r="N173" s="126">
        <v>3.6833007200699193</v>
      </c>
      <c r="O173" s="147">
        <v>13.918567571044225</v>
      </c>
      <c r="P173" s="147">
        <v>10.427942875841273</v>
      </c>
      <c r="Q173" s="147">
        <v>5.175774491078915</v>
      </c>
      <c r="R173" s="112">
        <v>3.9612993166585473</v>
      </c>
      <c r="S173" s="112">
        <v>15.725300000000001</v>
      </c>
      <c r="T173" s="112">
        <v>12.0276</v>
      </c>
      <c r="U173" s="146">
        <v>6.3354999999999997</v>
      </c>
      <c r="V173" s="113">
        <v>5.3686999999999996</v>
      </c>
      <c r="W173">
        <v>16.679199999999998</v>
      </c>
      <c r="X173">
        <v>12.4643</v>
      </c>
      <c r="Y173">
        <v>9.1930999999999994</v>
      </c>
      <c r="Z173">
        <v>6.1859999999999999</v>
      </c>
      <c r="AA173" s="104">
        <v>14.985643119494712</v>
      </c>
      <c r="AB173" s="104">
        <v>11.340815068784034</v>
      </c>
      <c r="AC173" s="104">
        <v>6.007327238371901</v>
      </c>
      <c r="AD173" s="104">
        <v>4.8673265192406143</v>
      </c>
    </row>
    <row r="174" spans="1:30" ht="14.7" customHeight="1">
      <c r="A174" s="131" t="s">
        <v>317</v>
      </c>
      <c r="B174" s="131"/>
      <c r="C174">
        <v>15.964751853579088</v>
      </c>
      <c r="D174">
        <v>9.9439096545729306</v>
      </c>
      <c r="E174">
        <v>4.7544050279496313</v>
      </c>
      <c r="F174">
        <v>2.5811331999116156</v>
      </c>
      <c r="G174">
        <v>18.48889583396635</v>
      </c>
      <c r="H174">
        <v>11.622097159629673</v>
      </c>
      <c r="I174" s="147">
        <v>5.4450199799678058</v>
      </c>
      <c r="J174" s="112">
        <v>2.9223386833764118</v>
      </c>
      <c r="K174" s="112">
        <v>15.857547532833399</v>
      </c>
      <c r="L174" s="126">
        <v>10.719668281106639</v>
      </c>
      <c r="M174" s="112">
        <v>4.4126579864701654</v>
      </c>
      <c r="N174" s="126">
        <v>2.6908873214451923</v>
      </c>
      <c r="O174" s="147">
        <v>17.719811845902868</v>
      </c>
      <c r="P174" s="147">
        <v>11.256322892525739</v>
      </c>
      <c r="Q174" s="147">
        <v>5.5121344223932986</v>
      </c>
      <c r="R174" s="112">
        <v>3.1383565817097079</v>
      </c>
      <c r="S174" s="112">
        <v>18.422599999999999</v>
      </c>
      <c r="T174" s="112">
        <v>12.3653</v>
      </c>
      <c r="U174" s="146">
        <v>4.8639000000000001</v>
      </c>
      <c r="V174" s="113">
        <v>2.9771999999999998</v>
      </c>
      <c r="W174">
        <v>14.718800000000002</v>
      </c>
      <c r="X174">
        <v>10.5588</v>
      </c>
      <c r="Y174">
        <v>5.6436000000000002</v>
      </c>
      <c r="Z174">
        <v>3.0366</v>
      </c>
      <c r="AA174" s="104">
        <v>15.032629506703366</v>
      </c>
      <c r="AB174" s="104">
        <v>10.742208047751802</v>
      </c>
      <c r="AC174" s="104">
        <v>5.3223953977680765</v>
      </c>
      <c r="AD174" s="104">
        <v>2.9719512519484637</v>
      </c>
    </row>
    <row r="175" spans="1:30" ht="14.7" customHeight="1">
      <c r="A175" s="131" t="s">
        <v>93</v>
      </c>
      <c r="B175" s="131"/>
      <c r="C175">
        <v>19.990718188945646</v>
      </c>
      <c r="D175">
        <v>11.812607430115158</v>
      </c>
      <c r="E175">
        <v>5.5778142879211057</v>
      </c>
      <c r="F175">
        <v>3.9765641898878092</v>
      </c>
      <c r="G175">
        <v>14.406536581424476</v>
      </c>
      <c r="H175">
        <v>9.3386433242699631</v>
      </c>
      <c r="I175" s="147">
        <v>2.2461665975963534</v>
      </c>
      <c r="J175" s="112">
        <v>1.3823496709894576</v>
      </c>
      <c r="K175" s="112">
        <v>14.170574938418627</v>
      </c>
      <c r="L175" s="126">
        <v>9.8444905684384647</v>
      </c>
      <c r="M175" s="112">
        <v>2.7445764544962938</v>
      </c>
      <c r="N175" s="126">
        <v>1.4125473168559339</v>
      </c>
      <c r="O175" s="147">
        <v>14.62098469556358</v>
      </c>
      <c r="P175" s="147">
        <v>10.228553764038892</v>
      </c>
      <c r="Q175" s="147">
        <v>4.8161073631137317</v>
      </c>
      <c r="R175" s="112">
        <v>3.6506281312238249</v>
      </c>
      <c r="S175" s="112">
        <v>18.331</v>
      </c>
      <c r="T175" s="112">
        <v>13.281399999999998</v>
      </c>
      <c r="U175" s="146">
        <v>5.6278000000000006</v>
      </c>
      <c r="V175" s="113">
        <v>2.8060999999999998</v>
      </c>
      <c r="W175">
        <v>16.733600000000003</v>
      </c>
      <c r="X175">
        <v>11.456800000000001</v>
      </c>
      <c r="Y175">
        <v>6.0803000000000003</v>
      </c>
      <c r="Z175">
        <v>3.1055000000000001</v>
      </c>
      <c r="AA175" s="104">
        <v>13.830050471491706</v>
      </c>
      <c r="AB175" s="104">
        <v>10.486143621467971</v>
      </c>
      <c r="AC175" s="104">
        <v>4.4026510715189566</v>
      </c>
      <c r="AD175" s="104">
        <v>2.0366012608010191</v>
      </c>
    </row>
    <row r="176" spans="1:30" ht="14.7" customHeight="1">
      <c r="A176" s="131" t="s">
        <v>213</v>
      </c>
      <c r="B176" s="131"/>
      <c r="C176">
        <v>12.75648269124701</v>
      </c>
      <c r="D176">
        <v>10.028452819792712</v>
      </c>
      <c r="E176">
        <v>5.432036682126264</v>
      </c>
      <c r="F176">
        <v>2.3012449253405149</v>
      </c>
      <c r="G176">
        <v>13.114543009324173</v>
      </c>
      <c r="H176">
        <v>9.0948688375745377</v>
      </c>
      <c r="I176" s="147">
        <v>4.238341799383246</v>
      </c>
      <c r="J176" s="112">
        <v>2.7056595748161598</v>
      </c>
      <c r="K176" s="112">
        <v>16.104904518179953</v>
      </c>
      <c r="L176" s="126">
        <v>13.453041932893667</v>
      </c>
      <c r="M176" s="112">
        <v>5.993675245550409</v>
      </c>
      <c r="N176" s="126">
        <v>4.5536709833813447</v>
      </c>
      <c r="O176" s="147">
        <v>18.487151852876437</v>
      </c>
      <c r="P176" s="147">
        <v>13.120827326524287</v>
      </c>
      <c r="Q176" s="147">
        <v>9.0224122625891141</v>
      </c>
      <c r="R176" s="112">
        <v>6.1385918872147167</v>
      </c>
      <c r="S176" s="112">
        <v>15.948200000000002</v>
      </c>
      <c r="T176" s="112">
        <v>12.7094</v>
      </c>
      <c r="U176" s="146">
        <v>7.9704999999999995</v>
      </c>
      <c r="V176" s="113">
        <v>4.5282999999999998</v>
      </c>
      <c r="W176">
        <v>19.697400000000002</v>
      </c>
      <c r="X176">
        <v>14.527200000000001</v>
      </c>
      <c r="Y176">
        <v>6.5041000000000002</v>
      </c>
      <c r="Z176">
        <v>4.1981000000000002</v>
      </c>
      <c r="AA176" s="104">
        <v>20.130992962174368</v>
      </c>
      <c r="AB176" s="104">
        <v>15.131053000608114</v>
      </c>
      <c r="AC176" s="104">
        <v>9.4854672767692403</v>
      </c>
      <c r="AD176" s="104">
        <v>5.3166839047627823</v>
      </c>
    </row>
    <row r="177" spans="1:30" ht="14.7" customHeight="1">
      <c r="A177" s="131" t="s">
        <v>94</v>
      </c>
      <c r="B177" s="131"/>
      <c r="C177">
        <v>16.95755527946892</v>
      </c>
      <c r="D177">
        <v>10.074238294255775</v>
      </c>
      <c r="E177">
        <v>3.5061996118871792</v>
      </c>
      <c r="F177">
        <v>1.7311388601334103</v>
      </c>
      <c r="G177">
        <v>14.794555731912135</v>
      </c>
      <c r="H177">
        <v>7.7233480282286449</v>
      </c>
      <c r="I177" s="147">
        <v>3.8779273575876032</v>
      </c>
      <c r="J177" s="112">
        <v>2.0222369817741828</v>
      </c>
      <c r="K177" s="112">
        <v>19.568332225072037</v>
      </c>
      <c r="L177" s="126">
        <v>12.332208444202987</v>
      </c>
      <c r="M177" s="112">
        <v>7.7141486201932796</v>
      </c>
      <c r="N177" s="126">
        <v>3.1129423054807615</v>
      </c>
      <c r="O177" s="147">
        <v>15.368100718158132</v>
      </c>
      <c r="P177" s="147">
        <v>8.2929459277092707</v>
      </c>
      <c r="Q177" s="147">
        <v>2.8984459356452774</v>
      </c>
      <c r="R177" s="112">
        <v>1.253532690567235</v>
      </c>
      <c r="S177" s="112">
        <v>17.316000000000003</v>
      </c>
      <c r="T177" s="112">
        <v>12.413599999999999</v>
      </c>
      <c r="U177" s="146">
        <v>6.6966000000000001</v>
      </c>
      <c r="V177" s="113">
        <v>3.1552999999999995</v>
      </c>
      <c r="W177">
        <v>11.4034</v>
      </c>
      <c r="X177">
        <v>6.2659000000000002</v>
      </c>
      <c r="Y177">
        <v>2.8663000000000003</v>
      </c>
      <c r="Z177">
        <v>1.2304000000000002</v>
      </c>
      <c r="AA177" s="104">
        <v>18.084489959831238</v>
      </c>
      <c r="AB177" s="104">
        <v>9.7841078055956068</v>
      </c>
      <c r="AC177" s="104">
        <v>2.1015602842459393</v>
      </c>
      <c r="AD177" s="104">
        <v>0.81895375220438182</v>
      </c>
    </row>
    <row r="178" spans="1:30" ht="14.7" customHeight="1">
      <c r="A178" s="131" t="s">
        <v>95</v>
      </c>
      <c r="B178" s="131"/>
      <c r="C178">
        <v>18.850117411307966</v>
      </c>
      <c r="D178">
        <v>14.867736462730308</v>
      </c>
      <c r="E178">
        <v>7.5298675798048471</v>
      </c>
      <c r="F178">
        <v>6.623931438364707</v>
      </c>
      <c r="G178">
        <v>22.596712768089798</v>
      </c>
      <c r="H178">
        <v>16.920019272464469</v>
      </c>
      <c r="I178" s="147">
        <v>9.5055408335340861</v>
      </c>
      <c r="J178" s="112">
        <v>5.9923311651810804</v>
      </c>
      <c r="K178" s="112">
        <v>20.570493327162691</v>
      </c>
      <c r="L178" s="126">
        <v>15.940722084618612</v>
      </c>
      <c r="M178" s="112">
        <v>7.818908788997712</v>
      </c>
      <c r="N178" s="126">
        <v>5.2800724587305021</v>
      </c>
      <c r="O178" s="147">
        <v>21.632354009824208</v>
      </c>
      <c r="P178" s="147">
        <v>17.16642632623067</v>
      </c>
      <c r="Q178" s="147">
        <v>9.530692329124431</v>
      </c>
      <c r="R178" s="112">
        <v>6.0938300455187404</v>
      </c>
      <c r="S178" s="112">
        <v>22.377299999999998</v>
      </c>
      <c r="T178" s="112">
        <v>17.0824</v>
      </c>
      <c r="U178" s="146">
        <v>7.6106999999999996</v>
      </c>
      <c r="V178" s="113">
        <v>5.6032000000000002</v>
      </c>
      <c r="W178">
        <v>19.6555</v>
      </c>
      <c r="X178">
        <v>15.8247</v>
      </c>
      <c r="Y178">
        <v>9.2255000000000003</v>
      </c>
      <c r="Z178">
        <v>6.3689999999999998</v>
      </c>
      <c r="AA178" s="104">
        <v>19.797647650234673</v>
      </c>
      <c r="AB178" s="104">
        <v>14.204767182562108</v>
      </c>
      <c r="AC178" s="104">
        <v>6.7177673565976033</v>
      </c>
      <c r="AD178" s="104">
        <v>5.0135051426762587</v>
      </c>
    </row>
    <row r="179" spans="1:30" ht="14.7" customHeight="1">
      <c r="A179" s="131" t="s">
        <v>318</v>
      </c>
      <c r="B179" s="131"/>
      <c r="C179">
        <v>18.020356575900525</v>
      </c>
      <c r="D179">
        <v>12.528762801897564</v>
      </c>
      <c r="E179">
        <v>5.8368940268254281</v>
      </c>
      <c r="F179">
        <v>3.7471583208438868</v>
      </c>
      <c r="G179">
        <v>19.338907473522063</v>
      </c>
      <c r="H179">
        <v>12.909962475326985</v>
      </c>
      <c r="I179" s="147">
        <v>5.4152658178426565</v>
      </c>
      <c r="J179" s="112">
        <v>3.0874635779305759</v>
      </c>
      <c r="K179" s="112">
        <v>16.108513444164817</v>
      </c>
      <c r="L179" s="126">
        <v>10.801274448875674</v>
      </c>
      <c r="M179" s="112">
        <v>4.2194935814218155</v>
      </c>
      <c r="N179" s="126">
        <v>2.5163082243780428</v>
      </c>
      <c r="O179" s="147">
        <v>20.912843461284687</v>
      </c>
      <c r="P179" s="147">
        <v>14.405446770005279</v>
      </c>
      <c r="Q179" s="147">
        <v>6.9696515106683847</v>
      </c>
      <c r="R179" s="112">
        <v>3.7525829115972082</v>
      </c>
      <c r="S179" s="112">
        <v>18.845799999999997</v>
      </c>
      <c r="T179" s="112">
        <v>13.511000000000001</v>
      </c>
      <c r="U179" s="146">
        <v>6.0789</v>
      </c>
      <c r="V179" s="113">
        <v>4.0371999999999995</v>
      </c>
      <c r="W179">
        <v>18.188399999999998</v>
      </c>
      <c r="X179">
        <v>13.110099999999999</v>
      </c>
      <c r="Y179">
        <v>6.3582000000000001</v>
      </c>
      <c r="Z179">
        <v>3.4214000000000002</v>
      </c>
      <c r="AA179" s="104">
        <v>16.036007901999703</v>
      </c>
      <c r="AB179" s="104">
        <v>11.202407049712365</v>
      </c>
      <c r="AC179" s="104">
        <v>4.8345620448818636</v>
      </c>
      <c r="AD179" s="104">
        <v>3.1529454531740559</v>
      </c>
    </row>
    <row r="180" spans="1:30" ht="14.7" customHeight="1">
      <c r="A180" s="131" t="s">
        <v>235</v>
      </c>
      <c r="B180" s="131"/>
      <c r="C180">
        <v>12.937539264700085</v>
      </c>
      <c r="D180">
        <v>6.387991717694379</v>
      </c>
      <c r="E180">
        <v>2.6634990311017059</v>
      </c>
      <c r="F180">
        <v>2.1820083371093646</v>
      </c>
      <c r="G180">
        <v>11.701556629092861</v>
      </c>
      <c r="H180">
        <v>7.3767058670440306</v>
      </c>
      <c r="I180" s="147">
        <v>3.5495860375087425</v>
      </c>
      <c r="J180" s="112">
        <v>1.6233185315310921</v>
      </c>
      <c r="K180" s="112">
        <v>16.636523641277467</v>
      </c>
      <c r="L180" s="126">
        <v>9.6278502890184203</v>
      </c>
      <c r="M180" s="112">
        <v>6.1187541878274434</v>
      </c>
      <c r="N180" s="126">
        <v>5.179187687460689</v>
      </c>
      <c r="O180" s="147">
        <v>16.625852956889325</v>
      </c>
      <c r="P180" s="147">
        <v>12.142189182858436</v>
      </c>
      <c r="Q180" s="147">
        <v>6.2917903357273346</v>
      </c>
      <c r="R180" s="112">
        <v>3.3356564713328698</v>
      </c>
      <c r="S180" s="112">
        <v>16.512799999999999</v>
      </c>
      <c r="T180" s="112">
        <v>11.9747</v>
      </c>
      <c r="U180" s="146">
        <v>6.1850000000000005</v>
      </c>
      <c r="V180" s="113">
        <v>3.1440000000000001</v>
      </c>
      <c r="W180">
        <v>14.386399999999998</v>
      </c>
      <c r="X180">
        <v>11.264200000000001</v>
      </c>
      <c r="Y180">
        <v>6.3988000000000005</v>
      </c>
      <c r="Z180">
        <v>4.3104000000000005</v>
      </c>
      <c r="AA180" s="104">
        <v>15.700942032053323</v>
      </c>
      <c r="AB180" s="104">
        <v>10.925470416985645</v>
      </c>
      <c r="AC180" s="104">
        <v>5.0475070597958602</v>
      </c>
      <c r="AD180" s="104">
        <v>2.9458316978365877</v>
      </c>
    </row>
    <row r="181" spans="1:30" ht="14.7" customHeight="1">
      <c r="A181" s="131" t="s">
        <v>272</v>
      </c>
      <c r="B181" s="131"/>
      <c r="C181">
        <v>6.1875700833578771</v>
      </c>
      <c r="D181">
        <v>3.1304967424678218</v>
      </c>
      <c r="E181">
        <v>1.3993191577720501</v>
      </c>
      <c r="F181">
        <v>0.914966182677447</v>
      </c>
      <c r="G181">
        <v>9.7340043428697722</v>
      </c>
      <c r="H181">
        <v>4.8773835815600659</v>
      </c>
      <c r="I181" s="147">
        <v>1.310341857732555</v>
      </c>
      <c r="J181" s="112">
        <v>1.0048004855852142</v>
      </c>
      <c r="K181" s="112">
        <v>9.3550894477676341</v>
      </c>
      <c r="L181" s="126">
        <v>4.9564880105821167</v>
      </c>
      <c r="M181" s="112">
        <v>3.2088476036082629</v>
      </c>
      <c r="N181" s="126">
        <v>1.6177509025629804</v>
      </c>
      <c r="O181" s="147">
        <v>13.39378769904248</v>
      </c>
      <c r="P181" s="147">
        <v>9.9267102605820181</v>
      </c>
      <c r="Q181" s="147">
        <v>5.3047652092511495</v>
      </c>
      <c r="R181" s="112">
        <v>2.8141529428562957</v>
      </c>
      <c r="S181" s="112">
        <v>9.5130999999999997</v>
      </c>
      <c r="T181" s="112">
        <v>5.8041</v>
      </c>
      <c r="U181" s="146">
        <v>2.9878</v>
      </c>
      <c r="V181" s="113">
        <v>1.7119</v>
      </c>
      <c r="W181">
        <v>7.6290999999999993</v>
      </c>
      <c r="X181">
        <v>5.0174000000000003</v>
      </c>
      <c r="Y181">
        <v>1.6614</v>
      </c>
      <c r="Z181">
        <v>0.96900000000000008</v>
      </c>
      <c r="AA181" s="104">
        <v>9.5349516918959196</v>
      </c>
      <c r="AB181" s="104">
        <v>4.7950843114878641</v>
      </c>
      <c r="AC181" s="104">
        <v>0.92454953290493325</v>
      </c>
      <c r="AD181" s="104">
        <v>0.7164034349595928</v>
      </c>
    </row>
    <row r="182" spans="1:30" ht="14.7" customHeight="1">
      <c r="A182" s="131" t="s">
        <v>96</v>
      </c>
      <c r="B182" s="131"/>
      <c r="C182">
        <v>9.5247318449106704</v>
      </c>
      <c r="D182">
        <v>5.4898511893361732</v>
      </c>
      <c r="E182">
        <v>1.3596891576018515</v>
      </c>
      <c r="F182">
        <v>1.3596891576018515</v>
      </c>
      <c r="G182">
        <v>15.823216256573394</v>
      </c>
      <c r="H182">
        <v>7.863351279121165</v>
      </c>
      <c r="I182" s="147">
        <v>1.9711848905021763</v>
      </c>
      <c r="J182" s="112">
        <v>0.98569429421721932</v>
      </c>
      <c r="K182" s="112">
        <v>10.5342155599797</v>
      </c>
      <c r="L182" s="126">
        <v>4.855020284175195</v>
      </c>
      <c r="M182" s="112">
        <v>0.90481980333596979</v>
      </c>
      <c r="N182" s="126">
        <v>0.59790114858404264</v>
      </c>
      <c r="O182" s="147">
        <v>13.278213641717407</v>
      </c>
      <c r="P182" s="147">
        <v>9.1293096205543982</v>
      </c>
      <c r="Q182" s="147">
        <v>4.3611544038494898</v>
      </c>
      <c r="R182" s="112">
        <v>2.8223231034700151</v>
      </c>
      <c r="S182" s="112">
        <v>13.8988</v>
      </c>
      <c r="T182" s="112">
        <v>7.2873999999999999</v>
      </c>
      <c r="U182" s="146">
        <v>1.7786</v>
      </c>
      <c r="V182" s="113">
        <v>1.0148000000000001</v>
      </c>
      <c r="W182">
        <v>17.542200000000001</v>
      </c>
      <c r="X182">
        <v>10.138</v>
      </c>
      <c r="Y182">
        <v>4.4717000000000002</v>
      </c>
      <c r="Z182">
        <v>2.4727999999999999</v>
      </c>
      <c r="AA182" s="104">
        <v>18.687446522991642</v>
      </c>
      <c r="AB182" s="104">
        <v>10.906835750208089</v>
      </c>
      <c r="AC182" s="104">
        <v>5.3893456460127247</v>
      </c>
      <c r="AD182" s="104">
        <v>3.1668717733890435</v>
      </c>
    </row>
    <row r="183" spans="1:30" ht="14.7" customHeight="1">
      <c r="A183" s="131" t="s">
        <v>97</v>
      </c>
      <c r="B183" s="131"/>
      <c r="C183">
        <v>13.19368043033009</v>
      </c>
      <c r="D183">
        <v>6.0865177807457007</v>
      </c>
      <c r="E183">
        <v>2.2953312934051633</v>
      </c>
      <c r="F183">
        <v>0.81183763010653121</v>
      </c>
      <c r="G183">
        <v>16.847809264788726</v>
      </c>
      <c r="H183">
        <v>11.320466602972704</v>
      </c>
      <c r="I183" s="147">
        <v>3.0028332119296177</v>
      </c>
      <c r="J183" s="112">
        <v>0.95375859713707334</v>
      </c>
      <c r="K183" s="112">
        <v>16.645313329123194</v>
      </c>
      <c r="L183" s="126">
        <v>8.8737745370024754</v>
      </c>
      <c r="M183" s="112">
        <v>2.3572067009799667</v>
      </c>
      <c r="N183" s="126">
        <v>1.7026848711435365</v>
      </c>
      <c r="O183" s="147">
        <v>15.962325993603448</v>
      </c>
      <c r="P183" s="147">
        <v>10.273596308098011</v>
      </c>
      <c r="Q183" s="147">
        <v>2.8474781891800407</v>
      </c>
      <c r="R183" s="112">
        <v>1.5633951338728913</v>
      </c>
      <c r="S183" s="112">
        <v>19.8064</v>
      </c>
      <c r="T183" s="112">
        <v>11.6568</v>
      </c>
      <c r="U183" s="146">
        <v>3.3218999999999999</v>
      </c>
      <c r="V183" s="113">
        <v>1.6174999999999999</v>
      </c>
      <c r="W183">
        <v>18.558399999999999</v>
      </c>
      <c r="X183">
        <v>10.8454</v>
      </c>
      <c r="Y183">
        <v>3.7248000000000001</v>
      </c>
      <c r="Z183">
        <v>2.7851999999999997</v>
      </c>
      <c r="AA183" s="104">
        <v>14.23297851074927</v>
      </c>
      <c r="AB183" s="104">
        <v>8.1070743972163921</v>
      </c>
      <c r="AC183" s="104">
        <v>2.5742220488822363</v>
      </c>
      <c r="AD183" s="104">
        <v>1.6575191581122621</v>
      </c>
    </row>
    <row r="184" spans="1:30" ht="14.7" customHeight="1">
      <c r="A184" s="131" t="s">
        <v>98</v>
      </c>
      <c r="B184" s="131"/>
      <c r="C184">
        <v>13.574120910600184</v>
      </c>
      <c r="D184">
        <v>9.1408968054076727</v>
      </c>
      <c r="E184">
        <v>3.526230218386226</v>
      </c>
      <c r="F184">
        <v>1.9386418110826933</v>
      </c>
      <c r="G184">
        <v>19.209351184513114</v>
      </c>
      <c r="H184">
        <v>10.298771558737391</v>
      </c>
      <c r="I184" s="147">
        <v>4.2765619915392117</v>
      </c>
      <c r="J184" s="112">
        <v>2.026521314676212</v>
      </c>
      <c r="K184" s="112">
        <v>10.835856373585301</v>
      </c>
      <c r="L184" s="126">
        <v>8.0791341440021505</v>
      </c>
      <c r="M184" s="112">
        <v>4.0445109784386348</v>
      </c>
      <c r="N184" s="126">
        <v>1.5446741273510747</v>
      </c>
      <c r="O184" s="147">
        <v>15.778845945147154</v>
      </c>
      <c r="P184" s="147">
        <v>9.3766483984644804</v>
      </c>
      <c r="Q184" s="147">
        <v>2.8794053685479093</v>
      </c>
      <c r="R184" s="112">
        <v>1.2362672832367438</v>
      </c>
      <c r="S184" s="112">
        <v>17.579700000000003</v>
      </c>
      <c r="T184" s="112">
        <v>13.4084</v>
      </c>
      <c r="U184" s="146">
        <v>6.4619999999999997</v>
      </c>
      <c r="V184" s="113">
        <v>3.3553999999999999</v>
      </c>
      <c r="W184">
        <v>14.530100000000001</v>
      </c>
      <c r="X184">
        <v>8.2934999999999999</v>
      </c>
      <c r="Y184">
        <v>3.8119000000000001</v>
      </c>
      <c r="Z184">
        <v>1.3636000000000001</v>
      </c>
      <c r="AA184" s="104">
        <v>15.94468128411288</v>
      </c>
      <c r="AB184" s="104">
        <v>10.724177236879683</v>
      </c>
      <c r="AC184" s="104">
        <v>5.0598659090176099</v>
      </c>
      <c r="AD184" s="104">
        <v>1.877534410423173</v>
      </c>
    </row>
    <row r="185" spans="1:30" ht="14.7" customHeight="1">
      <c r="A185" s="131" t="s">
        <v>236</v>
      </c>
      <c r="B185" s="131"/>
      <c r="C185">
        <v>14.794392467526363</v>
      </c>
      <c r="D185">
        <v>11.201650879446682</v>
      </c>
      <c r="E185">
        <v>2.9035967884523251</v>
      </c>
      <c r="F185">
        <v>1.4071737847097656</v>
      </c>
      <c r="G185">
        <v>13.508933316979435</v>
      </c>
      <c r="H185">
        <v>9.6263134224620792</v>
      </c>
      <c r="I185" s="147">
        <v>5.1314444580726937</v>
      </c>
      <c r="J185" s="112">
        <v>3.1178707224334601</v>
      </c>
      <c r="K185" s="112">
        <v>10.697056971420684</v>
      </c>
      <c r="L185" s="126">
        <v>8.9262911766208184</v>
      </c>
      <c r="M185" s="112">
        <v>4.3656251241470514</v>
      </c>
      <c r="N185" s="126">
        <v>1.6159453053024269</v>
      </c>
      <c r="O185" s="147">
        <v>15.777429092540963</v>
      </c>
      <c r="P185" s="147">
        <v>11.282601184556277</v>
      </c>
      <c r="Q185" s="147">
        <v>5.0143328335174475</v>
      </c>
      <c r="R185" s="112">
        <v>3.7425142980271531</v>
      </c>
      <c r="S185" s="112">
        <v>18.792900000000003</v>
      </c>
      <c r="T185" s="112">
        <v>14.4209</v>
      </c>
      <c r="U185" s="146">
        <v>9.5716000000000001</v>
      </c>
      <c r="V185" s="113">
        <v>5.6869000000000005</v>
      </c>
      <c r="W185">
        <v>17.354900000000001</v>
      </c>
      <c r="X185">
        <v>13.807500000000001</v>
      </c>
      <c r="Y185">
        <v>6.9774000000000003</v>
      </c>
      <c r="Z185">
        <v>4.5005999999999995</v>
      </c>
      <c r="AA185" s="104">
        <v>16.984962286672751</v>
      </c>
      <c r="AB185" s="104">
        <v>12.21095091014576</v>
      </c>
      <c r="AC185" s="104">
        <v>7.1960620753656235</v>
      </c>
      <c r="AD185" s="104">
        <v>4.9679976747350674</v>
      </c>
    </row>
    <row r="186" spans="1:30" ht="14.7" customHeight="1">
      <c r="A186" s="131" t="s">
        <v>99</v>
      </c>
      <c r="B186" s="131"/>
      <c r="C186">
        <v>10.371446689478201</v>
      </c>
      <c r="D186">
        <v>7.3777097792811848</v>
      </c>
      <c r="E186">
        <v>2.6840981170319962</v>
      </c>
      <c r="F186">
        <v>0.81845176051915591</v>
      </c>
      <c r="G186">
        <v>13.594571643204755</v>
      </c>
      <c r="H186">
        <v>6.4120831564163705</v>
      </c>
      <c r="I186" s="147">
        <v>3.2041022961100034</v>
      </c>
      <c r="J186" s="112">
        <v>2.1295358787601653</v>
      </c>
      <c r="K186" s="112">
        <v>10.204570753988218</v>
      </c>
      <c r="L186" s="126">
        <v>5.8878319460959174</v>
      </c>
      <c r="M186" s="112">
        <v>3.6008719778042022</v>
      </c>
      <c r="N186" s="126">
        <v>1.0661910424098298</v>
      </c>
      <c r="O186" s="147">
        <v>10.114411212016842</v>
      </c>
      <c r="P186" s="147">
        <v>6.6818813825407037</v>
      </c>
      <c r="Q186" s="147">
        <v>1.9749912785682116</v>
      </c>
      <c r="R186" s="112">
        <v>1.4343083631906275</v>
      </c>
      <c r="S186" s="112">
        <v>14.498700000000001</v>
      </c>
      <c r="T186" s="112">
        <v>7.4767999999999999</v>
      </c>
      <c r="U186" s="146">
        <v>2.1743999999999999</v>
      </c>
      <c r="V186" s="113">
        <v>1.1169</v>
      </c>
      <c r="W186">
        <v>12.107200000000001</v>
      </c>
      <c r="X186">
        <v>8.5242000000000004</v>
      </c>
      <c r="Y186">
        <v>3.5634999999999999</v>
      </c>
      <c r="Z186">
        <v>2.1249000000000002</v>
      </c>
      <c r="AA186" s="104">
        <v>10.572959580533785</v>
      </c>
      <c r="AB186" s="104">
        <v>5.9626242507868898</v>
      </c>
      <c r="AC186" s="104">
        <v>2.5145624677945597</v>
      </c>
      <c r="AD186" s="104">
        <v>1.099688143111043</v>
      </c>
    </row>
    <row r="187" spans="1:30" ht="14.7" customHeight="1">
      <c r="A187" s="131" t="s">
        <v>273</v>
      </c>
      <c r="B187" s="131"/>
      <c r="C187">
        <v>10.526080815133493</v>
      </c>
      <c r="D187">
        <v>7.1349858844892173</v>
      </c>
      <c r="E187">
        <v>3.0526624124322201</v>
      </c>
      <c r="F187">
        <v>2.3381697902057219</v>
      </c>
      <c r="G187">
        <v>7.9995215572904748</v>
      </c>
      <c r="H187">
        <v>5.002564534015046</v>
      </c>
      <c r="I187" s="147">
        <v>1.5241238517881797</v>
      </c>
      <c r="J187" s="112">
        <v>0.51047404346935832</v>
      </c>
      <c r="K187" s="112">
        <v>9.7815161204731069</v>
      </c>
      <c r="L187" s="126">
        <v>6.1483826469722089</v>
      </c>
      <c r="M187" s="112">
        <v>2.8479982640772481</v>
      </c>
      <c r="N187" s="126">
        <v>1.1990653915900742</v>
      </c>
      <c r="O187" s="147">
        <v>13.541548337856391</v>
      </c>
      <c r="P187" s="147">
        <v>9.9530253985585269</v>
      </c>
      <c r="Q187" s="147">
        <v>4.4376095830841047</v>
      </c>
      <c r="R187" s="112">
        <v>2.424915992230861</v>
      </c>
      <c r="S187" s="112">
        <v>8.6749999999999989</v>
      </c>
      <c r="T187" s="112">
        <v>5.9748999999999999</v>
      </c>
      <c r="U187" s="146">
        <v>2.7183999999999999</v>
      </c>
      <c r="V187" s="113">
        <v>1.3698999999999999</v>
      </c>
      <c r="W187">
        <v>8.9322999999999997</v>
      </c>
      <c r="X187">
        <v>4.5066000000000006</v>
      </c>
      <c r="Y187">
        <v>1.6107</v>
      </c>
      <c r="Z187">
        <v>0.76100000000000001</v>
      </c>
      <c r="AA187" s="104">
        <v>10.23497031433444</v>
      </c>
      <c r="AB187" s="104">
        <v>7.4030761458728334</v>
      </c>
      <c r="AC187" s="104">
        <v>3.7446585302036395</v>
      </c>
      <c r="AD187" s="104">
        <v>2.8593230643170555</v>
      </c>
    </row>
    <row r="188" spans="1:30" ht="14.7" customHeight="1">
      <c r="A188" s="131" t="s">
        <v>100</v>
      </c>
      <c r="B188" s="131"/>
      <c r="C188">
        <v>16.688833220713516</v>
      </c>
      <c r="D188">
        <v>8.9656127763455995</v>
      </c>
      <c r="E188">
        <v>4.9824808756231675</v>
      </c>
      <c r="F188">
        <v>1.5447402024954708</v>
      </c>
      <c r="G188">
        <v>16.197066927891068</v>
      </c>
      <c r="H188">
        <v>7.8266971927089397</v>
      </c>
      <c r="I188" s="147">
        <v>2.7101069434470286</v>
      </c>
      <c r="J188" s="112">
        <v>2.1298666224734686</v>
      </c>
      <c r="K188" s="112">
        <v>14.204902074446609</v>
      </c>
      <c r="L188" s="126">
        <v>9.1972863088123002</v>
      </c>
      <c r="M188" s="112">
        <v>2.4542354450925288</v>
      </c>
      <c r="N188" s="126">
        <v>0.98605175522409538</v>
      </c>
      <c r="O188" s="147">
        <v>15.943861610663172</v>
      </c>
      <c r="P188" s="147">
        <v>9.106038766834347</v>
      </c>
      <c r="Q188" s="147">
        <v>2.5330904592147716</v>
      </c>
      <c r="R188" s="112">
        <v>1.0957426409374673</v>
      </c>
      <c r="S188" s="112">
        <v>18.4084</v>
      </c>
      <c r="T188" s="112">
        <v>11.521800000000001</v>
      </c>
      <c r="U188" s="146">
        <v>4.7690999999999999</v>
      </c>
      <c r="V188" s="113">
        <v>3.0089999999999999</v>
      </c>
      <c r="W188">
        <v>16.2211</v>
      </c>
      <c r="X188">
        <v>10.4031</v>
      </c>
      <c r="Y188">
        <v>3.3361000000000001</v>
      </c>
      <c r="Z188">
        <v>2.5951</v>
      </c>
      <c r="AA188" s="104">
        <v>16.144883535566787</v>
      </c>
      <c r="AB188" s="104">
        <v>8.4988689258211956</v>
      </c>
      <c r="AC188" s="104">
        <v>3.1747945881007054</v>
      </c>
      <c r="AD188" s="104">
        <v>1.8837823910459937</v>
      </c>
    </row>
    <row r="189" spans="1:30" ht="14.7" customHeight="1">
      <c r="A189" s="131" t="s">
        <v>101</v>
      </c>
      <c r="B189" s="131"/>
      <c r="C189">
        <v>17.182440081963186</v>
      </c>
      <c r="D189">
        <v>9.4345989717324148</v>
      </c>
      <c r="E189">
        <v>4.4213725571028313</v>
      </c>
      <c r="F189">
        <v>2.6155518516798608</v>
      </c>
      <c r="G189">
        <v>13.235155388029153</v>
      </c>
      <c r="H189">
        <v>8.2773810646858816</v>
      </c>
      <c r="I189" s="147">
        <v>3.4865406937397716</v>
      </c>
      <c r="J189" s="112">
        <v>2.0922115262357011</v>
      </c>
      <c r="K189" s="112">
        <v>14.903036349755824</v>
      </c>
      <c r="L189" s="126">
        <v>9.4073523531003751</v>
      </c>
      <c r="M189" s="112">
        <v>4.3485197946414509</v>
      </c>
      <c r="N189" s="126">
        <v>2.2973578869558544</v>
      </c>
      <c r="O189" s="147">
        <v>20.95620716494852</v>
      </c>
      <c r="P189" s="147">
        <v>7.8023036837952722</v>
      </c>
      <c r="Q189" s="147">
        <v>2.6338582417281113</v>
      </c>
      <c r="R189" s="112">
        <v>1.2411695583010538</v>
      </c>
      <c r="S189" s="112">
        <v>19.480900000000002</v>
      </c>
      <c r="T189" s="112">
        <v>13.818300000000001</v>
      </c>
      <c r="U189" s="146">
        <v>4.8442999999999996</v>
      </c>
      <c r="V189" s="113">
        <v>2.8288000000000002</v>
      </c>
      <c r="W189">
        <v>16.4162</v>
      </c>
      <c r="X189">
        <v>11.503399999999999</v>
      </c>
      <c r="Y189">
        <v>4.5228000000000002</v>
      </c>
      <c r="Z189">
        <v>3.2107999999999999</v>
      </c>
      <c r="AA189" s="104">
        <v>19.056148089242345</v>
      </c>
      <c r="AB189" s="104">
        <v>12.324743231406227</v>
      </c>
      <c r="AC189" s="104">
        <v>4.4544827977376587</v>
      </c>
      <c r="AD189" s="104">
        <v>2.0804503512184271</v>
      </c>
    </row>
    <row r="190" spans="1:30" ht="14.7" customHeight="1">
      <c r="A190" s="131" t="s">
        <v>214</v>
      </c>
      <c r="B190" s="131"/>
      <c r="C190">
        <v>14.794872328954471</v>
      </c>
      <c r="D190">
        <v>8.5558405150236325</v>
      </c>
      <c r="E190">
        <v>4.8172739373595981</v>
      </c>
      <c r="F190">
        <v>2.0571211858951428</v>
      </c>
      <c r="G190">
        <v>19.39872825883673</v>
      </c>
      <c r="H190">
        <v>11.899884098663053</v>
      </c>
      <c r="I190" s="147">
        <v>6.5910723322287339</v>
      </c>
      <c r="J190" s="112">
        <v>3.3668522176333275</v>
      </c>
      <c r="K190" s="112">
        <v>14.427754398147266</v>
      </c>
      <c r="L190" s="126">
        <v>8.991259875577267</v>
      </c>
      <c r="M190" s="112">
        <v>4.0763711308728672</v>
      </c>
      <c r="N190" s="126">
        <v>2.8748902713636886</v>
      </c>
      <c r="O190" s="147">
        <v>17.2197678305421</v>
      </c>
      <c r="P190" s="147">
        <v>13.125013707242728</v>
      </c>
      <c r="Q190" s="147">
        <v>7.7631620299579165</v>
      </c>
      <c r="R190" s="112">
        <v>3.9304576549706698</v>
      </c>
      <c r="S190" s="112">
        <v>17.344899999999999</v>
      </c>
      <c r="T190" s="112">
        <v>12.805900000000001</v>
      </c>
      <c r="U190" s="146">
        <v>8.3763000000000005</v>
      </c>
      <c r="V190" s="113">
        <v>5.7202999999999999</v>
      </c>
      <c r="W190">
        <v>16.0154</v>
      </c>
      <c r="X190">
        <v>11.386900000000001</v>
      </c>
      <c r="Y190">
        <v>5.4342000000000006</v>
      </c>
      <c r="Z190">
        <v>3.0954999999999999</v>
      </c>
      <c r="AA190" s="104">
        <v>19.804567987501024</v>
      </c>
      <c r="AB190" s="104">
        <v>14.66533959774342</v>
      </c>
      <c r="AC190" s="104">
        <v>8.2553915209953193</v>
      </c>
      <c r="AD190" s="104">
        <v>5.3076308518439985</v>
      </c>
    </row>
    <row r="191" spans="1:30" ht="14.7" customHeight="1">
      <c r="A191" s="131" t="s">
        <v>102</v>
      </c>
      <c r="B191" s="131"/>
      <c r="C191">
        <v>13.613562325165413</v>
      </c>
      <c r="D191">
        <v>9.0054702167629745</v>
      </c>
      <c r="E191">
        <v>4.3883137847605109</v>
      </c>
      <c r="F191">
        <v>1.2718399057007452</v>
      </c>
      <c r="G191">
        <v>14.271813103098019</v>
      </c>
      <c r="H191">
        <v>8.7961401726764858</v>
      </c>
      <c r="I191" s="147">
        <v>4.9956323006602341</v>
      </c>
      <c r="J191" s="112">
        <v>3.8691721686135092</v>
      </c>
      <c r="K191" s="112">
        <v>21.170279157965481</v>
      </c>
      <c r="L191" s="126">
        <v>11.098287170480845</v>
      </c>
      <c r="M191" s="112">
        <v>2.2645034434614244</v>
      </c>
      <c r="N191" s="126">
        <v>1.5324053423158706</v>
      </c>
      <c r="O191" s="147">
        <v>23.604195274246749</v>
      </c>
      <c r="P191" s="147">
        <v>16.199525041367142</v>
      </c>
      <c r="Q191" s="147">
        <v>7.2756986049362373</v>
      </c>
      <c r="R191" s="112">
        <v>3.7053615056699392</v>
      </c>
      <c r="S191" s="112">
        <v>15.290899999999999</v>
      </c>
      <c r="T191" s="112">
        <v>7.8434000000000008</v>
      </c>
      <c r="U191" s="146">
        <v>2.7107000000000001</v>
      </c>
      <c r="V191" s="113">
        <v>1.0242</v>
      </c>
      <c r="W191">
        <v>17.099299999999999</v>
      </c>
      <c r="X191">
        <v>12.0227</v>
      </c>
      <c r="Y191">
        <v>5.2458</v>
      </c>
      <c r="Z191">
        <v>1.9532999999999998</v>
      </c>
      <c r="AA191" s="104">
        <v>17.72867644453849</v>
      </c>
      <c r="AB191" s="104">
        <v>9.886254720035236</v>
      </c>
      <c r="AC191" s="104">
        <v>5.3398744438852885</v>
      </c>
      <c r="AD191" s="104">
        <v>1.8969936778191598</v>
      </c>
    </row>
    <row r="192" spans="1:30" ht="14.7" customHeight="1">
      <c r="A192" s="131" t="s">
        <v>103</v>
      </c>
      <c r="B192" s="131"/>
      <c r="C192">
        <v>18.67203241449899</v>
      </c>
      <c r="D192">
        <v>12.958005642213871</v>
      </c>
      <c r="E192">
        <v>5.4529984017601256</v>
      </c>
      <c r="F192">
        <v>2.9152340394404819</v>
      </c>
      <c r="G192">
        <v>21.680266538667873</v>
      </c>
      <c r="H192">
        <v>14.346563094880018</v>
      </c>
      <c r="I192" s="147">
        <v>5.7132706061896794</v>
      </c>
      <c r="J192" s="112">
        <v>1.7100245673462218</v>
      </c>
      <c r="K192" s="112">
        <v>16.023854345477133</v>
      </c>
      <c r="L192" s="126">
        <v>8.1947459599122165</v>
      </c>
      <c r="M192" s="112">
        <v>3.0716716807673849</v>
      </c>
      <c r="N192" s="126">
        <v>0.92308178548077091</v>
      </c>
      <c r="O192" s="147">
        <v>25.014464064138597</v>
      </c>
      <c r="P192" s="147">
        <v>18.912220810573004</v>
      </c>
      <c r="Q192" s="147">
        <v>8.7665050865594409</v>
      </c>
      <c r="R192" s="112">
        <v>6.3745677505348457</v>
      </c>
      <c r="S192" s="112">
        <v>18.210899999999999</v>
      </c>
      <c r="T192" s="112">
        <v>13.803899999999999</v>
      </c>
      <c r="U192" s="146">
        <v>6.7343999999999999</v>
      </c>
      <c r="V192" s="113">
        <v>3.9554</v>
      </c>
      <c r="W192">
        <v>20.281399999999998</v>
      </c>
      <c r="X192">
        <v>12.189400000000001</v>
      </c>
      <c r="Y192">
        <v>4.4702999999999999</v>
      </c>
      <c r="Z192">
        <v>1.2989999999999999</v>
      </c>
      <c r="AA192" s="104">
        <v>17.419228824095381</v>
      </c>
      <c r="AB192" s="104">
        <v>14.085295043878473</v>
      </c>
      <c r="AC192" s="104">
        <v>4.2667299717069795</v>
      </c>
      <c r="AD192" s="104">
        <v>1.6384625458734061</v>
      </c>
    </row>
    <row r="193" spans="1:196" ht="14.7" customHeight="1">
      <c r="A193" s="131" t="s">
        <v>104</v>
      </c>
      <c r="B193" s="131"/>
      <c r="C193">
        <v>14.236766522710354</v>
      </c>
      <c r="D193">
        <v>7.9315337513712727</v>
      </c>
      <c r="E193">
        <v>2.4797607601750049</v>
      </c>
      <c r="F193">
        <v>1.4191336915055881</v>
      </c>
      <c r="G193">
        <v>19.838667675506318</v>
      </c>
      <c r="H193">
        <v>10.268679220410064</v>
      </c>
      <c r="I193" s="147">
        <v>3.431818837206428</v>
      </c>
      <c r="J193" s="112">
        <v>1.9077790090754418</v>
      </c>
      <c r="K193" s="112">
        <v>18.969678284656126</v>
      </c>
      <c r="L193" s="126">
        <v>12.190298140312903</v>
      </c>
      <c r="M193" s="112">
        <v>3.6199940962314279</v>
      </c>
      <c r="N193" s="126">
        <v>1.5751254550821607</v>
      </c>
      <c r="O193" s="147">
        <v>20.749820271705609</v>
      </c>
      <c r="P193" s="147">
        <v>14.025769192584949</v>
      </c>
      <c r="Q193" s="147">
        <v>6.7308679382048098</v>
      </c>
      <c r="R193" s="112">
        <v>3.7124192304304304</v>
      </c>
      <c r="S193" s="112">
        <v>19.005800000000001</v>
      </c>
      <c r="T193" s="112">
        <v>11.978</v>
      </c>
      <c r="U193" s="146">
        <v>4.9373000000000005</v>
      </c>
      <c r="V193" s="113">
        <v>1.8072000000000001</v>
      </c>
      <c r="W193">
        <v>12.9617</v>
      </c>
      <c r="X193">
        <v>9.0375999999999994</v>
      </c>
      <c r="Y193">
        <v>3.3070000000000004</v>
      </c>
      <c r="Z193">
        <v>2.1867999999999999</v>
      </c>
      <c r="AA193" s="104">
        <v>14.190503523665186</v>
      </c>
      <c r="AB193" s="104">
        <v>9.6113124726122461</v>
      </c>
      <c r="AC193" s="104">
        <v>2.2307911722334213</v>
      </c>
      <c r="AD193" s="104">
        <v>1.5484861783424191</v>
      </c>
    </row>
    <row r="194" spans="1:196" ht="14.7" customHeight="1">
      <c r="A194" s="131" t="s">
        <v>274</v>
      </c>
      <c r="B194" s="131"/>
      <c r="C194">
        <v>9.8425283826504248</v>
      </c>
      <c r="D194">
        <v>7.2817295249192515</v>
      </c>
      <c r="E194">
        <v>1.5189116742734272</v>
      </c>
      <c r="F194">
        <v>1.0274822893228048</v>
      </c>
      <c r="G194">
        <v>13.708417785789148</v>
      </c>
      <c r="H194">
        <v>7.415163514907813</v>
      </c>
      <c r="I194" s="147">
        <v>1.3097097554311254</v>
      </c>
      <c r="J194" s="112">
        <v>1.1388337200814007</v>
      </c>
      <c r="K194" s="112">
        <v>11.270411223342773</v>
      </c>
      <c r="L194" s="126">
        <v>7.9550924765576205</v>
      </c>
      <c r="M194" s="112">
        <v>3.318931735631224</v>
      </c>
      <c r="N194" s="126">
        <v>1.4705940857969217</v>
      </c>
      <c r="O194" s="147">
        <v>16.341990805424309</v>
      </c>
      <c r="P194" s="147">
        <v>10.766324589978387</v>
      </c>
      <c r="Q194" s="147">
        <v>6.5785090304489326</v>
      </c>
      <c r="R194" s="112">
        <v>2.7518039705498416</v>
      </c>
      <c r="S194" s="112">
        <v>14.547099999999999</v>
      </c>
      <c r="T194" s="112">
        <v>8.8910999999999998</v>
      </c>
      <c r="U194" s="146">
        <v>2.4624999999999999</v>
      </c>
      <c r="V194" s="113">
        <v>1.4623000000000002</v>
      </c>
      <c r="W194">
        <v>13.071400000000001</v>
      </c>
      <c r="X194">
        <v>10.1492</v>
      </c>
      <c r="Y194">
        <v>5.3962000000000003</v>
      </c>
      <c r="Z194">
        <v>3.0026000000000002</v>
      </c>
      <c r="AA194" s="104">
        <v>11.600383016556885</v>
      </c>
      <c r="AB194" s="104">
        <v>7.1422327197867066</v>
      </c>
      <c r="AC194" s="104">
        <v>3.2728934187145438</v>
      </c>
      <c r="AD194" s="104">
        <v>2.9468356590590714</v>
      </c>
    </row>
    <row r="195" spans="1:196" ht="14.7" customHeight="1">
      <c r="A195" s="131" t="s">
        <v>275</v>
      </c>
      <c r="B195" s="131"/>
      <c r="C195">
        <v>16.010303478722058</v>
      </c>
      <c r="D195">
        <v>10.673200151348205</v>
      </c>
      <c r="E195">
        <v>3.6732383061058216</v>
      </c>
      <c r="F195">
        <v>2.2749418516012336</v>
      </c>
      <c r="G195">
        <v>19.402839121860584</v>
      </c>
      <c r="H195">
        <v>12.272413350527749</v>
      </c>
      <c r="I195" s="147">
        <v>3.0935690027849247</v>
      </c>
      <c r="J195" s="112">
        <v>2.0614965254646465</v>
      </c>
      <c r="K195" s="112">
        <v>15.406836044037092</v>
      </c>
      <c r="L195" s="126">
        <v>9.0027503975784207</v>
      </c>
      <c r="M195" s="112">
        <v>4.2379554865822078</v>
      </c>
      <c r="N195" s="126">
        <v>1.9974954480151808</v>
      </c>
      <c r="O195" s="147">
        <v>21.520081633900254</v>
      </c>
      <c r="P195" s="147">
        <v>16.524719464793979</v>
      </c>
      <c r="Q195" s="147">
        <v>7.7072628061621806</v>
      </c>
      <c r="R195" s="112">
        <v>5.712159265255413</v>
      </c>
      <c r="S195" s="112">
        <v>18.234100000000002</v>
      </c>
      <c r="T195" s="112">
        <v>11.8893</v>
      </c>
      <c r="U195" s="146">
        <v>4.9022999999999994</v>
      </c>
      <c r="V195" s="113">
        <v>2.6828000000000003</v>
      </c>
      <c r="W195">
        <v>17.924900000000001</v>
      </c>
      <c r="X195">
        <v>12.221299999999999</v>
      </c>
      <c r="Y195">
        <v>4.4510000000000005</v>
      </c>
      <c r="Z195">
        <v>3.0760999999999998</v>
      </c>
      <c r="AA195" s="104">
        <v>16.794923575695222</v>
      </c>
      <c r="AB195" s="104">
        <v>10.478136636216041</v>
      </c>
      <c r="AC195" s="104">
        <v>4.0653531392036681</v>
      </c>
      <c r="AD195" s="104">
        <v>1.9254765478701881</v>
      </c>
    </row>
    <row r="196" spans="1:196" ht="14.7" customHeight="1">
      <c r="A196" s="131" t="s">
        <v>105</v>
      </c>
      <c r="B196" s="131"/>
      <c r="C196">
        <v>16.296118928177865</v>
      </c>
      <c r="D196">
        <v>9.6239165849942729</v>
      </c>
      <c r="E196">
        <v>3.3926650813931176</v>
      </c>
      <c r="F196">
        <v>0.77956334342802092</v>
      </c>
      <c r="G196">
        <v>17.153769947358544</v>
      </c>
      <c r="H196">
        <v>11.612941076507886</v>
      </c>
      <c r="I196" s="147">
        <v>4.9759054181451825</v>
      </c>
      <c r="J196" s="112">
        <v>2.1569809549627559</v>
      </c>
      <c r="K196" s="112">
        <v>15.96067218459995</v>
      </c>
      <c r="L196" s="126">
        <v>10.216202658640583</v>
      </c>
      <c r="M196" s="112">
        <v>4.264058189114623</v>
      </c>
      <c r="N196" s="126">
        <v>2.5264108352144468</v>
      </c>
      <c r="O196" s="147">
        <v>19.872371700202418</v>
      </c>
      <c r="P196" s="147">
        <v>13.047831505081634</v>
      </c>
      <c r="Q196" s="147">
        <v>4.7600596285714234</v>
      </c>
      <c r="R196" s="112">
        <v>2.6203063979198942</v>
      </c>
      <c r="S196" s="112">
        <v>19.542300000000001</v>
      </c>
      <c r="T196" s="144">
        <v>13.270399999999999</v>
      </c>
      <c r="U196" s="146">
        <v>6.1247999999999996</v>
      </c>
      <c r="V196" s="113">
        <v>2.2651999999999997</v>
      </c>
      <c r="W196">
        <v>15.909999999999998</v>
      </c>
      <c r="X196">
        <v>13.089400000000001</v>
      </c>
      <c r="Y196">
        <v>5.3069999999999995</v>
      </c>
      <c r="Z196">
        <v>2.1917</v>
      </c>
      <c r="AA196" s="104">
        <v>23.631091087291487</v>
      </c>
      <c r="AB196" s="104">
        <v>16.269285603585494</v>
      </c>
      <c r="AC196" s="104">
        <v>7.82962604466928</v>
      </c>
      <c r="AD196" s="104">
        <v>4.6084352814809559</v>
      </c>
    </row>
    <row r="197" spans="1:196" ht="14.7" customHeight="1">
      <c r="A197" s="131" t="s">
        <v>106</v>
      </c>
      <c r="B197" s="131"/>
      <c r="C197">
        <v>25.872587692178691</v>
      </c>
      <c r="D197">
        <v>17.459785184349798</v>
      </c>
      <c r="E197">
        <v>8.5561412670020918</v>
      </c>
      <c r="F197">
        <v>4.6256185108083052</v>
      </c>
      <c r="G197">
        <v>19.60881856898455</v>
      </c>
      <c r="H197">
        <v>14.761719871709319</v>
      </c>
      <c r="I197" s="147">
        <v>5.7882475702828291</v>
      </c>
      <c r="J197" s="112">
        <v>2.7008990863535436</v>
      </c>
      <c r="K197" s="112">
        <v>20.4691191360108</v>
      </c>
      <c r="L197" s="126">
        <v>12.284607844088791</v>
      </c>
      <c r="M197" s="112">
        <v>6.9113779080488786</v>
      </c>
      <c r="N197" s="126">
        <v>3.9447555637514196</v>
      </c>
      <c r="O197" s="147">
        <v>18.807888226458321</v>
      </c>
      <c r="P197" s="147">
        <v>11.793140315307747</v>
      </c>
      <c r="Q197" s="147">
        <v>3.360644995384142</v>
      </c>
      <c r="R197" s="112">
        <v>1.7518166083844953</v>
      </c>
      <c r="S197" s="112">
        <v>25.0031</v>
      </c>
      <c r="T197" s="112">
        <v>15.6716</v>
      </c>
      <c r="U197" s="146">
        <v>7.1844000000000001</v>
      </c>
      <c r="V197" s="113">
        <v>4.3667999999999996</v>
      </c>
      <c r="W197">
        <v>22.1053</v>
      </c>
      <c r="X197">
        <v>17.014699999999998</v>
      </c>
      <c r="Y197">
        <v>9.0357000000000003</v>
      </c>
      <c r="Z197">
        <v>5.1268000000000002</v>
      </c>
      <c r="AA197" s="104">
        <v>24.834003514838301</v>
      </c>
      <c r="AB197" s="104">
        <v>15.487533676372712</v>
      </c>
      <c r="AC197" s="104">
        <v>7.7158698327935342</v>
      </c>
      <c r="AD197" s="104">
        <v>5.2162905467907041</v>
      </c>
    </row>
    <row r="198" spans="1:196" ht="14.7" customHeight="1">
      <c r="A198" s="131" t="s">
        <v>346</v>
      </c>
      <c r="B198" s="131"/>
      <c r="C198">
        <v>19.804421297351915</v>
      </c>
      <c r="D198">
        <v>13.134255770489464</v>
      </c>
      <c r="E198">
        <v>5.9550961659081443</v>
      </c>
      <c r="F198">
        <v>2.6337178045055385</v>
      </c>
      <c r="G198">
        <v>23.893560465549996</v>
      </c>
      <c r="H198">
        <v>14.876859607450928</v>
      </c>
      <c r="I198" s="147">
        <v>6.8305669356210501</v>
      </c>
      <c r="J198" s="112">
        <v>3.4875261046975128</v>
      </c>
      <c r="K198" s="112">
        <v>24.735881836713265</v>
      </c>
      <c r="L198" s="126">
        <v>17.48984658829502</v>
      </c>
      <c r="M198" s="112">
        <v>8.8511176685228374</v>
      </c>
      <c r="N198" s="126">
        <v>4.1036044611552676</v>
      </c>
      <c r="O198" s="147">
        <v>20.171732072264074</v>
      </c>
      <c r="P198" s="147">
        <v>14.923673319023138</v>
      </c>
      <c r="Q198" s="147">
        <v>5.67940530756999</v>
      </c>
      <c r="R198" s="112">
        <v>2.3919671689721747</v>
      </c>
      <c r="S198" s="112">
        <v>23.536199999999997</v>
      </c>
      <c r="T198" s="112">
        <v>16.361899999999999</v>
      </c>
      <c r="U198" s="147">
        <v>6.4297000000000004</v>
      </c>
      <c r="V198" s="149">
        <v>3.6223999999999998</v>
      </c>
      <c r="W198">
        <v>20.313300000000002</v>
      </c>
      <c r="X198">
        <v>15.045</v>
      </c>
      <c r="Y198">
        <v>6.9505999999999997</v>
      </c>
      <c r="Z198">
        <v>3.7347999999999999</v>
      </c>
      <c r="AA198" s="104">
        <v>20.450713225714221</v>
      </c>
      <c r="AB198" s="104">
        <v>12.985449432035749</v>
      </c>
      <c r="AC198" s="104">
        <v>7.3993267970011463</v>
      </c>
      <c r="AD198" s="104">
        <v>5.4612811391416498</v>
      </c>
    </row>
    <row r="199" spans="1:196" ht="14.7" customHeight="1">
      <c r="A199" s="131" t="s">
        <v>237</v>
      </c>
      <c r="B199" s="131"/>
      <c r="C199">
        <v>12.548050470685004</v>
      </c>
      <c r="D199">
        <v>6.5851001240265283</v>
      </c>
      <c r="E199">
        <v>3.0310720950373673</v>
      </c>
      <c r="F199">
        <v>2.1101480715846694</v>
      </c>
      <c r="G199">
        <v>15.313911096118126</v>
      </c>
      <c r="H199">
        <v>10.757556667384705</v>
      </c>
      <c r="I199" s="146">
        <v>6.884015265748392</v>
      </c>
      <c r="J199" s="144">
        <v>3.1734548306989492</v>
      </c>
      <c r="K199" s="144">
        <v>13.020276651728976</v>
      </c>
      <c r="L199" s="126">
        <v>9.1338389874480406</v>
      </c>
      <c r="M199" s="144">
        <v>3.9251352070908179</v>
      </c>
      <c r="N199" s="126">
        <v>2.372221282946708</v>
      </c>
      <c r="O199" s="146">
        <v>17.554707247692537</v>
      </c>
      <c r="P199" s="146">
        <v>13.206741260226023</v>
      </c>
      <c r="Q199" s="146">
        <v>7.5591385269216049</v>
      </c>
      <c r="R199" s="144">
        <v>4.4433573077862416</v>
      </c>
      <c r="S199" s="144">
        <v>18.032299999999999</v>
      </c>
      <c r="T199" s="144">
        <v>13.5655</v>
      </c>
      <c r="U199" s="146">
        <v>5.5061</v>
      </c>
      <c r="V199" s="113">
        <v>3.7554999999999996</v>
      </c>
      <c r="W199">
        <v>18.301100000000002</v>
      </c>
      <c r="X199">
        <v>13.299300000000001</v>
      </c>
      <c r="Y199">
        <v>6.8132000000000001</v>
      </c>
      <c r="Z199">
        <v>3.5567000000000002</v>
      </c>
      <c r="AA199" s="104">
        <v>16.328424479689993</v>
      </c>
      <c r="AB199" s="104">
        <v>11.218306850059847</v>
      </c>
      <c r="AC199" s="104">
        <v>6.1191572170922539</v>
      </c>
      <c r="AD199" s="104">
        <v>4.036832686533927</v>
      </c>
    </row>
    <row r="200" spans="1:196" ht="14.7" customHeight="1">
      <c r="A200" s="131" t="s">
        <v>107</v>
      </c>
      <c r="B200" s="131"/>
      <c r="C200">
        <v>12.579522581222346</v>
      </c>
      <c r="D200">
        <v>6.8109147284180258</v>
      </c>
      <c r="E200">
        <v>2.8082644026927719</v>
      </c>
      <c r="F200">
        <v>1.4603602794126</v>
      </c>
      <c r="G200">
        <v>10.51410458552207</v>
      </c>
      <c r="H200">
        <v>6.3657307769565357</v>
      </c>
      <c r="I200" s="147">
        <v>2.8193523790783761</v>
      </c>
      <c r="J200" s="112">
        <v>1.1980454129925924</v>
      </c>
      <c r="K200" s="112">
        <v>8.4986330980990523</v>
      </c>
      <c r="L200" s="126">
        <v>5.5369074006155214</v>
      </c>
      <c r="M200" s="112">
        <v>1.6398638197445425</v>
      </c>
      <c r="N200" s="126">
        <v>0.69325955573982245</v>
      </c>
      <c r="O200" s="147">
        <v>10.510315793161981</v>
      </c>
      <c r="P200" s="147">
        <v>7.2981876102064804</v>
      </c>
      <c r="Q200" s="147">
        <v>3.6959297808319116</v>
      </c>
      <c r="R200" s="112">
        <v>1.4884636452997302</v>
      </c>
      <c r="S200" s="112">
        <v>10.2797</v>
      </c>
      <c r="T200" s="112">
        <v>5.4539999999999997</v>
      </c>
      <c r="U200" s="147">
        <v>1.7755000000000001</v>
      </c>
      <c r="V200" s="149">
        <v>0.69730000000000003</v>
      </c>
      <c r="W200">
        <v>11.4023</v>
      </c>
      <c r="X200">
        <v>7.3663999999999996</v>
      </c>
      <c r="Y200">
        <v>2.012</v>
      </c>
      <c r="Z200">
        <v>0.58940000000000003</v>
      </c>
      <c r="AA200" s="104">
        <v>10.281654250869103</v>
      </c>
      <c r="AB200" s="104">
        <v>6.5887133929008828</v>
      </c>
      <c r="AC200" s="104">
        <v>2.3238819180072658</v>
      </c>
      <c r="AD200" s="104">
        <v>1.042853009731828</v>
      </c>
    </row>
    <row r="201" spans="1:196" ht="14.7" customHeight="1">
      <c r="A201" s="131" t="s">
        <v>215</v>
      </c>
      <c r="B201" s="131"/>
      <c r="C201">
        <v>6.3562842146353216</v>
      </c>
      <c r="D201">
        <v>3.9198734084051279</v>
      </c>
      <c r="E201">
        <v>1.8136884759297176</v>
      </c>
      <c r="F201">
        <v>0.77479852414547157</v>
      </c>
      <c r="G201">
        <v>7.0832365622885769</v>
      </c>
      <c r="H201">
        <v>3.8615050331799043</v>
      </c>
      <c r="I201" s="147">
        <v>1.9770241564285178</v>
      </c>
      <c r="J201" s="112">
        <v>1.0797390968018905</v>
      </c>
      <c r="K201" s="112">
        <v>5.5719529809377546</v>
      </c>
      <c r="L201" s="126">
        <v>3.5668646456786024</v>
      </c>
      <c r="M201" s="112">
        <v>0.842650553692747</v>
      </c>
      <c r="N201" s="126">
        <v>0.29525193687559365</v>
      </c>
      <c r="O201" s="147">
        <v>12.326278795869841</v>
      </c>
      <c r="P201" s="147">
        <v>8.3719921118522915</v>
      </c>
      <c r="Q201" s="147">
        <v>4.3931661455513682</v>
      </c>
      <c r="R201" s="112">
        <v>2.8199376140589698</v>
      </c>
      <c r="S201" s="112">
        <v>15.908900000000001</v>
      </c>
      <c r="T201" s="112">
        <v>9.1791</v>
      </c>
      <c r="U201" s="146">
        <v>4.1514000000000006</v>
      </c>
      <c r="V201" s="113">
        <v>3.2736000000000001</v>
      </c>
      <c r="W201">
        <v>14.441300000000002</v>
      </c>
      <c r="X201">
        <v>10.040000000000001</v>
      </c>
      <c r="Y201">
        <v>5.7005999999999997</v>
      </c>
      <c r="Z201">
        <v>4.2938999999999998</v>
      </c>
      <c r="AA201" s="104">
        <v>17.760498099305604</v>
      </c>
      <c r="AB201" s="104">
        <v>11.232887755859446</v>
      </c>
      <c r="AC201" s="104">
        <v>5.6611379387615042</v>
      </c>
      <c r="AD201" s="104">
        <v>3.9378355010379082</v>
      </c>
    </row>
    <row r="202" spans="1:196" ht="14.7" customHeight="1">
      <c r="A202" s="131" t="s">
        <v>319</v>
      </c>
      <c r="B202" s="131"/>
      <c r="C202">
        <v>18.121357448189542</v>
      </c>
      <c r="D202">
        <v>11.877277238799074</v>
      </c>
      <c r="E202">
        <v>5.7517635842215187</v>
      </c>
      <c r="F202">
        <v>3.7249072075224854</v>
      </c>
      <c r="G202">
        <v>17.179852385238526</v>
      </c>
      <c r="H202">
        <v>11.850470123830883</v>
      </c>
      <c r="I202" s="147">
        <v>5.9911169685617471</v>
      </c>
      <c r="J202" s="112">
        <v>4.0799795681052586</v>
      </c>
      <c r="K202" s="112">
        <v>18.190228026194216</v>
      </c>
      <c r="L202" s="126">
        <v>12.803037763827648</v>
      </c>
      <c r="M202" s="112">
        <v>6.6683361799472696</v>
      </c>
      <c r="N202" s="126">
        <v>3.8204747983218588</v>
      </c>
      <c r="O202" s="147">
        <v>21.622183201968522</v>
      </c>
      <c r="P202" s="147">
        <v>15.218178002221386</v>
      </c>
      <c r="Q202" s="147">
        <v>6.7745731963786806</v>
      </c>
      <c r="R202" s="112">
        <v>4.2952265044064397</v>
      </c>
      <c r="S202" s="112">
        <v>21.847100000000001</v>
      </c>
      <c r="T202" s="112">
        <v>15.471499999999999</v>
      </c>
      <c r="U202" s="146">
        <v>7.7743999999999991</v>
      </c>
      <c r="V202" s="113">
        <v>4.8805000000000005</v>
      </c>
      <c r="W202">
        <v>18.752700000000001</v>
      </c>
      <c r="X202">
        <v>12.4565</v>
      </c>
      <c r="Y202">
        <v>5.6825999999999999</v>
      </c>
      <c r="Z202">
        <v>3.5956000000000001</v>
      </c>
      <c r="AA202" s="104">
        <v>19.776634494001861</v>
      </c>
      <c r="AB202" s="104">
        <v>13.550347583527344</v>
      </c>
      <c r="AC202" s="104">
        <v>6.6191686123928548</v>
      </c>
      <c r="AD202" s="104">
        <v>4.1815921905383249</v>
      </c>
    </row>
    <row r="203" spans="1:196" ht="14.7" customHeight="1">
      <c r="A203" s="131" t="s">
        <v>108</v>
      </c>
      <c r="B203" s="131"/>
      <c r="C203">
        <v>15.007418125781976</v>
      </c>
      <c r="D203">
        <v>8.9339446757830174</v>
      </c>
      <c r="E203">
        <v>4.5279365200574953</v>
      </c>
      <c r="F203">
        <v>2.4774681683436781</v>
      </c>
      <c r="G203">
        <v>20.947380840018877</v>
      </c>
      <c r="H203">
        <v>13.441654967379637</v>
      </c>
      <c r="I203" s="147">
        <v>5.3377652985382777</v>
      </c>
      <c r="J203" s="112">
        <v>2.704393426377075</v>
      </c>
      <c r="K203" s="112">
        <v>16.422001208420784</v>
      </c>
      <c r="L203" s="126">
        <v>10.119152911246484</v>
      </c>
      <c r="M203" s="112">
        <v>5.1129418545718339</v>
      </c>
      <c r="N203" s="126">
        <v>2.3478787999244735</v>
      </c>
      <c r="O203" s="147">
        <v>23.448811902366387</v>
      </c>
      <c r="P203" s="147">
        <v>15.630058420423939</v>
      </c>
      <c r="Q203" s="147">
        <v>6.8498019229435601</v>
      </c>
      <c r="R203" s="112">
        <v>3.5833009451552065</v>
      </c>
      <c r="S203" s="112">
        <v>18.8415</v>
      </c>
      <c r="T203" s="112">
        <v>13.655800000000001</v>
      </c>
      <c r="U203" s="146">
        <v>5.4643999999999995</v>
      </c>
      <c r="V203" s="113">
        <v>1.1932</v>
      </c>
      <c r="W203">
        <v>11.4543</v>
      </c>
      <c r="X203">
        <v>7.2518000000000002</v>
      </c>
      <c r="Y203">
        <v>2.7170000000000001</v>
      </c>
      <c r="Z203">
        <v>0.67130000000000001</v>
      </c>
      <c r="AA203" s="104">
        <v>20.269091247082798</v>
      </c>
      <c r="AB203" s="104">
        <v>15.035346864318949</v>
      </c>
      <c r="AC203" s="104">
        <v>8.2704987196394733</v>
      </c>
      <c r="AD203" s="104">
        <v>3.9747895378651936</v>
      </c>
    </row>
    <row r="204" spans="1:196" ht="14.7" customHeight="1">
      <c r="A204" s="131" t="s">
        <v>109</v>
      </c>
      <c r="B204" s="131"/>
      <c r="C204">
        <v>15.955364113435239</v>
      </c>
      <c r="D204">
        <v>7.2681805045667058</v>
      </c>
      <c r="E204">
        <v>3.168194852873722</v>
      </c>
      <c r="F204">
        <v>1.9965449094670427</v>
      </c>
      <c r="G204">
        <v>20.648083751608688</v>
      </c>
      <c r="H204">
        <v>10.917445600409538</v>
      </c>
      <c r="I204" s="147">
        <v>2.4631506382735711</v>
      </c>
      <c r="J204" s="112">
        <v>1.3960640986157653</v>
      </c>
      <c r="K204" s="112">
        <v>14.145229345311011</v>
      </c>
      <c r="L204" s="126">
        <v>6.771117358119243</v>
      </c>
      <c r="M204" s="112">
        <v>2.6715015021662181</v>
      </c>
      <c r="N204" s="126">
        <v>1.6611362534183587</v>
      </c>
      <c r="O204" s="147">
        <v>17.911328358589621</v>
      </c>
      <c r="P204" s="147">
        <v>12.086586661960107</v>
      </c>
      <c r="Q204" s="147">
        <v>5.6881567656547327</v>
      </c>
      <c r="R204" s="112">
        <v>2.2926596455220039</v>
      </c>
      <c r="S204" s="112">
        <v>15.3626</v>
      </c>
      <c r="T204" s="112">
        <v>10.750500000000001</v>
      </c>
      <c r="U204" s="146">
        <v>4.9436</v>
      </c>
      <c r="V204" s="113">
        <v>3.1905999999999999</v>
      </c>
      <c r="W204">
        <v>19.1374</v>
      </c>
      <c r="X204">
        <v>12.748200000000001</v>
      </c>
      <c r="Y204">
        <v>5.1118999999999994</v>
      </c>
      <c r="Z204">
        <v>2.3359999999999999</v>
      </c>
    </row>
    <row r="205" spans="1:196" ht="14.7" customHeight="1">
      <c r="A205" s="131" t="s">
        <v>110</v>
      </c>
      <c r="B205" s="131"/>
      <c r="C205">
        <v>7.5713220671845871</v>
      </c>
      <c r="D205">
        <v>4.1911822151106515</v>
      </c>
      <c r="E205">
        <v>1.2126146669331703</v>
      </c>
      <c r="F205">
        <v>0.27179864565541972</v>
      </c>
      <c r="G205">
        <v>10.139803723333641</v>
      </c>
      <c r="H205">
        <v>4.4798464099343356</v>
      </c>
      <c r="I205" s="147">
        <v>1.8212268823463333</v>
      </c>
      <c r="J205" s="112">
        <v>0.92337857296038717</v>
      </c>
      <c r="K205" s="112">
        <v>9.74167331833684</v>
      </c>
      <c r="L205" s="126">
        <v>6.4513138056422283</v>
      </c>
      <c r="M205" s="112">
        <v>3.0208660877697957</v>
      </c>
      <c r="N205" s="126">
        <v>0.9659031355570068</v>
      </c>
      <c r="O205" s="147">
        <v>12.0255111107526</v>
      </c>
      <c r="P205" s="147">
        <v>8.3863814661708318</v>
      </c>
      <c r="Q205" s="147">
        <v>1.2415729021286652</v>
      </c>
      <c r="R205" s="112">
        <v>0.88092283457025622</v>
      </c>
      <c r="S205" s="112">
        <v>9.6874000000000002</v>
      </c>
      <c r="T205" s="112">
        <v>6.9131</v>
      </c>
      <c r="U205" s="147">
        <v>2.9276</v>
      </c>
      <c r="V205" s="149">
        <v>0.48989999999999995</v>
      </c>
      <c r="W205">
        <v>10.774799999999999</v>
      </c>
      <c r="X205">
        <v>5.0176999999999996</v>
      </c>
      <c r="Y205">
        <v>1.2408999999999999</v>
      </c>
      <c r="Z205">
        <v>0.40660000000000002</v>
      </c>
      <c r="AA205" s="104">
        <v>12.393275215065955</v>
      </c>
      <c r="AB205" s="104">
        <v>7.7178279054344836</v>
      </c>
      <c r="AC205" s="104">
        <v>3.1886423427219377</v>
      </c>
      <c r="AD205" s="104">
        <v>1.2892713008999899</v>
      </c>
    </row>
    <row r="206" spans="1:196" ht="14.7" customHeight="1">
      <c r="A206" s="131" t="s">
        <v>276</v>
      </c>
      <c r="B206" s="131"/>
      <c r="C206">
        <v>22.037251045581563</v>
      </c>
      <c r="D206">
        <v>16.406830262324931</v>
      </c>
      <c r="E206">
        <v>9.4586143367852991</v>
      </c>
      <c r="F206">
        <v>6.3883286252004456</v>
      </c>
      <c r="G206">
        <v>20.662531398984978</v>
      </c>
      <c r="H206">
        <v>13.231775009251262</v>
      </c>
      <c r="I206" s="147">
        <v>6.4839028000493402</v>
      </c>
      <c r="J206" s="112">
        <v>2.2174252703425021</v>
      </c>
      <c r="K206" s="112">
        <v>19.853850858546519</v>
      </c>
      <c r="L206" s="126">
        <v>15.206802230487714</v>
      </c>
      <c r="M206" s="112">
        <v>6.3242972947666409</v>
      </c>
      <c r="N206" s="126">
        <v>4.9070331285996893</v>
      </c>
      <c r="O206" s="147">
        <v>15.487154845729961</v>
      </c>
      <c r="P206" s="147">
        <v>10.528265699530195</v>
      </c>
      <c r="Q206" s="147">
        <v>6.5997977948019013</v>
      </c>
      <c r="R206" s="112">
        <v>5.5856287971327632</v>
      </c>
      <c r="S206" s="112">
        <v>22.409399999999998</v>
      </c>
      <c r="T206" s="112">
        <v>16.290299999999998</v>
      </c>
      <c r="U206" s="146">
        <v>7.423</v>
      </c>
      <c r="V206" s="113">
        <v>3.6309</v>
      </c>
      <c r="W206">
        <v>17.3673</v>
      </c>
      <c r="X206">
        <v>13.132199999999999</v>
      </c>
      <c r="Y206">
        <v>3.3672</v>
      </c>
      <c r="Z206">
        <v>2.3031000000000001</v>
      </c>
      <c r="AA206" s="104">
        <v>17.531673375001855</v>
      </c>
      <c r="AB206" s="104">
        <v>12.883734466826949</v>
      </c>
      <c r="AC206" s="104">
        <v>5.9460215299505066</v>
      </c>
      <c r="AD206" s="104">
        <v>4.8876450650012702</v>
      </c>
    </row>
    <row r="207" spans="1:196" ht="14.7" customHeight="1">
      <c r="A207" s="171" t="s">
        <v>111</v>
      </c>
      <c r="B207" s="171"/>
      <c r="C207">
        <v>19.318988190692771</v>
      </c>
      <c r="D207">
        <v>13.60440306851754</v>
      </c>
      <c r="E207">
        <v>4.7440899170858293</v>
      </c>
      <c r="F207">
        <v>1.4949901871908975</v>
      </c>
      <c r="G207">
        <v>19.791879125092802</v>
      </c>
      <c r="H207">
        <v>10.593914916752169</v>
      </c>
      <c r="I207" s="147">
        <v>3.7544301417236574</v>
      </c>
      <c r="J207" s="112">
        <v>2.1565132791837502</v>
      </c>
      <c r="K207" s="112">
        <v>16.060121457489878</v>
      </c>
      <c r="L207" s="126">
        <v>9.7636653441323418</v>
      </c>
      <c r="M207" s="112">
        <v>4.424717822213311</v>
      </c>
      <c r="N207" s="126">
        <v>3.3628422538577292</v>
      </c>
      <c r="O207" s="147">
        <v>18.447884071359308</v>
      </c>
      <c r="P207" s="147">
        <v>11.966469753495868</v>
      </c>
      <c r="Q207" s="147">
        <v>4.7441515879041667</v>
      </c>
      <c r="R207" s="112">
        <v>3.0521376913700848</v>
      </c>
      <c r="S207" s="112">
        <v>19.825400000000002</v>
      </c>
      <c r="T207" s="112">
        <v>11.773300000000001</v>
      </c>
      <c r="U207" s="146">
        <v>6.1941000000000006</v>
      </c>
      <c r="V207" s="113">
        <v>2.0099</v>
      </c>
      <c r="W207">
        <v>17.471900000000002</v>
      </c>
      <c r="X207">
        <v>13.088700000000001</v>
      </c>
      <c r="Y207">
        <v>5.8860000000000001</v>
      </c>
      <c r="Z207">
        <v>3.968</v>
      </c>
      <c r="AA207" s="104">
        <v>21.130332143258538</v>
      </c>
      <c r="AB207" s="104">
        <v>15.317648549165613</v>
      </c>
      <c r="AC207" s="104">
        <v>4.5547106002422622</v>
      </c>
      <c r="AD207" s="104">
        <v>1.6992895840431126</v>
      </c>
    </row>
    <row r="208" spans="1:196" s="175" customFormat="1" ht="11.25" customHeight="1">
      <c r="A208" s="172" t="s">
        <v>112</v>
      </c>
      <c r="B208" s="172"/>
      <c r="C208">
        <v>21.803831464301691</v>
      </c>
      <c r="D208">
        <v>15.771233032524259</v>
      </c>
      <c r="E208">
        <v>6.7762592351064947</v>
      </c>
      <c r="F208">
        <v>4.5781139816322662</v>
      </c>
      <c r="G208">
        <v>19.131045713809986</v>
      </c>
      <c r="H208">
        <v>13.678151568156855</v>
      </c>
      <c r="I208" s="173">
        <v>5.3939714436805923</v>
      </c>
      <c r="J208" s="173">
        <v>3.1725175934588941</v>
      </c>
      <c r="K208" s="173">
        <v>16.643848592147588</v>
      </c>
      <c r="L208" s="173">
        <v>11.232937711539174</v>
      </c>
      <c r="M208" s="173">
        <v>4.4543094912122747</v>
      </c>
      <c r="N208" s="173">
        <v>3.4322810978455962</v>
      </c>
      <c r="O208" s="173">
        <v>23.67277724315678</v>
      </c>
      <c r="P208" s="173">
        <v>18.60113825165784</v>
      </c>
      <c r="Q208" s="173">
        <v>9.7401192634848091</v>
      </c>
      <c r="R208" s="173">
        <v>6.3177379089788195</v>
      </c>
      <c r="S208" s="173">
        <v>18.791</v>
      </c>
      <c r="T208" s="173">
        <v>12.403500000000001</v>
      </c>
      <c r="U208" s="173">
        <v>7.0416999999999996</v>
      </c>
      <c r="V208" s="173">
        <v>4.4528999999999996</v>
      </c>
      <c r="W208">
        <v>21.200399999999998</v>
      </c>
      <c r="X208">
        <v>13.475100000000001</v>
      </c>
      <c r="Y208">
        <v>6.3067000000000002</v>
      </c>
      <c r="Z208">
        <v>3.2747999999999999</v>
      </c>
      <c r="AA208" s="173">
        <v>16.767137666804256</v>
      </c>
      <c r="AB208" s="173">
        <v>10.486403912072305</v>
      </c>
      <c r="AC208" s="173">
        <v>3.877171724250613</v>
      </c>
      <c r="AD208" s="173">
        <v>2.1959538654806177</v>
      </c>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30" ht="14.7" customHeight="1">
      <c r="A209" s="110" t="s">
        <v>277</v>
      </c>
      <c r="B209" s="190"/>
      <c r="C209">
        <v>14.535856593756364</v>
      </c>
      <c r="D209">
        <v>9.1117179191790783</v>
      </c>
      <c r="E209">
        <v>4.0274925448692018</v>
      </c>
      <c r="F209">
        <v>2.4492850472812888</v>
      </c>
      <c r="G209">
        <v>11.653276287481921</v>
      </c>
      <c r="H209">
        <v>8.7655503943180921</v>
      </c>
      <c r="I209" s="147">
        <v>2.1805496751661644</v>
      </c>
      <c r="J209" s="112">
        <v>1.2253943687365412</v>
      </c>
      <c r="K209" s="112">
        <v>12.899888038260507</v>
      </c>
      <c r="L209" s="126">
        <v>9.6458319332381919</v>
      </c>
      <c r="M209" s="112">
        <v>4.4234441154495396</v>
      </c>
      <c r="N209" s="126">
        <v>3.1884613712103542</v>
      </c>
      <c r="O209" s="147">
        <v>23.12765175021843</v>
      </c>
      <c r="P209" s="147">
        <v>17.092778576320626</v>
      </c>
      <c r="Q209" s="147">
        <v>8.73838260916534</v>
      </c>
      <c r="R209" s="112">
        <v>4.6775297780955984</v>
      </c>
      <c r="S209" s="112">
        <v>15.214</v>
      </c>
      <c r="T209" s="112">
        <v>9.900599999999999</v>
      </c>
      <c r="U209" s="146">
        <v>4.3826999999999998</v>
      </c>
      <c r="V209" s="113">
        <v>2.5663999999999998</v>
      </c>
      <c r="W209">
        <v>14.3339</v>
      </c>
      <c r="X209">
        <v>10.09</v>
      </c>
      <c r="Y209">
        <v>4.9726999999999997</v>
      </c>
      <c r="Z209">
        <v>2.1705999999999999</v>
      </c>
      <c r="AA209" s="104">
        <v>14.605754991466737</v>
      </c>
      <c r="AB209" s="104">
        <v>8.5497257119069516</v>
      </c>
      <c r="AC209" s="104">
        <v>3.928180898401775</v>
      </c>
      <c r="AD209" s="104">
        <v>1.914643338355285</v>
      </c>
    </row>
    <row r="210" spans="1:30" ht="14.7" customHeight="1">
      <c r="A210" s="142" t="s">
        <v>113</v>
      </c>
      <c r="B210" s="190"/>
      <c r="C210">
        <v>17.458473893853089</v>
      </c>
      <c r="D210">
        <v>12.936889840532817</v>
      </c>
      <c r="E210">
        <v>6.8699719829715233</v>
      </c>
      <c r="F210">
        <v>4.3991687697611539</v>
      </c>
      <c r="G210">
        <v>18.137600000000003</v>
      </c>
      <c r="H210">
        <v>12.024799999999999</v>
      </c>
      <c r="I210" s="147">
        <v>6.3058000000000005</v>
      </c>
      <c r="J210" s="112">
        <v>4.5087999999999999</v>
      </c>
      <c r="K210" s="112">
        <v>14.851197452253977</v>
      </c>
      <c r="L210" s="126">
        <v>8.2266363178693123</v>
      </c>
      <c r="M210" s="112">
        <v>4.4298618170791677</v>
      </c>
      <c r="N210" s="126">
        <v>2.3898706029393755</v>
      </c>
      <c r="O210" s="147">
        <v>20.177201844384637</v>
      </c>
      <c r="P210" s="147">
        <v>14.261594154468318</v>
      </c>
      <c r="Q210" s="147">
        <v>4.4008264131302965</v>
      </c>
      <c r="R210" s="112">
        <v>3.2566054708410368</v>
      </c>
      <c r="S210" s="112">
        <v>19.1525</v>
      </c>
      <c r="T210" s="112">
        <v>11.555</v>
      </c>
      <c r="U210" s="146">
        <v>6.2832999999999997</v>
      </c>
      <c r="V210" s="113">
        <v>3.6821000000000002</v>
      </c>
      <c r="W210">
        <v>17.529700000000002</v>
      </c>
      <c r="X210">
        <v>12.158099999999999</v>
      </c>
      <c r="Y210">
        <v>3.8942999999999999</v>
      </c>
      <c r="Z210">
        <v>2.2534999999999998</v>
      </c>
      <c r="AA210" s="104">
        <v>19.615222699254311</v>
      </c>
      <c r="AB210" s="104">
        <v>14.207385995081859</v>
      </c>
      <c r="AC210" s="104">
        <v>7.3293870066217348</v>
      </c>
      <c r="AD210" s="104">
        <v>4.8498012651129763</v>
      </c>
    </row>
    <row r="211" spans="1:30" ht="14.7" customHeight="1">
      <c r="A211" s="110" t="s">
        <v>278</v>
      </c>
      <c r="B211" s="190"/>
      <c r="C211">
        <v>15.631755851665693</v>
      </c>
      <c r="D211">
        <v>8.5134944728247142</v>
      </c>
      <c r="E211">
        <v>3.8830131541209796</v>
      </c>
      <c r="F211">
        <v>2.8005833764685875</v>
      </c>
      <c r="G211">
        <v>17.69923708087105</v>
      </c>
      <c r="H211">
        <v>12.020918331010204</v>
      </c>
      <c r="I211" s="147">
        <v>5.3126049223193315</v>
      </c>
      <c r="J211" s="112">
        <v>2.8671136569434412</v>
      </c>
      <c r="K211" s="112">
        <v>15.679623517907345</v>
      </c>
      <c r="L211" s="126">
        <v>8.7080091498167747</v>
      </c>
      <c r="M211" s="112">
        <v>3.7144354425344077</v>
      </c>
      <c r="N211" s="126">
        <v>3.0165324030509595</v>
      </c>
      <c r="O211" s="147">
        <v>19.948845656203229</v>
      </c>
      <c r="P211" s="147">
        <v>14.498321697935236</v>
      </c>
      <c r="Q211" s="147">
        <v>7.0377421752520206</v>
      </c>
      <c r="R211" s="112">
        <v>3.9950760207190252</v>
      </c>
      <c r="S211" s="112">
        <v>27.2484</v>
      </c>
      <c r="T211" s="112">
        <v>16.866700000000002</v>
      </c>
      <c r="U211" s="146">
        <v>10.095600000000001</v>
      </c>
      <c r="V211" s="113">
        <v>5.6372999999999998</v>
      </c>
      <c r="W211">
        <v>21.3142</v>
      </c>
      <c r="X211">
        <v>15.164099999999999</v>
      </c>
      <c r="Y211">
        <v>8.5543999999999993</v>
      </c>
      <c r="Z211">
        <v>4.8822000000000001</v>
      </c>
      <c r="AA211" s="104">
        <v>15.880681429760729</v>
      </c>
      <c r="AB211" s="104">
        <v>8.3516443597742818</v>
      </c>
      <c r="AC211" s="104">
        <v>4.5950126435059353</v>
      </c>
      <c r="AD211" s="104">
        <v>3.4341648181822988</v>
      </c>
    </row>
    <row r="212" spans="1:30" ht="14.7" customHeight="1">
      <c r="A212" s="110" t="s">
        <v>238</v>
      </c>
      <c r="B212" s="190"/>
      <c r="C212">
        <v>12.627509404081014</v>
      </c>
      <c r="D212">
        <v>7.4440748744459588</v>
      </c>
      <c r="E212">
        <v>3.432346805191945</v>
      </c>
      <c r="F212">
        <v>2.3045576880332654</v>
      </c>
      <c r="G212">
        <v>18.799601593625496</v>
      </c>
      <c r="H212">
        <v>13.28012724811988</v>
      </c>
      <c r="I212" s="147">
        <v>6.7118200826395222</v>
      </c>
      <c r="J212" s="112">
        <v>4.2396107610769045</v>
      </c>
      <c r="K212" s="112">
        <v>9.4537236837799483</v>
      </c>
      <c r="L212" s="126">
        <v>5.6179731900172953</v>
      </c>
      <c r="M212" s="112">
        <v>2.9097556832221394</v>
      </c>
      <c r="N212" s="126">
        <v>0.6019119100568322</v>
      </c>
      <c r="O212" s="147">
        <v>17.483072232156687</v>
      </c>
      <c r="P212" s="147">
        <v>11.703060028863733</v>
      </c>
      <c r="Q212" s="147">
        <v>4.1873998434446795</v>
      </c>
      <c r="R212" s="112">
        <v>2.1256371395237794</v>
      </c>
      <c r="S212" s="112">
        <v>18.462600000000002</v>
      </c>
      <c r="T212" s="112">
        <v>13.4099</v>
      </c>
      <c r="U212" s="147">
        <v>6.4180999999999999</v>
      </c>
      <c r="V212" s="149">
        <v>3.7761999999999998</v>
      </c>
      <c r="W212">
        <v>14.049100000000001</v>
      </c>
      <c r="X212">
        <v>8.9391999999999996</v>
      </c>
      <c r="Y212">
        <v>3.7463000000000002</v>
      </c>
      <c r="Z212">
        <v>1.5633000000000001</v>
      </c>
      <c r="AA212" s="104">
        <v>14.366258214114227</v>
      </c>
      <c r="AB212" s="104">
        <v>11.575745243754834</v>
      </c>
      <c r="AC212" s="104">
        <v>3.3960998347193669</v>
      </c>
      <c r="AD212" s="104">
        <v>2.2667936426012334</v>
      </c>
    </row>
    <row r="213" spans="1:30" ht="14.7" customHeight="1">
      <c r="A213" s="110" t="s">
        <v>114</v>
      </c>
      <c r="B213" s="190"/>
      <c r="C213">
        <v>11.632727838132107</v>
      </c>
      <c r="D213">
        <v>8.4753921064130253</v>
      </c>
      <c r="E213">
        <v>2.423648265142103</v>
      </c>
      <c r="F213">
        <v>1.5003125080617667</v>
      </c>
      <c r="G213">
        <v>12.656215193262335</v>
      </c>
      <c r="H213">
        <v>9.8818613500857015</v>
      </c>
      <c r="I213" s="147">
        <v>2.4847662240738764</v>
      </c>
      <c r="J213" s="112">
        <v>0.42277316231044909</v>
      </c>
      <c r="K213" s="112">
        <v>12.952394420258381</v>
      </c>
      <c r="L213" s="126">
        <v>6.3392708978390822</v>
      </c>
      <c r="M213" s="112">
        <v>3.7620764881349888</v>
      </c>
      <c r="N213" s="126">
        <v>1.9737241521667861</v>
      </c>
      <c r="O213" s="147">
        <v>19.71294485862952</v>
      </c>
      <c r="P213" s="147">
        <v>13.392587227050301</v>
      </c>
      <c r="Q213" s="147">
        <v>4.7757044789062428</v>
      </c>
      <c r="R213" s="112">
        <v>1.75227973988513</v>
      </c>
      <c r="S213" s="112">
        <v>12.46</v>
      </c>
      <c r="T213" s="112">
        <v>8.7433999999999994</v>
      </c>
      <c r="U213" s="146">
        <v>4.2606999999999999</v>
      </c>
      <c r="V213" s="113">
        <v>1.7767000000000002</v>
      </c>
      <c r="W213">
        <v>8.7186000000000003</v>
      </c>
      <c r="X213">
        <v>5.6997999999999998</v>
      </c>
      <c r="Y213">
        <v>1.9859000000000002</v>
      </c>
      <c r="Z213">
        <v>1.609</v>
      </c>
      <c r="AA213" s="104">
        <v>10.130414870695253</v>
      </c>
      <c r="AB213" s="104">
        <v>6.1840100784780052</v>
      </c>
      <c r="AC213" s="104">
        <v>2.8483086642073698</v>
      </c>
      <c r="AD213" s="104">
        <v>0.905901957138459</v>
      </c>
    </row>
    <row r="214" spans="1:30" ht="14.7" customHeight="1">
      <c r="A214" s="110" t="s">
        <v>115</v>
      </c>
      <c r="B214" s="190"/>
      <c r="C214">
        <v>12.92007110665619</v>
      </c>
      <c r="D214">
        <v>6.4444904398627214</v>
      </c>
      <c r="E214">
        <v>2.2897115281867131</v>
      </c>
      <c r="F214">
        <v>1.4553392597407233</v>
      </c>
      <c r="G214">
        <v>18.929168221418259</v>
      </c>
      <c r="H214">
        <v>9.3981601226856437</v>
      </c>
      <c r="I214" s="147">
        <v>3.9516426312241477</v>
      </c>
      <c r="J214" s="112">
        <v>2.0814197645266606</v>
      </c>
      <c r="K214" s="112">
        <v>10.967041252639454</v>
      </c>
      <c r="L214" s="126">
        <v>6.2266819288122486</v>
      </c>
      <c r="M214" s="112">
        <v>1.0280461458524597</v>
      </c>
      <c r="N214" s="126">
        <v>0.48384387293873132</v>
      </c>
      <c r="O214" s="147">
        <v>17.077560031591489</v>
      </c>
      <c r="P214" s="147">
        <v>10.924474390659885</v>
      </c>
      <c r="Q214" s="147">
        <v>5.4833624826452176</v>
      </c>
      <c r="R214" s="112">
        <v>2.8479367137072207</v>
      </c>
      <c r="S214" s="112">
        <v>11.962100000000001</v>
      </c>
      <c r="T214" s="112">
        <v>7.7563999999999993</v>
      </c>
      <c r="U214" s="146">
        <v>3.1387999999999998</v>
      </c>
      <c r="V214" s="113">
        <v>0.68220000000000003</v>
      </c>
      <c r="W214">
        <v>13.846400000000001</v>
      </c>
      <c r="X214">
        <v>9.3231000000000002</v>
      </c>
      <c r="Y214">
        <v>3.4028999999999998</v>
      </c>
      <c r="Z214">
        <v>1.1815</v>
      </c>
      <c r="AA214" s="104">
        <v>10.853965256657139</v>
      </c>
      <c r="AB214" s="104">
        <v>6.9981965273863276</v>
      </c>
      <c r="AC214" s="104">
        <v>2.3645032853802821</v>
      </c>
      <c r="AD214" s="104">
        <v>1.5706592716458314</v>
      </c>
    </row>
    <row r="215" spans="1:30" ht="14.7" customHeight="1">
      <c r="A215" s="110" t="s">
        <v>320</v>
      </c>
      <c r="B215" s="190"/>
      <c r="C215">
        <v>16.732766424320598</v>
      </c>
      <c r="D215">
        <v>9.9774575293450045</v>
      </c>
      <c r="E215">
        <v>3.6993171804347207</v>
      </c>
      <c r="F215">
        <v>2.3848304515678387</v>
      </c>
      <c r="G215">
        <v>17.216700248900217</v>
      </c>
      <c r="H215">
        <v>11.034272751508297</v>
      </c>
      <c r="I215" s="147">
        <v>4.2041527449202221</v>
      </c>
      <c r="J215" s="112">
        <v>2.2271513783867722</v>
      </c>
      <c r="K215" s="112">
        <v>16.271973045184136</v>
      </c>
      <c r="L215" s="126">
        <v>10.856935842080517</v>
      </c>
      <c r="M215" s="112">
        <v>4.3351360827253655</v>
      </c>
      <c r="N215" s="126">
        <v>2.9726582376464621</v>
      </c>
      <c r="O215" s="147">
        <v>17.639782419348034</v>
      </c>
      <c r="P215" s="147">
        <v>12.255668131112445</v>
      </c>
      <c r="Q215" s="147">
        <v>5.4935964875690377</v>
      </c>
      <c r="R215" s="112">
        <v>2.5172977878373382</v>
      </c>
      <c r="S215" s="112">
        <v>17.971599999999999</v>
      </c>
      <c r="T215" s="112">
        <v>12.4054</v>
      </c>
      <c r="U215" s="147">
        <v>6.1959999999999997</v>
      </c>
      <c r="V215" s="149">
        <v>3.6844000000000001</v>
      </c>
      <c r="W215">
        <v>17.89</v>
      </c>
      <c r="X215">
        <v>12.998899999999999</v>
      </c>
      <c r="Y215">
        <v>5.3332999999999995</v>
      </c>
      <c r="Z215">
        <v>3.5408000000000004</v>
      </c>
      <c r="AA215" s="104">
        <v>18.088342558486225</v>
      </c>
      <c r="AB215" s="104">
        <v>11.72785721751095</v>
      </c>
      <c r="AC215" s="104">
        <v>4.5006437783089162</v>
      </c>
      <c r="AD215" s="104">
        <v>2.3349354129738762</v>
      </c>
    </row>
    <row r="216" spans="1:30" ht="14.7" customHeight="1">
      <c r="A216" s="110" t="s">
        <v>116</v>
      </c>
      <c r="B216" s="190"/>
      <c r="C216">
        <v>13.77427558826046</v>
      </c>
      <c r="D216">
        <v>9.1699502099643375</v>
      </c>
      <c r="E216">
        <v>5.7728945961263678</v>
      </c>
      <c r="F216">
        <v>4.3533626891896615</v>
      </c>
      <c r="G216">
        <v>15.754528605220314</v>
      </c>
      <c r="H216">
        <v>10.535445487778654</v>
      </c>
      <c r="I216" s="147">
        <v>4.6098077966761215</v>
      </c>
      <c r="J216" s="112">
        <v>2.7594540073932232</v>
      </c>
      <c r="K216" s="112">
        <v>13.94070584240572</v>
      </c>
      <c r="L216" s="126">
        <v>5.4997675230692344</v>
      </c>
      <c r="M216" s="112">
        <v>1.4097169569252079</v>
      </c>
      <c r="N216" s="126">
        <v>1.1648927036970582</v>
      </c>
      <c r="O216" s="147">
        <v>15.050963320138713</v>
      </c>
      <c r="P216" s="147">
        <v>11.33272484173432</v>
      </c>
      <c r="Q216" s="147">
        <v>5.3686371692461741</v>
      </c>
      <c r="R216" s="112">
        <v>4.0449744907613887</v>
      </c>
      <c r="S216" s="112">
        <v>13.2331</v>
      </c>
      <c r="T216" s="112">
        <v>7.6162999999999998</v>
      </c>
      <c r="U216" s="146">
        <v>3.621</v>
      </c>
      <c r="V216" s="113">
        <v>1.1757</v>
      </c>
      <c r="W216">
        <v>13.730500000000001</v>
      </c>
      <c r="X216">
        <v>11.321</v>
      </c>
      <c r="Y216">
        <v>6.1983000000000006</v>
      </c>
      <c r="Z216">
        <v>4.2472000000000003</v>
      </c>
      <c r="AA216" s="104">
        <v>15.891447821010548</v>
      </c>
      <c r="AB216" s="104">
        <v>11.215730402240837</v>
      </c>
      <c r="AC216" s="104">
        <v>5.4741693755475485</v>
      </c>
      <c r="AD216" s="104">
        <v>3.9544193756728574</v>
      </c>
    </row>
    <row r="217" spans="1:30" ht="14.7" customHeight="1">
      <c r="A217" s="110" t="s">
        <v>321</v>
      </c>
      <c r="B217" s="190"/>
      <c r="C217">
        <v>12.903013119417613</v>
      </c>
      <c r="D217">
        <v>8.4124776609299055</v>
      </c>
      <c r="E217">
        <v>3.6197818186906745</v>
      </c>
      <c r="F217">
        <v>2.5169603789260884</v>
      </c>
      <c r="G217">
        <v>14.07975606021234</v>
      </c>
      <c r="H217">
        <v>8.7560795428497133</v>
      </c>
      <c r="I217" s="147">
        <v>3.6092216966487287</v>
      </c>
      <c r="J217" s="112">
        <v>1.9842188676048065</v>
      </c>
      <c r="K217" s="112">
        <v>13.3276614160729</v>
      </c>
      <c r="L217" s="126">
        <v>6.7840211689547747</v>
      </c>
      <c r="M217" s="112">
        <v>2.4272203465768172</v>
      </c>
      <c r="N217" s="126">
        <v>1.319307119277781</v>
      </c>
      <c r="O217" s="147">
        <v>15.085813064659364</v>
      </c>
      <c r="P217" s="147">
        <v>10.059875242855815</v>
      </c>
      <c r="Q217" s="147">
        <v>3.8815612102572534</v>
      </c>
      <c r="R217" s="112">
        <v>2.4430498874042006</v>
      </c>
      <c r="S217" s="112">
        <v>14.4213</v>
      </c>
      <c r="T217" s="112">
        <v>9.3254999999999999</v>
      </c>
      <c r="U217" s="146">
        <v>4.4859999999999998</v>
      </c>
      <c r="V217" s="113">
        <v>2.3239000000000001</v>
      </c>
      <c r="W217">
        <v>12.4666</v>
      </c>
      <c r="X217">
        <v>9.0679999999999996</v>
      </c>
      <c r="Y217">
        <v>4.1659000000000006</v>
      </c>
      <c r="Z217">
        <v>2.7204999999999999</v>
      </c>
      <c r="AA217" s="104">
        <v>13.772899630201854</v>
      </c>
      <c r="AB217" s="104">
        <v>9.2532337724119458</v>
      </c>
      <c r="AC217" s="104">
        <v>3.7707051260046165</v>
      </c>
      <c r="AD217" s="104">
        <v>2.2065398065611901</v>
      </c>
    </row>
    <row r="218" spans="1:30" ht="14.7" customHeight="1">
      <c r="A218" s="110" t="s">
        <v>322</v>
      </c>
      <c r="B218" s="190"/>
      <c r="C218">
        <v>13.764623087366534</v>
      </c>
      <c r="D218">
        <v>8.2193663597845514</v>
      </c>
      <c r="E218">
        <v>3.2346128966162935</v>
      </c>
      <c r="F218">
        <v>2.2100577044213048</v>
      </c>
      <c r="G218">
        <v>11.639852664763144</v>
      </c>
      <c r="H218">
        <v>5.7048473967684021</v>
      </c>
      <c r="I218" s="147">
        <v>2.2188253398307256</v>
      </c>
      <c r="J218" s="112">
        <v>0.94752500641190041</v>
      </c>
      <c r="K218" s="112">
        <v>12.599482433138048</v>
      </c>
      <c r="L218" s="126">
        <v>8.0079608845001946</v>
      </c>
      <c r="M218" s="112">
        <v>3.8378735252748508</v>
      </c>
      <c r="N218" s="126">
        <v>1.9136741587009978</v>
      </c>
      <c r="O218" s="147">
        <v>14.718547761718352</v>
      </c>
      <c r="P218" s="147">
        <v>9.6846572006482425</v>
      </c>
      <c r="Q218" s="147">
        <v>4.0904149110958983</v>
      </c>
      <c r="R218" s="112">
        <v>2.3175625935639599</v>
      </c>
      <c r="S218" s="112">
        <v>14.235500000000002</v>
      </c>
      <c r="T218" s="112">
        <v>11.094900000000001</v>
      </c>
      <c r="U218" s="146">
        <v>3.7178999999999998</v>
      </c>
      <c r="V218" s="113">
        <v>2.4359999999999999</v>
      </c>
      <c r="W218">
        <v>15.8772</v>
      </c>
      <c r="X218">
        <v>10.1058</v>
      </c>
      <c r="Y218">
        <v>3.1707000000000001</v>
      </c>
      <c r="Z218">
        <v>1.5551999999999999</v>
      </c>
      <c r="AA218" s="104">
        <v>13.602503562248479</v>
      </c>
      <c r="AB218" s="104">
        <v>9.6520289927738165</v>
      </c>
      <c r="AC218" s="104">
        <v>4.3796888644066154</v>
      </c>
      <c r="AD218" s="104">
        <v>2.1217487652070317</v>
      </c>
    </row>
    <row r="219" spans="1:30" ht="14.7" customHeight="1">
      <c r="A219" s="110" t="s">
        <v>117</v>
      </c>
      <c r="B219" s="190"/>
      <c r="C219">
        <v>24.258575571218547</v>
      </c>
      <c r="D219">
        <v>16.610825394814174</v>
      </c>
      <c r="E219">
        <v>11.21151448056497</v>
      </c>
      <c r="F219">
        <v>7.7323981327104594</v>
      </c>
      <c r="G219">
        <v>20.251592590477895</v>
      </c>
      <c r="H219">
        <v>16.337408951133376</v>
      </c>
      <c r="I219" s="147">
        <v>8.5496211225213905</v>
      </c>
      <c r="J219" s="112">
        <v>5.4290818032773513</v>
      </c>
      <c r="K219" s="112">
        <v>26.14600191081561</v>
      </c>
      <c r="L219" s="126">
        <v>21.500185232125101</v>
      </c>
      <c r="M219" s="112">
        <v>14.901242030144097</v>
      </c>
      <c r="N219" s="126">
        <v>8.1121921734552629</v>
      </c>
      <c r="O219" s="147">
        <v>28.140688333417742</v>
      </c>
      <c r="P219" s="147">
        <v>23.256893347027933</v>
      </c>
      <c r="Q219" s="147">
        <v>16.808171006572497</v>
      </c>
      <c r="R219" s="112">
        <v>11.582747398618249</v>
      </c>
      <c r="S219" s="112">
        <v>30.047699999999999</v>
      </c>
      <c r="T219" s="112">
        <v>24.679000000000002</v>
      </c>
      <c r="U219" s="146">
        <v>14.9201</v>
      </c>
      <c r="V219" s="113">
        <v>10.356</v>
      </c>
      <c r="W219">
        <v>25.741000000000003</v>
      </c>
      <c r="X219">
        <v>20.4297</v>
      </c>
      <c r="Y219">
        <v>12.884499999999999</v>
      </c>
      <c r="Z219">
        <v>9.3082999999999991</v>
      </c>
      <c r="AA219" s="104">
        <v>22.438094249543692</v>
      </c>
      <c r="AB219" s="104">
        <v>17.59606187454002</v>
      </c>
      <c r="AC219" s="104">
        <v>10.581466106767559</v>
      </c>
      <c r="AD219" s="104">
        <v>8.2875271750477353</v>
      </c>
    </row>
    <row r="220" spans="1:30" ht="14.7" customHeight="1">
      <c r="A220" s="110" t="s">
        <v>279</v>
      </c>
      <c r="B220" s="190"/>
      <c r="C220">
        <v>10.142352285132185</v>
      </c>
      <c r="D220">
        <v>7.8589725725137702</v>
      </c>
      <c r="E220">
        <v>3.8453428686888884</v>
      </c>
      <c r="F220">
        <v>1.8957391015656684</v>
      </c>
      <c r="G220">
        <v>13.158113446970852</v>
      </c>
      <c r="H220">
        <v>9.5827682877141349</v>
      </c>
      <c r="I220" s="147">
        <v>6.2494552250756605</v>
      </c>
      <c r="J220" s="112">
        <v>4.8651694731443698</v>
      </c>
      <c r="K220" s="112">
        <v>18.519288012442498</v>
      </c>
      <c r="L220" s="126">
        <v>10.045125231261951</v>
      </c>
      <c r="M220" s="112">
        <v>5.110111783087949</v>
      </c>
      <c r="N220" s="126">
        <v>1.812782761462042</v>
      </c>
      <c r="O220" s="147">
        <v>14.042165168473698</v>
      </c>
      <c r="P220" s="147">
        <v>9.9330604253738457</v>
      </c>
      <c r="Q220" s="147">
        <v>4.9979227451747716</v>
      </c>
      <c r="R220" s="112">
        <v>3.3754202608343666</v>
      </c>
      <c r="S220" s="112">
        <v>13.680200000000001</v>
      </c>
      <c r="T220" s="112">
        <v>9.8891999999999989</v>
      </c>
      <c r="U220" s="147">
        <v>4.7190000000000003</v>
      </c>
      <c r="V220" s="149">
        <v>2.9832000000000001</v>
      </c>
      <c r="W220">
        <v>15.1729</v>
      </c>
      <c r="X220">
        <v>11.8954</v>
      </c>
      <c r="Y220">
        <v>7.1862999999999992</v>
      </c>
      <c r="Z220">
        <v>4.5701999999999998</v>
      </c>
      <c r="AA220" s="104">
        <v>15.92622509410443</v>
      </c>
      <c r="AB220" s="104">
        <v>11.187236091963291</v>
      </c>
      <c r="AC220" s="104">
        <v>6.1088666175297304</v>
      </c>
      <c r="AD220" s="104">
        <v>3.4113649292191015</v>
      </c>
    </row>
    <row r="221" spans="1:30" ht="14.7" customHeight="1">
      <c r="A221" s="110" t="s">
        <v>323</v>
      </c>
      <c r="B221" s="190"/>
      <c r="C221">
        <v>15.903895015319836</v>
      </c>
      <c r="D221">
        <v>9.9796732779926458</v>
      </c>
      <c r="E221">
        <v>4.3846448976591397</v>
      </c>
      <c r="F221">
        <v>1.8746396083106014</v>
      </c>
      <c r="G221">
        <v>17.520075547051569</v>
      </c>
      <c r="H221">
        <v>9.9637126361866759</v>
      </c>
      <c r="I221" s="147">
        <v>4.4673272671168194</v>
      </c>
      <c r="J221" s="112">
        <v>2.1814007556450159</v>
      </c>
      <c r="K221" s="112">
        <v>15.824452476223689</v>
      </c>
      <c r="L221" s="126">
        <v>10.15021222385446</v>
      </c>
      <c r="M221" s="112">
        <v>4.3592944294767433</v>
      </c>
      <c r="N221" s="126">
        <v>2.3031628384238254</v>
      </c>
      <c r="O221" s="147">
        <v>16.369231199915539</v>
      </c>
      <c r="P221" s="147">
        <v>11.763004884017098</v>
      </c>
      <c r="Q221" s="147">
        <v>5.2279778395832883</v>
      </c>
      <c r="R221" s="112">
        <v>2.9362483681471021</v>
      </c>
      <c r="S221" s="112">
        <v>17.067699999999999</v>
      </c>
      <c r="T221" s="112">
        <v>11.4809</v>
      </c>
      <c r="U221" s="146">
        <v>4.4938000000000002</v>
      </c>
      <c r="V221" s="113">
        <v>2.6478000000000002</v>
      </c>
      <c r="W221">
        <v>17.1419</v>
      </c>
      <c r="X221">
        <v>11.696299999999999</v>
      </c>
      <c r="Y221">
        <v>4.6440000000000001</v>
      </c>
      <c r="Z221">
        <v>2.6668000000000003</v>
      </c>
      <c r="AA221" s="104">
        <v>16.292922014594303</v>
      </c>
      <c r="AB221" s="104">
        <v>10.651600093410545</v>
      </c>
      <c r="AC221" s="104">
        <v>4.5472253478883884</v>
      </c>
      <c r="AD221" s="104">
        <v>3.0360815017544596</v>
      </c>
    </row>
    <row r="222" spans="1:30" ht="14.7" customHeight="1">
      <c r="A222" s="110" t="s">
        <v>347</v>
      </c>
      <c r="B222" s="190"/>
      <c r="C222">
        <v>12.313060408244693</v>
      </c>
      <c r="D222">
        <v>9.2597644958196454</v>
      </c>
      <c r="E222">
        <v>4.6806720257453023</v>
      </c>
      <c r="F222">
        <v>2.1468466039138048</v>
      </c>
      <c r="G222">
        <v>12.868779310751391</v>
      </c>
      <c r="H222">
        <v>8.4409657993595015</v>
      </c>
      <c r="I222" s="147">
        <v>4.0014830871028462</v>
      </c>
      <c r="J222" s="112">
        <v>2.8207175859905309</v>
      </c>
      <c r="K222" s="112">
        <v>11.603052826971949</v>
      </c>
      <c r="L222" s="126">
        <v>10.001076456305841</v>
      </c>
      <c r="M222" s="112">
        <v>5.3428114646583449</v>
      </c>
      <c r="N222" s="126">
        <v>3.9553788926852804</v>
      </c>
      <c r="O222" s="147">
        <v>11.754196067414474</v>
      </c>
      <c r="P222" s="147">
        <v>5.7425612139584805</v>
      </c>
      <c r="Q222" s="147">
        <v>2.9836860326604477</v>
      </c>
      <c r="R222" s="112">
        <v>2.2376001112450745</v>
      </c>
      <c r="S222" s="112">
        <v>11.541500000000001</v>
      </c>
      <c r="T222" s="112">
        <v>10.228299999999999</v>
      </c>
      <c r="U222" s="146">
        <v>3.4263000000000003</v>
      </c>
      <c r="V222" s="113">
        <v>1.9040999999999999</v>
      </c>
      <c r="W222">
        <v>12.2066</v>
      </c>
      <c r="X222">
        <v>6.2248000000000001</v>
      </c>
      <c r="Y222">
        <v>2.6934</v>
      </c>
      <c r="Z222">
        <v>1.4311</v>
      </c>
      <c r="AA222" s="104">
        <v>10.695537407557797</v>
      </c>
      <c r="AB222" s="104">
        <v>7.4632496891033036</v>
      </c>
      <c r="AC222" s="104">
        <v>3.8976681957314727</v>
      </c>
      <c r="AD222" s="104">
        <v>1.5541890003200616</v>
      </c>
    </row>
    <row r="223" spans="1:30" ht="14.7" customHeight="1">
      <c r="A223" s="110" t="s">
        <v>348</v>
      </c>
      <c r="B223" s="190"/>
      <c r="C223">
        <v>11.85583099169957</v>
      </c>
      <c r="D223">
        <v>9.1010189686022649</v>
      </c>
      <c r="E223">
        <v>4.9716439180065635</v>
      </c>
      <c r="F223">
        <v>2.8900379405458194</v>
      </c>
      <c r="G223">
        <v>13.932360796870022</v>
      </c>
      <c r="H223">
        <v>7.7202157215231244</v>
      </c>
      <c r="I223" s="147">
        <v>2.1999101160320316</v>
      </c>
      <c r="J223" s="112">
        <v>1.9451707795391404</v>
      </c>
      <c r="K223" s="112">
        <v>16.488543470382151</v>
      </c>
      <c r="L223" s="126">
        <v>12.050415559382046</v>
      </c>
      <c r="M223" s="112">
        <v>6.8302154617931352</v>
      </c>
      <c r="N223" s="126">
        <v>4.3475455582932421</v>
      </c>
      <c r="O223" s="147">
        <v>15.952783289670638</v>
      </c>
      <c r="P223" s="147">
        <v>11.187225332249627</v>
      </c>
      <c r="Q223" s="147">
        <v>5.437764804383348</v>
      </c>
      <c r="R223" s="112">
        <v>3.1025942772552049</v>
      </c>
      <c r="S223" s="112">
        <v>13.026299999999999</v>
      </c>
      <c r="T223" s="112">
        <v>8.8048000000000002</v>
      </c>
      <c r="U223" s="146">
        <v>4.7684999999999995</v>
      </c>
      <c r="V223" s="113">
        <v>1.8238999999999999</v>
      </c>
      <c r="W223">
        <v>10.875300000000001</v>
      </c>
      <c r="X223">
        <v>7.1633000000000004</v>
      </c>
      <c r="Y223">
        <v>4.4324000000000003</v>
      </c>
      <c r="Z223">
        <v>2.3741000000000003</v>
      </c>
      <c r="AA223" s="104">
        <v>14.816758078670947</v>
      </c>
      <c r="AB223" s="104">
        <v>10.798912199337229</v>
      </c>
      <c r="AC223" s="104">
        <v>3.5759675579518619</v>
      </c>
      <c r="AD223" s="104">
        <v>2.5204311591335733</v>
      </c>
    </row>
    <row r="224" spans="1:30" ht="14.7" customHeight="1">
      <c r="A224" s="110" t="s">
        <v>239</v>
      </c>
      <c r="B224" s="190"/>
      <c r="C224">
        <v>5.0325477432145913</v>
      </c>
      <c r="D224">
        <v>2.1855187252899668</v>
      </c>
      <c r="E224">
        <v>0.64081402919613162</v>
      </c>
      <c r="F224">
        <v>0.28502394422695976</v>
      </c>
      <c r="G224">
        <v>8.928248131933243</v>
      </c>
      <c r="H224">
        <v>3.9112133381612297</v>
      </c>
      <c r="I224" s="147">
        <v>1.1159024326014682</v>
      </c>
      <c r="J224" s="112">
        <v>0.33287797491688337</v>
      </c>
      <c r="K224" s="112">
        <v>8.5047070124879909</v>
      </c>
      <c r="L224" s="126">
        <v>5.3437079731027852</v>
      </c>
      <c r="M224" s="112">
        <v>3.1048991354466859</v>
      </c>
      <c r="N224" s="126">
        <v>2.0040345821325647</v>
      </c>
      <c r="O224" s="147">
        <v>10.910025127336773</v>
      </c>
      <c r="P224" s="147">
        <v>7.1978938038417306</v>
      </c>
      <c r="Q224" s="147">
        <v>2.6070462873676035</v>
      </c>
      <c r="R224" s="112">
        <v>1.3288319539450617</v>
      </c>
      <c r="S224" s="112">
        <v>9.1488999999999994</v>
      </c>
      <c r="T224" s="112">
        <v>6.0331000000000001</v>
      </c>
      <c r="U224" s="146">
        <v>2.7128999999999999</v>
      </c>
      <c r="V224" s="113">
        <v>0.80770000000000008</v>
      </c>
      <c r="W224">
        <v>6.7908999999999997</v>
      </c>
      <c r="X224">
        <v>5.3804999999999996</v>
      </c>
      <c r="Y224">
        <v>2.7481</v>
      </c>
      <c r="Z224">
        <v>1.1697000000000002</v>
      </c>
      <c r="AA224" s="104">
        <v>6.4708728367164721</v>
      </c>
      <c r="AB224" s="104">
        <v>3.9730259557899044</v>
      </c>
      <c r="AC224" s="104">
        <v>1.8317961928833961</v>
      </c>
      <c r="AD224" s="104">
        <v>1.1192909496364634</v>
      </c>
    </row>
    <row r="225" spans="1:30" ht="14.7" customHeight="1">
      <c r="A225" s="110" t="s">
        <v>118</v>
      </c>
      <c r="B225" s="190"/>
      <c r="C225">
        <v>42.914698065518628</v>
      </c>
      <c r="D225">
        <v>34.281969541186882</v>
      </c>
      <c r="E225">
        <v>25.924565688357067</v>
      </c>
      <c r="F225">
        <v>16.684389596128067</v>
      </c>
      <c r="G225">
        <v>38.60263938237398</v>
      </c>
      <c r="H225">
        <v>33.174474681014665</v>
      </c>
      <c r="I225" s="147">
        <v>22.207952671077376</v>
      </c>
      <c r="J225" s="112">
        <v>11.292557583725408</v>
      </c>
      <c r="K225" s="112">
        <v>43.197868852134803</v>
      </c>
      <c r="L225" s="126">
        <v>33.504184017134165</v>
      </c>
      <c r="M225" s="112">
        <v>18.760997476054364</v>
      </c>
      <c r="N225" s="126">
        <v>12.609576661862945</v>
      </c>
      <c r="O225" s="147">
        <v>42.812243148846832</v>
      </c>
      <c r="P225" s="147">
        <v>38.799249129286252</v>
      </c>
      <c r="Q225" s="147">
        <v>28.416917847661434</v>
      </c>
      <c r="R225" s="112">
        <v>18.969243619802882</v>
      </c>
      <c r="S225" s="112">
        <v>40.0291</v>
      </c>
      <c r="T225" s="112">
        <v>36.599900000000005</v>
      </c>
      <c r="U225" s="146">
        <v>25.427300000000002</v>
      </c>
      <c r="V225" s="113">
        <v>17.4328</v>
      </c>
      <c r="W225">
        <v>43.351600000000005</v>
      </c>
      <c r="X225">
        <v>39.2014</v>
      </c>
      <c r="Y225">
        <v>26.803599999999999</v>
      </c>
      <c r="Z225">
        <v>18.276500000000002</v>
      </c>
      <c r="AA225" s="104">
        <v>44.655988715456523</v>
      </c>
      <c r="AB225" s="104">
        <v>39.567370940948294</v>
      </c>
      <c r="AC225" s="104">
        <v>25.313693957031802</v>
      </c>
      <c r="AD225" s="104">
        <v>19.070839429275921</v>
      </c>
    </row>
    <row r="226" spans="1:30" ht="14.7" customHeight="1">
      <c r="A226" s="110" t="s">
        <v>324</v>
      </c>
      <c r="B226" s="190"/>
      <c r="C226">
        <v>25.360925194770129</v>
      </c>
      <c r="D226">
        <v>18.091767063807485</v>
      </c>
      <c r="E226">
        <v>10.489892670880678</v>
      </c>
      <c r="F226">
        <v>6.2168371635881607</v>
      </c>
      <c r="G226">
        <v>23.606265663041899</v>
      </c>
      <c r="H226">
        <v>16.863422842774817</v>
      </c>
      <c r="I226" s="147">
        <v>10.050645494532624</v>
      </c>
      <c r="J226" s="112">
        <v>5.4738309954324844</v>
      </c>
      <c r="K226" s="112">
        <v>26.106650643529633</v>
      </c>
      <c r="L226" s="126">
        <v>18.4212524865993</v>
      </c>
      <c r="M226" s="112">
        <v>8.8766873387910277</v>
      </c>
      <c r="N226" s="126">
        <v>5.7159079929430865</v>
      </c>
      <c r="O226" s="147">
        <v>27.196428966786822</v>
      </c>
      <c r="P226" s="147">
        <v>20.879866077957391</v>
      </c>
      <c r="Q226" s="147">
        <v>12.664120283245126</v>
      </c>
      <c r="R226" s="112">
        <v>7.7352114946647994</v>
      </c>
      <c r="S226" s="112">
        <v>24.8355</v>
      </c>
      <c r="T226" s="112">
        <v>19.5044</v>
      </c>
      <c r="U226" s="146">
        <v>11.204600000000001</v>
      </c>
      <c r="V226" s="113">
        <v>7.3286000000000007</v>
      </c>
      <c r="W226">
        <v>25.984099999999998</v>
      </c>
      <c r="X226">
        <v>19.886499999999998</v>
      </c>
      <c r="Y226">
        <v>11.2821</v>
      </c>
      <c r="Z226">
        <v>7.2650999999999994</v>
      </c>
      <c r="AA226" s="104">
        <v>27.360615780317239</v>
      </c>
      <c r="AB226" s="104">
        <v>21.423282153896494</v>
      </c>
      <c r="AC226" s="104">
        <v>11.548406876514132</v>
      </c>
      <c r="AD226" s="104">
        <v>7.8232265884505354</v>
      </c>
    </row>
    <row r="227" spans="1:30" ht="14.7" customHeight="1">
      <c r="A227" s="110" t="s">
        <v>119</v>
      </c>
      <c r="B227" s="190"/>
      <c r="C227">
        <v>9.943353588541525</v>
      </c>
      <c r="D227">
        <v>7.0024770688857663</v>
      </c>
      <c r="E227">
        <v>2.588762164655892</v>
      </c>
      <c r="F227">
        <v>2.3081363415527156</v>
      </c>
      <c r="G227">
        <v>9.5825453896161861</v>
      </c>
      <c r="H227">
        <v>3.6076426801025581</v>
      </c>
      <c r="I227" s="147">
        <v>1.4127205850956757</v>
      </c>
      <c r="J227" s="112">
        <v>0.20963081796684535</v>
      </c>
      <c r="K227" s="112">
        <v>10.299399050671362</v>
      </c>
      <c r="L227" s="126">
        <v>7.5223389464542532</v>
      </c>
      <c r="M227" s="112">
        <v>3.0214844294654988</v>
      </c>
      <c r="N227" s="126">
        <v>2.6314741115214382</v>
      </c>
      <c r="O227" s="147">
        <v>11.377316274079545</v>
      </c>
      <c r="P227" s="147">
        <v>6.7615170838876608</v>
      </c>
      <c r="Q227" s="147">
        <v>2.3027223372583805</v>
      </c>
      <c r="R227" s="112">
        <v>1.5727478216601234</v>
      </c>
      <c r="S227" s="112">
        <v>9.4343000000000004</v>
      </c>
      <c r="T227" s="112">
        <v>7.5645000000000007</v>
      </c>
      <c r="U227" s="147">
        <v>2.6053000000000002</v>
      </c>
      <c r="V227" s="149">
        <v>1.2152000000000001</v>
      </c>
      <c r="W227">
        <v>8.9854000000000003</v>
      </c>
      <c r="X227">
        <v>5.6035000000000004</v>
      </c>
      <c r="Y227">
        <v>2.9333999999999998</v>
      </c>
      <c r="Z227">
        <v>1.17</v>
      </c>
      <c r="AA227" s="104">
        <v>11.507243468785996</v>
      </c>
      <c r="AB227" s="104">
        <v>6.682930000192119</v>
      </c>
      <c r="AC227" s="104">
        <v>3.2375534890221407</v>
      </c>
      <c r="AD227" s="104">
        <v>1.9529736224718961</v>
      </c>
    </row>
    <row r="228" spans="1:30" ht="14.7" customHeight="1">
      <c r="A228" s="110" t="s">
        <v>280</v>
      </c>
      <c r="B228" s="190"/>
      <c r="C228">
        <v>17.364901010756149</v>
      </c>
      <c r="D228">
        <v>11.554966223414256</v>
      </c>
      <c r="E228">
        <v>7.0851810397609833</v>
      </c>
      <c r="F228">
        <v>5.4533015477784295</v>
      </c>
      <c r="G228">
        <v>22.970110228146627</v>
      </c>
      <c r="H228">
        <v>15.1421686746988</v>
      </c>
      <c r="I228" s="147">
        <v>7.9007433991284275</v>
      </c>
      <c r="J228" s="112">
        <v>4.4644962830043573</v>
      </c>
      <c r="K228" s="112">
        <v>25.12845693842835</v>
      </c>
      <c r="L228" s="126">
        <v>15.195276714049232</v>
      </c>
      <c r="M228" s="112">
        <v>8.6045758323082442</v>
      </c>
      <c r="N228" s="126">
        <v>5.1330560462948798</v>
      </c>
      <c r="O228" s="147">
        <v>23.015250252419143</v>
      </c>
      <c r="P228" s="147">
        <v>15.031970520740714</v>
      </c>
      <c r="Q228" s="147">
        <v>7.8667928617461431</v>
      </c>
      <c r="R228" s="112">
        <v>5.4495731464291151</v>
      </c>
      <c r="S228" s="112">
        <v>23.645700000000001</v>
      </c>
      <c r="T228" s="112">
        <v>16.2422</v>
      </c>
      <c r="U228" s="146">
        <v>6.7055000000000007</v>
      </c>
      <c r="V228" s="113">
        <v>4.5392999999999999</v>
      </c>
      <c r="W228">
        <v>20.514299999999999</v>
      </c>
      <c r="X228">
        <v>14.660200000000001</v>
      </c>
      <c r="Y228">
        <v>7.0510000000000002</v>
      </c>
      <c r="Z228">
        <v>3.9421999999999997</v>
      </c>
      <c r="AA228" s="104">
        <v>21.239125621584083</v>
      </c>
      <c r="AB228" s="104">
        <v>16.575599951444943</v>
      </c>
      <c r="AC228" s="104">
        <v>9.5253702719923705</v>
      </c>
      <c r="AD228" s="104">
        <v>6.2962274678751138</v>
      </c>
    </row>
    <row r="229" spans="1:30" ht="14.7" customHeight="1">
      <c r="A229" s="110" t="s">
        <v>281</v>
      </c>
      <c r="B229" s="190"/>
      <c r="C229">
        <v>14.349802329294375</v>
      </c>
      <c r="D229">
        <v>7.8235121609110596</v>
      </c>
      <c r="E229">
        <v>3.1222293395693304</v>
      </c>
      <c r="F229">
        <v>1.2891264279416215</v>
      </c>
      <c r="G229">
        <v>12.346586982234212</v>
      </c>
      <c r="H229">
        <v>4.9904189276049724</v>
      </c>
      <c r="I229" s="147">
        <v>2.7030512340542145</v>
      </c>
      <c r="J229" s="112">
        <v>0.91438289229504455</v>
      </c>
      <c r="K229" s="112">
        <v>14.577266354542934</v>
      </c>
      <c r="L229" s="126">
        <v>6.8762916397114209</v>
      </c>
      <c r="M229" s="112">
        <v>1.5465265583737582</v>
      </c>
      <c r="N229" s="126">
        <v>0.44321307852186281</v>
      </c>
      <c r="O229" s="147">
        <v>12.443415320652006</v>
      </c>
      <c r="P229" s="147">
        <v>7.4545244862509215</v>
      </c>
      <c r="Q229" s="147">
        <v>2.6692046605984778</v>
      </c>
      <c r="R229" s="112">
        <v>1.9826572153308049</v>
      </c>
      <c r="S229" s="112">
        <v>12.9682</v>
      </c>
      <c r="T229" s="112">
        <v>9.5711000000000013</v>
      </c>
      <c r="U229" s="147">
        <v>3.9009</v>
      </c>
      <c r="V229" s="149">
        <v>1.7742999999999998</v>
      </c>
      <c r="W229">
        <v>9.6524000000000001</v>
      </c>
      <c r="X229">
        <v>7.5245000000000006</v>
      </c>
      <c r="Y229">
        <v>5.6989000000000001</v>
      </c>
      <c r="Z229">
        <v>3.0705</v>
      </c>
      <c r="AA229" s="104">
        <v>13.24467987064024</v>
      </c>
      <c r="AB229" s="104">
        <v>8.1320957736484978</v>
      </c>
      <c r="AC229" s="104">
        <v>5.4726084760947025</v>
      </c>
      <c r="AD229" s="104">
        <v>2.4507677362703437</v>
      </c>
    </row>
    <row r="230" spans="1:30" ht="14.7" customHeight="1">
      <c r="A230" s="110" t="s">
        <v>282</v>
      </c>
      <c r="B230" s="190"/>
      <c r="C230">
        <v>18.780575846140763</v>
      </c>
      <c r="D230">
        <v>14.419544565405982</v>
      </c>
      <c r="E230">
        <v>7.8418834282812888</v>
      </c>
      <c r="F230">
        <v>6.2133959198155697</v>
      </c>
      <c r="G230">
        <v>19.249022323610884</v>
      </c>
      <c r="H230">
        <v>13.796643311064038</v>
      </c>
      <c r="I230" s="147">
        <v>6.80849763728206</v>
      </c>
      <c r="J230" s="112">
        <v>3.3884634186084415</v>
      </c>
      <c r="K230" s="112">
        <v>15.926110440513627</v>
      </c>
      <c r="L230" s="126">
        <v>9.564105494193722</v>
      </c>
      <c r="M230" s="112">
        <v>3.8287551669379019</v>
      </c>
      <c r="N230" s="126">
        <v>2.9858891861752639</v>
      </c>
      <c r="O230" s="147">
        <v>18.718133413576123</v>
      </c>
      <c r="P230" s="147">
        <v>15.537060156662644</v>
      </c>
      <c r="Q230" s="147">
        <v>9.0942269788459882</v>
      </c>
      <c r="R230" s="112">
        <v>7.0961767683856198</v>
      </c>
      <c r="S230" s="112">
        <v>18.797499999999999</v>
      </c>
      <c r="T230" s="112">
        <v>13.211500000000001</v>
      </c>
      <c r="U230" s="146">
        <v>6.4102000000000006</v>
      </c>
      <c r="V230" s="113">
        <v>3.5131000000000001</v>
      </c>
      <c r="W230">
        <v>18.5747</v>
      </c>
      <c r="X230">
        <v>12.6585</v>
      </c>
      <c r="Y230">
        <v>6.1353999999999997</v>
      </c>
      <c r="Z230">
        <v>3.8823000000000003</v>
      </c>
    </row>
    <row r="231" spans="1:30" ht="14.7" customHeight="1">
      <c r="A231" s="110" t="s">
        <v>283</v>
      </c>
      <c r="B231" s="190"/>
      <c r="C231">
        <v>21.12934900652942</v>
      </c>
      <c r="D231">
        <v>15.180748359243523</v>
      </c>
      <c r="E231">
        <v>8.0006978487104607</v>
      </c>
      <c r="F231">
        <v>4.2478980239558659</v>
      </c>
      <c r="G231">
        <v>23.95449466734383</v>
      </c>
      <c r="H231">
        <v>17.591184792506827</v>
      </c>
      <c r="I231" s="147">
        <v>5.6696777026148055</v>
      </c>
      <c r="J231" s="112">
        <v>3.9116365292051514</v>
      </c>
      <c r="K231" s="112">
        <v>20.425670879442141</v>
      </c>
      <c r="L231" s="126">
        <v>16.70218386582944</v>
      </c>
      <c r="M231" s="112">
        <v>10.860995830248084</v>
      </c>
      <c r="N231" s="126">
        <v>6.3225852069065089</v>
      </c>
      <c r="O231" s="147">
        <v>23.203657557631889</v>
      </c>
      <c r="P231" s="147">
        <v>16.682717923889783</v>
      </c>
      <c r="Q231" s="147">
        <v>9.1719036711350803</v>
      </c>
      <c r="R231" s="112">
        <v>5.694454865491398</v>
      </c>
      <c r="S231" s="112">
        <v>23.101900000000001</v>
      </c>
      <c r="T231" s="112">
        <v>19.5717</v>
      </c>
      <c r="U231" s="147">
        <v>10.156700000000001</v>
      </c>
      <c r="V231" s="113">
        <v>6.6974000000000009</v>
      </c>
      <c r="W231">
        <v>23.571000000000002</v>
      </c>
      <c r="X231">
        <v>19.680400000000002</v>
      </c>
      <c r="Y231">
        <v>12.105700000000001</v>
      </c>
      <c r="Z231">
        <v>8.2844999999999995</v>
      </c>
      <c r="AA231" s="104">
        <v>21.447881288821478</v>
      </c>
      <c r="AB231" s="104">
        <v>18.435790945888762</v>
      </c>
      <c r="AC231" s="104">
        <v>11.676212392761359</v>
      </c>
      <c r="AD231" s="104">
        <v>7.5219238381638966</v>
      </c>
    </row>
    <row r="232" spans="1:30" ht="14.7" customHeight="1">
      <c r="A232" s="110" t="s">
        <v>120</v>
      </c>
      <c r="B232" s="190"/>
      <c r="C232">
        <v>11.747077609556673</v>
      </c>
      <c r="D232">
        <v>6.3910117701807794</v>
      </c>
      <c r="E232">
        <v>2.6216941193560035</v>
      </c>
      <c r="F232">
        <v>1.6966548415608393</v>
      </c>
      <c r="G232">
        <v>15.108698522854013</v>
      </c>
      <c r="H232">
        <v>8.1562272647832259</v>
      </c>
      <c r="I232" s="147">
        <v>4.4844516519738731</v>
      </c>
      <c r="J232" s="112">
        <v>1.0780811172212534</v>
      </c>
      <c r="K232" s="112">
        <v>18.127225402601255</v>
      </c>
      <c r="L232" s="126">
        <v>11.12069174904666</v>
      </c>
      <c r="M232" s="112">
        <v>3.1856970521321646</v>
      </c>
      <c r="N232" s="126">
        <v>1.5718993142422255</v>
      </c>
      <c r="O232" s="147">
        <v>16.660370585330771</v>
      </c>
      <c r="P232" s="147">
        <v>11.695359211590105</v>
      </c>
      <c r="Q232" s="147">
        <v>4.7150914978790253</v>
      </c>
      <c r="R232" s="112">
        <v>1.6023819342019723</v>
      </c>
      <c r="S232" s="112">
        <v>13.524900000000001</v>
      </c>
      <c r="T232" s="112">
        <v>8.6417999999999999</v>
      </c>
      <c r="U232" s="146">
        <v>4.5358999999999998</v>
      </c>
      <c r="V232" s="113">
        <v>2.9076</v>
      </c>
      <c r="W232">
        <v>16.238800000000001</v>
      </c>
      <c r="X232">
        <v>12.620200000000001</v>
      </c>
      <c r="Y232">
        <v>6.6138000000000003</v>
      </c>
      <c r="Z232">
        <v>2.9285999999999999</v>
      </c>
      <c r="AA232" s="104">
        <v>11.850501154014717</v>
      </c>
      <c r="AB232" s="104">
        <v>7.7842196928034912</v>
      </c>
      <c r="AC232" s="104">
        <v>4.2351629922689034</v>
      </c>
      <c r="AD232" s="104">
        <v>2.6058720798202142</v>
      </c>
    </row>
    <row r="233" spans="1:30" ht="14.7" customHeight="1">
      <c r="A233" s="110" t="s">
        <v>121</v>
      </c>
      <c r="B233" s="189"/>
      <c r="C233">
        <v>16.251283234268559</v>
      </c>
      <c r="D233">
        <v>11.313790240675957</v>
      </c>
      <c r="E233">
        <v>5.749828580189944</v>
      </c>
      <c r="F233">
        <v>3.3576659810130733</v>
      </c>
      <c r="G233">
        <v>18.784287158786864</v>
      </c>
      <c r="H233">
        <v>10.188701244137635</v>
      </c>
      <c r="I233" s="146">
        <v>4.8251794641905859</v>
      </c>
      <c r="J233" s="144">
        <v>1.9770712006963471</v>
      </c>
      <c r="K233" s="144">
        <v>13.95725401677374</v>
      </c>
      <c r="L233" s="126">
        <v>9.4985304366269752</v>
      </c>
      <c r="M233" s="144">
        <v>3.0399256633235363</v>
      </c>
      <c r="N233" s="126">
        <v>1.8980092718843742</v>
      </c>
      <c r="O233" s="146">
        <v>23.466320171270848</v>
      </c>
      <c r="P233" s="146">
        <v>17.844809324972747</v>
      </c>
      <c r="Q233" s="146">
        <v>9.2233178478266851</v>
      </c>
      <c r="R233" s="144">
        <v>5.7188589023928582</v>
      </c>
      <c r="S233" s="144">
        <v>21.206399999999999</v>
      </c>
      <c r="T233" s="144">
        <v>14.272099999999998</v>
      </c>
      <c r="U233" s="146">
        <v>8.0381999999999998</v>
      </c>
      <c r="V233" s="113">
        <v>5.6182999999999996</v>
      </c>
      <c r="W233">
        <v>23.527200000000001</v>
      </c>
      <c r="X233">
        <v>19.192799999999998</v>
      </c>
      <c r="Y233">
        <v>8.9154999999999998</v>
      </c>
      <c r="Z233">
        <v>5.2554999999999996</v>
      </c>
    </row>
    <row r="234" spans="1:30" ht="14.7" customHeight="1">
      <c r="A234" s="110" t="s">
        <v>284</v>
      </c>
      <c r="B234" s="190"/>
      <c r="C234">
        <v>13.099511893598972</v>
      </c>
      <c r="D234">
        <v>8.8466080199175501</v>
      </c>
      <c r="E234">
        <v>5.2004451261156079</v>
      </c>
      <c r="F234">
        <v>4.1238207127598461</v>
      </c>
      <c r="G234">
        <v>19.537625585316366</v>
      </c>
      <c r="H234">
        <v>13.940837630075972</v>
      </c>
      <c r="I234" s="147">
        <v>8.0541981522986035</v>
      </c>
      <c r="J234" s="112">
        <v>6.303045890436124</v>
      </c>
      <c r="K234" s="112">
        <v>16.304808376377292</v>
      </c>
      <c r="L234" s="126">
        <v>9.6634589803065261</v>
      </c>
      <c r="M234" s="112">
        <v>6.2077894948435928</v>
      </c>
      <c r="N234" s="126">
        <v>3.8165095668933655</v>
      </c>
      <c r="O234" s="147">
        <v>23.387515856825246</v>
      </c>
      <c r="P234" s="147">
        <v>18.594556685039386</v>
      </c>
      <c r="Q234" s="147">
        <v>11.561797638920625</v>
      </c>
      <c r="R234" s="112">
        <v>6.7843438062207548</v>
      </c>
      <c r="S234" s="112">
        <v>17.694499999999998</v>
      </c>
      <c r="T234" s="112">
        <v>11.7806</v>
      </c>
      <c r="U234" s="147">
        <v>7.2588999999999997</v>
      </c>
      <c r="V234" s="149">
        <v>4.7974000000000006</v>
      </c>
      <c r="W234">
        <v>18.520099999999999</v>
      </c>
      <c r="X234">
        <v>14.7088</v>
      </c>
      <c r="Y234">
        <v>7.2329000000000008</v>
      </c>
      <c r="Z234">
        <v>4.0853000000000002</v>
      </c>
      <c r="AA234" s="104">
        <v>20.609343732176185</v>
      </c>
      <c r="AB234" s="104">
        <v>16.428337969821388</v>
      </c>
      <c r="AC234" s="104">
        <v>7.2182092339250801</v>
      </c>
      <c r="AD234" s="104">
        <v>4.6619378151100568</v>
      </c>
    </row>
    <row r="235" spans="1:30" ht="14.7" customHeight="1">
      <c r="A235" s="110" t="s">
        <v>216</v>
      </c>
      <c r="B235" s="190"/>
      <c r="C235">
        <v>9.7927707241613842</v>
      </c>
      <c r="D235">
        <v>7.5916316503093215</v>
      </c>
      <c r="E235">
        <v>2.7872713518351322</v>
      </c>
      <c r="F235">
        <v>1.9293947316528128</v>
      </c>
      <c r="G235">
        <v>9.5328147505614194</v>
      </c>
      <c r="H235">
        <v>3.8008757592267495</v>
      </c>
      <c r="I235" s="147">
        <v>0.83741953709869432</v>
      </c>
      <c r="J235" s="112">
        <v>0.12974958129023145</v>
      </c>
      <c r="K235" s="112">
        <v>11.754611913608274</v>
      </c>
      <c r="L235" s="126">
        <v>6.3995253017856832</v>
      </c>
      <c r="M235" s="112">
        <v>2.1303936657457023</v>
      </c>
      <c r="N235" s="126">
        <v>1.5579743737135867</v>
      </c>
      <c r="O235" s="147">
        <v>12.919106517509436</v>
      </c>
      <c r="P235" s="147">
        <v>10.145941637639543</v>
      </c>
      <c r="Q235" s="147">
        <v>5.6922874652571176</v>
      </c>
      <c r="R235" s="112">
        <v>3.8863261740317796</v>
      </c>
      <c r="S235" s="112">
        <v>10.2042</v>
      </c>
      <c r="T235" s="112">
        <v>6.2303999999999995</v>
      </c>
      <c r="U235" s="146">
        <v>2.0150999999999999</v>
      </c>
      <c r="V235" s="113">
        <v>1.1334</v>
      </c>
      <c r="W235">
        <v>8.8600999999999992</v>
      </c>
      <c r="X235">
        <v>6.3997999999999999</v>
      </c>
      <c r="Y235">
        <v>1.9984999999999999</v>
      </c>
      <c r="Z235">
        <v>1.8457000000000001</v>
      </c>
      <c r="AA235" s="104">
        <v>9.3640252878705414</v>
      </c>
      <c r="AB235" s="104">
        <v>6.7664035914193814</v>
      </c>
      <c r="AC235" s="104">
        <v>4.0650155914105079</v>
      </c>
      <c r="AD235" s="104">
        <v>2.0256810674785806</v>
      </c>
    </row>
    <row r="236" spans="1:30" ht="14.7" customHeight="1">
      <c r="A236" s="110" t="s">
        <v>809</v>
      </c>
      <c r="B236" s="190"/>
      <c r="C236">
        <v>14.204233188914092</v>
      </c>
      <c r="D236">
        <v>10.870680823632547</v>
      </c>
      <c r="E236">
        <v>4.059386651460426</v>
      </c>
      <c r="F236">
        <v>2.3485530230208926</v>
      </c>
      <c r="G236">
        <v>9.6170136695221853</v>
      </c>
      <c r="H236">
        <v>6.6876338902624708</v>
      </c>
      <c r="I236" s="147">
        <v>3.2716614316550721</v>
      </c>
      <c r="J236" s="112">
        <v>1.974900480425269</v>
      </c>
      <c r="K236" s="112">
        <v>9.8703165737047041</v>
      </c>
      <c r="L236" s="126">
        <v>7.0590337761362951</v>
      </c>
      <c r="M236" s="112">
        <v>2.3814062468974013</v>
      </c>
      <c r="N236" s="126">
        <v>0.56591410019658073</v>
      </c>
      <c r="O236" s="147">
        <v>10.740682381469064</v>
      </c>
      <c r="P236" s="147">
        <v>8.5120231709120606</v>
      </c>
      <c r="Q236" s="147">
        <v>3.5884948657484763</v>
      </c>
      <c r="R236" s="112">
        <v>2.6430512693430468</v>
      </c>
      <c r="S236" s="112">
        <v>12.423299999999999</v>
      </c>
      <c r="T236" s="112">
        <v>8.6066000000000003</v>
      </c>
      <c r="U236" s="146">
        <v>2.9215</v>
      </c>
      <c r="V236" s="113">
        <v>1.6541000000000001</v>
      </c>
      <c r="W236">
        <v>12.2508</v>
      </c>
      <c r="X236">
        <v>8.8513999999999999</v>
      </c>
      <c r="Y236">
        <v>4.2333999999999996</v>
      </c>
      <c r="Z236">
        <v>2.5514999999999999</v>
      </c>
      <c r="AA236" s="104">
        <v>17.638914822674185</v>
      </c>
      <c r="AB236" s="104">
        <v>14.247911829641568</v>
      </c>
      <c r="AC236" s="104">
        <v>4.7036906131828617</v>
      </c>
      <c r="AD236" s="104">
        <v>2.5314418933729828</v>
      </c>
    </row>
    <row r="237" spans="1:30" ht="14.7" customHeight="1">
      <c r="A237" s="110" t="s">
        <v>122</v>
      </c>
      <c r="B237" s="190"/>
      <c r="C237">
        <v>14.306975664826272</v>
      </c>
      <c r="D237">
        <v>10.656487233124452</v>
      </c>
      <c r="E237">
        <v>4.8459115281936898</v>
      </c>
      <c r="F237">
        <v>1.1076001087045824</v>
      </c>
      <c r="G237">
        <v>10.799572390750308</v>
      </c>
      <c r="H237">
        <v>5.1929975166324311</v>
      </c>
      <c r="I237" s="147">
        <v>2.6906214550694427</v>
      </c>
      <c r="J237" s="112">
        <v>1.8227713564501133</v>
      </c>
      <c r="K237" s="112">
        <v>13.279480961634201</v>
      </c>
      <c r="L237" s="126">
        <v>9.173103791613805</v>
      </c>
      <c r="M237" s="112">
        <v>4.2139748510494783</v>
      </c>
      <c r="N237" s="126">
        <v>2.393446177070452</v>
      </c>
      <c r="O237" s="147">
        <v>14.527740859857058</v>
      </c>
      <c r="P237" s="147">
        <v>9.4516463668772595</v>
      </c>
      <c r="Q237" s="147">
        <v>2.8506210429147352</v>
      </c>
      <c r="R237" s="112">
        <v>1.3138359561983735</v>
      </c>
      <c r="S237" s="112">
        <v>12.0183</v>
      </c>
      <c r="T237" s="112">
        <v>7.2420999999999998</v>
      </c>
      <c r="U237" s="146">
        <v>3.4709999999999996</v>
      </c>
      <c r="V237" s="113">
        <v>2.1479000000000004</v>
      </c>
      <c r="W237">
        <v>12.162800000000001</v>
      </c>
      <c r="X237">
        <v>8.6634000000000011</v>
      </c>
      <c r="Y237">
        <v>2.4535</v>
      </c>
      <c r="Z237">
        <v>1.2484</v>
      </c>
      <c r="AA237" s="104">
        <v>12.205825836819791</v>
      </c>
      <c r="AB237" s="104">
        <v>9.8255234172636658</v>
      </c>
      <c r="AC237" s="104">
        <v>3.8191848651784439</v>
      </c>
      <c r="AD237" s="104">
        <v>2.4908279739610961</v>
      </c>
    </row>
    <row r="238" spans="1:30" ht="14.7" customHeight="1">
      <c r="A238" s="110" t="s">
        <v>349</v>
      </c>
      <c r="B238" s="190"/>
      <c r="C238">
        <v>11.263929507795991</v>
      </c>
      <c r="D238">
        <v>6.4692102433938592</v>
      </c>
      <c r="E238">
        <v>2.1662552811674916</v>
      </c>
      <c r="F238">
        <v>0.35302322329265468</v>
      </c>
      <c r="G238">
        <v>15.76050002348199</v>
      </c>
      <c r="H238">
        <v>10.201823023016484</v>
      </c>
      <c r="I238" s="147">
        <v>3.8112370746688011</v>
      </c>
      <c r="J238" s="112">
        <v>1.7152098273355436</v>
      </c>
      <c r="K238" s="112">
        <v>14.69540152284562</v>
      </c>
      <c r="L238" s="126">
        <v>8.6618882798788093</v>
      </c>
      <c r="M238" s="112">
        <v>3.6522301862002018</v>
      </c>
      <c r="N238" s="126">
        <v>2.3265710335631016</v>
      </c>
      <c r="O238" s="147">
        <v>17.070087934033126</v>
      </c>
      <c r="P238" s="147">
        <v>11.052940840631447</v>
      </c>
      <c r="Q238" s="147">
        <v>3.7519809488274247</v>
      </c>
      <c r="R238" s="112">
        <v>1.5248409685842521</v>
      </c>
      <c r="S238" s="112">
        <v>19.475200000000001</v>
      </c>
      <c r="T238" s="112">
        <v>14.4267</v>
      </c>
      <c r="U238" s="147">
        <v>8.2758000000000003</v>
      </c>
      <c r="V238" s="149">
        <v>3.2897000000000003</v>
      </c>
      <c r="W238">
        <v>16.006600000000002</v>
      </c>
      <c r="X238">
        <v>10.3345</v>
      </c>
      <c r="Y238">
        <v>5.1920000000000002</v>
      </c>
      <c r="Z238">
        <v>3.1489000000000003</v>
      </c>
      <c r="AA238" s="104">
        <v>18.772847434650188</v>
      </c>
      <c r="AB238" s="104">
        <v>14.205621632331496</v>
      </c>
      <c r="AC238" s="104">
        <v>5.712486517163156</v>
      </c>
      <c r="AD238" s="104">
        <v>1.9665821415548526</v>
      </c>
    </row>
    <row r="239" spans="1:30" ht="14.7" customHeight="1">
      <c r="A239" s="26" t="s">
        <v>123</v>
      </c>
      <c r="B239" s="190"/>
      <c r="C239">
        <v>15.928227586337854</v>
      </c>
      <c r="D239">
        <v>9.0653983581839555</v>
      </c>
      <c r="E239">
        <v>4.321318428867098</v>
      </c>
      <c r="F239">
        <v>2.0525749387815142</v>
      </c>
      <c r="G239">
        <v>14.997835617731111</v>
      </c>
      <c r="H239">
        <v>7.0612347056844378</v>
      </c>
      <c r="I239" s="147">
        <v>2.8420141310859273</v>
      </c>
      <c r="J239" s="112">
        <v>0.69588622916649578</v>
      </c>
      <c r="K239" s="112">
        <v>11.88205349286309</v>
      </c>
      <c r="L239" s="126">
        <v>7.9471567521599713</v>
      </c>
      <c r="M239" s="112">
        <v>2.1490453608612721</v>
      </c>
      <c r="N239" s="126">
        <v>1.6328965162905786</v>
      </c>
      <c r="O239" s="147">
        <v>20.070330105749985</v>
      </c>
      <c r="P239" s="147">
        <v>13.941772015368912</v>
      </c>
      <c r="Q239" s="147">
        <v>6.1651413193981837</v>
      </c>
      <c r="R239" s="112">
        <v>2.3633461276395562</v>
      </c>
      <c r="S239" s="112">
        <v>13.2357</v>
      </c>
      <c r="T239" s="112">
        <v>8.3454999999999995</v>
      </c>
      <c r="U239" s="146">
        <v>3.5317000000000003</v>
      </c>
      <c r="V239" s="113">
        <v>2.6890000000000001</v>
      </c>
      <c r="W239">
        <v>14.44</v>
      </c>
      <c r="X239">
        <v>10.235800000000001</v>
      </c>
      <c r="Y239">
        <v>3.1406999999999998</v>
      </c>
      <c r="Z239">
        <v>0.8385999999999999</v>
      </c>
      <c r="AA239" s="104">
        <v>15.668652755814627</v>
      </c>
      <c r="AB239" s="104">
        <v>11.62093059537105</v>
      </c>
      <c r="AC239" s="104">
        <v>5.649030698179601</v>
      </c>
      <c r="AD239" s="104">
        <v>1.78370710569553</v>
      </c>
    </row>
    <row r="240" spans="1:30" ht="14.7" customHeight="1">
      <c r="A240" s="26" t="s">
        <v>394</v>
      </c>
      <c r="B240" s="190"/>
      <c r="C240">
        <v>33.732124925798338</v>
      </c>
      <c r="D240">
        <v>21.427598463675995</v>
      </c>
      <c r="E240">
        <v>10.652697879365082</v>
      </c>
      <c r="F240">
        <v>7.6450318914519935</v>
      </c>
      <c r="G240">
        <v>31.741410030077155</v>
      </c>
      <c r="H240">
        <v>23.615674447495756</v>
      </c>
      <c r="I240" s="147">
        <v>10.692510134693341</v>
      </c>
      <c r="J240" s="112">
        <v>6.6181999476919051</v>
      </c>
      <c r="K240" s="112">
        <v>33.132045323902219</v>
      </c>
      <c r="L240" s="126">
        <v>22.725307826971409</v>
      </c>
      <c r="M240" s="112">
        <v>9.8739351974102423</v>
      </c>
      <c r="N240" s="126">
        <v>4.8771137126035455</v>
      </c>
      <c r="O240" s="147">
        <v>32.284848306376276</v>
      </c>
      <c r="P240" s="147">
        <v>26.597803114580493</v>
      </c>
      <c r="Q240" s="147">
        <v>13.058894726609028</v>
      </c>
      <c r="R240" s="112">
        <v>7.8092882167842648</v>
      </c>
      <c r="S240" s="112">
        <v>30.352</v>
      </c>
      <c r="T240" s="112">
        <v>21.727699999999999</v>
      </c>
      <c r="U240" s="146">
        <v>10.3926</v>
      </c>
      <c r="V240" s="113">
        <v>5.7056000000000004</v>
      </c>
      <c r="W240">
        <v>34.098299999999995</v>
      </c>
      <c r="X240">
        <v>26.4849</v>
      </c>
      <c r="Y240">
        <v>13.744899999999999</v>
      </c>
      <c r="Z240">
        <v>8.8521000000000001</v>
      </c>
      <c r="AA240" s="104">
        <v>36.33106038912409</v>
      </c>
      <c r="AB240" s="104">
        <v>26.757007360404337</v>
      </c>
      <c r="AC240" s="104">
        <v>12.49299512405042</v>
      </c>
      <c r="AD240" s="104">
        <v>6.791470222336117</v>
      </c>
    </row>
    <row r="241" spans="1:30" ht="14.7" customHeight="1">
      <c r="A241" s="110" t="s">
        <v>124</v>
      </c>
      <c r="B241" s="190"/>
      <c r="C241">
        <v>14.02016195199875</v>
      </c>
      <c r="D241">
        <v>8.3247233803035989</v>
      </c>
      <c r="E241">
        <v>2.9987517822037644</v>
      </c>
      <c r="F241">
        <v>2.0297714435340626</v>
      </c>
      <c r="G241">
        <v>13.918818119856768</v>
      </c>
      <c r="H241">
        <v>9.7435265901391794</v>
      </c>
      <c r="I241" s="147">
        <v>4.4291326660394814</v>
      </c>
      <c r="J241" s="112">
        <v>2.1179648479611735</v>
      </c>
      <c r="K241" s="112">
        <v>7.5236078016062153</v>
      </c>
      <c r="L241" s="126">
        <v>4.8603589509070053</v>
      </c>
      <c r="M241" s="112">
        <v>1.5915709918887042</v>
      </c>
      <c r="N241" s="126">
        <v>0.97319501608619952</v>
      </c>
      <c r="O241" s="147">
        <v>17.052168712429964</v>
      </c>
      <c r="P241" s="147">
        <v>12.64439962940952</v>
      </c>
      <c r="Q241" s="147">
        <v>3.2262793866212216</v>
      </c>
      <c r="R241" s="112">
        <v>1.8164352851681826</v>
      </c>
      <c r="S241" s="112">
        <v>18.745200000000001</v>
      </c>
      <c r="T241" s="112">
        <v>11.769</v>
      </c>
      <c r="U241" s="146">
        <v>5.1630000000000003</v>
      </c>
      <c r="V241" s="113">
        <v>3.1297999999999999</v>
      </c>
      <c r="W241">
        <v>17.209800000000001</v>
      </c>
      <c r="X241">
        <v>14.045299999999999</v>
      </c>
      <c r="Y241">
        <v>6.6102999999999996</v>
      </c>
      <c r="Z241">
        <v>4.3180000000000005</v>
      </c>
      <c r="AA241" s="104">
        <v>16.035130753519304</v>
      </c>
      <c r="AB241" s="104">
        <v>10.00933201134864</v>
      </c>
      <c r="AC241" s="104">
        <v>4.7616378662901386</v>
      </c>
      <c r="AD241" s="104">
        <v>2.6577331558547828</v>
      </c>
    </row>
    <row r="242" spans="1:30" ht="14.7" customHeight="1">
      <c r="A242" s="110" t="s">
        <v>240</v>
      </c>
      <c r="B242" s="190"/>
      <c r="C242">
        <v>10.184834175693009</v>
      </c>
      <c r="D242">
        <v>7.1174823291968812</v>
      </c>
      <c r="E242">
        <v>1.4043368971218901</v>
      </c>
      <c r="F242">
        <v>0.44891724308670422</v>
      </c>
      <c r="G242">
        <v>8.2678029595862395</v>
      </c>
      <c r="H242">
        <v>5.5599436230210104</v>
      </c>
      <c r="I242" s="147">
        <v>1.608836496503109</v>
      </c>
      <c r="J242" s="112">
        <v>0.32783992876969759</v>
      </c>
      <c r="K242" s="112">
        <v>7.3230075834864294</v>
      </c>
      <c r="L242" s="126">
        <v>5.1519433930565581</v>
      </c>
      <c r="M242" s="112">
        <v>0.6735910029746317</v>
      </c>
      <c r="N242" s="126">
        <v>0.36486179327792545</v>
      </c>
      <c r="O242" s="147">
        <v>7.6191149025918818</v>
      </c>
      <c r="P242" s="147">
        <v>5.4670665915468994</v>
      </c>
      <c r="Q242" s="147">
        <v>2.3125481398906067</v>
      </c>
      <c r="R242" s="112">
        <v>0.87964373226133763</v>
      </c>
      <c r="S242" s="112">
        <v>11.5936</v>
      </c>
      <c r="T242" s="112">
        <v>8.6047999999999991</v>
      </c>
      <c r="U242" s="146">
        <v>3.4728000000000003</v>
      </c>
      <c r="V242" s="113">
        <v>1.9603999999999999</v>
      </c>
      <c r="W242">
        <v>7.9481999999999999</v>
      </c>
      <c r="X242">
        <v>6.0532000000000004</v>
      </c>
      <c r="Y242">
        <v>2.8047</v>
      </c>
      <c r="Z242">
        <v>1.5513000000000001</v>
      </c>
      <c r="AA242" s="104">
        <v>10.12925233246307</v>
      </c>
      <c r="AB242" s="104">
        <v>7.4876277883269795</v>
      </c>
      <c r="AC242" s="104">
        <v>3.8092634380879757</v>
      </c>
      <c r="AD242" s="104">
        <v>2.9174367104336807</v>
      </c>
    </row>
    <row r="243" spans="1:30" ht="14.7" customHeight="1">
      <c r="A243" s="110" t="s">
        <v>125</v>
      </c>
      <c r="B243" s="190"/>
      <c r="C243">
        <v>10.000940440430293</v>
      </c>
      <c r="D243">
        <v>6.229269384137698</v>
      </c>
      <c r="E243">
        <v>1.8121278679891692</v>
      </c>
      <c r="F243">
        <v>1.2116432217964626</v>
      </c>
      <c r="G243">
        <v>14.190839866032888</v>
      </c>
      <c r="H243">
        <v>7.11470678876913</v>
      </c>
      <c r="I243" s="147">
        <v>2.0911441697569852</v>
      </c>
      <c r="J243" s="112">
        <v>1.3506921838231241</v>
      </c>
      <c r="K243" s="112">
        <v>12.769335177781738</v>
      </c>
      <c r="L243" s="126">
        <v>7.1172729513963358</v>
      </c>
      <c r="M243" s="112">
        <v>3.5485144704587768</v>
      </c>
      <c r="N243" s="126">
        <v>1.2358868179422065</v>
      </c>
      <c r="O243" s="147">
        <v>16.219176364311526</v>
      </c>
      <c r="P243" s="147">
        <v>10.858452299728413</v>
      </c>
      <c r="Q243" s="147">
        <v>4.3338418037120991</v>
      </c>
      <c r="R243" s="112">
        <v>3.0847557575708189</v>
      </c>
      <c r="S243" s="112">
        <v>15.576799999999999</v>
      </c>
      <c r="T243" s="112">
        <v>8.1658999999999988</v>
      </c>
      <c r="U243" s="146">
        <v>3.1668000000000003</v>
      </c>
      <c r="V243" s="113">
        <v>1.9543000000000001</v>
      </c>
      <c r="W243">
        <v>12.9283</v>
      </c>
      <c r="X243">
        <v>8.0564</v>
      </c>
      <c r="Y243">
        <v>2.9264999999999999</v>
      </c>
      <c r="Z243">
        <v>2.5565000000000002</v>
      </c>
      <c r="AA243" s="104">
        <v>15.692539888921086</v>
      </c>
      <c r="AB243" s="104">
        <v>11.190129163748939</v>
      </c>
      <c r="AC243" s="104">
        <v>3.7697380581143238</v>
      </c>
      <c r="AD243" s="104">
        <v>3.2746038627199985</v>
      </c>
    </row>
    <row r="244" spans="1:30" ht="14.7" customHeight="1">
      <c r="A244" s="110" t="s">
        <v>126</v>
      </c>
      <c r="B244" s="190"/>
      <c r="C244">
        <v>13.699506909105018</v>
      </c>
      <c r="D244">
        <v>9.6476770283982844</v>
      </c>
      <c r="E244">
        <v>1.637283530498395</v>
      </c>
      <c r="F244">
        <v>1.2965430184943605</v>
      </c>
      <c r="G244">
        <v>11.761609014093599</v>
      </c>
      <c r="H244">
        <v>6.9076180467446751</v>
      </c>
      <c r="I244" s="147">
        <v>1.6383026361705431</v>
      </c>
      <c r="J244" s="112">
        <v>0.95207934532442318</v>
      </c>
      <c r="K244" s="112">
        <v>9.9453246839936646</v>
      </c>
      <c r="L244" s="126">
        <v>7.7267569224047428</v>
      </c>
      <c r="M244" s="112">
        <v>1.3819524933602767</v>
      </c>
      <c r="N244" s="126">
        <v>0</v>
      </c>
      <c r="O244" s="147">
        <v>8.7507279563386327</v>
      </c>
      <c r="P244" s="147">
        <v>5.7251352189991858</v>
      </c>
      <c r="Q244" s="147">
        <v>2.1401491044989922</v>
      </c>
      <c r="R244" s="112">
        <v>1.3256244213625332</v>
      </c>
      <c r="S244" s="112">
        <v>9.5111000000000008</v>
      </c>
      <c r="T244" s="112">
        <v>6.721000000000001</v>
      </c>
      <c r="U244" s="146">
        <v>2.5495000000000001</v>
      </c>
      <c r="V244" s="113">
        <v>0.86759999999999993</v>
      </c>
      <c r="W244">
        <v>9.6595999999999993</v>
      </c>
      <c r="X244">
        <v>6.7582000000000004</v>
      </c>
      <c r="Y244">
        <v>3.4154999999999998</v>
      </c>
      <c r="Z244">
        <v>0.36940000000000001</v>
      </c>
      <c r="AA244" s="104">
        <v>10.366954294495082</v>
      </c>
      <c r="AB244" s="104">
        <v>9.1456844574211615</v>
      </c>
      <c r="AC244" s="104">
        <v>2.2210762655097969</v>
      </c>
      <c r="AD244" s="104">
        <v>0.95733625909165931</v>
      </c>
    </row>
    <row r="245" spans="1:30" ht="14.7" customHeight="1">
      <c r="A245" s="110" t="s">
        <v>127</v>
      </c>
      <c r="B245" s="190"/>
      <c r="C245">
        <v>14.599890811919305</v>
      </c>
      <c r="D245">
        <v>8.6679341668432919</v>
      </c>
      <c r="E245">
        <v>3.6810978424356362</v>
      </c>
      <c r="F245">
        <v>2.5655737653122768</v>
      </c>
      <c r="G245">
        <v>12.080062826123037</v>
      </c>
      <c r="H245">
        <v>6.2405123243641478</v>
      </c>
      <c r="I245" s="147">
        <v>2.5146641514627714</v>
      </c>
      <c r="J245" s="112">
        <v>2.1863652739939519</v>
      </c>
      <c r="K245" s="112">
        <v>13.833014607967801</v>
      </c>
      <c r="L245" s="126">
        <v>7.7728042462280698</v>
      </c>
      <c r="M245" s="112">
        <v>4.5186648383400883</v>
      </c>
      <c r="N245" s="126">
        <v>3.4130105169049734</v>
      </c>
      <c r="O245" s="147">
        <v>13.244614246187822</v>
      </c>
      <c r="P245" s="147">
        <v>6.8439584623042711</v>
      </c>
      <c r="Q245" s="147">
        <v>2.5355397481955504</v>
      </c>
      <c r="R245" s="112">
        <v>1.4258933474890323</v>
      </c>
      <c r="S245" s="112">
        <v>16.9297</v>
      </c>
      <c r="T245" s="112">
        <v>10.912099999999999</v>
      </c>
      <c r="U245" s="146">
        <v>4.9950999999999999</v>
      </c>
      <c r="V245" s="113">
        <v>2.5459999999999998</v>
      </c>
      <c r="W245">
        <v>10.9268</v>
      </c>
      <c r="X245">
        <v>6.9066000000000001</v>
      </c>
      <c r="Y245">
        <v>4.1133999999999995</v>
      </c>
      <c r="Z245">
        <v>2.5388000000000002</v>
      </c>
      <c r="AA245" s="104">
        <v>11.260383953386798</v>
      </c>
      <c r="AB245" s="104">
        <v>8.8806880607211784</v>
      </c>
      <c r="AC245" s="104">
        <v>4.7744883917550043</v>
      </c>
      <c r="AD245" s="104">
        <v>2.4111438364734372</v>
      </c>
    </row>
    <row r="246" spans="1:30" ht="14.7" customHeight="1">
      <c r="A246" s="110" t="s">
        <v>241</v>
      </c>
      <c r="B246" s="190"/>
      <c r="C246">
        <v>9.0874518832375184</v>
      </c>
      <c r="D246">
        <v>6.5489519885911536</v>
      </c>
      <c r="E246">
        <v>1.3730062158124414</v>
      </c>
      <c r="F246">
        <v>0.986196602008791</v>
      </c>
      <c r="G246">
        <v>8.4891767319059621</v>
      </c>
      <c r="H246">
        <v>3.2687363887933718</v>
      </c>
      <c r="I246" s="147">
        <v>1.881621391495145</v>
      </c>
      <c r="J246" s="112">
        <v>0.72047289220743072</v>
      </c>
      <c r="K246" s="112">
        <v>15.291722646553559</v>
      </c>
      <c r="L246" s="126">
        <v>9.1366855828760727</v>
      </c>
      <c r="M246" s="112">
        <v>4.8060338927368802</v>
      </c>
      <c r="N246" s="126">
        <v>3.2146474819018418</v>
      </c>
      <c r="O246" s="147">
        <v>10.07746620079099</v>
      </c>
      <c r="P246" s="147">
        <v>8.4222857682843468</v>
      </c>
      <c r="Q246" s="147">
        <v>3.5057224211372868</v>
      </c>
      <c r="R246" s="112">
        <v>2.0692612023970622</v>
      </c>
      <c r="S246" s="112">
        <v>8.1035000000000004</v>
      </c>
      <c r="T246" s="112">
        <v>5.4488000000000003</v>
      </c>
      <c r="U246" s="146">
        <v>3.0283000000000002</v>
      </c>
      <c r="V246" s="113">
        <v>1.7996999999999999</v>
      </c>
      <c r="W246">
        <v>8.8308999999999997</v>
      </c>
      <c r="X246">
        <v>5.4824000000000002</v>
      </c>
      <c r="Y246">
        <v>1.0804</v>
      </c>
      <c r="Z246">
        <v>0.50729999999999997</v>
      </c>
      <c r="AA246" s="104">
        <v>8.9773420997353046</v>
      </c>
      <c r="AB246" s="104">
        <v>5.5752866541028299</v>
      </c>
      <c r="AC246" s="104">
        <v>2.0253247341028136</v>
      </c>
      <c r="AD246" s="104">
        <v>0.84715765914978292</v>
      </c>
    </row>
    <row r="247" spans="1:30" ht="14.7" customHeight="1">
      <c r="A247" s="110" t="s">
        <v>128</v>
      </c>
      <c r="B247" s="190"/>
      <c r="C247">
        <v>15.891612157854768</v>
      </c>
      <c r="D247">
        <v>9.7140452872659253</v>
      </c>
      <c r="E247">
        <v>3.8418404420950041</v>
      </c>
      <c r="F247">
        <v>2.1669253518326159</v>
      </c>
      <c r="G247">
        <v>13.261148686219205</v>
      </c>
      <c r="H247">
        <v>7.6697165032149099</v>
      </c>
      <c r="I247" s="147">
        <v>3.6242855751120344</v>
      </c>
      <c r="J247" s="112">
        <v>2.2051779567448202</v>
      </c>
      <c r="K247" s="112">
        <v>12.341887884497659</v>
      </c>
      <c r="L247" s="126">
        <v>7.2232690151930736</v>
      </c>
      <c r="M247" s="112">
        <v>3.1821181259490698</v>
      </c>
      <c r="N247" s="126">
        <v>1.9074820521382405</v>
      </c>
      <c r="O247" s="147">
        <v>14.562851270177953</v>
      </c>
      <c r="P247" s="147">
        <v>10.189001269838572</v>
      </c>
      <c r="Q247" s="147">
        <v>6.0729884845932682</v>
      </c>
      <c r="R247" s="112">
        <v>2.8096523514087175</v>
      </c>
      <c r="S247" s="112">
        <v>13.494</v>
      </c>
      <c r="T247" s="112">
        <v>9.5114999999999998</v>
      </c>
      <c r="U247" s="146">
        <v>5.7679</v>
      </c>
      <c r="V247" s="113">
        <v>3.1815000000000002</v>
      </c>
      <c r="W247">
        <v>17.961600000000001</v>
      </c>
      <c r="X247">
        <v>11.063599999999999</v>
      </c>
      <c r="Y247">
        <v>5.6852999999999998</v>
      </c>
      <c r="Z247">
        <v>2.7109000000000001</v>
      </c>
      <c r="AA247" s="104">
        <v>18.139179739764902</v>
      </c>
      <c r="AB247" s="104">
        <v>12.272268857980121</v>
      </c>
      <c r="AC247" s="104">
        <v>6.2524807314138702</v>
      </c>
      <c r="AD247" s="104">
        <v>1.6214043361320378</v>
      </c>
    </row>
    <row r="248" spans="1:30" ht="14.7" customHeight="1">
      <c r="A248" s="110" t="s">
        <v>129</v>
      </c>
      <c r="B248" s="190"/>
      <c r="C248">
        <v>13.26190318316241</v>
      </c>
      <c r="D248">
        <v>9.5709086889992303</v>
      </c>
      <c r="E248">
        <v>4.0678721533234024</v>
      </c>
      <c r="F248">
        <v>2.5514142926380616</v>
      </c>
      <c r="G248">
        <v>17.065683847098342</v>
      </c>
      <c r="H248">
        <v>9.6887485958850537</v>
      </c>
      <c r="I248" s="147">
        <v>4.49783974503507</v>
      </c>
      <c r="J248" s="112">
        <v>3.2191556825775991</v>
      </c>
      <c r="K248" s="112">
        <v>14.193505616894075</v>
      </c>
      <c r="L248" s="126">
        <v>9.773391607126344</v>
      </c>
      <c r="M248" s="112">
        <v>4.2466959643924076</v>
      </c>
      <c r="N248" s="126">
        <v>2.2642745998367584</v>
      </c>
      <c r="O248" s="147">
        <v>18.214147447688813</v>
      </c>
      <c r="P248" s="147">
        <v>11.363869161120382</v>
      </c>
      <c r="Q248" s="147">
        <v>6.1388328219254742</v>
      </c>
      <c r="R248" s="112">
        <v>4.264165675198802</v>
      </c>
      <c r="S248" s="112">
        <v>22.096599999999999</v>
      </c>
      <c r="T248" s="112">
        <v>17.293199999999999</v>
      </c>
      <c r="U248" s="146">
        <v>9.3437999999999999</v>
      </c>
      <c r="V248" s="113">
        <v>4.5430000000000001</v>
      </c>
      <c r="W248">
        <v>17.724599999999999</v>
      </c>
      <c r="X248">
        <v>11.008900000000001</v>
      </c>
      <c r="Y248">
        <v>3.4114</v>
      </c>
      <c r="Z248">
        <v>2.2311000000000001</v>
      </c>
      <c r="AA248" s="104">
        <v>17.008110645757036</v>
      </c>
      <c r="AB248" s="104">
        <v>10.367922703788292</v>
      </c>
      <c r="AC248" s="104">
        <v>4.3432810292201287</v>
      </c>
      <c r="AD248" s="104">
        <v>2.6427240465434614</v>
      </c>
    </row>
    <row r="249" spans="1:30" ht="14.7" customHeight="1">
      <c r="A249" s="110" t="s">
        <v>130</v>
      </c>
      <c r="B249" s="190"/>
      <c r="C249">
        <v>23.270480924786746</v>
      </c>
      <c r="D249">
        <v>12.64525735117283</v>
      </c>
      <c r="E249">
        <v>4.7933926328541414</v>
      </c>
      <c r="F249">
        <v>1.9475572687101546</v>
      </c>
      <c r="G249">
        <v>18.249459452312813</v>
      </c>
      <c r="H249">
        <v>11.389029577060846</v>
      </c>
      <c r="I249" s="147">
        <v>4.0363606037861723</v>
      </c>
      <c r="J249" s="112">
        <v>1.8865775347770994</v>
      </c>
      <c r="K249" s="112">
        <v>19.856237120009467</v>
      </c>
      <c r="L249" s="126">
        <v>13.711695706278851</v>
      </c>
      <c r="M249" s="112">
        <v>5.2265366726084608</v>
      </c>
      <c r="N249" s="126">
        <v>2.7228716869221841</v>
      </c>
      <c r="O249" s="147">
        <v>22.953899353044555</v>
      </c>
      <c r="P249" s="147">
        <v>18.28383717011625</v>
      </c>
      <c r="Q249" s="147">
        <v>8.9936342758369658</v>
      </c>
      <c r="R249" s="112">
        <v>3.923971016561731</v>
      </c>
      <c r="S249" s="112">
        <v>20.751799999999999</v>
      </c>
      <c r="T249" s="112">
        <v>13.6457</v>
      </c>
      <c r="U249" s="146">
        <v>5.5410000000000004</v>
      </c>
      <c r="V249" s="113">
        <v>3.9415</v>
      </c>
      <c r="W249">
        <v>23.005500000000001</v>
      </c>
      <c r="X249">
        <v>18.459600000000002</v>
      </c>
      <c r="Y249">
        <v>5.4134000000000002</v>
      </c>
      <c r="Z249">
        <v>2.8899999999999997</v>
      </c>
      <c r="AA249" s="104">
        <v>22.13517042122136</v>
      </c>
      <c r="AB249" s="104">
        <v>13.31711149564992</v>
      </c>
      <c r="AC249" s="104">
        <v>4.5914129650456372</v>
      </c>
      <c r="AD249" s="104">
        <v>3.4866998986328208</v>
      </c>
    </row>
    <row r="250" spans="1:30" ht="14.7" customHeight="1">
      <c r="A250" s="110" t="s">
        <v>131</v>
      </c>
      <c r="B250" s="190"/>
      <c r="C250">
        <v>14.462866070865502</v>
      </c>
      <c r="D250">
        <v>10.491104476274865</v>
      </c>
      <c r="E250">
        <v>4.2946423241515177</v>
      </c>
      <c r="F250">
        <v>2.7461146043804527</v>
      </c>
      <c r="G250">
        <v>11.881047503195491</v>
      </c>
      <c r="H250">
        <v>8.7908936944445006</v>
      </c>
      <c r="I250" s="147">
        <v>2.9166829976710269</v>
      </c>
      <c r="J250" s="112">
        <v>1.4619515103256642</v>
      </c>
      <c r="K250" s="112">
        <v>19.064575498119552</v>
      </c>
      <c r="L250" s="126">
        <v>11.991301895058601</v>
      </c>
      <c r="M250" s="112">
        <v>8.2816041482038649</v>
      </c>
      <c r="N250" s="126">
        <v>5.1402439390332466</v>
      </c>
      <c r="O250" s="147">
        <v>14.815809253021317</v>
      </c>
      <c r="P250" s="147">
        <v>10.904862970365564</v>
      </c>
      <c r="Q250" s="147">
        <v>3.4870642864936379</v>
      </c>
      <c r="R250" s="112">
        <v>2.2627316817979306</v>
      </c>
      <c r="S250" s="112">
        <v>18.2883</v>
      </c>
      <c r="T250" s="112">
        <v>14.100099999999999</v>
      </c>
      <c r="U250" s="146">
        <v>5.6584000000000003</v>
      </c>
      <c r="V250" s="113">
        <v>4.2267999999999999</v>
      </c>
      <c r="W250">
        <v>14.5745</v>
      </c>
      <c r="X250">
        <v>9.6326000000000001</v>
      </c>
      <c r="Y250">
        <v>3.3525</v>
      </c>
      <c r="Z250">
        <v>2.5032999999999999</v>
      </c>
      <c r="AA250" s="104">
        <v>15.228921148484579</v>
      </c>
      <c r="AB250" s="104">
        <v>12.111700179676523</v>
      </c>
      <c r="AC250" s="104">
        <v>4.4286513950089326</v>
      </c>
      <c r="AD250" s="104">
        <v>1.5232563712838005</v>
      </c>
    </row>
    <row r="251" spans="1:30" ht="14.7" customHeight="1">
      <c r="A251" s="110" t="s">
        <v>285</v>
      </c>
      <c r="B251" s="190"/>
      <c r="C251">
        <v>21.279455109959709</v>
      </c>
      <c r="D251">
        <v>12.697815383390743</v>
      </c>
      <c r="E251">
        <v>6.9917760225356851</v>
      </c>
      <c r="F251">
        <v>4.0276537132315289</v>
      </c>
      <c r="G251">
        <v>22.398366116685949</v>
      </c>
      <c r="H251">
        <v>14.363577541352161</v>
      </c>
      <c r="I251" s="147">
        <v>4.9358827735568722</v>
      </c>
      <c r="J251" s="112">
        <v>2.8937753846724488</v>
      </c>
      <c r="K251" s="112">
        <v>21.100686329586139</v>
      </c>
      <c r="L251" s="126">
        <v>16.307607417892182</v>
      </c>
      <c r="M251" s="112">
        <v>2.8510823757087222</v>
      </c>
      <c r="N251" s="126">
        <v>1.0503882478068596</v>
      </c>
      <c r="O251" s="147">
        <v>26.89136939596618</v>
      </c>
      <c r="P251" s="147">
        <v>14.929479939892099</v>
      </c>
      <c r="Q251" s="147">
        <v>4.3030518540961236</v>
      </c>
      <c r="R251" s="112">
        <v>2.3407584528024117</v>
      </c>
      <c r="S251" s="112">
        <v>18.452999999999999</v>
      </c>
      <c r="T251" s="112">
        <v>12.3567</v>
      </c>
      <c r="U251" s="146">
        <v>5.9813999999999998</v>
      </c>
      <c r="V251" s="113">
        <v>3.1771000000000003</v>
      </c>
      <c r="W251">
        <v>18.917400000000001</v>
      </c>
      <c r="X251">
        <v>12.134300000000001</v>
      </c>
      <c r="Y251">
        <v>5.3334000000000001</v>
      </c>
      <c r="Z251">
        <v>1.9958</v>
      </c>
      <c r="AA251" s="104">
        <v>16.056198714101892</v>
      </c>
      <c r="AB251" s="104">
        <v>9.5017679956790388</v>
      </c>
      <c r="AC251" s="104">
        <v>4.8079957423607285</v>
      </c>
      <c r="AD251" s="104">
        <v>2.4300671196133989</v>
      </c>
    </row>
    <row r="252" spans="1:30" ht="14.7" customHeight="1">
      <c r="A252" s="110" t="s">
        <v>132</v>
      </c>
      <c r="B252" s="190"/>
      <c r="C252">
        <v>16.51946454435469</v>
      </c>
      <c r="D252">
        <v>9.3740994679037879</v>
      </c>
      <c r="E252">
        <v>2.6940118511886886</v>
      </c>
      <c r="F252">
        <v>1.3435150061195777</v>
      </c>
      <c r="G252">
        <v>15.664193884606679</v>
      </c>
      <c r="H252">
        <v>9.4380454891274432</v>
      </c>
      <c r="I252" s="147">
        <v>3.9280316396441965</v>
      </c>
      <c r="J252" s="112">
        <v>2.3639986864407643</v>
      </c>
      <c r="K252" s="112">
        <v>19.218125421007841</v>
      </c>
      <c r="L252" s="126">
        <v>12.211399784269446</v>
      </c>
      <c r="M252" s="112">
        <v>1.8686548351519605</v>
      </c>
      <c r="N252" s="126">
        <v>1.4062885052781267</v>
      </c>
      <c r="O252" s="147">
        <v>17.304398203926972</v>
      </c>
      <c r="P252" s="147">
        <v>9.7160831939811629</v>
      </c>
      <c r="Q252" s="147">
        <v>3.6875232574192252</v>
      </c>
      <c r="R252" s="112">
        <v>1.8856334430827115</v>
      </c>
      <c r="S252" s="112">
        <v>18.031199999999998</v>
      </c>
      <c r="T252" s="112">
        <v>15.856400000000001</v>
      </c>
      <c r="U252" s="146">
        <v>8.3901000000000003</v>
      </c>
      <c r="V252" s="113">
        <v>6.6990999999999996</v>
      </c>
      <c r="W252">
        <v>16.3019</v>
      </c>
      <c r="X252">
        <v>12.095000000000001</v>
      </c>
      <c r="Y252">
        <v>7.3888999999999996</v>
      </c>
      <c r="Z252">
        <v>4.0026999999999999</v>
      </c>
      <c r="AA252" s="104">
        <v>20.001733580378843</v>
      </c>
      <c r="AB252" s="104">
        <v>10.900897595456744</v>
      </c>
      <c r="AC252" s="104">
        <v>3.6468522441842759</v>
      </c>
      <c r="AD252" s="104">
        <v>2.885559808799163</v>
      </c>
    </row>
    <row r="253" spans="1:30" ht="14.7" customHeight="1">
      <c r="A253" s="110" t="s">
        <v>242</v>
      </c>
      <c r="B253" s="190"/>
      <c r="C253">
        <v>10.958630348134857</v>
      </c>
      <c r="D253">
        <v>7.1164413271135523</v>
      </c>
      <c r="E253">
        <v>3.539946760324296</v>
      </c>
      <c r="F253">
        <v>2.9332669280774253</v>
      </c>
      <c r="G253">
        <v>14.358170061782808</v>
      </c>
      <c r="H253">
        <v>6.6467681047531615</v>
      </c>
      <c r="I253" s="147">
        <v>4.1523557100970008</v>
      </c>
      <c r="J253" s="112">
        <v>3.3055523471995114</v>
      </c>
      <c r="K253" s="112">
        <v>9.2102680421364873</v>
      </c>
      <c r="L253" s="126">
        <v>6.2740774960791974</v>
      </c>
      <c r="M253" s="112">
        <v>2.8114782863861398</v>
      </c>
      <c r="N253" s="126">
        <v>0.62812152406708688</v>
      </c>
      <c r="O253" s="147">
        <v>13.752630721246154</v>
      </c>
      <c r="P253" s="147">
        <v>8.5212509847162181</v>
      </c>
      <c r="Q253" s="147">
        <v>4.5357294961878205</v>
      </c>
      <c r="R253" s="112">
        <v>2.0158393780201256</v>
      </c>
      <c r="S253" s="112">
        <v>13.867899999999999</v>
      </c>
      <c r="T253" s="112">
        <v>9.7004000000000001</v>
      </c>
      <c r="U253" s="146">
        <v>4.8886000000000003</v>
      </c>
      <c r="V253" s="113">
        <v>3.1690999999999998</v>
      </c>
      <c r="W253">
        <v>14.376300000000001</v>
      </c>
      <c r="X253">
        <v>9.8843999999999994</v>
      </c>
      <c r="Y253">
        <v>4.3719999999999999</v>
      </c>
      <c r="Z253">
        <v>3.4746999999999999</v>
      </c>
      <c r="AA253" s="104">
        <v>11.912127904228349</v>
      </c>
      <c r="AB253" s="104">
        <v>8.3574994310892663</v>
      </c>
      <c r="AC253" s="104">
        <v>5.1336709408260921</v>
      </c>
      <c r="AD253" s="104">
        <v>3.4974163214678331</v>
      </c>
    </row>
    <row r="254" spans="1:30" ht="14.7" customHeight="1">
      <c r="A254" s="110" t="s">
        <v>243</v>
      </c>
      <c r="B254" s="190"/>
      <c r="C254">
        <v>5.8727134775411249</v>
      </c>
      <c r="D254">
        <v>3.625102501386964</v>
      </c>
      <c r="E254">
        <v>1.0923701913042045</v>
      </c>
      <c r="F254">
        <v>1.0250011493384319</v>
      </c>
      <c r="G254">
        <v>9.3364115772400122</v>
      </c>
      <c r="H254">
        <v>6.0449909088685407</v>
      </c>
      <c r="I254" s="147">
        <v>2.6156367461087511</v>
      </c>
      <c r="J254" s="112">
        <v>2.1309122930034978</v>
      </c>
      <c r="K254" s="112">
        <v>6.4877559555156283</v>
      </c>
      <c r="L254" s="126">
        <v>3.1039870512316634</v>
      </c>
      <c r="M254" s="112">
        <v>0.95276448846750317</v>
      </c>
      <c r="N254" s="126">
        <v>0.27318648511027172</v>
      </c>
      <c r="O254" s="147">
        <v>8.6586943920293145</v>
      </c>
      <c r="P254" s="147">
        <v>6.170207300981347</v>
      </c>
      <c r="Q254" s="147">
        <v>2.2746013273553967</v>
      </c>
      <c r="R254" s="112">
        <v>1.2416159675827936</v>
      </c>
      <c r="S254" s="112">
        <v>8.2711000000000006</v>
      </c>
      <c r="T254" s="112">
        <v>4.9481000000000002</v>
      </c>
      <c r="U254" s="146">
        <v>2.2865000000000002</v>
      </c>
      <c r="V254" s="113">
        <v>1.3006</v>
      </c>
      <c r="W254">
        <v>12.2089</v>
      </c>
      <c r="X254">
        <v>8.6872000000000007</v>
      </c>
      <c r="Y254">
        <v>4.2690999999999999</v>
      </c>
      <c r="Z254">
        <v>1.677</v>
      </c>
      <c r="AA254" s="104">
        <v>5.9172121937359528</v>
      </c>
      <c r="AB254" s="104">
        <v>5.1494949865299198</v>
      </c>
      <c r="AC254" s="104">
        <v>2.1216501735823683</v>
      </c>
      <c r="AD254" s="104">
        <v>1.5633731266071607</v>
      </c>
    </row>
    <row r="255" spans="1:30" ht="14.7" customHeight="1">
      <c r="A255" s="110" t="s">
        <v>133</v>
      </c>
      <c r="B255" s="190"/>
      <c r="C255">
        <v>12.9654197405843</v>
      </c>
      <c r="D255">
        <v>7.6904592914138465</v>
      </c>
      <c r="E255">
        <v>3.6263171866328188</v>
      </c>
      <c r="F255">
        <v>2.0032708893397602</v>
      </c>
      <c r="G255">
        <v>13.235383610494672</v>
      </c>
      <c r="H255">
        <v>7.95214352075363</v>
      </c>
      <c r="I255" s="147">
        <v>3.9570038176455555</v>
      </c>
      <c r="J255" s="112">
        <v>2.6096710982729312</v>
      </c>
      <c r="K255" s="112">
        <v>17.9922952663003</v>
      </c>
      <c r="L255" s="126">
        <v>13.428052198976925</v>
      </c>
      <c r="M255" s="112">
        <v>5.0324263972253451</v>
      </c>
      <c r="N255" s="126">
        <v>3.7884246868219758</v>
      </c>
      <c r="O255" s="147">
        <v>18.058611996505956</v>
      </c>
      <c r="P255" s="147">
        <v>11.914669632026001</v>
      </c>
      <c r="Q255" s="147">
        <v>6.5417616023183536</v>
      </c>
      <c r="R255" s="112">
        <v>2.8659461509914901</v>
      </c>
      <c r="S255" s="112">
        <v>15.3512</v>
      </c>
      <c r="T255" s="112">
        <v>10.3423</v>
      </c>
      <c r="U255" s="146">
        <v>4.8656999999999995</v>
      </c>
      <c r="V255" s="113">
        <v>3.1695000000000002</v>
      </c>
      <c r="W255">
        <v>19.109300000000001</v>
      </c>
      <c r="X255">
        <v>12.5495</v>
      </c>
      <c r="Y255">
        <v>5.4171999999999993</v>
      </c>
      <c r="Z255">
        <v>4.9722</v>
      </c>
      <c r="AA255" s="104">
        <v>16.2676909527001</v>
      </c>
      <c r="AB255" s="104">
        <v>11.263420760834798</v>
      </c>
      <c r="AC255" s="104">
        <v>5.5706097960510865</v>
      </c>
      <c r="AD255" s="104">
        <v>2.7960993344243565</v>
      </c>
    </row>
    <row r="256" spans="1:30" ht="14.7" customHeight="1">
      <c r="A256" s="110" t="s">
        <v>134</v>
      </c>
      <c r="B256" s="190"/>
      <c r="C256">
        <v>17.922717305618743</v>
      </c>
      <c r="D256">
        <v>13.375415190838078</v>
      </c>
      <c r="E256">
        <v>6.8809085530110101</v>
      </c>
      <c r="F256">
        <v>3.5764691129183941</v>
      </c>
      <c r="G256">
        <v>21.370863878519767</v>
      </c>
      <c r="H256">
        <v>12.604719052428006</v>
      </c>
      <c r="I256" s="147">
        <v>5.7643008712788708</v>
      </c>
      <c r="J256" s="112">
        <v>3.7582334013402408</v>
      </c>
      <c r="K256" s="112">
        <v>17.402525964177308</v>
      </c>
      <c r="L256" s="126">
        <v>10.388753820364723</v>
      </c>
      <c r="M256" s="112">
        <v>5.2068577829911069</v>
      </c>
      <c r="N256" s="126">
        <v>2.9020566043096556</v>
      </c>
      <c r="O256" s="147">
        <v>21.576745783432031</v>
      </c>
      <c r="P256" s="147">
        <v>15.484325365083922</v>
      </c>
      <c r="Q256" s="147">
        <v>7.614996206707632</v>
      </c>
      <c r="R256" s="112">
        <v>2.2262773588512266</v>
      </c>
      <c r="S256" s="112">
        <v>18.1722</v>
      </c>
      <c r="T256" s="112">
        <v>14.140600000000001</v>
      </c>
      <c r="U256" s="146">
        <v>5.6449999999999996</v>
      </c>
      <c r="V256" s="113">
        <v>2.0638000000000001</v>
      </c>
      <c r="W256">
        <v>21.676300000000001</v>
      </c>
      <c r="X256">
        <v>15.768299999999998</v>
      </c>
      <c r="Y256">
        <v>6.9752999999999998</v>
      </c>
      <c r="Z256">
        <v>4.1397000000000004</v>
      </c>
      <c r="AA256" s="104">
        <v>17.991095759650065</v>
      </c>
      <c r="AB256" s="104">
        <v>9.9240004397584336</v>
      </c>
      <c r="AC256" s="104">
        <v>3.8728901439801304</v>
      </c>
      <c r="AD256" s="104">
        <v>2.8454616944808895</v>
      </c>
    </row>
    <row r="257" spans="1:30" ht="14.7" customHeight="1">
      <c r="A257" s="110" t="s">
        <v>244</v>
      </c>
      <c r="B257" s="190"/>
      <c r="C257">
        <v>15.378490881783069</v>
      </c>
      <c r="D257">
        <v>10.924654218013487</v>
      </c>
      <c r="E257">
        <v>6.5759712005228526</v>
      </c>
      <c r="F257">
        <v>3.9697663217441366</v>
      </c>
      <c r="G257">
        <v>14.566923476436521</v>
      </c>
      <c r="H257">
        <v>9.8268520097204455</v>
      </c>
      <c r="I257" s="147">
        <v>3.4327631576244482</v>
      </c>
      <c r="J257" s="112">
        <v>1.8613049471147822</v>
      </c>
      <c r="K257" s="112">
        <v>16.682569136720264</v>
      </c>
      <c r="L257" s="126">
        <v>9.1879203666738878</v>
      </c>
      <c r="M257" s="112">
        <v>3.3258601480198013</v>
      </c>
      <c r="N257" s="126">
        <v>2.2671263748807311</v>
      </c>
      <c r="O257" s="147">
        <v>18.012158837995866</v>
      </c>
      <c r="P257" s="147">
        <v>12.160549747347742</v>
      </c>
      <c r="Q257" s="147">
        <v>5.0500127593290172</v>
      </c>
      <c r="R257" s="112">
        <v>4.0893044881822105</v>
      </c>
      <c r="S257" s="112">
        <v>14.6402</v>
      </c>
      <c r="T257" s="112">
        <v>10.4231</v>
      </c>
      <c r="U257" s="146">
        <v>6.8559999999999999</v>
      </c>
      <c r="V257" s="113">
        <v>4.2317</v>
      </c>
      <c r="W257">
        <v>16.678799999999999</v>
      </c>
      <c r="X257">
        <v>12.455</v>
      </c>
      <c r="Y257">
        <v>4.9091999999999993</v>
      </c>
      <c r="Z257">
        <v>3.3856999999999999</v>
      </c>
      <c r="AA257" s="104">
        <v>16.558685379432227</v>
      </c>
      <c r="AB257" s="104">
        <v>12.204281429348502</v>
      </c>
      <c r="AC257" s="104">
        <v>4.8312752435840833</v>
      </c>
      <c r="AD257" s="104">
        <v>2.3588523490943856</v>
      </c>
    </row>
    <row r="258" spans="1:30" ht="14.7" customHeight="1">
      <c r="A258" s="110" t="s">
        <v>135</v>
      </c>
      <c r="B258" s="190"/>
      <c r="C258">
        <v>20.434548157505024</v>
      </c>
      <c r="D258">
        <v>15.084471528126612</v>
      </c>
      <c r="E258">
        <v>5.5684229630378699</v>
      </c>
      <c r="F258">
        <v>3.7836041953524178</v>
      </c>
      <c r="G258">
        <v>19.742216243375097</v>
      </c>
      <c r="H258">
        <v>12.696756773342333</v>
      </c>
      <c r="I258" s="147">
        <v>4.4584905853354195</v>
      </c>
      <c r="J258" s="112">
        <v>2.2638151636954986</v>
      </c>
      <c r="K258" s="112">
        <v>17.082935480836021</v>
      </c>
      <c r="L258" s="126">
        <v>10.19851380255264</v>
      </c>
      <c r="M258" s="112">
        <v>5.5514907077579343</v>
      </c>
      <c r="N258" s="126">
        <v>4.2312726893678949</v>
      </c>
      <c r="O258" s="147">
        <v>19.085394278054828</v>
      </c>
      <c r="P258" s="147">
        <v>13.010159750942366</v>
      </c>
      <c r="Q258" s="147">
        <v>4.9143023803587562</v>
      </c>
      <c r="R258" s="112">
        <v>1.7620237547635857</v>
      </c>
      <c r="S258" s="112">
        <v>22.240399999999998</v>
      </c>
      <c r="T258" s="112">
        <v>14.6142</v>
      </c>
      <c r="U258" s="146">
        <v>6.2397</v>
      </c>
      <c r="V258" s="113">
        <v>3.4250999999999996</v>
      </c>
      <c r="W258">
        <v>19.418399999999998</v>
      </c>
      <c r="X258">
        <v>15.559200000000001</v>
      </c>
      <c r="Y258">
        <v>5.5464000000000002</v>
      </c>
      <c r="Z258">
        <v>4.1681999999999997</v>
      </c>
      <c r="AA258" s="104">
        <v>22.607385121615465</v>
      </c>
      <c r="AB258" s="104">
        <v>15.255331410026111</v>
      </c>
      <c r="AC258" s="104">
        <v>4.335919245576024</v>
      </c>
      <c r="AD258" s="104">
        <v>2.1368255089587493</v>
      </c>
    </row>
    <row r="259" spans="1:30" ht="14.7" customHeight="1">
      <c r="A259" s="110" t="s">
        <v>136</v>
      </c>
      <c r="B259" s="190"/>
      <c r="C259">
        <v>13.707225032588315</v>
      </c>
      <c r="D259">
        <v>7.4896789672840445</v>
      </c>
      <c r="E259">
        <v>1.3974153496263033</v>
      </c>
      <c r="F259">
        <v>0.96243890987733949</v>
      </c>
      <c r="G259">
        <v>14.819289115044429</v>
      </c>
      <c r="H259">
        <v>8.4730408809073499</v>
      </c>
      <c r="I259" s="147">
        <v>3.7520581232364409</v>
      </c>
      <c r="J259" s="112">
        <v>0.96259979474875079</v>
      </c>
      <c r="K259" s="112">
        <v>15.982123047956362</v>
      </c>
      <c r="L259" s="126">
        <v>7.5785164768173265</v>
      </c>
      <c r="M259" s="112">
        <v>5.1198359413882217</v>
      </c>
      <c r="N259" s="126">
        <v>3.3537273964689822</v>
      </c>
      <c r="O259" s="147">
        <v>14.267134816536691</v>
      </c>
      <c r="P259" s="147">
        <v>9.9111071722017918</v>
      </c>
      <c r="Q259" s="147">
        <v>4.9026611219080491</v>
      </c>
      <c r="R259" s="112">
        <v>1.4145751262186048</v>
      </c>
      <c r="S259" s="112">
        <v>13.423399999999999</v>
      </c>
      <c r="T259" s="112">
        <v>8.3181000000000012</v>
      </c>
      <c r="U259" s="146">
        <v>4.2786999999999997</v>
      </c>
      <c r="V259" s="113">
        <v>1.7423000000000002</v>
      </c>
      <c r="W259">
        <v>16.063400000000001</v>
      </c>
      <c r="X259">
        <v>10.910499999999999</v>
      </c>
      <c r="Y259">
        <v>4.3749000000000002</v>
      </c>
      <c r="Z259">
        <v>0.99380000000000002</v>
      </c>
      <c r="AA259" s="104">
        <v>17.85209002317049</v>
      </c>
      <c r="AB259" s="104">
        <v>11.511653625156759</v>
      </c>
      <c r="AC259" s="104">
        <v>4.1755371437010727</v>
      </c>
      <c r="AD259" s="104">
        <v>2.1512399392835815</v>
      </c>
    </row>
    <row r="260" spans="1:30" ht="14.7" customHeight="1">
      <c r="A260" s="110" t="s">
        <v>245</v>
      </c>
      <c r="B260" s="190"/>
      <c r="C260">
        <v>12.884510807876584</v>
      </c>
      <c r="D260">
        <v>9.2797721274913805</v>
      </c>
      <c r="E260">
        <v>4.2906895160146741</v>
      </c>
      <c r="F260">
        <v>2.6200077493959242</v>
      </c>
      <c r="G260">
        <v>9.7810927172397069</v>
      </c>
      <c r="H260">
        <v>6.1529778737968952</v>
      </c>
      <c r="I260" s="147">
        <v>3.3092206673058957</v>
      </c>
      <c r="J260" s="112">
        <v>0.6958688853556011</v>
      </c>
      <c r="K260" s="112">
        <v>12.309118118771771</v>
      </c>
      <c r="L260" s="126">
        <v>7.5366919357285305</v>
      </c>
      <c r="M260" s="112">
        <v>2.2240844127255439</v>
      </c>
      <c r="N260" s="126">
        <v>1.1530165636295697</v>
      </c>
      <c r="O260" s="147">
        <v>13.097401288280301</v>
      </c>
      <c r="P260" s="147">
        <v>9.1223021686303252</v>
      </c>
      <c r="Q260" s="147">
        <v>5.2209106272110741</v>
      </c>
      <c r="R260" s="112">
        <v>2.0393791966089192</v>
      </c>
      <c r="S260" s="112">
        <v>13.956399999999999</v>
      </c>
      <c r="T260" s="112">
        <v>9.7439999999999998</v>
      </c>
      <c r="U260" s="146">
        <v>4.6670999999999996</v>
      </c>
      <c r="V260" s="113">
        <v>2.6947000000000001</v>
      </c>
      <c r="W260">
        <v>14.9261</v>
      </c>
      <c r="X260">
        <v>8.9996999999999989</v>
      </c>
      <c r="Y260">
        <v>4.6116000000000001</v>
      </c>
      <c r="Z260">
        <v>3.0463</v>
      </c>
      <c r="AA260" s="104">
        <v>12.196818368693197</v>
      </c>
      <c r="AB260" s="104">
        <v>8.7008912596980057</v>
      </c>
      <c r="AC260" s="104">
        <v>4.047712735124203</v>
      </c>
      <c r="AD260" s="104">
        <v>1.8180117265213669</v>
      </c>
    </row>
    <row r="261" spans="1:30" ht="14.7" customHeight="1">
      <c r="A261" s="26" t="s">
        <v>325</v>
      </c>
      <c r="B261" s="190"/>
      <c r="C261">
        <v>15.263524066666026</v>
      </c>
      <c r="D261">
        <v>11.62343982147574</v>
      </c>
      <c r="E261">
        <v>4.2455441341599212</v>
      </c>
      <c r="F261">
        <v>3.1864350204489087</v>
      </c>
      <c r="G261">
        <v>11.926416625289136</v>
      </c>
      <c r="H261">
        <v>8.0163057304100249</v>
      </c>
      <c r="I261" s="147">
        <v>2.4499298886154985</v>
      </c>
      <c r="J261" s="112">
        <v>1.2522361359570662</v>
      </c>
      <c r="K261" s="112">
        <v>17.469996128532713</v>
      </c>
      <c r="L261" s="126">
        <v>11.395761903583402</v>
      </c>
      <c r="M261" s="112">
        <v>6.237018902191771</v>
      </c>
      <c r="N261" s="126">
        <v>3.7115231218219518</v>
      </c>
      <c r="O261" s="147">
        <v>15.976072511381108</v>
      </c>
      <c r="P261" s="147">
        <v>9.9436889815956331</v>
      </c>
      <c r="Q261" s="147">
        <v>5.6278638404354941</v>
      </c>
      <c r="R261" s="112">
        <v>3.6738423897623584</v>
      </c>
      <c r="S261" s="112">
        <v>15.999499999999999</v>
      </c>
      <c r="T261" s="112">
        <v>10.4003</v>
      </c>
      <c r="U261" s="146">
        <v>6.3442999999999996</v>
      </c>
      <c r="V261" s="113">
        <v>5.4352999999999998</v>
      </c>
      <c r="W261">
        <v>19.503799999999998</v>
      </c>
      <c r="X261">
        <v>13.613800000000001</v>
      </c>
      <c r="Y261">
        <v>4.0572999999999997</v>
      </c>
      <c r="Z261">
        <v>2.7456</v>
      </c>
      <c r="AA261" s="104">
        <v>20.382746858262379</v>
      </c>
      <c r="AB261" s="104">
        <v>12.232646589656209</v>
      </c>
      <c r="AC261" s="104">
        <v>5.918112552052091</v>
      </c>
      <c r="AD261" s="104">
        <v>3.6753166284164944</v>
      </c>
    </row>
    <row r="262" spans="1:30" ht="14.7" customHeight="1">
      <c r="A262" s="110" t="s">
        <v>286</v>
      </c>
      <c r="B262" s="190"/>
      <c r="C262">
        <v>11.297516672390854</v>
      </c>
      <c r="D262">
        <v>7.5623830016919191</v>
      </c>
      <c r="E262">
        <v>3.5482489945805087</v>
      </c>
      <c r="F262">
        <v>3.0828252870642574</v>
      </c>
      <c r="G262">
        <v>10.785735884213365</v>
      </c>
      <c r="H262">
        <v>7.7382965335891161</v>
      </c>
      <c r="I262" s="147">
        <v>3.5129357608252323</v>
      </c>
      <c r="J262" s="112">
        <v>2.223356308835013</v>
      </c>
      <c r="K262" s="112">
        <v>12.488431421466453</v>
      </c>
      <c r="L262" s="126">
        <v>8.0314789338092378</v>
      </c>
      <c r="M262" s="112">
        <v>5.0153184855144133</v>
      </c>
      <c r="N262" s="126">
        <v>2.8560263788147662</v>
      </c>
      <c r="O262" s="147">
        <v>12.087609432459189</v>
      </c>
      <c r="P262" s="147">
        <v>8.367988971590103</v>
      </c>
      <c r="Q262" s="147">
        <v>3.7777294927320515</v>
      </c>
      <c r="R262" s="112">
        <v>2.5912779083038977</v>
      </c>
      <c r="S262" s="112">
        <v>11.9849</v>
      </c>
      <c r="T262" s="112">
        <v>9.2204999999999995</v>
      </c>
      <c r="U262" s="146">
        <v>3.2869000000000002</v>
      </c>
      <c r="V262" s="113">
        <v>1.8297000000000001</v>
      </c>
      <c r="W262">
        <v>9.1830999999999996</v>
      </c>
      <c r="X262">
        <v>6.9958999999999989</v>
      </c>
      <c r="Y262">
        <v>2.0710999999999999</v>
      </c>
      <c r="Z262">
        <v>1.0565</v>
      </c>
      <c r="AA262" s="104">
        <v>10.600736307263475</v>
      </c>
      <c r="AB262" s="104">
        <v>8.4299929332455275</v>
      </c>
      <c r="AC262" s="104">
        <v>4.4447850720467885</v>
      </c>
      <c r="AD262" s="104">
        <v>4.0874048020746079</v>
      </c>
    </row>
    <row r="263" spans="1:30" ht="14.7" customHeight="1">
      <c r="A263" s="110" t="s">
        <v>246</v>
      </c>
      <c r="B263" s="190"/>
      <c r="C263">
        <v>14.010495275751255</v>
      </c>
      <c r="D263">
        <v>7.4997085633019527</v>
      </c>
      <c r="E263">
        <v>2.3396290224379124</v>
      </c>
      <c r="F263">
        <v>0.96402942975850614</v>
      </c>
      <c r="G263">
        <v>13.291928730710371</v>
      </c>
      <c r="H263">
        <v>8.4903695886428459</v>
      </c>
      <c r="I263" s="147">
        <v>4.8551344335474322</v>
      </c>
      <c r="J263" s="112">
        <v>1.4398612298865214</v>
      </c>
      <c r="K263" s="112">
        <v>13.352974738141645</v>
      </c>
      <c r="L263" s="126">
        <v>7.489178079257548</v>
      </c>
      <c r="M263" s="112">
        <v>2.2198811779390542</v>
      </c>
      <c r="N263" s="126">
        <v>1.5363914468367665</v>
      </c>
      <c r="O263" s="147">
        <v>13.01163263897784</v>
      </c>
      <c r="P263" s="147">
        <v>8.5866043537922003</v>
      </c>
      <c r="Q263" s="147">
        <v>4.0710681386564032</v>
      </c>
      <c r="R263" s="112">
        <v>2.9675228125446385</v>
      </c>
      <c r="S263" s="112">
        <v>11.732800000000001</v>
      </c>
      <c r="T263" s="112">
        <v>7.1379999999999999</v>
      </c>
      <c r="U263" s="146">
        <v>4.5089999999999995</v>
      </c>
      <c r="V263" s="113">
        <v>2.1052999999999997</v>
      </c>
      <c r="W263">
        <v>15.7136</v>
      </c>
      <c r="X263">
        <v>10.1271</v>
      </c>
      <c r="Y263">
        <v>3.4403999999999999</v>
      </c>
      <c r="Z263">
        <v>2.8641000000000001</v>
      </c>
      <c r="AA263" s="104">
        <v>14.185461246527797</v>
      </c>
      <c r="AB263" s="104">
        <v>9.6751835498597725</v>
      </c>
      <c r="AC263" s="104">
        <v>4.0993087398675989</v>
      </c>
      <c r="AD263" s="104">
        <v>2.7581482967949973</v>
      </c>
    </row>
    <row r="264" spans="1:30" ht="14.7" customHeight="1">
      <c r="A264" s="26" t="s">
        <v>326</v>
      </c>
      <c r="B264" s="190"/>
      <c r="C264">
        <v>17.945991420577244</v>
      </c>
      <c r="D264">
        <v>12.204159222694331</v>
      </c>
      <c r="E264">
        <v>5.5750357779079636</v>
      </c>
      <c r="F264">
        <v>3.2292744329504344</v>
      </c>
      <c r="G264">
        <v>18.555050202854854</v>
      </c>
      <c r="H264">
        <v>12.47905059009461</v>
      </c>
      <c r="I264" s="147">
        <v>5.6255264145266111</v>
      </c>
      <c r="J264" s="112">
        <v>3.8605705261756884</v>
      </c>
      <c r="K264" s="112">
        <v>17.141876817332335</v>
      </c>
      <c r="L264" s="126">
        <v>12.333430476048472</v>
      </c>
      <c r="M264" s="112">
        <v>4.4962060520575982</v>
      </c>
      <c r="N264" s="126">
        <v>2.1599968425295324</v>
      </c>
      <c r="O264" s="147">
        <v>20.927239039492822</v>
      </c>
      <c r="P264" s="147">
        <v>13.295619204033606</v>
      </c>
      <c r="Q264" s="147">
        <v>6.2135859989757778</v>
      </c>
      <c r="R264" s="112">
        <v>2.9615947746485953</v>
      </c>
      <c r="S264" s="112">
        <v>19.6282</v>
      </c>
      <c r="T264" s="112">
        <v>14.4991</v>
      </c>
      <c r="U264" s="147">
        <v>6.2894000000000005</v>
      </c>
      <c r="V264" s="149">
        <v>3.3381000000000003</v>
      </c>
      <c r="W264">
        <v>17.163800000000002</v>
      </c>
      <c r="X264">
        <v>12.6739</v>
      </c>
      <c r="Y264">
        <v>5.2596999999999996</v>
      </c>
      <c r="Z264">
        <v>3.4577999999999998</v>
      </c>
      <c r="AA264" s="104">
        <v>18.082494954980437</v>
      </c>
      <c r="AB264" s="104">
        <v>11.351050112721595</v>
      </c>
      <c r="AC264" s="104">
        <v>4.1733135258861376</v>
      </c>
      <c r="AD264" s="104">
        <v>2.2815301292319323</v>
      </c>
    </row>
    <row r="265" spans="1:30" ht="14.7" customHeight="1">
      <c r="A265" s="110" t="s">
        <v>909</v>
      </c>
      <c r="B265" s="190"/>
      <c r="C265"/>
      <c r="D265"/>
      <c r="E265"/>
      <c r="F265"/>
      <c r="G265"/>
      <c r="H265"/>
      <c r="I265" s="147"/>
      <c r="J265" s="112"/>
      <c r="K265" s="112"/>
      <c r="L265" s="126"/>
      <c r="M265" s="112"/>
      <c r="N265" s="126"/>
      <c r="O265" s="147"/>
      <c r="P265" s="147"/>
      <c r="Q265" s="147"/>
      <c r="R265" s="112"/>
      <c r="S265" s="112"/>
      <c r="T265" s="112"/>
      <c r="U265" s="147"/>
      <c r="V265" s="149"/>
      <c r="W265"/>
      <c r="X265"/>
      <c r="Y265"/>
      <c r="Z265"/>
      <c r="AA265" s="104">
        <v>21.19989509621988</v>
      </c>
      <c r="AB265" s="104">
        <v>14.514077090311957</v>
      </c>
      <c r="AC265" s="104">
        <v>4.9929370534014508</v>
      </c>
      <c r="AD265" s="104">
        <v>2.9878279469856874</v>
      </c>
    </row>
    <row r="266" spans="1:30" ht="14.7" customHeight="1">
      <c r="A266" s="26" t="s">
        <v>137</v>
      </c>
      <c r="B266" s="190"/>
      <c r="C266">
        <v>10.684609446724084</v>
      </c>
      <c r="D266">
        <v>6.3355970606991221</v>
      </c>
      <c r="E266">
        <v>2.3237527225023187</v>
      </c>
      <c r="F266">
        <v>1.0738534382787386</v>
      </c>
      <c r="G266">
        <v>20.032435206569154</v>
      </c>
      <c r="H266">
        <v>13.627724342839297</v>
      </c>
      <c r="I266" s="147">
        <v>5.5326222525412119</v>
      </c>
      <c r="J266" s="112">
        <v>1.5400357937605433</v>
      </c>
      <c r="K266" s="112">
        <v>15.244233200712239</v>
      </c>
      <c r="L266" s="126">
        <v>9.6681908307368598</v>
      </c>
      <c r="M266" s="112">
        <v>2.8930117751790561</v>
      </c>
      <c r="N266" s="126">
        <v>0.26544733541051269</v>
      </c>
      <c r="O266" s="147">
        <v>17.838397387211163</v>
      </c>
      <c r="P266" s="147">
        <v>10.791143766017534</v>
      </c>
      <c r="Q266" s="147">
        <v>4.8709294056460859</v>
      </c>
      <c r="R266" s="112">
        <v>2.0521635441854902</v>
      </c>
      <c r="S266" s="112">
        <v>19.2836</v>
      </c>
      <c r="T266" s="112">
        <v>14.490600000000001</v>
      </c>
      <c r="U266" s="146">
        <v>7.5883999999999991</v>
      </c>
      <c r="V266" s="113">
        <v>2.3803999999999998</v>
      </c>
      <c r="W266">
        <v>17.314499999999999</v>
      </c>
      <c r="X266">
        <v>10.5304</v>
      </c>
      <c r="Y266">
        <v>3.7909999999999999</v>
      </c>
      <c r="Z266">
        <v>1.3939999999999999</v>
      </c>
      <c r="AA266" s="104">
        <v>17.990922254024767</v>
      </c>
      <c r="AB266" s="104">
        <v>11.173358043859885</v>
      </c>
      <c r="AC266" s="104">
        <v>4.948646811031665</v>
      </c>
      <c r="AD266" s="104">
        <v>2.5893664981834394</v>
      </c>
    </row>
    <row r="267" spans="1:30" ht="14.7" customHeight="1">
      <c r="A267" s="110" t="s">
        <v>138</v>
      </c>
      <c r="B267" s="190"/>
      <c r="C267">
        <v>27.008682103811811</v>
      </c>
      <c r="D267">
        <v>18.078076952481538</v>
      </c>
      <c r="E267">
        <v>9.5998968877328181</v>
      </c>
      <c r="F267">
        <v>7.1089381025492377</v>
      </c>
      <c r="G267">
        <v>33.212457729210108</v>
      </c>
      <c r="H267">
        <v>23.038675835964202</v>
      </c>
      <c r="I267" s="147">
        <v>9.1107657668681625</v>
      </c>
      <c r="J267" s="112">
        <v>5.9918585774536446</v>
      </c>
      <c r="K267" s="112">
        <v>29.302212965988595</v>
      </c>
      <c r="L267" s="126">
        <v>21.908102101758338</v>
      </c>
      <c r="M267" s="112">
        <v>11.449244184095795</v>
      </c>
      <c r="N267" s="126">
        <v>6.4862603148788871</v>
      </c>
      <c r="O267" s="147">
        <v>32.315042875354209</v>
      </c>
      <c r="P267" s="147">
        <v>23.081853518475409</v>
      </c>
      <c r="Q267" s="147">
        <v>10.087315153081652</v>
      </c>
      <c r="R267" s="112">
        <v>7.5610932153286958</v>
      </c>
      <c r="S267" s="112">
        <v>38.5274</v>
      </c>
      <c r="T267" s="112">
        <v>32.758099999999999</v>
      </c>
      <c r="U267" s="146">
        <v>18.613099999999999</v>
      </c>
      <c r="V267" s="113">
        <v>10.731999999999999</v>
      </c>
      <c r="W267">
        <v>31.257000000000001</v>
      </c>
      <c r="X267">
        <v>27.350300000000001</v>
      </c>
      <c r="Y267">
        <v>14.9511</v>
      </c>
      <c r="Z267">
        <v>9.0543999999999993</v>
      </c>
      <c r="AA267" s="104">
        <v>30.756684901048708</v>
      </c>
      <c r="AB267" s="104">
        <v>20.911501974121393</v>
      </c>
      <c r="AC267" s="104">
        <v>10.439461963372491</v>
      </c>
      <c r="AD267" s="104">
        <v>6.0952899596108345</v>
      </c>
    </row>
    <row r="268" spans="1:30" ht="14.7" customHeight="1">
      <c r="A268" s="110" t="s">
        <v>139</v>
      </c>
      <c r="B268" s="190"/>
      <c r="C268">
        <v>15.752828710627268</v>
      </c>
      <c r="D268">
        <v>7.8840391857509031</v>
      </c>
      <c r="E268">
        <v>4.2573137336781848</v>
      </c>
      <c r="F268">
        <v>2.8063250562195337</v>
      </c>
      <c r="G268">
        <v>16.438131823695915</v>
      </c>
      <c r="H268">
        <v>11.345710987240221</v>
      </c>
      <c r="I268" s="147">
        <v>3.8034698676306751</v>
      </c>
      <c r="J268" s="112">
        <v>2.2583860525959305</v>
      </c>
      <c r="K268" s="112">
        <v>10.33124569963095</v>
      </c>
      <c r="L268" s="126">
        <v>5.539070807531119</v>
      </c>
      <c r="M268" s="112">
        <v>1.7727294051416775</v>
      </c>
      <c r="N268" s="126">
        <v>0.64251423031212862</v>
      </c>
      <c r="O268" s="147">
        <v>16.728590967012817</v>
      </c>
      <c r="P268" s="147">
        <v>10.719129514265317</v>
      </c>
      <c r="Q268" s="147">
        <v>3.8385031495557538</v>
      </c>
      <c r="R268" s="112">
        <v>2.0730099227042933</v>
      </c>
      <c r="S268" s="112">
        <v>15.563599999999999</v>
      </c>
      <c r="T268" s="112">
        <v>8.6080000000000005</v>
      </c>
      <c r="U268" s="146">
        <v>2.1581000000000001</v>
      </c>
      <c r="V268" s="113">
        <v>0.3372</v>
      </c>
      <c r="W268">
        <v>14.904500000000001</v>
      </c>
      <c r="X268">
        <v>11.0069</v>
      </c>
      <c r="Y268">
        <v>2.4462999999999999</v>
      </c>
      <c r="Z268">
        <v>1.2125999999999999</v>
      </c>
      <c r="AA268" s="104">
        <v>13.559896465817477</v>
      </c>
      <c r="AB268" s="104">
        <v>6.984330279644543</v>
      </c>
      <c r="AC268" s="104">
        <v>3.1351729180617487</v>
      </c>
      <c r="AD268" s="104">
        <v>1.622379448774605</v>
      </c>
    </row>
    <row r="269" spans="1:30" ht="14.7" customHeight="1">
      <c r="A269" s="110" t="s">
        <v>287</v>
      </c>
      <c r="B269" s="190"/>
      <c r="C269">
        <v>19.360902277921461</v>
      </c>
      <c r="D269">
        <v>12.869897210827602</v>
      </c>
      <c r="E269">
        <v>5.4395069672453245</v>
      </c>
      <c r="F269">
        <v>3.3806149334941833</v>
      </c>
      <c r="G269">
        <v>23.276250885216729</v>
      </c>
      <c r="H269">
        <v>14.599163532125553</v>
      </c>
      <c r="I269" s="147">
        <v>8.3019538696344188</v>
      </c>
      <c r="J269" s="112">
        <v>5.5947727908891602</v>
      </c>
      <c r="K269" s="112">
        <v>17.44449637086062</v>
      </c>
      <c r="L269" s="126">
        <v>8.6407492037382614</v>
      </c>
      <c r="M269" s="112">
        <v>4.3195987073597477</v>
      </c>
      <c r="N269" s="126">
        <v>2.2500940772092628</v>
      </c>
      <c r="O269" s="147">
        <v>20.526743191028256</v>
      </c>
      <c r="P269" s="147">
        <v>12.900604055796833</v>
      </c>
      <c r="Q269" s="147">
        <v>6.3216705821958552</v>
      </c>
      <c r="R269" s="112">
        <v>3.039569596524931</v>
      </c>
      <c r="S269" s="112">
        <v>21.2592</v>
      </c>
      <c r="T269" s="112">
        <v>14.344799999999999</v>
      </c>
      <c r="U269" s="147">
        <v>7.3232000000000008</v>
      </c>
      <c r="V269" s="149">
        <v>3.7268000000000003</v>
      </c>
      <c r="W269">
        <v>19.3751</v>
      </c>
      <c r="X269">
        <v>15.7211</v>
      </c>
      <c r="Y269">
        <v>6.2839999999999989</v>
      </c>
      <c r="Z269">
        <v>4.5792999999999999</v>
      </c>
      <c r="AA269" s="104">
        <v>21.924814815145353</v>
      </c>
      <c r="AB269" s="104">
        <v>17.557716213063511</v>
      </c>
      <c r="AC269" s="104">
        <v>6.4467801509364158</v>
      </c>
      <c r="AD269" s="104">
        <v>3.8513826858282392</v>
      </c>
    </row>
    <row r="270" spans="1:30" ht="14.7" customHeight="1">
      <c r="A270" s="26" t="s">
        <v>140</v>
      </c>
      <c r="B270" s="190"/>
      <c r="C270">
        <v>14.528947971913214</v>
      </c>
      <c r="D270">
        <v>7.7478053520948329</v>
      </c>
      <c r="E270">
        <v>3.3008633606568187</v>
      </c>
      <c r="F270">
        <v>0.62912043850286137</v>
      </c>
      <c r="G270">
        <v>12.776257373958522</v>
      </c>
      <c r="H270">
        <v>8.3365457577737274</v>
      </c>
      <c r="I270" s="147">
        <v>3.349916206444596</v>
      </c>
      <c r="J270" s="112">
        <v>2.0700863093909647</v>
      </c>
      <c r="K270" s="112">
        <v>13.492433521672135</v>
      </c>
      <c r="L270" s="126">
        <v>7.3566715397684614</v>
      </c>
      <c r="M270" s="112">
        <v>2.3661543324509071</v>
      </c>
      <c r="N270" s="126">
        <v>0.88288751037180457</v>
      </c>
      <c r="O270" s="147">
        <v>20.051598247464565</v>
      </c>
      <c r="P270" s="147">
        <v>14.074701511747783</v>
      </c>
      <c r="Q270" s="147">
        <v>4.5336482856115108</v>
      </c>
      <c r="R270" s="112">
        <v>3.3157625990739064</v>
      </c>
      <c r="S270" s="112">
        <v>15.721499999999999</v>
      </c>
      <c r="T270" s="112">
        <v>10.186399999999999</v>
      </c>
      <c r="U270" s="146">
        <v>4.2857000000000003</v>
      </c>
      <c r="V270" s="113">
        <v>1.6056000000000001</v>
      </c>
      <c r="W270">
        <v>17.147000000000002</v>
      </c>
      <c r="X270">
        <v>10.8992</v>
      </c>
      <c r="Y270">
        <v>3.7005000000000003</v>
      </c>
      <c r="Z270">
        <v>2.1101000000000001</v>
      </c>
      <c r="AA270" s="104">
        <v>18.771618260758469</v>
      </c>
      <c r="AB270" s="104">
        <v>10.376284904939887</v>
      </c>
      <c r="AC270" s="104">
        <v>4.6968083008924788</v>
      </c>
      <c r="AD270" s="104">
        <v>1.7271534124075227</v>
      </c>
    </row>
    <row r="271" spans="1:30" ht="14.7" customHeight="1">
      <c r="A271" s="26" t="s">
        <v>141</v>
      </c>
      <c r="B271" s="190"/>
      <c r="C271">
        <v>17.993538532047296</v>
      </c>
      <c r="D271">
        <v>12.597910679863611</v>
      </c>
      <c r="E271">
        <v>5.1954092182187699</v>
      </c>
      <c r="F271">
        <v>2.553298793595232</v>
      </c>
      <c r="G271">
        <v>18.291256793010938</v>
      </c>
      <c r="H271">
        <v>10.94066611201192</v>
      </c>
      <c r="I271" s="147">
        <v>4.4833917340248313</v>
      </c>
      <c r="J271" s="112">
        <v>2.0103198171663625</v>
      </c>
      <c r="K271" s="112">
        <v>15.544757879977016</v>
      </c>
      <c r="L271" s="126">
        <v>10.094647737119242</v>
      </c>
      <c r="M271" s="112">
        <v>3.4883219434544461</v>
      </c>
      <c r="N271" s="126">
        <v>2.6592720671551962</v>
      </c>
      <c r="O271" s="147">
        <v>19.470100202736194</v>
      </c>
      <c r="P271" s="147">
        <v>10.999879109053801</v>
      </c>
      <c r="Q271" s="147">
        <v>4.8405942712035497</v>
      </c>
      <c r="R271" s="112">
        <v>2.5952418525559136</v>
      </c>
      <c r="S271" s="112">
        <v>17.363199999999999</v>
      </c>
      <c r="T271" s="112">
        <v>13.500400000000001</v>
      </c>
      <c r="U271" s="147">
        <v>4.7121000000000004</v>
      </c>
      <c r="V271" s="149">
        <v>3.9267999999999996</v>
      </c>
      <c r="W271">
        <v>16.005600000000001</v>
      </c>
      <c r="X271">
        <v>9.3338000000000001</v>
      </c>
      <c r="Y271">
        <v>5.4893999999999998</v>
      </c>
      <c r="Z271">
        <v>2.0385</v>
      </c>
      <c r="AA271" s="104">
        <v>16.573870906996731</v>
      </c>
      <c r="AB271" s="104">
        <v>11.433585515656414</v>
      </c>
      <c r="AC271" s="104">
        <v>3.3763793651237126</v>
      </c>
      <c r="AD271" s="104">
        <v>1.5265356064865054</v>
      </c>
    </row>
    <row r="272" spans="1:30" ht="14.7" customHeight="1">
      <c r="A272" s="110" t="s">
        <v>142</v>
      </c>
      <c r="B272" s="190"/>
      <c r="C272">
        <v>14.303173597043092</v>
      </c>
      <c r="D272">
        <v>9.2706337075857466</v>
      </c>
      <c r="E272">
        <v>3.3545224317487135</v>
      </c>
      <c r="F272">
        <v>2.0484408771820211</v>
      </c>
      <c r="G272">
        <v>19.102675181257471</v>
      </c>
      <c r="H272">
        <v>12.698324287414723</v>
      </c>
      <c r="I272" s="147">
        <v>2.4427074630375722</v>
      </c>
      <c r="J272" s="112">
        <v>1.681282478148485</v>
      </c>
      <c r="K272" s="112">
        <v>13.631099787988383</v>
      </c>
      <c r="L272" s="126">
        <v>8.4472079198512944</v>
      </c>
      <c r="M272" s="112">
        <v>2.8697781499363568</v>
      </c>
      <c r="N272" s="126">
        <v>0.45312286577942468</v>
      </c>
      <c r="O272" s="147">
        <v>19.052357594139373</v>
      </c>
      <c r="P272" s="147">
        <v>11.58891837896436</v>
      </c>
      <c r="Q272" s="147">
        <v>3.6926295917469605</v>
      </c>
      <c r="R272" s="112">
        <v>1.5490623440058617</v>
      </c>
      <c r="S272" s="112">
        <v>18.746199999999998</v>
      </c>
      <c r="T272" s="112">
        <v>11.605699999999999</v>
      </c>
      <c r="U272" s="146">
        <v>4.2422000000000004</v>
      </c>
      <c r="V272" s="113">
        <v>2.5291000000000001</v>
      </c>
      <c r="W272">
        <v>18.0594</v>
      </c>
      <c r="X272">
        <v>12.524900000000001</v>
      </c>
      <c r="Y272">
        <v>4.0346000000000002</v>
      </c>
      <c r="Z272">
        <v>1.7017</v>
      </c>
      <c r="AA272" s="104">
        <v>11.681914253805605</v>
      </c>
      <c r="AB272" s="104">
        <v>8.0355004031450434</v>
      </c>
      <c r="AC272" s="104">
        <v>3.3651229853012206</v>
      </c>
      <c r="AD272" s="104">
        <v>1.8443489393891395</v>
      </c>
    </row>
    <row r="273" spans="1:30" ht="14.7" customHeight="1">
      <c r="A273" s="110" t="s">
        <v>143</v>
      </c>
      <c r="B273" s="190"/>
      <c r="C273">
        <v>16.180822543320691</v>
      </c>
      <c r="D273">
        <v>10.485933438242812</v>
      </c>
      <c r="E273">
        <v>3.7135088008079973</v>
      </c>
      <c r="F273">
        <v>3.0056447923329439</v>
      </c>
      <c r="G273">
        <v>15.102324701709712</v>
      </c>
      <c r="H273">
        <v>9.4144563157584091</v>
      </c>
      <c r="I273" s="147">
        <v>3.6438985765957583</v>
      </c>
      <c r="J273" s="112">
        <v>1.6794663811580604</v>
      </c>
      <c r="K273" s="112">
        <v>14.989143967233423</v>
      </c>
      <c r="L273" s="126">
        <v>10.198476343223737</v>
      </c>
      <c r="M273" s="112">
        <v>4.939454691259022</v>
      </c>
      <c r="N273" s="126">
        <v>3.0178428227746594</v>
      </c>
      <c r="O273" s="147">
        <v>21.116913410105855</v>
      </c>
      <c r="P273" s="147">
        <v>10.505514278106856</v>
      </c>
      <c r="Q273" s="147">
        <v>3.7201003060366729</v>
      </c>
      <c r="R273" s="112">
        <v>2.6374662457926177</v>
      </c>
      <c r="S273" s="112">
        <v>22.790499999999998</v>
      </c>
      <c r="T273" s="112">
        <v>14.666799999999999</v>
      </c>
      <c r="U273" s="146">
        <v>3.3550000000000004</v>
      </c>
      <c r="V273" s="113">
        <v>1.8617999999999999</v>
      </c>
      <c r="W273">
        <v>16.377199999999998</v>
      </c>
      <c r="X273">
        <v>12.9915</v>
      </c>
      <c r="Y273">
        <v>6.4527000000000001</v>
      </c>
      <c r="Z273">
        <v>3.5138999999999996</v>
      </c>
      <c r="AA273" s="104">
        <v>20.416202840872437</v>
      </c>
      <c r="AB273" s="104">
        <v>13.664873944126329</v>
      </c>
      <c r="AC273" s="104">
        <v>6.3496445167021784</v>
      </c>
      <c r="AD273" s="104">
        <v>4.7235289538759018</v>
      </c>
    </row>
    <row r="274" spans="1:30" ht="14.7" customHeight="1">
      <c r="A274" s="110" t="s">
        <v>144</v>
      </c>
      <c r="B274" s="190"/>
      <c r="C274">
        <v>16.938935676151878</v>
      </c>
      <c r="D274">
        <v>10.573976729693877</v>
      </c>
      <c r="E274">
        <v>4.598391882898035</v>
      </c>
      <c r="F274">
        <v>3.4854823885004591</v>
      </c>
      <c r="G274">
        <v>14.573408836430914</v>
      </c>
      <c r="H274">
        <v>10.382937254988814</v>
      </c>
      <c r="I274" s="147">
        <v>6.9457839451859513</v>
      </c>
      <c r="J274" s="112">
        <v>5.329188319598277</v>
      </c>
      <c r="K274" s="112">
        <v>25.18293612228862</v>
      </c>
      <c r="L274" s="126">
        <v>18.120190328403581</v>
      </c>
      <c r="M274" s="112">
        <v>7.1442426449631053</v>
      </c>
      <c r="N274" s="126">
        <v>3.3273822719067674</v>
      </c>
      <c r="O274" s="147">
        <v>26.73913510201033</v>
      </c>
      <c r="P274" s="147">
        <v>18.745529485513124</v>
      </c>
      <c r="Q274" s="147">
        <v>5.9784885820706712</v>
      </c>
      <c r="R274" s="112">
        <v>3.4327714217201231</v>
      </c>
      <c r="S274" s="112">
        <v>25.044100000000004</v>
      </c>
      <c r="T274" s="112">
        <v>16.936</v>
      </c>
      <c r="U274" s="146">
        <v>7.7989000000000006</v>
      </c>
      <c r="V274" s="113">
        <v>5.0749000000000004</v>
      </c>
      <c r="W274">
        <v>20.794499999999999</v>
      </c>
      <c r="X274">
        <v>12.2851</v>
      </c>
      <c r="Y274">
        <v>4.7778999999999998</v>
      </c>
      <c r="Z274">
        <v>2.5694000000000004</v>
      </c>
      <c r="AA274" s="104">
        <v>21.80392823299993</v>
      </c>
      <c r="AB274" s="104">
        <v>14.551039750995857</v>
      </c>
      <c r="AC274" s="104">
        <v>6.5270889030394992</v>
      </c>
      <c r="AD274" s="104">
        <v>2.0713608682651881</v>
      </c>
    </row>
    <row r="275" spans="1:30" ht="14.7" customHeight="1">
      <c r="A275" s="110" t="s">
        <v>145</v>
      </c>
      <c r="B275" s="190"/>
      <c r="C275">
        <v>11.830081741282527</v>
      </c>
      <c r="D275">
        <v>7.849173367834192</v>
      </c>
      <c r="E275">
        <v>2.517154545454694</v>
      </c>
      <c r="F275">
        <v>1.9447008982235392</v>
      </c>
      <c r="G275">
        <v>17.429241090129615</v>
      </c>
      <c r="H275">
        <v>8.8460162884090732</v>
      </c>
      <c r="I275" s="147">
        <v>2.2325543372742973</v>
      </c>
      <c r="J275" s="112">
        <v>1.1980257712469724</v>
      </c>
      <c r="K275" s="112">
        <v>16.239472067537307</v>
      </c>
      <c r="L275" s="126">
        <v>10.181691138959083</v>
      </c>
      <c r="M275" s="112">
        <v>5.4205614897363272</v>
      </c>
      <c r="N275" s="126">
        <v>1.8510541579738253</v>
      </c>
      <c r="O275" s="147">
        <v>15.869509744098604</v>
      </c>
      <c r="P275" s="147">
        <v>9.7550069787251719</v>
      </c>
      <c r="Q275" s="147">
        <v>2.4648737833841512</v>
      </c>
      <c r="R275" s="112">
        <v>1.2140299498086666</v>
      </c>
      <c r="S275" s="112">
        <v>17.331</v>
      </c>
      <c r="T275" s="112">
        <v>12.306900000000001</v>
      </c>
      <c r="U275" s="146">
        <v>6.7621000000000002</v>
      </c>
      <c r="V275" s="113">
        <v>3.7461000000000002</v>
      </c>
      <c r="W275">
        <v>13.209099999999999</v>
      </c>
      <c r="X275">
        <v>10.1982</v>
      </c>
      <c r="Y275">
        <v>4.0548999999999999</v>
      </c>
      <c r="Z275">
        <v>2.8468</v>
      </c>
      <c r="AA275" s="104">
        <v>15.239366753905493</v>
      </c>
      <c r="AB275" s="104">
        <v>8.5955627538134163</v>
      </c>
      <c r="AC275" s="104">
        <v>4.1992976942215998</v>
      </c>
      <c r="AD275" s="104">
        <v>1.9886091810819528</v>
      </c>
    </row>
    <row r="276" spans="1:30" ht="14.7" customHeight="1">
      <c r="A276" s="110" t="s">
        <v>146</v>
      </c>
      <c r="B276" s="190"/>
      <c r="C276">
        <v>20.775967927294566</v>
      </c>
      <c r="D276">
        <v>15.043442386987829</v>
      </c>
      <c r="E276">
        <v>7.7599010310146603</v>
      </c>
      <c r="F276">
        <v>4.2395715225096486</v>
      </c>
      <c r="G276">
        <v>21.435863375275204</v>
      </c>
      <c r="H276">
        <v>11.220129864799414</v>
      </c>
      <c r="I276" s="147">
        <v>6.9783859660644074</v>
      </c>
      <c r="J276" s="112">
        <v>4.8405831602623568</v>
      </c>
      <c r="K276" s="112">
        <v>24.914284816083214</v>
      </c>
      <c r="L276" s="126">
        <v>15.639442246866803</v>
      </c>
      <c r="M276" s="112">
        <v>6.6811865333851248</v>
      </c>
      <c r="N276" s="126">
        <v>3.8539742685237308</v>
      </c>
      <c r="O276" s="147">
        <v>22.922374023449038</v>
      </c>
      <c r="P276" s="147">
        <v>14.26958098425248</v>
      </c>
      <c r="Q276" s="147">
        <v>6.973933166209445</v>
      </c>
      <c r="R276" s="112">
        <v>3.392203442129508</v>
      </c>
      <c r="S276" s="112">
        <v>18.232300000000002</v>
      </c>
      <c r="T276" s="112">
        <v>12.631</v>
      </c>
      <c r="U276" s="146">
        <v>6.7695000000000007</v>
      </c>
      <c r="V276" s="113">
        <v>4.1692999999999998</v>
      </c>
      <c r="W276">
        <v>22.413399999999999</v>
      </c>
      <c r="X276">
        <v>17.295400000000001</v>
      </c>
      <c r="Y276">
        <v>7.8840999999999992</v>
      </c>
      <c r="Z276">
        <v>4.9436999999999998</v>
      </c>
      <c r="AA276" s="104">
        <v>22.920387605543361</v>
      </c>
      <c r="AB276" s="104">
        <v>17.561706303445678</v>
      </c>
      <c r="AC276" s="104">
        <v>6.7380554946864093</v>
      </c>
      <c r="AD276" s="104">
        <v>4.3564901553710333</v>
      </c>
    </row>
    <row r="277" spans="1:30" ht="14.7" customHeight="1">
      <c r="A277" s="110" t="s">
        <v>147</v>
      </c>
      <c r="B277" s="190"/>
      <c r="C277">
        <v>15.422109538327081</v>
      </c>
      <c r="D277">
        <v>9.4078256844826242</v>
      </c>
      <c r="E277">
        <v>4.3543814640699354</v>
      </c>
      <c r="F277">
        <v>3.6202091601846673</v>
      </c>
      <c r="G277">
        <v>16.079203752097598</v>
      </c>
      <c r="H277">
        <v>10.13675314361619</v>
      </c>
      <c r="I277" s="147">
        <v>3.6476306344915277</v>
      </c>
      <c r="J277" s="112">
        <v>1.5460640564479931</v>
      </c>
      <c r="K277" s="112">
        <v>19.56996574931016</v>
      </c>
      <c r="L277" s="126">
        <v>10.300613521106781</v>
      </c>
      <c r="M277" s="112">
        <v>5.5916321552834924</v>
      </c>
      <c r="N277" s="126">
        <v>4.6784432246700893</v>
      </c>
      <c r="O277" s="147">
        <v>19.732694391477597</v>
      </c>
      <c r="P277" s="147">
        <v>13.347626858997842</v>
      </c>
      <c r="Q277" s="147">
        <v>5.6669873514507554</v>
      </c>
      <c r="R277" s="112">
        <v>5.2396325881528618</v>
      </c>
      <c r="S277" s="112">
        <v>17.271800000000002</v>
      </c>
      <c r="T277" s="112">
        <v>11.5618</v>
      </c>
      <c r="U277" s="146">
        <v>4.9504999999999999</v>
      </c>
      <c r="V277" s="113">
        <v>3.2126000000000001</v>
      </c>
      <c r="W277">
        <v>16.051000000000002</v>
      </c>
      <c r="X277">
        <v>12.139900000000001</v>
      </c>
      <c r="Y277">
        <v>5.1779999999999999</v>
      </c>
      <c r="Z277">
        <v>2.8264</v>
      </c>
      <c r="AA277" s="104">
        <v>15.958160950921259</v>
      </c>
      <c r="AB277" s="104">
        <v>9.2331650423110112</v>
      </c>
      <c r="AC277" s="104">
        <v>4.7630816204790039</v>
      </c>
      <c r="AD277" s="104">
        <v>2.5617078699672535</v>
      </c>
    </row>
    <row r="278" spans="1:30" ht="14.7" customHeight="1">
      <c r="A278" s="26" t="s">
        <v>148</v>
      </c>
      <c r="B278" s="190"/>
      <c r="C278">
        <v>15.201269963215335</v>
      </c>
      <c r="D278">
        <v>11.354739007949027</v>
      </c>
      <c r="E278">
        <v>3.9178751452271712</v>
      </c>
      <c r="F278">
        <v>2.3757873024253842</v>
      </c>
      <c r="G278">
        <v>17.983953342444444</v>
      </c>
      <c r="H278">
        <v>11.756176907190536</v>
      </c>
      <c r="I278" s="147">
        <v>5.2863400339940592</v>
      </c>
      <c r="J278" s="112">
        <v>4.3715059124074251</v>
      </c>
      <c r="K278" s="112">
        <v>16.836499097805632</v>
      </c>
      <c r="L278" s="126">
        <v>13.429308705690618</v>
      </c>
      <c r="M278" s="112">
        <v>2.8947827942802817</v>
      </c>
      <c r="N278" s="126">
        <v>2.1272385091480572</v>
      </c>
      <c r="O278" s="147">
        <v>20.194592932339336</v>
      </c>
      <c r="P278" s="147">
        <v>13.80300828377538</v>
      </c>
      <c r="Q278" s="147">
        <v>7.4480396109551457</v>
      </c>
      <c r="R278" s="112">
        <v>3.8230836536508148</v>
      </c>
      <c r="S278" s="112">
        <v>12.021100000000001</v>
      </c>
      <c r="T278" s="112">
        <v>8.1708999999999996</v>
      </c>
      <c r="U278" s="146">
        <v>2.3744000000000001</v>
      </c>
      <c r="V278" s="113">
        <v>0.84609999999999996</v>
      </c>
      <c r="W278">
        <v>12.485100000000001</v>
      </c>
      <c r="X278">
        <v>9.5441000000000003</v>
      </c>
      <c r="Y278">
        <v>4.0106999999999999</v>
      </c>
      <c r="Z278">
        <v>3.4552</v>
      </c>
      <c r="AA278" s="104">
        <v>14.660315827101901</v>
      </c>
      <c r="AB278" s="104">
        <v>8.8444599812870361</v>
      </c>
      <c r="AC278" s="104">
        <v>3.4546566780742389</v>
      </c>
      <c r="AD278" s="104">
        <v>1.3711662643826528</v>
      </c>
    </row>
    <row r="279" spans="1:30" ht="14.7" customHeight="1">
      <c r="A279" s="110" t="s">
        <v>149</v>
      </c>
      <c r="B279" s="190"/>
      <c r="C279">
        <v>12.052605181681601</v>
      </c>
      <c r="D279">
        <v>7.819686211111736</v>
      </c>
      <c r="E279">
        <v>1.1913270834631227</v>
      </c>
      <c r="F279">
        <v>0.15270123346300832</v>
      </c>
      <c r="G279">
        <v>10.559136628464024</v>
      </c>
      <c r="H279">
        <v>7.3773284291225263</v>
      </c>
      <c r="I279" s="147">
        <v>1.7521741525242205</v>
      </c>
      <c r="J279" s="112">
        <v>0.60996631925106737</v>
      </c>
      <c r="K279" s="112">
        <v>14.428793891399621</v>
      </c>
      <c r="L279" s="126">
        <v>7.7412598206731884</v>
      </c>
      <c r="M279" s="112">
        <v>2.5756003774889948</v>
      </c>
      <c r="N279" s="126">
        <v>0.63168836446835985</v>
      </c>
      <c r="O279" s="147">
        <v>10.969563147271536</v>
      </c>
      <c r="P279" s="147">
        <v>5.8320608193275616</v>
      </c>
      <c r="Q279" s="147">
        <v>1.9023113195023853</v>
      </c>
      <c r="R279" s="112">
        <v>1.2480707994144757</v>
      </c>
      <c r="S279" s="112">
        <v>14.4513</v>
      </c>
      <c r="T279" s="112">
        <v>8.1268000000000011</v>
      </c>
      <c r="U279" s="146">
        <v>3.8270999999999997</v>
      </c>
      <c r="V279" s="113">
        <v>1.4883999999999999</v>
      </c>
      <c r="W279">
        <v>14.120699999999999</v>
      </c>
      <c r="X279">
        <v>8.2032999999999987</v>
      </c>
      <c r="Y279">
        <v>1.2609999999999999</v>
      </c>
      <c r="Z279">
        <v>0.71919999999999995</v>
      </c>
      <c r="AA279" s="104">
        <v>9.2782863857842628</v>
      </c>
      <c r="AB279" s="104">
        <v>5.9657350529168882</v>
      </c>
      <c r="AC279" s="104">
        <v>3.0163249760286539</v>
      </c>
      <c r="AD279" s="104">
        <v>1.4255556233917535</v>
      </c>
    </row>
    <row r="280" spans="1:30" ht="14.7" customHeight="1">
      <c r="A280" s="110" t="s">
        <v>247</v>
      </c>
      <c r="B280" s="190"/>
      <c r="C280">
        <v>11.085502748297255</v>
      </c>
      <c r="D280">
        <v>7.8801458452620281</v>
      </c>
      <c r="E280">
        <v>4.5442927886914051</v>
      </c>
      <c r="F280">
        <v>0.9829652440436083</v>
      </c>
      <c r="G280">
        <v>13.7434343887985</v>
      </c>
      <c r="H280">
        <v>10.714650248437312</v>
      </c>
      <c r="I280" s="147">
        <v>4.1372876442753261</v>
      </c>
      <c r="J280" s="112">
        <v>3.2188657213664253</v>
      </c>
      <c r="K280" s="112">
        <v>17.723101220111129</v>
      </c>
      <c r="L280" s="126">
        <v>13.046740870772972</v>
      </c>
      <c r="M280" s="112">
        <v>7.2125233897258836</v>
      </c>
      <c r="N280" s="126">
        <v>2.9115144968074231</v>
      </c>
      <c r="O280" s="147">
        <v>11.110449160417604</v>
      </c>
      <c r="P280" s="147">
        <v>9.2217538539861685</v>
      </c>
      <c r="Q280" s="147">
        <v>4.3270888139241377</v>
      </c>
      <c r="R280" s="112">
        <v>4.0131423155053847</v>
      </c>
      <c r="S280" s="112">
        <v>11.769</v>
      </c>
      <c r="T280" s="112">
        <v>7.1947999999999999</v>
      </c>
      <c r="U280" s="147">
        <v>3.6108000000000002</v>
      </c>
      <c r="V280" s="149">
        <v>2.0355000000000003</v>
      </c>
      <c r="W280">
        <v>11.4803</v>
      </c>
      <c r="X280">
        <v>9.5731000000000002</v>
      </c>
      <c r="Y280">
        <v>2.4060000000000001</v>
      </c>
      <c r="Z280">
        <v>1.3232999999999999</v>
      </c>
      <c r="AA280" s="104">
        <v>9.5234725380652705</v>
      </c>
      <c r="AB280" s="104">
        <v>6.6128304427917257</v>
      </c>
      <c r="AC280" s="104">
        <v>3.1834898485976817</v>
      </c>
      <c r="AD280" s="104">
        <v>1.9587140981321007</v>
      </c>
    </row>
    <row r="281" spans="1:30" ht="14.7" customHeight="1">
      <c r="A281" s="26" t="s">
        <v>288</v>
      </c>
      <c r="B281" s="190"/>
      <c r="C281">
        <v>16.892289547520573</v>
      </c>
      <c r="D281">
        <v>10.048227575281061</v>
      </c>
      <c r="E281">
        <v>4.2008559633935887</v>
      </c>
      <c r="F281">
        <v>1.9678263019237567</v>
      </c>
      <c r="G281">
        <v>16.807333521786536</v>
      </c>
      <c r="H281">
        <v>10.616040059766588</v>
      </c>
      <c r="I281" s="147">
        <v>6.6264184468763876</v>
      </c>
      <c r="J281" s="112">
        <v>5.3905019585672171</v>
      </c>
      <c r="K281" s="112">
        <v>12.356866685171212</v>
      </c>
      <c r="L281" s="126">
        <v>7.9638614035567823</v>
      </c>
      <c r="M281" s="112">
        <v>4.7853146880485395</v>
      </c>
      <c r="N281" s="126">
        <v>1.7174043073891778</v>
      </c>
      <c r="O281" s="147">
        <v>19.935420228709976</v>
      </c>
      <c r="P281" s="147">
        <v>14.621878844051899</v>
      </c>
      <c r="Q281" s="147">
        <v>8.0105058942513345</v>
      </c>
      <c r="R281" s="112">
        <v>5.1460856592652391</v>
      </c>
      <c r="S281" s="112">
        <v>19.718900000000001</v>
      </c>
      <c r="T281" s="112">
        <v>14.6388</v>
      </c>
      <c r="U281" s="146">
        <v>8.5881000000000007</v>
      </c>
      <c r="V281" s="113">
        <v>6.0167999999999999</v>
      </c>
      <c r="W281">
        <v>14.8756</v>
      </c>
      <c r="X281">
        <v>12.4217</v>
      </c>
      <c r="Y281">
        <v>7.5723000000000003</v>
      </c>
      <c r="Z281">
        <v>5.6665999999999999</v>
      </c>
      <c r="AA281" s="104">
        <v>20.777569506915654</v>
      </c>
      <c r="AB281" s="104">
        <v>16.609776372300523</v>
      </c>
      <c r="AC281" s="104">
        <v>10.492447403844819</v>
      </c>
      <c r="AD281" s="104">
        <v>8.177763987940768</v>
      </c>
    </row>
    <row r="282" spans="1:30" ht="14.7" customHeight="1">
      <c r="A282" s="110" t="s">
        <v>289</v>
      </c>
      <c r="B282" s="190"/>
      <c r="C282">
        <v>17.231707268192253</v>
      </c>
      <c r="D282">
        <v>11.320148262285242</v>
      </c>
      <c r="E282">
        <v>4.7278110199337453</v>
      </c>
      <c r="F282">
        <v>2.6198489047671338</v>
      </c>
      <c r="G282">
        <v>15.125586530499582</v>
      </c>
      <c r="H282">
        <v>10.684921969230013</v>
      </c>
      <c r="I282" s="147">
        <v>3.2305824099538647</v>
      </c>
      <c r="J282" s="112">
        <v>2.0449160716150661</v>
      </c>
      <c r="K282" s="112">
        <v>11.161687018951923</v>
      </c>
      <c r="L282" s="126">
        <v>7.3521141663547853</v>
      </c>
      <c r="M282" s="112">
        <v>4.0952849358176762</v>
      </c>
      <c r="N282" s="126">
        <v>2.4569750148429583</v>
      </c>
      <c r="O282" s="147">
        <v>20.983970548423901</v>
      </c>
      <c r="P282" s="147">
        <v>14.967732448243783</v>
      </c>
      <c r="Q282" s="147">
        <v>7.2651301383855156</v>
      </c>
      <c r="R282" s="112">
        <v>4.0689944420863</v>
      </c>
      <c r="S282" s="112">
        <v>15.7011</v>
      </c>
      <c r="T282" s="112">
        <v>11.150599999999999</v>
      </c>
      <c r="U282" s="146">
        <v>5.3351000000000006</v>
      </c>
      <c r="V282" s="113">
        <v>3.1580999999999997</v>
      </c>
      <c r="W282">
        <v>15.168400000000002</v>
      </c>
      <c r="X282">
        <v>12.425799999999999</v>
      </c>
      <c r="Y282">
        <v>4.6166</v>
      </c>
      <c r="Z282">
        <v>2.5753000000000004</v>
      </c>
      <c r="AA282" s="104">
        <v>14.983608579520155</v>
      </c>
      <c r="AB282" s="104">
        <v>8.2770203605412789</v>
      </c>
      <c r="AC282" s="104">
        <v>4.5417248153242342</v>
      </c>
      <c r="AD282" s="104">
        <v>3.4582724696275253</v>
      </c>
    </row>
    <row r="283" spans="1:30" ht="14.7" customHeight="1">
      <c r="A283" s="110" t="s">
        <v>217</v>
      </c>
      <c r="B283" s="190"/>
      <c r="C283">
        <v>20.987367802757873</v>
      </c>
      <c r="D283">
        <v>16.369762074146241</v>
      </c>
      <c r="E283">
        <v>11.526974635975337</v>
      </c>
      <c r="F283">
        <v>8.1336461794411754</v>
      </c>
      <c r="G283">
        <v>15.601823074322068</v>
      </c>
      <c r="H283">
        <v>11.000514809905427</v>
      </c>
      <c r="I283" s="147">
        <v>7.0691101895878683</v>
      </c>
      <c r="J283" s="112">
        <v>5.3067983282865745</v>
      </c>
      <c r="K283" s="112">
        <v>20.053967160408774</v>
      </c>
      <c r="L283" s="126">
        <v>12.799710654048827</v>
      </c>
      <c r="M283" s="112">
        <v>7.907763282691378</v>
      </c>
      <c r="N283" s="126">
        <v>3.1458676819426192</v>
      </c>
      <c r="O283" s="147">
        <v>26.260251224806229</v>
      </c>
      <c r="P283" s="147">
        <v>21.841436816078236</v>
      </c>
      <c r="Q283" s="147">
        <v>15.668548755450853</v>
      </c>
      <c r="R283" s="112">
        <v>12.345067135667282</v>
      </c>
      <c r="S283" s="112">
        <v>26.907799999999998</v>
      </c>
      <c r="T283" s="112">
        <v>20.9619</v>
      </c>
      <c r="U283" s="146">
        <v>12.986500000000001</v>
      </c>
      <c r="V283" s="113">
        <v>8.101700000000001</v>
      </c>
      <c r="W283">
        <v>29.928300000000004</v>
      </c>
      <c r="X283">
        <v>25.849100000000004</v>
      </c>
      <c r="Y283">
        <v>19.063600000000001</v>
      </c>
      <c r="Z283">
        <v>12.908200000000001</v>
      </c>
      <c r="AA283" s="104">
        <v>25.166803450213209</v>
      </c>
      <c r="AB283" s="104">
        <v>21.910714580861086</v>
      </c>
      <c r="AC283" s="104">
        <v>13.792385399722571</v>
      </c>
      <c r="AD283" s="104">
        <v>10.192673078680476</v>
      </c>
    </row>
    <row r="284" spans="1:30" ht="14.7" customHeight="1">
      <c r="A284" s="110" t="s">
        <v>150</v>
      </c>
      <c r="B284" s="190"/>
      <c r="C284">
        <v>18.36570891982948</v>
      </c>
      <c r="D284">
        <v>11.951557774153395</v>
      </c>
      <c r="E284">
        <v>5.3589985003290259</v>
      </c>
      <c r="F284">
        <v>4.4673959178622038</v>
      </c>
      <c r="G284">
        <v>19.984263720575594</v>
      </c>
      <c r="H284">
        <v>11.97972474284866</v>
      </c>
      <c r="I284" s="147">
        <v>5.2229322673845289</v>
      </c>
      <c r="J284" s="112">
        <v>2.8763945338947727</v>
      </c>
      <c r="K284" s="112">
        <v>13.668659118224809</v>
      </c>
      <c r="L284" s="126">
        <v>9.0185083357000018</v>
      </c>
      <c r="M284" s="112">
        <v>4.1546570952648558</v>
      </c>
      <c r="N284" s="126">
        <v>2.6418035808161067</v>
      </c>
      <c r="O284" s="147">
        <v>17.623178608494118</v>
      </c>
      <c r="P284" s="147">
        <v>13.506715997929458</v>
      </c>
      <c r="Q284" s="147">
        <v>5.9700674195276573</v>
      </c>
      <c r="R284" s="112">
        <v>2.3802222112602927</v>
      </c>
      <c r="S284" s="112">
        <v>20.291600000000003</v>
      </c>
      <c r="T284" s="112">
        <v>14.200899999999999</v>
      </c>
      <c r="U284" s="146">
        <v>5.6913</v>
      </c>
      <c r="V284" s="113">
        <v>4.2951000000000006</v>
      </c>
      <c r="W284">
        <v>19.315099999999997</v>
      </c>
      <c r="X284">
        <v>16.087199999999999</v>
      </c>
      <c r="Y284">
        <v>7.5212000000000003</v>
      </c>
      <c r="Z284">
        <v>4.2156000000000002</v>
      </c>
      <c r="AA284" s="104">
        <v>15.196960796873856</v>
      </c>
      <c r="AB284" s="104">
        <v>11.928988492046953</v>
      </c>
      <c r="AC284" s="104">
        <v>5.3585986390093661</v>
      </c>
      <c r="AD284" s="104">
        <v>4.0527402833145594</v>
      </c>
    </row>
    <row r="285" spans="1:30" ht="14.7" customHeight="1">
      <c r="A285" s="110" t="s">
        <v>151</v>
      </c>
      <c r="B285" s="190"/>
      <c r="C285">
        <v>18.076390005201784</v>
      </c>
      <c r="D285">
        <v>11.276272475503793</v>
      </c>
      <c r="E285">
        <v>5.0610609594879312</v>
      </c>
      <c r="F285">
        <v>2.5459235765669446</v>
      </c>
      <c r="G285">
        <v>19.428079630331656</v>
      </c>
      <c r="H285">
        <v>11.011157672564831</v>
      </c>
      <c r="I285" s="147">
        <v>4.1901210028585778</v>
      </c>
      <c r="J285" s="112">
        <v>2.6817348182907961</v>
      </c>
      <c r="K285" s="112">
        <v>22.955788836377469</v>
      </c>
      <c r="L285" s="126">
        <v>13.47408546300427</v>
      </c>
      <c r="M285" s="112">
        <v>6.1016267286979797</v>
      </c>
      <c r="N285" s="126">
        <v>3.8883755018800583</v>
      </c>
      <c r="O285" s="147">
        <v>23.788841069769106</v>
      </c>
      <c r="P285" s="147">
        <v>15.590490959555876</v>
      </c>
      <c r="Q285" s="147">
        <v>6.3975882147676275</v>
      </c>
      <c r="R285" s="112">
        <v>3.3158154648704836</v>
      </c>
      <c r="S285" s="112">
        <v>23.099700000000002</v>
      </c>
      <c r="T285" s="112">
        <v>14.763299999999999</v>
      </c>
      <c r="U285" s="146">
        <v>4.7131999999999996</v>
      </c>
      <c r="V285" s="113">
        <v>2.4826999999999999</v>
      </c>
      <c r="W285">
        <v>17.080200000000001</v>
      </c>
      <c r="X285">
        <v>11.443100000000001</v>
      </c>
      <c r="Y285">
        <v>5.077</v>
      </c>
      <c r="Z285">
        <v>1.9337</v>
      </c>
      <c r="AA285" s="104">
        <v>19.774526888698318</v>
      </c>
      <c r="AB285" s="104">
        <v>13.018296694946388</v>
      </c>
      <c r="AC285" s="104">
        <v>5.7222862227653728</v>
      </c>
      <c r="AD285" s="104">
        <v>2.4525237257297001</v>
      </c>
    </row>
    <row r="286" spans="1:30" ht="14.7" customHeight="1">
      <c r="A286" s="110" t="s">
        <v>152</v>
      </c>
      <c r="B286" s="190"/>
      <c r="C286">
        <v>19.080423992806324</v>
      </c>
      <c r="D286">
        <v>12.85600597578815</v>
      </c>
      <c r="E286">
        <v>4.8512191293320583</v>
      </c>
      <c r="F286">
        <v>2.8637140046467779</v>
      </c>
      <c r="G286">
        <v>18.144150814443556</v>
      </c>
      <c r="H286">
        <v>11.895234111153059</v>
      </c>
      <c r="I286" s="147">
        <v>5.1736065055250027</v>
      </c>
      <c r="J286" s="112">
        <v>2.0243038904590396</v>
      </c>
      <c r="K286" s="112">
        <v>13.83196053932744</v>
      </c>
      <c r="L286" s="126">
        <v>8.856724407459458</v>
      </c>
      <c r="M286" s="112">
        <v>3.5812976677351607</v>
      </c>
      <c r="N286" s="126">
        <v>1.4239132151147182</v>
      </c>
      <c r="O286" s="147">
        <v>17.972534110078993</v>
      </c>
      <c r="P286" s="147">
        <v>12.672561375346495</v>
      </c>
      <c r="Q286" s="147">
        <v>5.7919595217935775</v>
      </c>
      <c r="R286" s="112">
        <v>2.1441683714490467</v>
      </c>
      <c r="S286" s="112">
        <v>21.534400000000002</v>
      </c>
      <c r="T286" s="112">
        <v>15.272600000000001</v>
      </c>
      <c r="U286" s="146">
        <v>4.9034000000000004</v>
      </c>
      <c r="V286" s="113">
        <v>2.5453000000000001</v>
      </c>
      <c r="W286">
        <v>22.9084</v>
      </c>
      <c r="X286">
        <v>15.7522</v>
      </c>
      <c r="Y286">
        <v>7.3347999999999995</v>
      </c>
      <c r="Z286">
        <v>3.3431000000000002</v>
      </c>
    </row>
    <row r="287" spans="1:30" ht="14.7" customHeight="1">
      <c r="A287" s="110" t="s">
        <v>248</v>
      </c>
      <c r="B287" s="190"/>
      <c r="C287">
        <v>11.329914810364238</v>
      </c>
      <c r="D287">
        <v>6.5587770827071648</v>
      </c>
      <c r="E287">
        <v>3.2055102446411214</v>
      </c>
      <c r="F287">
        <v>2.4175472544214029</v>
      </c>
      <c r="G287">
        <v>8.7472825308184543</v>
      </c>
      <c r="H287">
        <v>7.1272410164870044</v>
      </c>
      <c r="I287" s="147">
        <v>2.4052928725542779</v>
      </c>
      <c r="J287" s="112">
        <v>1.9119519514601664</v>
      </c>
      <c r="K287" s="112">
        <v>8.4544243279253859</v>
      </c>
      <c r="L287" s="126">
        <v>5.417561457621848</v>
      </c>
      <c r="M287" s="112">
        <v>1.1934264112764328</v>
      </c>
      <c r="N287" s="126">
        <v>0</v>
      </c>
      <c r="O287" s="147">
        <v>12.236187423529369</v>
      </c>
      <c r="P287" s="147">
        <v>7.1214380526926178</v>
      </c>
      <c r="Q287" s="147">
        <v>4.318649234258956</v>
      </c>
      <c r="R287" s="112">
        <v>1.3583871314236236</v>
      </c>
      <c r="S287" s="112">
        <v>8.7802000000000007</v>
      </c>
      <c r="T287" s="112">
        <v>7.0851999999999995</v>
      </c>
      <c r="U287" s="146">
        <v>4.6518999999999995</v>
      </c>
      <c r="V287" s="113">
        <v>3.4824000000000002</v>
      </c>
      <c r="W287">
        <v>7.8622999999999994</v>
      </c>
      <c r="X287">
        <v>5.1749000000000001</v>
      </c>
      <c r="Y287">
        <v>1.9496</v>
      </c>
      <c r="Z287">
        <v>1.778</v>
      </c>
      <c r="AA287" s="104">
        <v>9.7035495759064929</v>
      </c>
      <c r="AB287" s="104">
        <v>8.2781672756051687</v>
      </c>
      <c r="AC287" s="104">
        <v>3.1614317917549513</v>
      </c>
      <c r="AD287" s="104">
        <v>0.80904300049181277</v>
      </c>
    </row>
    <row r="288" spans="1:30" ht="14.7" customHeight="1">
      <c r="A288" s="110" t="s">
        <v>153</v>
      </c>
      <c r="B288" s="190"/>
      <c r="C288">
        <v>13.372782196216912</v>
      </c>
      <c r="D288">
        <v>9.8928580941431257</v>
      </c>
      <c r="E288">
        <v>6.0102803614951652</v>
      </c>
      <c r="F288">
        <v>3.8470897784465046</v>
      </c>
      <c r="G288">
        <v>15.892849604698986</v>
      </c>
      <c r="H288">
        <v>9.6045197740112975</v>
      </c>
      <c r="I288" s="147">
        <v>3.1487061200912168</v>
      </c>
      <c r="J288" s="112">
        <v>1.2116601152486017</v>
      </c>
      <c r="K288" s="112">
        <v>17.689344704054783</v>
      </c>
      <c r="L288" s="126">
        <v>11.89543986662358</v>
      </c>
      <c r="M288" s="112">
        <v>4.9564167576922387</v>
      </c>
      <c r="N288" s="126">
        <v>2.0583343410574559</v>
      </c>
      <c r="O288" s="147">
        <v>16.032678124208427</v>
      </c>
      <c r="P288" s="147">
        <v>11.011861943046716</v>
      </c>
      <c r="Q288" s="147">
        <v>5.1866182888521761</v>
      </c>
      <c r="R288" s="112">
        <v>3.8766182322327696</v>
      </c>
      <c r="S288" s="112">
        <v>15.928000000000001</v>
      </c>
      <c r="T288" s="112">
        <v>9.674199999999999</v>
      </c>
      <c r="U288" s="146">
        <v>4.4582999999999995</v>
      </c>
      <c r="V288" s="113">
        <v>2.3120000000000003</v>
      </c>
      <c r="W288">
        <v>13.0099</v>
      </c>
      <c r="X288">
        <v>10.2285</v>
      </c>
      <c r="Y288">
        <v>3.9028</v>
      </c>
      <c r="Z288">
        <v>2.56</v>
      </c>
      <c r="AA288" s="104">
        <v>18.610442311559218</v>
      </c>
      <c r="AB288" s="104">
        <v>13.147529900465022</v>
      </c>
      <c r="AC288" s="104">
        <v>3.297695594457827</v>
      </c>
      <c r="AD288" s="104">
        <v>2.4551754103004768</v>
      </c>
    </row>
    <row r="289" spans="1:30" ht="14.7" customHeight="1">
      <c r="A289" s="110" t="s">
        <v>327</v>
      </c>
      <c r="B289" s="190"/>
      <c r="C289">
        <v>13.720536165571751</v>
      </c>
      <c r="D289">
        <v>8.18055812399977</v>
      </c>
      <c r="E289">
        <v>3.4887903281327666</v>
      </c>
      <c r="F289">
        <v>2.032098312944512</v>
      </c>
      <c r="G289">
        <v>12.986562993634838</v>
      </c>
      <c r="H289">
        <v>7.4863769735922832</v>
      </c>
      <c r="I289" s="147">
        <v>2.3819274200718934</v>
      </c>
      <c r="J289" s="112">
        <v>1.1349600518246599</v>
      </c>
      <c r="K289" s="112">
        <v>13.454573621081039</v>
      </c>
      <c r="L289" s="126">
        <v>8.3226840109938216</v>
      </c>
      <c r="M289" s="112">
        <v>3.2712487137147326</v>
      </c>
      <c r="N289" s="126">
        <v>1.135971787125273</v>
      </c>
      <c r="O289" s="147">
        <v>13.797235664815135</v>
      </c>
      <c r="P289" s="147">
        <v>9.5095272702148286</v>
      </c>
      <c r="Q289" s="147">
        <v>3.9266490237036233</v>
      </c>
      <c r="R289" s="112">
        <v>2.0867721749559198</v>
      </c>
      <c r="S289" s="112">
        <v>13.292999999999999</v>
      </c>
      <c r="T289" s="112">
        <v>8.6419999999999995</v>
      </c>
      <c r="U289" s="146">
        <v>4.1598000000000006</v>
      </c>
      <c r="V289" s="113">
        <v>2.2784</v>
      </c>
      <c r="W289">
        <v>13.766800000000002</v>
      </c>
      <c r="X289">
        <v>9.4825999999999997</v>
      </c>
      <c r="Y289">
        <v>3.6179999999999999</v>
      </c>
      <c r="Z289">
        <v>1.9088999999999998</v>
      </c>
      <c r="AA289" s="104">
        <v>13.005470928067698</v>
      </c>
      <c r="AB289" s="104">
        <v>8.4762616405032709</v>
      </c>
      <c r="AC289" s="104">
        <v>2.897405258448809</v>
      </c>
      <c r="AD289" s="104">
        <v>1.4243542150825486</v>
      </c>
    </row>
    <row r="290" spans="1:30" ht="14.7" customHeight="1">
      <c r="A290" s="110" t="s">
        <v>154</v>
      </c>
      <c r="B290" s="190"/>
      <c r="C290">
        <v>12.395462800249501</v>
      </c>
      <c r="D290">
        <v>5.1576281476590253</v>
      </c>
      <c r="E290">
        <v>1.8546395869356438</v>
      </c>
      <c r="F290">
        <v>0.78686650335600627</v>
      </c>
      <c r="G290">
        <v>14.111621017919488</v>
      </c>
      <c r="H290">
        <v>8.0812355403492866</v>
      </c>
      <c r="I290" s="147">
        <v>0.56890429033681134</v>
      </c>
      <c r="J290" s="112">
        <v>0</v>
      </c>
      <c r="K290" s="112">
        <v>7.090100142431023</v>
      </c>
      <c r="L290" s="126">
        <v>3.8920822620045663</v>
      </c>
      <c r="M290" s="112">
        <v>1.9245811288362262</v>
      </c>
      <c r="N290" s="126">
        <v>0.45567406468485894</v>
      </c>
      <c r="O290" s="147">
        <v>12.976919605684875</v>
      </c>
      <c r="P290" s="147">
        <v>9.4429334676948091</v>
      </c>
      <c r="Q290" s="147">
        <v>3.5197441971951937</v>
      </c>
      <c r="R290" s="112">
        <v>1.7066298533094488</v>
      </c>
      <c r="S290" s="112">
        <v>10.6798</v>
      </c>
      <c r="T290" s="112">
        <v>7.6211000000000002</v>
      </c>
      <c r="U290" s="147">
        <v>3.2532999999999999</v>
      </c>
      <c r="V290" s="149">
        <v>2.9246000000000003</v>
      </c>
      <c r="W290">
        <v>9.5057000000000009</v>
      </c>
      <c r="X290">
        <v>6.8775000000000004</v>
      </c>
      <c r="Y290">
        <v>3.4906999999999999</v>
      </c>
      <c r="Z290">
        <v>1.0118</v>
      </c>
      <c r="AA290" s="104">
        <v>9.4539717119367879</v>
      </c>
      <c r="AB290" s="104">
        <v>6.2308214229067111</v>
      </c>
      <c r="AC290" s="104">
        <v>1.4509795290127991</v>
      </c>
      <c r="AD290" s="104">
        <v>0.89245667448305321</v>
      </c>
    </row>
    <row r="291" spans="1:30" ht="14.7" customHeight="1">
      <c r="A291" s="110" t="s">
        <v>155</v>
      </c>
      <c r="B291" s="190"/>
      <c r="C291">
        <v>16.237191651774175</v>
      </c>
      <c r="D291">
        <v>8.8878686054134057</v>
      </c>
      <c r="E291">
        <v>3.1683270689673844</v>
      </c>
      <c r="F291">
        <v>1.9986802236845305</v>
      </c>
      <c r="G291">
        <v>12.574945679698093</v>
      </c>
      <c r="H291">
        <v>8.4040962102699464</v>
      </c>
      <c r="I291" s="147">
        <v>3.8363150453182087</v>
      </c>
      <c r="J291" s="112">
        <v>3.2848549735609738</v>
      </c>
      <c r="K291" s="112">
        <v>12.391051945160161</v>
      </c>
      <c r="L291" s="126">
        <v>9.4661545312847917</v>
      </c>
      <c r="M291" s="112">
        <v>5.336665394280625</v>
      </c>
      <c r="N291" s="126">
        <v>3.1338470591977599</v>
      </c>
      <c r="O291" s="147">
        <v>14.126075185776754</v>
      </c>
      <c r="P291" s="147">
        <v>8.7863291246516848</v>
      </c>
      <c r="Q291" s="147">
        <v>4.295721663789144</v>
      </c>
      <c r="R291" s="112">
        <v>2.6555085002450229</v>
      </c>
      <c r="S291" s="112">
        <v>18.646799999999999</v>
      </c>
      <c r="T291" s="112">
        <v>12.974299999999999</v>
      </c>
      <c r="U291" s="147">
        <v>5.7686999999999999</v>
      </c>
      <c r="V291" s="149">
        <v>3.4728000000000003</v>
      </c>
      <c r="W291">
        <v>18.290500000000002</v>
      </c>
      <c r="X291">
        <v>11.8949</v>
      </c>
      <c r="Y291">
        <v>7.6747999999999994</v>
      </c>
      <c r="Z291">
        <v>4.1513</v>
      </c>
      <c r="AA291" s="104">
        <v>17.943830152225964</v>
      </c>
      <c r="AB291" s="104">
        <v>11.717996200293292</v>
      </c>
      <c r="AC291" s="104">
        <v>7.3866530124530829</v>
      </c>
      <c r="AD291" s="104">
        <v>4.0025730283271717</v>
      </c>
    </row>
    <row r="292" spans="1:30" ht="14.7" customHeight="1">
      <c r="A292" s="110" t="s">
        <v>249</v>
      </c>
      <c r="B292" s="190"/>
      <c r="C292">
        <v>13.278788475704955</v>
      </c>
      <c r="D292">
        <v>7.3157057937205598</v>
      </c>
      <c r="E292">
        <v>2.2403048880997956</v>
      </c>
      <c r="F292">
        <v>1.3285187230597764</v>
      </c>
      <c r="G292">
        <v>12.110833429143696</v>
      </c>
      <c r="H292">
        <v>7.1052002415135931</v>
      </c>
      <c r="I292" s="147">
        <v>3.6768013226516247</v>
      </c>
      <c r="J292" s="112">
        <v>2.7472171231516715</v>
      </c>
      <c r="K292" s="112">
        <v>12.779560102893148</v>
      </c>
      <c r="L292" s="126">
        <v>7.3861439727828024</v>
      </c>
      <c r="M292" s="112">
        <v>3.7437176215881851</v>
      </c>
      <c r="N292" s="126">
        <v>1.7190520374236449</v>
      </c>
      <c r="O292" s="147">
        <v>14.79663382655457</v>
      </c>
      <c r="P292" s="147">
        <v>11.147419941077915</v>
      </c>
      <c r="Q292" s="147">
        <v>5.316527178280273</v>
      </c>
      <c r="R292" s="112">
        <v>2.9359369086320433</v>
      </c>
      <c r="S292" s="112">
        <v>17.379799999999999</v>
      </c>
      <c r="T292" s="112">
        <v>11.5479</v>
      </c>
      <c r="U292" s="146">
        <v>5.4015000000000004</v>
      </c>
      <c r="V292" s="113">
        <v>2.8224</v>
      </c>
      <c r="W292">
        <v>15.055499999999999</v>
      </c>
      <c r="X292">
        <v>10.200099999999999</v>
      </c>
      <c r="Y292">
        <v>4.9942000000000002</v>
      </c>
      <c r="Z292">
        <v>2.7412999999999998</v>
      </c>
      <c r="AA292" s="104">
        <v>15.040807772198702</v>
      </c>
      <c r="AB292" s="104">
        <v>9.1783900944782246</v>
      </c>
      <c r="AC292" s="104">
        <v>4.7758199974881377</v>
      </c>
      <c r="AD292" s="104">
        <v>3.1106932631238431</v>
      </c>
    </row>
    <row r="293" spans="1:30" ht="14.7" customHeight="1">
      <c r="A293" s="26" t="s">
        <v>290</v>
      </c>
      <c r="B293" s="190"/>
      <c r="C293">
        <v>16.574518708336587</v>
      </c>
      <c r="D293">
        <v>10.404280825530348</v>
      </c>
      <c r="E293">
        <v>3.0036441550331463</v>
      </c>
      <c r="F293">
        <v>1.5284823895784438</v>
      </c>
      <c r="G293">
        <v>12.000104795608257</v>
      </c>
      <c r="H293">
        <v>8.7695786410427967</v>
      </c>
      <c r="I293" s="147">
        <v>3.5356425986086371</v>
      </c>
      <c r="J293" s="112">
        <v>1.6823725725709584</v>
      </c>
      <c r="K293" s="112">
        <v>11.856394606158732</v>
      </c>
      <c r="L293" s="126">
        <v>7.5377832039223787</v>
      </c>
      <c r="M293" s="112">
        <v>2.0591700331660125</v>
      </c>
      <c r="N293" s="126">
        <v>1.0517475339339248</v>
      </c>
      <c r="O293" s="147">
        <v>13.202757028547765</v>
      </c>
      <c r="P293" s="147">
        <v>8.7344183419297199</v>
      </c>
      <c r="Q293" s="147">
        <v>5.2381990232388453</v>
      </c>
      <c r="R293" s="112">
        <v>1.5046159404632558</v>
      </c>
      <c r="S293" s="112">
        <v>11.0227</v>
      </c>
      <c r="T293" s="112">
        <v>7.8498999999999999</v>
      </c>
      <c r="U293" s="146">
        <v>4.0022000000000002</v>
      </c>
      <c r="V293" s="113">
        <v>1.042</v>
      </c>
      <c r="W293">
        <v>15.2089</v>
      </c>
      <c r="X293">
        <v>9.1427999999999994</v>
      </c>
      <c r="Y293">
        <v>4.5362999999999998</v>
      </c>
      <c r="Z293">
        <v>2.7140999999999997</v>
      </c>
      <c r="AA293" s="104">
        <v>15.40700811526424</v>
      </c>
      <c r="AB293" s="104">
        <v>11.049737349119381</v>
      </c>
      <c r="AC293" s="104">
        <v>3.4022284657529531</v>
      </c>
      <c r="AD293" s="104">
        <v>1.3907968150511765</v>
      </c>
    </row>
    <row r="294" spans="1:30" ht="14.7" customHeight="1">
      <c r="A294" s="110" t="s">
        <v>291</v>
      </c>
      <c r="B294" s="190"/>
      <c r="C294">
        <v>8.9962113151517915</v>
      </c>
      <c r="D294">
        <v>5.0797714230130788</v>
      </c>
      <c r="E294">
        <v>2.0559414163141736</v>
      </c>
      <c r="F294">
        <v>1.7405644642499674</v>
      </c>
      <c r="G294">
        <v>7.8843624163773631</v>
      </c>
      <c r="H294">
        <v>4.162526600345152</v>
      </c>
      <c r="I294" s="147">
        <v>1.4304851017953475</v>
      </c>
      <c r="J294" s="112">
        <v>0.52195006174900538</v>
      </c>
      <c r="K294" s="112">
        <v>12.70076408843833</v>
      </c>
      <c r="L294" s="126">
        <v>7.1201776951123854</v>
      </c>
      <c r="M294" s="112">
        <v>1.9569612219931629</v>
      </c>
      <c r="N294" s="126">
        <v>1.4257119080072562</v>
      </c>
      <c r="O294" s="147">
        <v>7.6633901118946097</v>
      </c>
      <c r="P294" s="147">
        <v>4.5335115370818846</v>
      </c>
      <c r="Q294" s="147">
        <v>2.2659024501250684</v>
      </c>
      <c r="R294" s="112">
        <v>1.2923367010208309</v>
      </c>
      <c r="S294" s="112">
        <v>8.2546999999999997</v>
      </c>
      <c r="T294" s="112">
        <v>5.6898</v>
      </c>
      <c r="U294" s="146">
        <v>2.1206999999999998</v>
      </c>
      <c r="V294" s="113">
        <v>1.0515000000000001</v>
      </c>
      <c r="W294">
        <v>10.9595</v>
      </c>
      <c r="X294">
        <v>6.2612000000000005</v>
      </c>
      <c r="Y294">
        <v>2.7606999999999999</v>
      </c>
      <c r="Z294">
        <v>2.2507000000000001</v>
      </c>
      <c r="AA294" s="104">
        <v>7.3844827383745137</v>
      </c>
      <c r="AB294" s="104">
        <v>6.5670135647654391</v>
      </c>
      <c r="AC294" s="104">
        <v>2.481680478710393</v>
      </c>
      <c r="AD294" s="104">
        <v>1.3399306640540596</v>
      </c>
    </row>
    <row r="295" spans="1:30" ht="14.7" customHeight="1">
      <c r="A295" s="110" t="s">
        <v>156</v>
      </c>
      <c r="B295" s="190"/>
      <c r="C295">
        <v>19.454445346356767</v>
      </c>
      <c r="D295">
        <v>12.689823971649346</v>
      </c>
      <c r="E295">
        <v>3.06313786330219</v>
      </c>
      <c r="F295">
        <v>2.4731638108082108</v>
      </c>
      <c r="G295">
        <v>18.266025935988285</v>
      </c>
      <c r="H295">
        <v>12.158047370740748</v>
      </c>
      <c r="I295" s="147">
        <v>4.9483888755838841</v>
      </c>
      <c r="J295" s="112">
        <v>2.4941184047141314</v>
      </c>
      <c r="K295" s="112">
        <v>16.837361253247266</v>
      </c>
      <c r="L295" s="126">
        <v>9.7589102665194751</v>
      </c>
      <c r="M295" s="112">
        <v>3.1477684907743262</v>
      </c>
      <c r="N295" s="126">
        <v>1.9253666614098719</v>
      </c>
      <c r="O295" s="147">
        <v>14.77821604229948</v>
      </c>
      <c r="P295" s="147">
        <v>8.0148903076644658</v>
      </c>
      <c r="Q295" s="147">
        <v>3.4120095695757193</v>
      </c>
      <c r="R295" s="112">
        <v>1.4026858424080066</v>
      </c>
      <c r="S295" s="112">
        <v>14.890500000000001</v>
      </c>
      <c r="T295" s="112">
        <v>9.7462999999999997</v>
      </c>
      <c r="U295" s="146">
        <v>4.8769999999999998</v>
      </c>
      <c r="V295" s="113">
        <v>2.3179000000000003</v>
      </c>
      <c r="W295">
        <v>21.3188</v>
      </c>
      <c r="X295">
        <v>14.610400000000002</v>
      </c>
      <c r="Y295">
        <v>5.2737999999999996</v>
      </c>
      <c r="Z295">
        <v>3.4302000000000001</v>
      </c>
      <c r="AA295" s="104">
        <v>18.578261442720144</v>
      </c>
      <c r="AB295" s="104">
        <v>11.942860525228372</v>
      </c>
      <c r="AC295" s="104">
        <v>5.4113153576585935</v>
      </c>
      <c r="AD295" s="104">
        <v>2.9481339671222813</v>
      </c>
    </row>
    <row r="296" spans="1:30" ht="14.7" customHeight="1">
      <c r="A296" s="26" t="s">
        <v>157</v>
      </c>
      <c r="B296" s="190"/>
      <c r="C296">
        <v>19.101464208631949</v>
      </c>
      <c r="D296">
        <v>10.266053436780439</v>
      </c>
      <c r="E296">
        <v>4.2609330341782874</v>
      </c>
      <c r="F296">
        <v>2.6893047849057208</v>
      </c>
      <c r="G296">
        <v>20.414778532917516</v>
      </c>
      <c r="H296">
        <v>11.327229474523962</v>
      </c>
      <c r="I296" s="147">
        <v>3.2471898330245761</v>
      </c>
      <c r="J296" s="112">
        <v>1.4655840644462217</v>
      </c>
      <c r="K296" s="112">
        <v>17.998777010921216</v>
      </c>
      <c r="L296" s="126">
        <v>10.770677863118701</v>
      </c>
      <c r="M296" s="112">
        <v>5.6335395017682703</v>
      </c>
      <c r="N296" s="126">
        <v>3.0267032265100413</v>
      </c>
      <c r="O296" s="147">
        <v>22.307878061455298</v>
      </c>
      <c r="P296" s="147">
        <v>15.11199927426139</v>
      </c>
      <c r="Q296" s="147">
        <v>7.4397867065648438</v>
      </c>
      <c r="R296" s="112">
        <v>2.7597044090158738</v>
      </c>
      <c r="S296" s="112">
        <v>18.043500000000002</v>
      </c>
      <c r="T296" s="112">
        <v>13.5688</v>
      </c>
      <c r="U296" s="146">
        <v>4.8788999999999998</v>
      </c>
      <c r="V296" s="113">
        <v>2.6126</v>
      </c>
      <c r="W296">
        <v>17.941099999999999</v>
      </c>
      <c r="X296">
        <v>13.361999999999998</v>
      </c>
      <c r="Y296">
        <v>5.8123000000000005</v>
      </c>
      <c r="Z296">
        <v>2.8129999999999997</v>
      </c>
      <c r="AA296" s="104">
        <v>17.012967770005989</v>
      </c>
      <c r="AB296" s="104">
        <v>10.628078906242077</v>
      </c>
      <c r="AC296" s="104">
        <v>3.2562661920925295</v>
      </c>
      <c r="AD296" s="104">
        <v>1.3421483456854533</v>
      </c>
    </row>
    <row r="297" spans="1:30" ht="14.7" customHeight="1">
      <c r="A297" s="110" t="s">
        <v>328</v>
      </c>
      <c r="B297" s="190"/>
      <c r="C297">
        <v>19.018709346645153</v>
      </c>
      <c r="D297">
        <v>12.624140878194048</v>
      </c>
      <c r="E297">
        <v>5.6424509598514874</v>
      </c>
      <c r="F297">
        <v>3.3037543795938173</v>
      </c>
      <c r="G297">
        <v>20.28813591196506</v>
      </c>
      <c r="H297">
        <v>13.879510923619407</v>
      </c>
      <c r="I297" s="147">
        <v>6.417164665352705</v>
      </c>
      <c r="J297" s="112">
        <v>3.4174390269694288</v>
      </c>
      <c r="K297" s="112">
        <v>16.244995554734238</v>
      </c>
      <c r="L297" s="126">
        <v>10.78395822961596</v>
      </c>
      <c r="M297" s="112">
        <v>4.9926619519461388</v>
      </c>
      <c r="N297" s="126">
        <v>3.3039388793706039</v>
      </c>
      <c r="O297" s="147">
        <v>21.992362092988881</v>
      </c>
      <c r="P297" s="147">
        <v>15.51982188166483</v>
      </c>
      <c r="Q297" s="147">
        <v>6.8029460023933774</v>
      </c>
      <c r="R297" s="112">
        <v>4.2077937839990947</v>
      </c>
      <c r="S297" s="112">
        <v>20.282299999999999</v>
      </c>
      <c r="T297" s="112">
        <v>14.691399999999998</v>
      </c>
      <c r="U297" s="146">
        <v>6.6888000000000005</v>
      </c>
      <c r="V297" s="113">
        <v>3.1027</v>
      </c>
      <c r="W297">
        <v>20.749100000000002</v>
      </c>
      <c r="X297">
        <v>14.033399999999999</v>
      </c>
      <c r="Y297">
        <v>6.0766</v>
      </c>
      <c r="Z297">
        <v>2.9845999999999999</v>
      </c>
      <c r="AA297" s="104">
        <v>19.764917133210222</v>
      </c>
      <c r="AB297" s="104">
        <v>13.772261442400458</v>
      </c>
      <c r="AC297" s="104">
        <v>5.6487751645283399</v>
      </c>
      <c r="AD297" s="104">
        <v>3.0754518000604731</v>
      </c>
    </row>
    <row r="298" spans="1:30" ht="14.7" customHeight="1">
      <c r="A298" s="26" t="s">
        <v>158</v>
      </c>
      <c r="B298" s="190"/>
      <c r="C298">
        <v>22.853836180468161</v>
      </c>
      <c r="D298">
        <v>15.487922536880388</v>
      </c>
      <c r="E298">
        <v>5.6749622220694773</v>
      </c>
      <c r="F298">
        <v>2.5574188037681127</v>
      </c>
      <c r="G298">
        <v>22.931843920728223</v>
      </c>
      <c r="H298">
        <v>15.452384679978937</v>
      </c>
      <c r="I298" s="147">
        <v>6.6399364004009529</v>
      </c>
      <c r="J298" s="112">
        <v>4.4985330207572991</v>
      </c>
      <c r="K298" s="112">
        <v>16.723436410137175</v>
      </c>
      <c r="L298" s="126">
        <v>9.8355537456125024</v>
      </c>
      <c r="M298" s="112">
        <v>4.7567242616401968</v>
      </c>
      <c r="N298" s="126">
        <v>2.8791669090697547</v>
      </c>
      <c r="O298" s="147">
        <v>26.061258746693571</v>
      </c>
      <c r="P298" s="147">
        <v>19.386345227866585</v>
      </c>
      <c r="Q298" s="147">
        <v>6.7888580194842101</v>
      </c>
      <c r="R298" s="112">
        <v>4.1476669051252717</v>
      </c>
      <c r="S298" s="112">
        <v>21.5914</v>
      </c>
      <c r="T298" s="112">
        <v>14.9192</v>
      </c>
      <c r="U298" s="146">
        <v>5.7827000000000002</v>
      </c>
      <c r="V298" s="113">
        <v>2.5002</v>
      </c>
      <c r="W298">
        <v>25.36</v>
      </c>
      <c r="X298">
        <v>15.855600000000001</v>
      </c>
      <c r="Y298">
        <v>7.056</v>
      </c>
      <c r="Z298">
        <v>3.3305000000000002</v>
      </c>
    </row>
    <row r="299" spans="1:30" ht="14.7" customHeight="1">
      <c r="A299" s="110" t="s">
        <v>250</v>
      </c>
      <c r="B299" s="190"/>
      <c r="C299">
        <v>8.1556592186184442</v>
      </c>
      <c r="D299">
        <v>5.9401147617086165</v>
      </c>
      <c r="E299">
        <v>3.2544541629042909</v>
      </c>
      <c r="F299">
        <v>0.77798853318419126</v>
      </c>
      <c r="G299">
        <v>7.4714626000787234</v>
      </c>
      <c r="H299">
        <v>5.485905819669969</v>
      </c>
      <c r="I299" s="147">
        <v>1.722791120453351</v>
      </c>
      <c r="J299" s="112">
        <v>0.62349983666860764</v>
      </c>
      <c r="K299" s="112">
        <v>8.4889321125658217</v>
      </c>
      <c r="L299" s="126">
        <v>4.6559520165524289</v>
      </c>
      <c r="M299" s="112">
        <v>2.5932914614725933</v>
      </c>
      <c r="N299" s="126">
        <v>2.2742154838059738</v>
      </c>
      <c r="O299" s="147">
        <v>8.5299252193435766</v>
      </c>
      <c r="P299" s="147">
        <v>6.6341432306391113</v>
      </c>
      <c r="Q299" s="147">
        <v>3.0637209413740676</v>
      </c>
      <c r="R299" s="112">
        <v>1.7078554939328705</v>
      </c>
      <c r="S299" s="112">
        <v>11.6021</v>
      </c>
      <c r="T299" s="112">
        <v>7.1675000000000004</v>
      </c>
      <c r="U299" s="147">
        <v>2.2568999999999999</v>
      </c>
      <c r="V299" s="149">
        <v>1.1017999999999999</v>
      </c>
      <c r="W299">
        <v>11.829099999999999</v>
      </c>
      <c r="X299">
        <v>9.1088000000000005</v>
      </c>
      <c r="Y299">
        <v>4.3277999999999999</v>
      </c>
      <c r="Z299">
        <v>3.6977999999999995</v>
      </c>
      <c r="AA299" s="104">
        <v>9.3041534312813567</v>
      </c>
      <c r="AB299" s="104">
        <v>6.2487450145240855</v>
      </c>
      <c r="AC299" s="104">
        <v>3.3648245837634323</v>
      </c>
      <c r="AD299" s="104">
        <v>1.2885519384583906</v>
      </c>
    </row>
    <row r="300" spans="1:30" ht="14.7" customHeight="1">
      <c r="A300" s="110" t="s">
        <v>329</v>
      </c>
      <c r="B300" s="190"/>
      <c r="C300">
        <v>16.980341288288106</v>
      </c>
      <c r="D300">
        <v>10.852230294885834</v>
      </c>
      <c r="E300">
        <v>4.4494839184343835</v>
      </c>
      <c r="F300">
        <v>2.2939507418083664</v>
      </c>
      <c r="G300">
        <v>17.478360332765725</v>
      </c>
      <c r="H300">
        <v>11.069981945592081</v>
      </c>
      <c r="I300" s="147">
        <v>4.7103541816865944</v>
      </c>
      <c r="J300" s="112">
        <v>2.5356380040389088</v>
      </c>
      <c r="K300" s="112">
        <v>17.452841160188868</v>
      </c>
      <c r="L300" s="126">
        <v>10.898650848818731</v>
      </c>
      <c r="M300" s="112">
        <v>4.7545461478578543</v>
      </c>
      <c r="N300" s="126">
        <v>2.951922326110425</v>
      </c>
      <c r="O300" s="147">
        <v>20.16919635183573</v>
      </c>
      <c r="P300" s="147">
        <v>13.62247349333898</v>
      </c>
      <c r="Q300" s="147">
        <v>5.8306818138400027</v>
      </c>
      <c r="R300" s="112">
        <v>3.0984692389112047</v>
      </c>
      <c r="S300" s="112">
        <v>21.081500000000002</v>
      </c>
      <c r="T300" s="112">
        <v>14.196</v>
      </c>
      <c r="U300" s="146">
        <v>6.0834000000000001</v>
      </c>
      <c r="V300" s="113">
        <v>3.1314000000000002</v>
      </c>
      <c r="W300">
        <v>19.409399999999998</v>
      </c>
      <c r="X300">
        <v>13.5937</v>
      </c>
      <c r="Y300">
        <v>5.4965999999999999</v>
      </c>
      <c r="Z300">
        <v>2.6183000000000001</v>
      </c>
      <c r="AA300" s="104">
        <v>20.423132463684833</v>
      </c>
      <c r="AB300" s="104">
        <v>14.284135726136293</v>
      </c>
      <c r="AC300" s="104">
        <v>6.5181672657069578</v>
      </c>
      <c r="AD300" s="104">
        <v>4.1250733896646166</v>
      </c>
    </row>
    <row r="301" spans="1:30" ht="14.7" customHeight="1">
      <c r="A301" s="110" t="s">
        <v>159</v>
      </c>
      <c r="B301" s="189"/>
      <c r="C301">
        <v>19.122129117625338</v>
      </c>
      <c r="D301">
        <v>12.144705015093782</v>
      </c>
      <c r="E301">
        <v>5.7519382563703401</v>
      </c>
      <c r="F301">
        <v>2.8828859529570603</v>
      </c>
      <c r="G301">
        <v>11.263918164533509</v>
      </c>
      <c r="H301">
        <v>6.71574850820764</v>
      </c>
      <c r="I301" s="146">
        <v>1.8614247907846011</v>
      </c>
      <c r="J301" s="144">
        <v>0.95450412963761655</v>
      </c>
      <c r="K301" s="144">
        <v>18.657823260734666</v>
      </c>
      <c r="L301" s="126">
        <v>11.299553421563942</v>
      </c>
      <c r="M301" s="144">
        <v>4.8122641221529348</v>
      </c>
      <c r="N301" s="126">
        <v>2.0300499476109577</v>
      </c>
      <c r="O301" s="146">
        <v>17.407530625296957</v>
      </c>
      <c r="P301" s="146">
        <v>10.314737959787655</v>
      </c>
      <c r="Q301" s="146">
        <v>3.969361802495333</v>
      </c>
      <c r="R301" s="144">
        <v>2.6076482033072468</v>
      </c>
      <c r="S301" s="144">
        <v>19.384599999999999</v>
      </c>
      <c r="T301" s="144">
        <v>11.791</v>
      </c>
      <c r="U301" s="146">
        <v>1.0167000000000002</v>
      </c>
      <c r="V301" s="113">
        <v>0.52539999999999998</v>
      </c>
      <c r="W301">
        <v>16.473700000000001</v>
      </c>
      <c r="X301">
        <v>11.387500000000001</v>
      </c>
      <c r="Y301">
        <v>4.3521000000000001</v>
      </c>
      <c r="Z301">
        <v>2.8184</v>
      </c>
      <c r="AA301" s="104">
        <v>17.690280735111973</v>
      </c>
      <c r="AB301" s="104">
        <v>12.430132460747839</v>
      </c>
      <c r="AC301" s="104">
        <v>5.2639089684096545</v>
      </c>
      <c r="AD301" s="104">
        <v>2.9155160080836375</v>
      </c>
    </row>
    <row r="302" spans="1:30" ht="14.7" customHeight="1">
      <c r="A302" s="26" t="s">
        <v>218</v>
      </c>
      <c r="B302" s="190"/>
      <c r="C302">
        <v>9.5634289588320769</v>
      </c>
      <c r="D302">
        <v>5.2029050831828769</v>
      </c>
      <c r="E302">
        <v>2.0497397903166679</v>
      </c>
      <c r="F302">
        <v>1.180176855960565</v>
      </c>
      <c r="G302">
        <v>12.458500251142391</v>
      </c>
      <c r="H302">
        <v>9.5423488039824953</v>
      </c>
      <c r="I302" s="147">
        <v>4.5513347989306867</v>
      </c>
      <c r="J302" s="112">
        <v>2.7021439478607601</v>
      </c>
      <c r="K302" s="112">
        <v>9.4293913056542547</v>
      </c>
      <c r="L302" s="126">
        <v>6.2262903674100993</v>
      </c>
      <c r="M302" s="112">
        <v>2.9570841565192567</v>
      </c>
      <c r="N302" s="126">
        <v>1.250366208186537</v>
      </c>
      <c r="O302" s="147">
        <v>15.965008868699734</v>
      </c>
      <c r="P302" s="147">
        <v>8.8065100468743136</v>
      </c>
      <c r="Q302" s="147">
        <v>3.5758615651365768</v>
      </c>
      <c r="R302" s="112">
        <v>2.0630864363487391</v>
      </c>
      <c r="S302" s="112">
        <v>8.3818000000000001</v>
      </c>
      <c r="T302" s="112">
        <v>5.7347000000000001</v>
      </c>
      <c r="U302" s="146">
        <v>2.4577</v>
      </c>
      <c r="V302" s="113">
        <v>1.7475000000000001</v>
      </c>
      <c r="W302">
        <v>10.814400000000001</v>
      </c>
      <c r="X302">
        <v>6.6542000000000003</v>
      </c>
      <c r="Y302">
        <v>0.6905</v>
      </c>
      <c r="Z302">
        <v>0.46260000000000001</v>
      </c>
      <c r="AA302" s="104">
        <v>12.235117032892942</v>
      </c>
      <c r="AB302" s="104">
        <v>7.3599523993788596</v>
      </c>
      <c r="AC302" s="104">
        <v>3.2976458887940661</v>
      </c>
      <c r="AD302" s="104">
        <v>2.6838438789240704</v>
      </c>
    </row>
    <row r="303" spans="1:30" ht="14.7" customHeight="1">
      <c r="A303" s="26" t="s">
        <v>160</v>
      </c>
      <c r="B303" s="190"/>
      <c r="C303">
        <v>13.295914680003653</v>
      </c>
      <c r="D303">
        <v>9.0471493330737509</v>
      </c>
      <c r="E303">
        <v>2.9808444076995415</v>
      </c>
      <c r="F303">
        <v>1.7625280821540732</v>
      </c>
      <c r="G303">
        <v>11.920307983674551</v>
      </c>
      <c r="H303">
        <v>7.5188871567334221</v>
      </c>
      <c r="I303" s="147">
        <v>4.8091435754721283</v>
      </c>
      <c r="J303" s="112">
        <v>1.9774139791838101</v>
      </c>
      <c r="K303" s="112">
        <v>14.053957335135886</v>
      </c>
      <c r="L303" s="126">
        <v>7.5016955287762563</v>
      </c>
      <c r="M303" s="112">
        <v>2.8665872436569324</v>
      </c>
      <c r="N303" s="126">
        <v>1.3850630378704556</v>
      </c>
      <c r="O303" s="147">
        <v>15.667380913186429</v>
      </c>
      <c r="P303" s="147">
        <v>9.9585845841113176</v>
      </c>
      <c r="Q303" s="147">
        <v>4.5803570975049404</v>
      </c>
      <c r="R303" s="112">
        <v>1.6570115048991265</v>
      </c>
      <c r="S303" s="112">
        <v>12.040800000000001</v>
      </c>
      <c r="T303" s="112">
        <v>7.6133999999999995</v>
      </c>
      <c r="U303" s="146">
        <v>4.1986999999999997</v>
      </c>
      <c r="V303" s="113">
        <v>1.9419999999999999</v>
      </c>
      <c r="W303">
        <v>16.102599999999999</v>
      </c>
      <c r="X303">
        <v>11.604799999999999</v>
      </c>
      <c r="Y303">
        <v>6.1747000000000005</v>
      </c>
      <c r="Z303">
        <v>4.3498999999999999</v>
      </c>
      <c r="AA303" s="104">
        <v>11.817157080155718</v>
      </c>
      <c r="AB303" s="104">
        <v>6.9082009070967967</v>
      </c>
      <c r="AC303" s="104">
        <v>3.3837723695537565</v>
      </c>
      <c r="AD303" s="104">
        <v>0.67392331940569605</v>
      </c>
    </row>
    <row r="304" spans="1:30" ht="14.7" customHeight="1">
      <c r="A304" s="26" t="s">
        <v>292</v>
      </c>
      <c r="B304" s="190"/>
      <c r="C304">
        <v>11.448639158953556</v>
      </c>
      <c r="D304">
        <v>7.5537131125212573</v>
      </c>
      <c r="E304">
        <v>3.6657770227325552</v>
      </c>
      <c r="F304">
        <v>1.4164280970356677</v>
      </c>
      <c r="G304">
        <v>16.264625339749632</v>
      </c>
      <c r="H304">
        <v>8.0115728018416927</v>
      </c>
      <c r="I304" s="147">
        <v>3.5865315815125522</v>
      </c>
      <c r="J304" s="112">
        <v>2.3562473427146307</v>
      </c>
      <c r="K304" s="112">
        <v>16.706192201353801</v>
      </c>
      <c r="L304" s="126">
        <v>11.289433079488328</v>
      </c>
      <c r="M304" s="112">
        <v>5.447613359215568</v>
      </c>
      <c r="N304" s="126">
        <v>3.6651236872231348</v>
      </c>
      <c r="O304" s="147">
        <v>18.928955569447215</v>
      </c>
      <c r="P304" s="147">
        <v>13.735344894240157</v>
      </c>
      <c r="Q304" s="147">
        <v>6.3915489629598907</v>
      </c>
      <c r="R304" s="112">
        <v>4.3375590930871493</v>
      </c>
      <c r="S304" s="112">
        <v>21.532200000000003</v>
      </c>
      <c r="T304" s="112">
        <v>15.8589</v>
      </c>
      <c r="U304" s="147">
        <v>7.2702</v>
      </c>
      <c r="V304" s="149">
        <v>3.6949000000000001</v>
      </c>
      <c r="W304">
        <v>19.200700000000001</v>
      </c>
      <c r="X304">
        <v>13.764000000000001</v>
      </c>
      <c r="Y304">
        <v>7.4491000000000005</v>
      </c>
      <c r="Z304">
        <v>4.8776000000000002</v>
      </c>
      <c r="AA304" s="104">
        <v>18.675096713437256</v>
      </c>
      <c r="AB304" s="104">
        <v>13.294552578320873</v>
      </c>
      <c r="AC304" s="104">
        <v>6.0646066559800724</v>
      </c>
      <c r="AD304" s="104">
        <v>3.4720073869154899</v>
      </c>
    </row>
    <row r="305" spans="1:30" ht="14.7" customHeight="1">
      <c r="A305" s="110" t="s">
        <v>251</v>
      </c>
      <c r="B305" s="190"/>
      <c r="C305">
        <v>11.281027569323049</v>
      </c>
      <c r="D305">
        <v>8.4517191910540106</v>
      </c>
      <c r="E305">
        <v>2.5077286802572747</v>
      </c>
      <c r="F305">
        <v>0.7506888690295741</v>
      </c>
      <c r="G305">
        <v>9.2218879185929907</v>
      </c>
      <c r="H305">
        <v>6.3656303254160456</v>
      </c>
      <c r="I305" s="147">
        <v>1.5995613284084702</v>
      </c>
      <c r="J305" s="112">
        <v>0.35631874627985288</v>
      </c>
      <c r="K305" s="112">
        <v>7.2730795273525715</v>
      </c>
      <c r="L305" s="126">
        <v>5.0618989655455842</v>
      </c>
      <c r="M305" s="112">
        <v>2.0436639177759424</v>
      </c>
      <c r="N305" s="126">
        <v>1.4638136651310976</v>
      </c>
      <c r="O305" s="147">
        <v>9.2608923281613187</v>
      </c>
      <c r="P305" s="147">
        <v>6.6197961929127507</v>
      </c>
      <c r="Q305" s="147">
        <v>2.700295964513256</v>
      </c>
      <c r="R305" s="112">
        <v>1.9946462193168024</v>
      </c>
      <c r="S305" s="112">
        <v>10.696400000000001</v>
      </c>
      <c r="T305" s="112">
        <v>7.8284000000000002</v>
      </c>
      <c r="U305" s="146">
        <v>4.6215000000000002</v>
      </c>
      <c r="V305" s="113">
        <v>2.7216</v>
      </c>
      <c r="W305">
        <v>9.4383999999999997</v>
      </c>
      <c r="X305">
        <v>6.3977999999999993</v>
      </c>
      <c r="Y305">
        <v>3.2269999999999999</v>
      </c>
      <c r="Z305">
        <v>1.9480999999999997</v>
      </c>
      <c r="AA305" s="104">
        <v>12.20584559044301</v>
      </c>
      <c r="AB305" s="104">
        <v>8.8899126216502999</v>
      </c>
      <c r="AC305" s="104">
        <v>3.5615297916592077</v>
      </c>
      <c r="AD305" s="104">
        <v>2.864561256659516</v>
      </c>
    </row>
    <row r="306" spans="1:30" ht="14.7" customHeight="1">
      <c r="A306" s="110" t="s">
        <v>161</v>
      </c>
      <c r="B306" s="190"/>
      <c r="C306">
        <v>14.558511771296878</v>
      </c>
      <c r="D306">
        <v>8.3856556737168368</v>
      </c>
      <c r="E306">
        <v>3.3163637415268385</v>
      </c>
      <c r="F306">
        <v>2.0774041451005565</v>
      </c>
      <c r="G306">
        <v>12.468100179524543</v>
      </c>
      <c r="H306">
        <v>7.3074548022426162</v>
      </c>
      <c r="I306" s="147">
        <v>3.0555742372273409</v>
      </c>
      <c r="J306" s="112">
        <v>2.2210130085575641</v>
      </c>
      <c r="K306" s="112">
        <v>12.442165887512651</v>
      </c>
      <c r="L306" s="126">
        <v>7.81673282627799</v>
      </c>
      <c r="M306" s="112">
        <v>1.4332899003060515</v>
      </c>
      <c r="N306" s="126">
        <v>0.71149359110330002</v>
      </c>
      <c r="O306" s="147">
        <v>14.482551109069645</v>
      </c>
      <c r="P306" s="147">
        <v>10.26675575612788</v>
      </c>
      <c r="Q306" s="147">
        <v>3.6259831710813906</v>
      </c>
      <c r="R306" s="112">
        <v>3.3277778831099245</v>
      </c>
      <c r="S306" s="112">
        <v>16.505500000000001</v>
      </c>
      <c r="T306" s="112">
        <v>11.3409</v>
      </c>
      <c r="U306" s="146">
        <v>6.6720000000000006</v>
      </c>
      <c r="V306" s="113">
        <v>4.4588000000000001</v>
      </c>
      <c r="W306">
        <v>11.588700000000001</v>
      </c>
      <c r="X306">
        <v>8.1441999999999997</v>
      </c>
      <c r="Y306">
        <v>4.1598999999999995</v>
      </c>
      <c r="Z306">
        <v>2.1440000000000001</v>
      </c>
      <c r="AA306" s="104">
        <v>12.663408474729168</v>
      </c>
      <c r="AB306" s="104">
        <v>9.852399989652568</v>
      </c>
      <c r="AC306" s="104">
        <v>4.5045736675060848</v>
      </c>
      <c r="AD306" s="104">
        <v>3.0318504498714782</v>
      </c>
    </row>
    <row r="307" spans="1:30" ht="14.7" customHeight="1">
      <c r="A307" s="26" t="s">
        <v>162</v>
      </c>
      <c r="B307" s="190"/>
      <c r="C307">
        <v>11.527330574380068</v>
      </c>
      <c r="D307">
        <v>6.6063726009334438</v>
      </c>
      <c r="E307">
        <v>2.6881749162244928</v>
      </c>
      <c r="F307">
        <v>1.0169643275873905</v>
      </c>
      <c r="G307">
        <v>11.952668478690478</v>
      </c>
      <c r="H307">
        <v>7.8001280709065579</v>
      </c>
      <c r="I307" s="147">
        <v>2.4715652094365903</v>
      </c>
      <c r="J307" s="112">
        <v>0.9881788520374456</v>
      </c>
      <c r="K307" s="112">
        <v>11.892323729106884</v>
      </c>
      <c r="L307" s="126">
        <v>5.2240232625997365</v>
      </c>
      <c r="M307" s="112">
        <v>1.4651815629810738</v>
      </c>
      <c r="N307" s="126">
        <v>0.41474237073259079</v>
      </c>
      <c r="O307" s="147">
        <v>13.398282136771245</v>
      </c>
      <c r="P307" s="147">
        <v>7.965288176103746</v>
      </c>
      <c r="Q307" s="147">
        <v>3.4990590818862555</v>
      </c>
      <c r="R307" s="112">
        <v>1.4753541097258178</v>
      </c>
      <c r="S307" s="112">
        <v>13.279299999999999</v>
      </c>
      <c r="T307" s="112">
        <v>7.5398999999999994</v>
      </c>
      <c r="U307" s="147">
        <v>1.9673</v>
      </c>
      <c r="V307" s="149">
        <v>0.50359999999999994</v>
      </c>
      <c r="W307">
        <v>13.931299999999998</v>
      </c>
      <c r="X307">
        <v>7.5727000000000002</v>
      </c>
      <c r="Y307">
        <v>2.2671000000000001</v>
      </c>
      <c r="Z307">
        <v>0.83829999999999993</v>
      </c>
      <c r="AA307" s="104">
        <v>9.445777512017397</v>
      </c>
      <c r="AB307" s="104">
        <v>7.0449370876052546</v>
      </c>
      <c r="AC307" s="104">
        <v>2.4228593821240287</v>
      </c>
      <c r="AD307" s="104">
        <v>1.382208492367536</v>
      </c>
    </row>
    <row r="308" spans="1:30" ht="14.7" customHeight="1">
      <c r="A308" s="110" t="s">
        <v>163</v>
      </c>
      <c r="B308" s="190"/>
      <c r="C308">
        <v>23.37849956455927</v>
      </c>
      <c r="D308">
        <v>15.654345806967795</v>
      </c>
      <c r="E308">
        <v>8.512515167656149</v>
      </c>
      <c r="F308">
        <v>5.3502334193028034</v>
      </c>
      <c r="G308">
        <v>24.107221297157039</v>
      </c>
      <c r="H308">
        <v>19.245881524979637</v>
      </c>
      <c r="I308" s="147">
        <v>8.8128902266623168</v>
      </c>
      <c r="J308" s="112">
        <v>5.7762266171772572</v>
      </c>
      <c r="K308" s="112">
        <v>21.570986998891016</v>
      </c>
      <c r="L308" s="126">
        <v>17.066020150539156</v>
      </c>
      <c r="M308" s="112">
        <v>7.2740929504573577</v>
      </c>
      <c r="N308" s="126">
        <v>1.7466553408366954</v>
      </c>
      <c r="O308" s="147">
        <v>22.782099180691702</v>
      </c>
      <c r="P308" s="147">
        <v>16.337500343215002</v>
      </c>
      <c r="Q308" s="147">
        <v>6.5383288441257807</v>
      </c>
      <c r="R308" s="112">
        <v>3.8602930265336513</v>
      </c>
      <c r="S308" s="112">
        <v>33.015899999999995</v>
      </c>
      <c r="T308" s="112">
        <v>25.4191</v>
      </c>
      <c r="U308" s="146">
        <v>13.641800000000002</v>
      </c>
      <c r="V308" s="113">
        <v>8.4088999999999992</v>
      </c>
      <c r="W308">
        <v>21.378</v>
      </c>
      <c r="X308">
        <v>15.9694</v>
      </c>
      <c r="Y308">
        <v>6.4445000000000006</v>
      </c>
      <c r="Z308">
        <v>3.4402000000000004</v>
      </c>
    </row>
    <row r="309" spans="1:30" ht="14.7" customHeight="1">
      <c r="A309" s="110" t="s">
        <v>164</v>
      </c>
      <c r="B309" s="190"/>
      <c r="C309">
        <v>11.747377176971623</v>
      </c>
      <c r="D309">
        <v>7.4888824500385729</v>
      </c>
      <c r="E309">
        <v>1.1254983648124859</v>
      </c>
      <c r="F309">
        <v>0.45992415492201838</v>
      </c>
      <c r="G309">
        <v>16.849250965030048</v>
      </c>
      <c r="H309">
        <v>11.483908673111781</v>
      </c>
      <c r="I309" s="147">
        <v>5.8888800338399108</v>
      </c>
      <c r="J309" s="112">
        <v>3.6719163483957713</v>
      </c>
      <c r="K309" s="112">
        <v>18.430880741011389</v>
      </c>
      <c r="L309" s="126">
        <v>12.097548258659303</v>
      </c>
      <c r="M309" s="112">
        <v>3.9108572602274392</v>
      </c>
      <c r="N309" s="126">
        <v>1.3678718000371297</v>
      </c>
      <c r="O309" s="147">
        <v>19.876393476704152</v>
      </c>
      <c r="P309" s="147">
        <v>11.448444490926072</v>
      </c>
      <c r="Q309" s="147">
        <v>4.0052232612743168</v>
      </c>
      <c r="R309" s="112">
        <v>1.7267603577025008</v>
      </c>
      <c r="S309" s="112">
        <v>20.166999999999998</v>
      </c>
      <c r="T309" s="112">
        <v>13.837</v>
      </c>
      <c r="U309" s="146">
        <v>5.3036000000000003</v>
      </c>
      <c r="V309" s="113">
        <v>4.2209000000000003</v>
      </c>
      <c r="W309">
        <v>17.926500000000001</v>
      </c>
      <c r="X309">
        <v>11.072899999999999</v>
      </c>
      <c r="Y309">
        <v>4.7526999999999999</v>
      </c>
      <c r="Z309">
        <v>3.0891999999999999</v>
      </c>
      <c r="AA309" s="104">
        <v>20.285435107826554</v>
      </c>
      <c r="AB309" s="104">
        <v>10.50513981461185</v>
      </c>
      <c r="AC309" s="104">
        <v>2.1136192771180204</v>
      </c>
      <c r="AD309" s="104">
        <v>1.1980763952609548</v>
      </c>
    </row>
    <row r="310" spans="1:30" ht="14.7" customHeight="1">
      <c r="A310" s="110" t="s">
        <v>813</v>
      </c>
      <c r="B310" s="190"/>
      <c r="C310">
        <v>12.448283518672753</v>
      </c>
      <c r="D310">
        <v>6.6375124101866065</v>
      </c>
      <c r="E310">
        <v>1.9290094556630621</v>
      </c>
      <c r="F310">
        <v>1.073412408262818</v>
      </c>
      <c r="G310">
        <v>12.296548351603571</v>
      </c>
      <c r="H310">
        <v>6.6155915073963882</v>
      </c>
      <c r="I310" s="147">
        <v>2.5292391703003387</v>
      </c>
      <c r="J310" s="112">
        <v>1.2531072985859246</v>
      </c>
      <c r="K310" s="112">
        <v>18.029214545181301</v>
      </c>
      <c r="L310" s="126">
        <v>14.802642636941943</v>
      </c>
      <c r="M310" s="112">
        <v>6.667101701182701</v>
      </c>
      <c r="N310" s="126">
        <v>3.3922805102559392</v>
      </c>
      <c r="O310" s="147">
        <v>22.208356706590322</v>
      </c>
      <c r="P310" s="147">
        <v>17.491966838896357</v>
      </c>
      <c r="Q310" s="147">
        <v>8.5961050358779421</v>
      </c>
      <c r="R310" s="112">
        <v>3.6110966212733091</v>
      </c>
      <c r="S310" s="112">
        <v>13.010400000000001</v>
      </c>
      <c r="T310" s="112">
        <v>8.604000000000001</v>
      </c>
      <c r="U310" s="146">
        <v>2.7529000000000003</v>
      </c>
      <c r="V310" s="113">
        <v>2.1201000000000003</v>
      </c>
      <c r="W310">
        <v>12.0197</v>
      </c>
      <c r="X310">
        <v>7.7293000000000003</v>
      </c>
      <c r="Y310">
        <v>4.1406000000000001</v>
      </c>
      <c r="Z310">
        <v>2.4511000000000003</v>
      </c>
      <c r="AA310" s="104">
        <v>16.401174799939319</v>
      </c>
      <c r="AB310" s="104">
        <v>11.710942282427114</v>
      </c>
      <c r="AC310" s="104">
        <v>4.8887213707670414</v>
      </c>
      <c r="AD310" s="104">
        <v>2.7056092690291975</v>
      </c>
    </row>
    <row r="311" spans="1:30" ht="14.7" customHeight="1">
      <c r="A311" s="110" t="s">
        <v>165</v>
      </c>
      <c r="B311" s="190"/>
      <c r="C311">
        <v>16.500204557185903</v>
      </c>
      <c r="D311">
        <v>10.445076106391257</v>
      </c>
      <c r="E311">
        <v>4.2889095347731327</v>
      </c>
      <c r="F311">
        <v>3.4205697511836801</v>
      </c>
      <c r="G311">
        <v>8.3224573225336211</v>
      </c>
      <c r="H311">
        <v>5.3748910725687606</v>
      </c>
      <c r="I311" s="147">
        <v>2.2084660206650901</v>
      </c>
      <c r="J311" s="112">
        <v>2.0996389833707467</v>
      </c>
      <c r="K311" s="112">
        <v>11.897362370760465</v>
      </c>
      <c r="L311" s="126">
        <v>7.0715732599909753</v>
      </c>
      <c r="M311" s="112">
        <v>3.0249815895315244</v>
      </c>
      <c r="N311" s="126">
        <v>1.1298265216227776</v>
      </c>
      <c r="O311" s="147">
        <v>12.886422779609278</v>
      </c>
      <c r="P311" s="147">
        <v>10.154729673949875</v>
      </c>
      <c r="Q311" s="147">
        <v>4.2702095769429276</v>
      </c>
      <c r="R311" s="112">
        <v>2.871312780117794</v>
      </c>
      <c r="S311" s="112">
        <v>19.409299999999998</v>
      </c>
      <c r="T311" s="112">
        <v>13.699800000000002</v>
      </c>
      <c r="U311" s="146">
        <v>6.9209000000000005</v>
      </c>
      <c r="V311" s="113">
        <v>4.8643999999999998</v>
      </c>
      <c r="W311">
        <v>13.563600000000001</v>
      </c>
      <c r="X311">
        <v>9.4294000000000011</v>
      </c>
      <c r="Y311">
        <v>5.2749999999999995</v>
      </c>
      <c r="Z311">
        <v>3.9545999999999997</v>
      </c>
      <c r="AA311" s="104">
        <v>14.052643515410274</v>
      </c>
      <c r="AB311" s="104">
        <v>10.506085410564099</v>
      </c>
      <c r="AC311" s="104">
        <v>2.5302936514994436</v>
      </c>
      <c r="AD311" s="104">
        <v>2.0412692721763674</v>
      </c>
    </row>
    <row r="312" spans="1:30" ht="14.7" customHeight="1">
      <c r="A312" s="110" t="s">
        <v>166</v>
      </c>
      <c r="B312" s="190"/>
      <c r="C312">
        <v>21.253235718085168</v>
      </c>
      <c r="D312">
        <v>13.310966530418897</v>
      </c>
      <c r="E312">
        <v>5.2155503354413844</v>
      </c>
      <c r="F312">
        <v>1.8913845825079723</v>
      </c>
      <c r="G312">
        <v>21.315352437530645</v>
      </c>
      <c r="H312">
        <v>15.586918313110539</v>
      </c>
      <c r="I312" s="147">
        <v>6.0044837891448717</v>
      </c>
      <c r="J312" s="112">
        <v>3.600954873547864</v>
      </c>
      <c r="K312" s="112">
        <v>18.978004666281134</v>
      </c>
      <c r="L312" s="126">
        <v>11.459708457136021</v>
      </c>
      <c r="M312" s="112">
        <v>5.1993140167906358</v>
      </c>
      <c r="N312" s="126">
        <v>4.1342453187628374</v>
      </c>
      <c r="O312" s="147">
        <v>16.06991468242056</v>
      </c>
      <c r="P312" s="147">
        <v>10.477908443618661</v>
      </c>
      <c r="Q312" s="147">
        <v>4.4105588086173313</v>
      </c>
      <c r="R312" s="112">
        <v>1.8522626132880458</v>
      </c>
      <c r="S312" s="112">
        <v>22.285800000000002</v>
      </c>
      <c r="T312" s="112">
        <v>13.417100000000001</v>
      </c>
      <c r="U312" s="146">
        <v>7.6995999999999993</v>
      </c>
      <c r="V312" s="113">
        <v>3.3404999999999996</v>
      </c>
      <c r="W312">
        <v>15.753300000000001</v>
      </c>
      <c r="X312">
        <v>10.2036</v>
      </c>
      <c r="Y312">
        <v>4.7849999999999993</v>
      </c>
      <c r="Z312">
        <v>3.3552999999999997</v>
      </c>
      <c r="AA312" s="104">
        <v>14.397984359067486</v>
      </c>
      <c r="AB312" s="104">
        <v>9.6116616762593878</v>
      </c>
      <c r="AC312" s="104">
        <v>3.8549980773752242</v>
      </c>
      <c r="AD312" s="104">
        <v>2.2334136081003249</v>
      </c>
    </row>
    <row r="313" spans="1:30" ht="14.7" customHeight="1">
      <c r="A313" s="110" t="s">
        <v>167</v>
      </c>
      <c r="B313" s="190"/>
      <c r="C313">
        <v>19.061093880216209</v>
      </c>
      <c r="D313">
        <v>12.766828526883961</v>
      </c>
      <c r="E313">
        <v>4.5148996742804695</v>
      </c>
      <c r="F313">
        <v>3.1874746644492373</v>
      </c>
      <c r="G313">
        <v>16.200321532156302</v>
      </c>
      <c r="H313">
        <v>9.4024483376869874</v>
      </c>
      <c r="I313" s="147">
        <v>5.0467374366764863</v>
      </c>
      <c r="J313" s="112">
        <v>2.4349576676773728</v>
      </c>
      <c r="K313" s="112">
        <v>18.915706581627205</v>
      </c>
      <c r="L313" s="126">
        <v>11.610880348429246</v>
      </c>
      <c r="M313" s="112">
        <v>5.0570633544380366</v>
      </c>
      <c r="N313" s="126">
        <v>3.14110577892487</v>
      </c>
      <c r="O313" s="147">
        <v>18.55946081502114</v>
      </c>
      <c r="P313" s="147">
        <v>12.814329408477207</v>
      </c>
      <c r="Q313" s="147">
        <v>4.3239708483439259</v>
      </c>
      <c r="R313" s="112">
        <v>1.6163613061959829</v>
      </c>
      <c r="S313" s="112">
        <v>20.255300000000002</v>
      </c>
      <c r="T313" s="112">
        <v>16.981999999999999</v>
      </c>
      <c r="U313" s="146">
        <v>9.6344999999999992</v>
      </c>
      <c r="V313" s="113">
        <v>6.7031999999999998</v>
      </c>
      <c r="W313">
        <v>16.323999999999998</v>
      </c>
      <c r="X313">
        <v>11.774900000000001</v>
      </c>
      <c r="Y313">
        <v>6.6413000000000002</v>
      </c>
      <c r="Z313">
        <v>3.2973000000000003</v>
      </c>
      <c r="AA313" s="104">
        <v>16.876143304020886</v>
      </c>
      <c r="AB313" s="104">
        <v>12.43482155072809</v>
      </c>
      <c r="AC313" s="104">
        <v>4.3311258761561531</v>
      </c>
      <c r="AD313" s="104">
        <v>2.5698233790283544</v>
      </c>
    </row>
    <row r="314" spans="1:30" ht="14.7" customHeight="1">
      <c r="A314" s="110" t="s">
        <v>168</v>
      </c>
      <c r="B314" s="189"/>
      <c r="C314">
        <v>12.704050080328996</v>
      </c>
      <c r="D314">
        <v>6.2929905964969919</v>
      </c>
      <c r="E314">
        <v>3.4352566517567711</v>
      </c>
      <c r="F314">
        <v>2.3709464994516964</v>
      </c>
      <c r="G314">
        <v>12.574286435968679</v>
      </c>
      <c r="H314">
        <v>7.5710027784794143</v>
      </c>
      <c r="I314" s="147">
        <v>2.9864107097751957</v>
      </c>
      <c r="J314" s="112">
        <v>2.0209143723162413</v>
      </c>
      <c r="K314" s="112">
        <v>11.863454255648286</v>
      </c>
      <c r="L314" s="126">
        <v>7.7268463853593303</v>
      </c>
      <c r="M314" s="112">
        <v>4.9936653958295398</v>
      </c>
      <c r="N314" s="126">
        <v>2.820122697464396</v>
      </c>
      <c r="O314" s="147">
        <v>14.378762986568274</v>
      </c>
      <c r="P314" s="147">
        <v>10.237054701102407</v>
      </c>
      <c r="Q314" s="147">
        <v>4.216137826869879</v>
      </c>
      <c r="R314" s="112">
        <v>3.2350571987106012</v>
      </c>
      <c r="S314" s="112">
        <v>17.362300000000001</v>
      </c>
      <c r="T314" s="112">
        <v>10.857799999999999</v>
      </c>
      <c r="U314" s="146">
        <v>5.8558000000000003</v>
      </c>
      <c r="V314" s="113">
        <v>4.2942</v>
      </c>
      <c r="W314">
        <v>16.095100000000002</v>
      </c>
      <c r="X314">
        <v>11.352600000000001</v>
      </c>
      <c r="Y314">
        <v>5.1728999999999994</v>
      </c>
      <c r="Z314">
        <v>3.7642000000000002</v>
      </c>
      <c r="AA314" s="104">
        <v>14.534249620300505</v>
      </c>
      <c r="AB314" s="104">
        <v>10.820858815876717</v>
      </c>
      <c r="AC314" s="104">
        <v>5.0638867145636901</v>
      </c>
      <c r="AD314" s="104">
        <v>2.6616038305949075</v>
      </c>
    </row>
    <row r="315" spans="1:30" ht="14.7" customHeight="1">
      <c r="A315" s="110" t="s">
        <v>169</v>
      </c>
      <c r="B315" s="190"/>
      <c r="C315">
        <v>6.7259267733224437</v>
      </c>
      <c r="D315">
        <v>3.5019189427124813</v>
      </c>
      <c r="E315">
        <v>0.88763691401308187</v>
      </c>
      <c r="F315">
        <v>0.49375910606962481</v>
      </c>
      <c r="G315">
        <v>10.495762053830498</v>
      </c>
      <c r="H315">
        <v>5.9678619009865379</v>
      </c>
      <c r="I315" s="147">
        <v>1.8776512705665036</v>
      </c>
      <c r="J315" s="112">
        <v>1.1896491127694182</v>
      </c>
      <c r="K315" s="112">
        <v>16.082566380194972</v>
      </c>
      <c r="L315" s="126">
        <v>7.8579960877373027</v>
      </c>
      <c r="M315" s="112">
        <v>2.6179290661877883</v>
      </c>
      <c r="N315" s="126">
        <v>1.4420456003078503</v>
      </c>
      <c r="O315" s="147">
        <v>17.043600275293404</v>
      </c>
      <c r="P315" s="147">
        <v>11.051285073462555</v>
      </c>
      <c r="Q315" s="147">
        <v>5.0510459735676125</v>
      </c>
      <c r="R315" s="112">
        <v>1.6700051494768997</v>
      </c>
      <c r="S315" s="112">
        <v>13.192100000000002</v>
      </c>
      <c r="T315" s="112">
        <v>8.4445999999999994</v>
      </c>
      <c r="U315" s="146">
        <v>2.3607</v>
      </c>
      <c r="V315" s="113">
        <v>1.7759</v>
      </c>
      <c r="W315">
        <v>14.391999999999999</v>
      </c>
      <c r="X315">
        <v>8.9874999999999989</v>
      </c>
      <c r="Y315">
        <v>5.0865999999999998</v>
      </c>
      <c r="Z315">
        <v>3.6457000000000002</v>
      </c>
      <c r="AA315" s="104">
        <v>10.050487133544655</v>
      </c>
      <c r="AB315" s="104">
        <v>7.8175262869433118</v>
      </c>
      <c r="AC315" s="104">
        <v>3.5591551355855988</v>
      </c>
      <c r="AD315" s="104">
        <v>2.1997061141691479</v>
      </c>
    </row>
    <row r="316" spans="1:30" ht="14.7" customHeight="1">
      <c r="A316" s="110" t="s">
        <v>293</v>
      </c>
      <c r="B316" s="190"/>
      <c r="C316">
        <v>8.5943933573978661</v>
      </c>
      <c r="D316">
        <v>6.7835435476492112</v>
      </c>
      <c r="E316">
        <v>1.7253589168824655</v>
      </c>
      <c r="F316">
        <v>1.0827544465480787</v>
      </c>
      <c r="G316">
        <v>14.945013364248222</v>
      </c>
      <c r="H316">
        <v>10.234502414054804</v>
      </c>
      <c r="I316" s="147">
        <v>3.9325275718968489</v>
      </c>
      <c r="J316" s="112">
        <v>2.7127839945744316</v>
      </c>
      <c r="K316" s="112">
        <v>12.952573611163039</v>
      </c>
      <c r="L316" s="126">
        <v>6.8321252056055011</v>
      </c>
      <c r="M316" s="112">
        <v>1.2374834873852512</v>
      </c>
      <c r="N316" s="126">
        <v>0.67906585497333294</v>
      </c>
      <c r="O316" s="147">
        <v>10.53203882065511</v>
      </c>
      <c r="P316" s="147">
        <v>7.1167434071957985</v>
      </c>
      <c r="Q316" s="147">
        <v>2.3343811832526375</v>
      </c>
      <c r="R316" s="112">
        <v>1.4634877487204945</v>
      </c>
      <c r="S316" s="112">
        <v>12.5395</v>
      </c>
      <c r="T316" s="112">
        <v>8.4352999999999998</v>
      </c>
      <c r="U316" s="146">
        <v>2.9502000000000002</v>
      </c>
      <c r="V316" s="113">
        <v>1.0831999999999999</v>
      </c>
      <c r="W316">
        <v>15.593099999999998</v>
      </c>
      <c r="X316">
        <v>9.98</v>
      </c>
      <c r="Y316">
        <v>3.9588999999999999</v>
      </c>
      <c r="Z316">
        <v>3.3210000000000002</v>
      </c>
      <c r="AA316" s="104">
        <v>8.7572399892260808</v>
      </c>
      <c r="AB316" s="104">
        <v>6.1255626112897632</v>
      </c>
      <c r="AC316" s="104">
        <v>1.3749802523815702</v>
      </c>
      <c r="AD316" s="104">
        <v>0.59367078918634408</v>
      </c>
    </row>
    <row r="317" spans="1:30" ht="14.7" customHeight="1">
      <c r="A317" s="110" t="s">
        <v>350</v>
      </c>
      <c r="B317" s="190"/>
      <c r="C317">
        <v>17.965759619250367</v>
      </c>
      <c r="D317">
        <v>8.6020576110537696</v>
      </c>
      <c r="E317">
        <v>2.9934396267594163</v>
      </c>
      <c r="F317">
        <v>1.6751064000455538</v>
      </c>
      <c r="G317">
        <v>17.734488557015418</v>
      </c>
      <c r="H317">
        <v>9.0063378386094275</v>
      </c>
      <c r="I317" s="147">
        <v>3.4128078174832996</v>
      </c>
      <c r="J317" s="112">
        <v>1.2696069234973124</v>
      </c>
      <c r="K317" s="112">
        <v>15.066395813111047</v>
      </c>
      <c r="L317" s="126">
        <v>8.3197239700914256</v>
      </c>
      <c r="M317" s="112">
        <v>3.7836031189458352</v>
      </c>
      <c r="N317" s="126">
        <v>2.555157948668684</v>
      </c>
      <c r="O317" s="147">
        <v>12.380136928665605</v>
      </c>
      <c r="P317" s="147">
        <v>6.357272086359135</v>
      </c>
      <c r="Q317" s="147">
        <v>3.0942518781769035</v>
      </c>
      <c r="R317" s="112">
        <v>0.90361380897763155</v>
      </c>
      <c r="S317" s="112">
        <v>16.553599999999999</v>
      </c>
      <c r="T317" s="112">
        <v>10.631599999999999</v>
      </c>
      <c r="U317" s="146">
        <v>4.2546999999999997</v>
      </c>
      <c r="V317" s="113">
        <v>2.3757000000000001</v>
      </c>
      <c r="W317">
        <v>15.312000000000001</v>
      </c>
      <c r="X317">
        <v>9.9807999999999986</v>
      </c>
      <c r="Y317">
        <v>5.1886999999999999</v>
      </c>
      <c r="Z317">
        <v>3.4382999999999999</v>
      </c>
      <c r="AA317" s="104">
        <v>15.065023021064745</v>
      </c>
      <c r="AB317" s="104">
        <v>8.2362940826296249</v>
      </c>
      <c r="AC317" s="104">
        <v>4.2771486825307443</v>
      </c>
      <c r="AD317" s="104">
        <v>1.6679880076349636</v>
      </c>
    </row>
    <row r="318" spans="1:30" ht="14.7" customHeight="1">
      <c r="A318" s="110" t="s">
        <v>294</v>
      </c>
      <c r="B318" s="190"/>
      <c r="C318">
        <v>9.4471852154099949</v>
      </c>
      <c r="D318">
        <v>5.806116208654891</v>
      </c>
      <c r="E318">
        <v>1.6936347964852685</v>
      </c>
      <c r="F318">
        <v>0.78356057880506058</v>
      </c>
      <c r="G318">
        <v>8.1016804648762637</v>
      </c>
      <c r="H318">
        <v>3.1198733571644164</v>
      </c>
      <c r="I318" s="147">
        <v>1.2953788094998553</v>
      </c>
      <c r="J318" s="112">
        <v>0.16651643913526434</v>
      </c>
      <c r="K318" s="112">
        <v>9.4192063951713152</v>
      </c>
      <c r="L318" s="126">
        <v>3.8935804646336725</v>
      </c>
      <c r="M318" s="112">
        <v>1.5773163134669592</v>
      </c>
      <c r="N318" s="126">
        <v>1.4623118849087755</v>
      </c>
      <c r="O318" s="147">
        <v>12.803805113661559</v>
      </c>
      <c r="P318" s="147">
        <v>7.4676193449151356</v>
      </c>
      <c r="Q318" s="147">
        <v>4.274002506252911</v>
      </c>
      <c r="R318" s="112">
        <v>1.8980933238007702</v>
      </c>
      <c r="S318" s="112">
        <v>14.289299999999999</v>
      </c>
      <c r="T318" s="112">
        <v>9.5866000000000007</v>
      </c>
      <c r="U318" s="146">
        <v>4.0649999999999995</v>
      </c>
      <c r="V318" s="113">
        <v>2.6524999999999999</v>
      </c>
      <c r="W318">
        <v>12.8574</v>
      </c>
      <c r="X318">
        <v>7.8248999999999995</v>
      </c>
      <c r="Y318">
        <v>4.1598000000000006</v>
      </c>
      <c r="Z318">
        <v>2.7658999999999998</v>
      </c>
      <c r="AA318" s="104">
        <v>10.577693620067869</v>
      </c>
      <c r="AB318" s="104">
        <v>5.7727362679566534</v>
      </c>
      <c r="AC318" s="104">
        <v>2.6104845525636766</v>
      </c>
      <c r="AD318" s="104">
        <v>1.4530368413857686</v>
      </c>
    </row>
    <row r="319" spans="1:30" ht="14.7" customHeight="1">
      <c r="A319" s="26" t="s">
        <v>170</v>
      </c>
      <c r="B319" s="190"/>
      <c r="C319">
        <v>14.019400761334092</v>
      </c>
      <c r="D319">
        <v>7.4335694389391502</v>
      </c>
      <c r="E319">
        <v>2.602221510746106</v>
      </c>
      <c r="F319">
        <v>1.0839658761548887</v>
      </c>
      <c r="G319">
        <v>11.639187959927465</v>
      </c>
      <c r="H319">
        <v>6.4256980148848797</v>
      </c>
      <c r="I319" s="147">
        <v>3.2948571724301288</v>
      </c>
      <c r="J319" s="112">
        <v>2.7209990664604522</v>
      </c>
      <c r="K319" s="112">
        <v>7.5584951142011896</v>
      </c>
      <c r="L319" s="126">
        <v>5.3285378890054442</v>
      </c>
      <c r="M319" s="112">
        <v>2.450671861731355</v>
      </c>
      <c r="N319" s="126">
        <v>1.3888805634647086</v>
      </c>
      <c r="O319" s="147">
        <v>13.213985074199694</v>
      </c>
      <c r="P319" s="147">
        <v>7.5650269206075604</v>
      </c>
      <c r="Q319" s="147">
        <v>3.1543280456101641</v>
      </c>
      <c r="R319" s="112">
        <v>0.87164246800954182</v>
      </c>
      <c r="S319" s="112">
        <v>16.7775</v>
      </c>
      <c r="T319" s="112">
        <v>8.8513999999999999</v>
      </c>
      <c r="U319" s="146">
        <v>2.9236999999999997</v>
      </c>
      <c r="V319" s="113">
        <v>1.2748000000000002</v>
      </c>
      <c r="W319">
        <v>18.477399999999999</v>
      </c>
      <c r="X319">
        <v>9.8122000000000007</v>
      </c>
      <c r="Y319">
        <v>2.3475999999999999</v>
      </c>
      <c r="Z319">
        <v>1.7121999999999997</v>
      </c>
      <c r="AA319" s="104">
        <v>14.513105559307164</v>
      </c>
      <c r="AB319" s="104">
        <v>9.6047730625656413</v>
      </c>
      <c r="AC319" s="104">
        <v>3.1167337188590341</v>
      </c>
      <c r="AD319" s="104">
        <v>2.0904133798984583</v>
      </c>
    </row>
    <row r="320" spans="1:30" ht="14.7" customHeight="1">
      <c r="A320" s="26" t="s">
        <v>219</v>
      </c>
      <c r="B320" s="190"/>
      <c r="C320">
        <v>16.724335526264731</v>
      </c>
      <c r="D320">
        <v>9.5758541394500067</v>
      </c>
      <c r="E320">
        <v>4.8048307478181638</v>
      </c>
      <c r="F320">
        <v>2.8344692638844644</v>
      </c>
      <c r="G320">
        <v>19.294616663111846</v>
      </c>
      <c r="H320">
        <v>13.217888920636325</v>
      </c>
      <c r="I320" s="147">
        <v>6.3544060300455953</v>
      </c>
      <c r="J320" s="112">
        <v>4.1219128412122874</v>
      </c>
      <c r="K320" s="112">
        <v>22.439891110599593</v>
      </c>
      <c r="L320" s="126">
        <v>14.642917035094671</v>
      </c>
      <c r="M320" s="112">
        <v>8.4706680489069122</v>
      </c>
      <c r="N320" s="126">
        <v>7.7724334542793541</v>
      </c>
      <c r="O320" s="147">
        <v>23.773480353219014</v>
      </c>
      <c r="P320" s="147">
        <v>16.886851147232044</v>
      </c>
      <c r="Q320" s="147">
        <v>10.847155839165382</v>
      </c>
      <c r="R320" s="112">
        <v>9.0775916707034643</v>
      </c>
      <c r="S320" s="112">
        <v>24.6615</v>
      </c>
      <c r="T320" s="112">
        <v>19.052299999999999</v>
      </c>
      <c r="U320" s="146">
        <v>12.521099999999999</v>
      </c>
      <c r="V320" s="113">
        <v>7.4692999999999996</v>
      </c>
      <c r="W320">
        <v>20.6812</v>
      </c>
      <c r="X320">
        <v>14.299500000000002</v>
      </c>
      <c r="Y320">
        <v>8.4899000000000004</v>
      </c>
      <c r="Z320">
        <v>5.3723999999999998</v>
      </c>
      <c r="AA320" s="104">
        <v>22.142727564496365</v>
      </c>
      <c r="AB320" s="104">
        <v>16.282252236389969</v>
      </c>
      <c r="AC320" s="104">
        <v>8.9891400267242023</v>
      </c>
      <c r="AD320" s="104">
        <v>5.3028158404583241</v>
      </c>
    </row>
    <row r="321" spans="1:30" ht="14.7" customHeight="1">
      <c r="A321" s="26" t="s">
        <v>252</v>
      </c>
      <c r="B321" s="190"/>
      <c r="C321">
        <v>15.895716578450649</v>
      </c>
      <c r="D321">
        <v>9.3416078727132543</v>
      </c>
      <c r="E321">
        <v>4.0993666044161028</v>
      </c>
      <c r="F321">
        <v>1.2995807791182807</v>
      </c>
      <c r="G321">
        <v>15.910805445553663</v>
      </c>
      <c r="H321">
        <v>9.5518183230702558</v>
      </c>
      <c r="I321" s="147">
        <v>4.7293981992590952</v>
      </c>
      <c r="J321" s="112">
        <v>3.5605930505466827</v>
      </c>
      <c r="K321" s="112">
        <v>17.880117932192903</v>
      </c>
      <c r="L321" s="126">
        <v>9.348418078985441</v>
      </c>
      <c r="M321" s="112">
        <v>3.0320886917265559</v>
      </c>
      <c r="N321" s="126">
        <v>1.9876547318633599</v>
      </c>
      <c r="O321" s="147">
        <v>18.435727887451051</v>
      </c>
      <c r="P321" s="147">
        <v>11.979518935644814</v>
      </c>
      <c r="Q321" s="147">
        <v>6.6325970831485739</v>
      </c>
      <c r="R321" s="112">
        <v>3.2181190708492338</v>
      </c>
      <c r="S321" s="112">
        <v>17.0075</v>
      </c>
      <c r="T321" s="112">
        <v>13.216900000000001</v>
      </c>
      <c r="U321" s="146">
        <v>4.5735000000000001</v>
      </c>
      <c r="V321" s="113">
        <v>2.5484</v>
      </c>
      <c r="W321">
        <v>18.3657</v>
      </c>
      <c r="X321">
        <v>11.123900000000001</v>
      </c>
      <c r="Y321">
        <v>5.3290999999999995</v>
      </c>
      <c r="Z321">
        <v>2.9052000000000002</v>
      </c>
      <c r="AA321" s="104">
        <v>15.140867498757132</v>
      </c>
      <c r="AB321" s="104">
        <v>10.147176462436226</v>
      </c>
      <c r="AC321" s="104">
        <v>5.3254134561314279</v>
      </c>
      <c r="AD321" s="104">
        <v>2.5203973969418181</v>
      </c>
    </row>
    <row r="322" spans="1:30" ht="14.7" customHeight="1">
      <c r="A322" s="110" t="s">
        <v>171</v>
      </c>
      <c r="B322" s="190"/>
      <c r="C322">
        <v>15.925449143032688</v>
      </c>
      <c r="D322">
        <v>8.4757368460998279</v>
      </c>
      <c r="E322">
        <v>3.6129203055209205</v>
      </c>
      <c r="F322">
        <v>2.4049481715731611</v>
      </c>
      <c r="G322">
        <v>9.8702428828770206</v>
      </c>
      <c r="H322">
        <v>6.2859818128291529</v>
      </c>
      <c r="I322" s="147">
        <v>2.2004105197736417</v>
      </c>
      <c r="J322" s="112">
        <v>1.2646789440973472</v>
      </c>
      <c r="K322" s="112">
        <v>11.652624341233517</v>
      </c>
      <c r="L322" s="126">
        <v>6.5951873824221936</v>
      </c>
      <c r="M322" s="112">
        <v>2.8292880550976123</v>
      </c>
      <c r="N322" s="126">
        <v>1.7895893751779963</v>
      </c>
      <c r="O322" s="147">
        <v>12.581551938808378</v>
      </c>
      <c r="P322" s="147">
        <v>7.1084898299910746</v>
      </c>
      <c r="Q322" s="147">
        <v>1.9007050360182169</v>
      </c>
      <c r="R322" s="112">
        <v>0.42262685345664719</v>
      </c>
      <c r="S322" s="112">
        <v>17.491200000000003</v>
      </c>
      <c r="T322" s="112">
        <v>11.3888</v>
      </c>
      <c r="U322" s="147">
        <v>3.2917000000000001</v>
      </c>
      <c r="V322" s="149">
        <v>1.4177999999999999</v>
      </c>
      <c r="W322">
        <v>13.475999999999999</v>
      </c>
      <c r="X322">
        <v>9.7814999999999994</v>
      </c>
      <c r="Y322">
        <v>2.9964999999999997</v>
      </c>
      <c r="Z322">
        <v>1.3143</v>
      </c>
      <c r="AA322" s="104">
        <v>19.371610272790811</v>
      </c>
      <c r="AB322" s="104">
        <v>14.062108661006425</v>
      </c>
      <c r="AC322" s="104">
        <v>6.028544334402258</v>
      </c>
      <c r="AD322" s="104">
        <v>2.2179006446300922</v>
      </c>
    </row>
    <row r="323" spans="1:30" ht="14.7" customHeight="1">
      <c r="A323" s="110" t="s">
        <v>172</v>
      </c>
      <c r="B323" s="190"/>
      <c r="C323">
        <v>17.342121487831051</v>
      </c>
      <c r="D323">
        <v>11.063203359507689</v>
      </c>
      <c r="E323">
        <v>3.3415096530671589</v>
      </c>
      <c r="F323">
        <v>1.5769359799161096</v>
      </c>
      <c r="G323">
        <v>14.728017898995022</v>
      </c>
      <c r="H323">
        <v>8.7024455688125553</v>
      </c>
      <c r="I323" s="147">
        <v>3.2873451323813918</v>
      </c>
      <c r="J323" s="112">
        <v>0.90537992416650637</v>
      </c>
      <c r="K323" s="112">
        <v>15.758810951927158</v>
      </c>
      <c r="L323" s="126">
        <v>9.1036493076966192</v>
      </c>
      <c r="M323" s="112">
        <v>3.667926613439255</v>
      </c>
      <c r="N323" s="126">
        <v>1.5918172863629447</v>
      </c>
      <c r="O323" s="147">
        <v>16.927250252765063</v>
      </c>
      <c r="P323" s="147">
        <v>10.916107885656698</v>
      </c>
      <c r="Q323" s="147">
        <v>5.1122938484391725</v>
      </c>
      <c r="R323" s="112">
        <v>3.1260771208172633</v>
      </c>
      <c r="S323" s="112">
        <v>18.029899999999998</v>
      </c>
      <c r="T323" s="112">
        <v>12.151199999999999</v>
      </c>
      <c r="U323" s="147">
        <v>4.9950999999999999</v>
      </c>
      <c r="V323" s="149">
        <v>3.0078</v>
      </c>
      <c r="W323">
        <v>15.556500000000002</v>
      </c>
      <c r="X323">
        <v>10.3962</v>
      </c>
      <c r="Y323">
        <v>1.6479000000000001</v>
      </c>
      <c r="Z323">
        <v>0.98399999999999999</v>
      </c>
      <c r="AA323" s="104">
        <v>17.75202026361881</v>
      </c>
      <c r="AB323" s="104">
        <v>12.586044314908044</v>
      </c>
      <c r="AC323" s="104">
        <v>5.9585437917475739</v>
      </c>
      <c r="AD323" s="104">
        <v>3.6352113815317852</v>
      </c>
    </row>
    <row r="324" spans="1:30" ht="14.7" customHeight="1">
      <c r="A324" s="26" t="s">
        <v>173</v>
      </c>
      <c r="B324" s="190"/>
      <c r="C324">
        <v>22.689402105630339</v>
      </c>
      <c r="D324">
        <v>15.054674910603785</v>
      </c>
      <c r="E324">
        <v>7.4009925080210088</v>
      </c>
      <c r="F324">
        <v>3.3996154543658403</v>
      </c>
      <c r="G324">
        <v>25.358520583860432</v>
      </c>
      <c r="H324">
        <v>19.038777245433646</v>
      </c>
      <c r="I324" s="147">
        <v>10.260172203519154</v>
      </c>
      <c r="J324" s="112">
        <v>6.9195943902968624</v>
      </c>
      <c r="K324" s="112">
        <v>25.774454509428747</v>
      </c>
      <c r="L324" s="126">
        <v>19.383899854131176</v>
      </c>
      <c r="M324" s="112">
        <v>8.4700226528061187</v>
      </c>
      <c r="N324" s="126">
        <v>5.0945739607097211</v>
      </c>
      <c r="O324" s="147">
        <v>26.090434169089182</v>
      </c>
      <c r="P324" s="147">
        <v>18.902356921086337</v>
      </c>
      <c r="Q324" s="147">
        <v>10.893573439969373</v>
      </c>
      <c r="R324" s="112">
        <v>5.7518592467332113</v>
      </c>
      <c r="S324" s="112">
        <v>25.395400000000002</v>
      </c>
      <c r="T324" s="112">
        <v>17.509900000000002</v>
      </c>
      <c r="U324" s="146">
        <v>8.2740999999999989</v>
      </c>
      <c r="V324" s="113">
        <v>3.9328000000000003</v>
      </c>
      <c r="W324">
        <v>22.6448</v>
      </c>
      <c r="X324">
        <v>15.553900000000001</v>
      </c>
      <c r="Y324">
        <v>6.5360000000000005</v>
      </c>
      <c r="Z324">
        <v>3.0819000000000001</v>
      </c>
      <c r="AA324" s="104">
        <v>26.49842402479166</v>
      </c>
      <c r="AB324" s="104">
        <v>20.017089398314109</v>
      </c>
      <c r="AC324" s="104">
        <v>10.536079924475338</v>
      </c>
      <c r="AD324" s="104">
        <v>5.6409485596784217</v>
      </c>
    </row>
    <row r="325" spans="1:30" ht="14.7" customHeight="1">
      <c r="A325" s="110" t="s">
        <v>253</v>
      </c>
      <c r="B325" s="190"/>
      <c r="C325">
        <v>7.4616759041091445</v>
      </c>
      <c r="D325">
        <v>3.9256649760379188</v>
      </c>
      <c r="E325">
        <v>2.5749839098119924</v>
      </c>
      <c r="F325">
        <v>0.98950531454789514</v>
      </c>
      <c r="G325">
        <v>8.5222730130055613</v>
      </c>
      <c r="H325">
        <v>5.4551968699489866</v>
      </c>
      <c r="I325" s="147">
        <v>2.8548280059767359</v>
      </c>
      <c r="J325" s="112">
        <v>1.5536257374225935</v>
      </c>
      <c r="K325" s="112">
        <v>11.637688908792935</v>
      </c>
      <c r="L325" s="126">
        <v>9.188461917106947</v>
      </c>
      <c r="M325" s="112">
        <v>3.8502743991305697</v>
      </c>
      <c r="N325" s="126">
        <v>2.3687314324541875</v>
      </c>
      <c r="O325" s="147">
        <v>10.689716004555091</v>
      </c>
      <c r="P325" s="147">
        <v>7.4745991864415453</v>
      </c>
      <c r="Q325" s="147">
        <v>2.8906475487372436</v>
      </c>
      <c r="R325" s="112">
        <v>1.3119938767568757</v>
      </c>
      <c r="S325" s="112">
        <v>13.4932</v>
      </c>
      <c r="T325" s="112">
        <v>9.6782000000000004</v>
      </c>
      <c r="U325" s="146">
        <v>3.1779000000000002</v>
      </c>
      <c r="V325" s="113">
        <v>1.5473999999999999</v>
      </c>
      <c r="W325">
        <v>9.3778000000000006</v>
      </c>
      <c r="X325">
        <v>7.1188000000000002</v>
      </c>
      <c r="Y325">
        <v>2.8910999999999998</v>
      </c>
      <c r="Z325">
        <v>1.7426000000000001</v>
      </c>
      <c r="AA325" s="104">
        <v>12.133830582054697</v>
      </c>
      <c r="AB325" s="104">
        <v>6.9421676811378843</v>
      </c>
      <c r="AC325" s="104">
        <v>2.187439560634302</v>
      </c>
      <c r="AD325" s="104">
        <v>1.2681374686448581</v>
      </c>
    </row>
    <row r="326" spans="1:30" ht="14.7" customHeight="1">
      <c r="A326" s="110" t="s">
        <v>254</v>
      </c>
      <c r="B326" s="190"/>
      <c r="C326">
        <v>9.2185519628332795</v>
      </c>
      <c r="D326">
        <v>4.8936187564561795</v>
      </c>
      <c r="E326">
        <v>1.16513363635329</v>
      </c>
      <c r="F326">
        <v>0.92948327865337332</v>
      </c>
      <c r="G326">
        <v>10.649672140825746</v>
      </c>
      <c r="H326">
        <v>5.6089264011628268</v>
      </c>
      <c r="I326" s="147">
        <v>2.4703949578292281</v>
      </c>
      <c r="J326" s="112">
        <v>1.2045592884611078</v>
      </c>
      <c r="K326" s="112">
        <v>11.800060440740239</v>
      </c>
      <c r="L326" s="126">
        <v>9.0509276295767336</v>
      </c>
      <c r="M326" s="112">
        <v>1.7197995755202069</v>
      </c>
      <c r="N326" s="126">
        <v>1.4496760705981109</v>
      </c>
      <c r="O326" s="147">
        <v>11.65834492116424</v>
      </c>
      <c r="P326" s="147">
        <v>7.6933799275714989</v>
      </c>
      <c r="Q326" s="147">
        <v>2.9435815939749905</v>
      </c>
      <c r="R326" s="112">
        <v>2.3597681913569519</v>
      </c>
      <c r="S326" s="112">
        <v>8.6443000000000012</v>
      </c>
      <c r="T326" s="112">
        <v>5.5865999999999998</v>
      </c>
      <c r="U326" s="146">
        <v>3.1648999999999998</v>
      </c>
      <c r="V326" s="113">
        <v>2.3185000000000002</v>
      </c>
      <c r="W326">
        <v>8.4286999999999992</v>
      </c>
      <c r="X326">
        <v>6.3587000000000007</v>
      </c>
      <c r="Y326">
        <v>2.3795999999999999</v>
      </c>
      <c r="Z326">
        <v>0.95940000000000003</v>
      </c>
      <c r="AA326" s="104">
        <v>8.1257643659947494</v>
      </c>
      <c r="AB326" s="104">
        <v>5.4886280888796426</v>
      </c>
      <c r="AC326" s="104">
        <v>3.0948915252799583</v>
      </c>
      <c r="AD326" s="104">
        <v>1.2512396561058852</v>
      </c>
    </row>
    <row r="327" spans="1:30" ht="14.7" customHeight="1">
      <c r="A327" s="110" t="s">
        <v>220</v>
      </c>
      <c r="B327" s="190"/>
      <c r="C327">
        <v>15.57562365152266</v>
      </c>
      <c r="D327">
        <v>9.9275375875083096</v>
      </c>
      <c r="E327">
        <v>4.7859309151342684</v>
      </c>
      <c r="F327">
        <v>3.545809037733374</v>
      </c>
      <c r="G327">
        <v>12.81786871961102</v>
      </c>
      <c r="H327">
        <v>10.238298407087537</v>
      </c>
      <c r="I327" s="147">
        <v>4.1595304161354596</v>
      </c>
      <c r="J327" s="112">
        <v>2.3991989833249892</v>
      </c>
      <c r="K327" s="112">
        <v>12.874065559352896</v>
      </c>
      <c r="L327" s="126">
        <v>8.8603534401963344</v>
      </c>
      <c r="M327" s="112">
        <v>5.5191937930568038</v>
      </c>
      <c r="N327" s="126">
        <v>3.9081326028773788</v>
      </c>
      <c r="O327" s="147">
        <v>18.947017451338347</v>
      </c>
      <c r="P327" s="147">
        <v>14.372678594932358</v>
      </c>
      <c r="Q327" s="147">
        <v>7.3127992575721947</v>
      </c>
      <c r="R327" s="112">
        <v>4.7411006446073909</v>
      </c>
      <c r="S327" s="112">
        <v>19.754300000000001</v>
      </c>
      <c r="T327" s="112">
        <v>14.909500000000001</v>
      </c>
      <c r="U327" s="147">
        <v>7.9901999999999997</v>
      </c>
      <c r="V327" s="113">
        <v>6.2266000000000004</v>
      </c>
      <c r="W327">
        <v>16.0304</v>
      </c>
      <c r="X327">
        <v>12.226599999999999</v>
      </c>
      <c r="Y327">
        <v>6.0359999999999996</v>
      </c>
      <c r="Z327">
        <v>3.1701999999999999</v>
      </c>
      <c r="AA327" s="104">
        <v>20.067281035326705</v>
      </c>
      <c r="AB327" s="104">
        <v>14.263477889233847</v>
      </c>
      <c r="AC327" s="104">
        <v>7.3861233086055691</v>
      </c>
      <c r="AD327" s="104">
        <v>2.5850951488902969</v>
      </c>
    </row>
    <row r="328" spans="1:30" ht="14.7" customHeight="1">
      <c r="A328" s="26" t="s">
        <v>221</v>
      </c>
      <c r="B328" s="190"/>
      <c r="C328">
        <v>22.441566215543737</v>
      </c>
      <c r="D328">
        <v>15.787831989734135</v>
      </c>
      <c r="E328">
        <v>8.8293757504465091</v>
      </c>
      <c r="F328">
        <v>5.6850514410137301</v>
      </c>
      <c r="G328">
        <v>18.201232264084165</v>
      </c>
      <c r="H328">
        <v>12.386972064508825</v>
      </c>
      <c r="I328" s="147">
        <v>6.6969557270183273</v>
      </c>
      <c r="J328" s="112">
        <v>4.1876951197813046</v>
      </c>
      <c r="K328" s="112">
        <v>30.669033493717013</v>
      </c>
      <c r="L328" s="126">
        <v>22.103170075178689</v>
      </c>
      <c r="M328" s="112">
        <v>15.02301751051735</v>
      </c>
      <c r="N328" s="126">
        <v>10.374247324600212</v>
      </c>
      <c r="O328" s="147">
        <v>26.333416409706206</v>
      </c>
      <c r="P328" s="147">
        <v>19.821911375952279</v>
      </c>
      <c r="Q328" s="147">
        <v>10.397560580486969</v>
      </c>
      <c r="R328" s="112">
        <v>6.9091062521729434</v>
      </c>
      <c r="S328" s="112">
        <v>22.880500000000001</v>
      </c>
      <c r="T328" s="112">
        <v>17.151</v>
      </c>
      <c r="U328" s="146">
        <v>7.5942999999999996</v>
      </c>
      <c r="V328" s="113">
        <v>3.6191</v>
      </c>
      <c r="W328">
        <v>25.807600000000004</v>
      </c>
      <c r="X328">
        <v>22.459699999999998</v>
      </c>
      <c r="Y328">
        <v>11.1153</v>
      </c>
      <c r="Z328">
        <v>6.5427999999999997</v>
      </c>
      <c r="AA328" s="104">
        <v>29.707732026955952</v>
      </c>
      <c r="AB328" s="104">
        <v>23.783504118626468</v>
      </c>
      <c r="AC328" s="104">
        <v>13.56183752040824</v>
      </c>
      <c r="AD328" s="104">
        <v>9.7295703099433926</v>
      </c>
    </row>
    <row r="329" spans="1:30" ht="14.7" customHeight="1">
      <c r="A329" s="110" t="s">
        <v>295</v>
      </c>
      <c r="B329" s="190"/>
      <c r="C329">
        <v>16.521426575560966</v>
      </c>
      <c r="D329">
        <v>12.700781406980322</v>
      </c>
      <c r="E329">
        <v>3.5813996416935354</v>
      </c>
      <c r="F329">
        <v>1.6304593755963603</v>
      </c>
      <c r="G329">
        <v>16.334380161254892</v>
      </c>
      <c r="H329">
        <v>11.773559730211291</v>
      </c>
      <c r="I329" s="147">
        <v>3.8688563269357505</v>
      </c>
      <c r="J329" s="112">
        <v>2.0238221151890388</v>
      </c>
      <c r="K329" s="112">
        <v>11.489109679668498</v>
      </c>
      <c r="L329" s="126">
        <v>6.7473239682124682</v>
      </c>
      <c r="M329" s="112">
        <v>2.8125074279194697</v>
      </c>
      <c r="N329" s="126">
        <v>1.2564078185289949</v>
      </c>
      <c r="O329" s="147">
        <v>18.99957185546328</v>
      </c>
      <c r="P329" s="147">
        <v>11.979825360472477</v>
      </c>
      <c r="Q329" s="147">
        <v>4.3947234260102492</v>
      </c>
      <c r="R329" s="112">
        <v>2.963422202801397</v>
      </c>
      <c r="S329" s="112">
        <v>20.0807</v>
      </c>
      <c r="T329" s="112">
        <v>13.471</v>
      </c>
      <c r="U329" s="147">
        <v>6.2212999999999994</v>
      </c>
      <c r="V329" s="149">
        <v>3.4611000000000001</v>
      </c>
      <c r="W329">
        <v>18.6919</v>
      </c>
      <c r="X329">
        <v>10.624799999999999</v>
      </c>
      <c r="Y329">
        <v>5.8490000000000002</v>
      </c>
      <c r="Z329">
        <v>2.5726</v>
      </c>
      <c r="AA329" s="104">
        <v>16.214350146378816</v>
      </c>
      <c r="AB329" s="104">
        <v>12.847456966164335</v>
      </c>
      <c r="AC329" s="104">
        <v>6.8855448748574979</v>
      </c>
      <c r="AD329" s="104">
        <v>4.8133775096242424</v>
      </c>
    </row>
    <row r="330" spans="1:30" ht="14.7" customHeight="1">
      <c r="A330" s="110" t="s">
        <v>174</v>
      </c>
      <c r="B330" s="190"/>
      <c r="C330">
        <v>16.004554563273992</v>
      </c>
      <c r="D330">
        <v>11.638725911956801</v>
      </c>
      <c r="E330">
        <v>5.0336098044711539</v>
      </c>
      <c r="F330">
        <v>4.8304247674485286</v>
      </c>
      <c r="G330">
        <v>20.399969945394027</v>
      </c>
      <c r="H330">
        <v>14.163233063315714</v>
      </c>
      <c r="I330" s="147">
        <v>8.1435797878713423</v>
      </c>
      <c r="J330" s="112">
        <v>4.2249059270525979</v>
      </c>
      <c r="K330" s="112">
        <v>18.015533247880374</v>
      </c>
      <c r="L330" s="126">
        <v>10.087858352962229</v>
      </c>
      <c r="M330" s="112">
        <v>2.8864688022126996</v>
      </c>
      <c r="N330" s="126">
        <v>2.1683527093711041</v>
      </c>
      <c r="O330" s="147">
        <v>22.014046311942696</v>
      </c>
      <c r="P330" s="147">
        <v>15.042294755852495</v>
      </c>
      <c r="Q330" s="147">
        <v>7.8627202711901685</v>
      </c>
      <c r="R330" s="112">
        <v>3.8269197196259959</v>
      </c>
      <c r="S330" s="112">
        <v>17.808399999999999</v>
      </c>
      <c r="T330" s="112">
        <v>12.3614</v>
      </c>
      <c r="U330" s="147">
        <v>7.3221999999999996</v>
      </c>
      <c r="V330" s="149">
        <v>5.3948999999999998</v>
      </c>
      <c r="W330">
        <v>18.567499999999999</v>
      </c>
      <c r="X330">
        <v>13.3666</v>
      </c>
      <c r="Y330">
        <v>5.6745999999999999</v>
      </c>
      <c r="Z330">
        <v>4.4477000000000002</v>
      </c>
      <c r="AA330" s="104">
        <v>18.344277645331683</v>
      </c>
      <c r="AB330" s="104">
        <v>14.240941256281658</v>
      </c>
      <c r="AC330" s="104">
        <v>6.927072979354028</v>
      </c>
      <c r="AD330" s="104">
        <v>4.8695114084293003</v>
      </c>
    </row>
    <row r="331" spans="1:30" ht="14.7" customHeight="1">
      <c r="A331" s="110" t="s">
        <v>330</v>
      </c>
      <c r="B331" s="190"/>
      <c r="C331">
        <v>15.418155753017821</v>
      </c>
      <c r="D331">
        <v>10.629668133941045</v>
      </c>
      <c r="E331">
        <v>4.004528430055478</v>
      </c>
      <c r="F331">
        <v>2.8419616141740631</v>
      </c>
      <c r="G331">
        <v>16.055290947231089</v>
      </c>
      <c r="H331">
        <v>10.765567369163632</v>
      </c>
      <c r="I331" s="147">
        <v>5.0326811212720601</v>
      </c>
      <c r="J331" s="112">
        <v>2.7228707637203344</v>
      </c>
      <c r="K331" s="112">
        <v>14.70283964367462</v>
      </c>
      <c r="L331" s="126">
        <v>9.0507917965774531</v>
      </c>
      <c r="M331" s="112">
        <v>3.6525698841717218</v>
      </c>
      <c r="N331" s="126">
        <v>2.447457753468286</v>
      </c>
      <c r="O331" s="147">
        <v>16.502409402537761</v>
      </c>
      <c r="P331" s="147">
        <v>10.335876934231466</v>
      </c>
      <c r="Q331" s="147">
        <v>5.0969373873587376</v>
      </c>
      <c r="R331" s="112">
        <v>2.5019341524629772</v>
      </c>
      <c r="S331" s="112">
        <v>14.358699999999999</v>
      </c>
      <c r="T331" s="112">
        <v>10.3681</v>
      </c>
      <c r="U331" s="147">
        <v>5.2713000000000001</v>
      </c>
      <c r="V331" s="149">
        <v>3.1099000000000001</v>
      </c>
      <c r="W331">
        <v>16.5487</v>
      </c>
      <c r="X331">
        <v>10.7684</v>
      </c>
      <c r="Y331">
        <v>4.5025000000000004</v>
      </c>
      <c r="Z331">
        <v>2.9039999999999999</v>
      </c>
      <c r="AA331" s="104">
        <v>15.712468668373536</v>
      </c>
      <c r="AB331" s="104">
        <v>10.923418385197124</v>
      </c>
      <c r="AC331" s="104">
        <v>5.3163561723071666</v>
      </c>
      <c r="AD331" s="104">
        <v>2.6432505667761186</v>
      </c>
    </row>
    <row r="332" spans="1:30" ht="14.7" customHeight="1">
      <c r="A332" s="26" t="s">
        <v>175</v>
      </c>
      <c r="B332" s="190"/>
      <c r="C332">
        <v>13.324289594434394</v>
      </c>
      <c r="D332">
        <v>9.8973398473672383</v>
      </c>
      <c r="E332">
        <v>5.1070180186431076</v>
      </c>
      <c r="F332">
        <v>3.2364219944591981</v>
      </c>
      <c r="G332">
        <v>12.696297860932157</v>
      </c>
      <c r="H332">
        <v>6.8793969643827984</v>
      </c>
      <c r="I332" s="147">
        <v>3.1823700378941173</v>
      </c>
      <c r="J332" s="112">
        <v>2.2190745986779983</v>
      </c>
      <c r="K332" s="112">
        <v>16.94930796572023</v>
      </c>
      <c r="L332" s="126">
        <v>10.248047891204198</v>
      </c>
      <c r="M332" s="112">
        <v>4.5056485067887735</v>
      </c>
      <c r="N332" s="126">
        <v>3.4211989944920327</v>
      </c>
      <c r="O332" s="147">
        <v>22.627081735146355</v>
      </c>
      <c r="P332" s="147">
        <v>16.375990709163617</v>
      </c>
      <c r="Q332" s="147">
        <v>8.7167213119296392</v>
      </c>
      <c r="R332" s="112">
        <v>6.8340859291532929</v>
      </c>
      <c r="S332" s="112">
        <v>17.145599999999998</v>
      </c>
      <c r="T332" s="112">
        <v>12.367900000000001</v>
      </c>
      <c r="U332" s="146">
        <v>5.2513999999999994</v>
      </c>
      <c r="V332" s="113">
        <v>2.6775000000000002</v>
      </c>
      <c r="W332">
        <v>11.3078</v>
      </c>
      <c r="X332">
        <v>6.5036999999999994</v>
      </c>
      <c r="Y332">
        <v>3.5561000000000003</v>
      </c>
      <c r="Z332">
        <v>2.2178</v>
      </c>
      <c r="AA332" s="104">
        <v>15.404470368023723</v>
      </c>
      <c r="AB332" s="104">
        <v>8.4970574106810695</v>
      </c>
      <c r="AC332" s="104">
        <v>4.0423364667810961</v>
      </c>
      <c r="AD332" s="104">
        <v>2.7879959248918436</v>
      </c>
    </row>
    <row r="333" spans="1:30" ht="14.7" customHeight="1">
      <c r="A333" s="110" t="s">
        <v>176</v>
      </c>
      <c r="B333" s="190"/>
      <c r="C333">
        <v>20.417676996037212</v>
      </c>
      <c r="D333">
        <v>13.213776109213809</v>
      </c>
      <c r="E333">
        <v>6.6947646584782152</v>
      </c>
      <c r="F333">
        <v>3.8670207902090983</v>
      </c>
      <c r="G333">
        <v>23.123228379350468</v>
      </c>
      <c r="H333">
        <v>16.498879260495823</v>
      </c>
      <c r="I333" s="147">
        <v>7.1749804355865949</v>
      </c>
      <c r="J333" s="112">
        <v>3.2508597103853836</v>
      </c>
      <c r="K333" s="112">
        <v>19.627738526390786</v>
      </c>
      <c r="L333" s="126">
        <v>14.558768232104335</v>
      </c>
      <c r="M333" s="112">
        <v>7.6338340359001764</v>
      </c>
      <c r="N333" s="126">
        <v>5.754517207939994</v>
      </c>
      <c r="O333" s="147">
        <v>25.36089072285424</v>
      </c>
      <c r="P333" s="147">
        <v>14.978507304478761</v>
      </c>
      <c r="Q333" s="147">
        <v>7.7946412384394748</v>
      </c>
      <c r="R333" s="112">
        <v>4.2058945581016136</v>
      </c>
      <c r="S333" s="112">
        <v>23.145199999999999</v>
      </c>
      <c r="T333" s="112">
        <v>19.426600000000001</v>
      </c>
      <c r="U333" s="146">
        <v>9.6282999999999994</v>
      </c>
      <c r="V333" s="113">
        <v>4.0023999999999997</v>
      </c>
      <c r="W333">
        <v>21.876899999999999</v>
      </c>
      <c r="X333">
        <v>16.910700000000002</v>
      </c>
      <c r="Y333">
        <v>6.9958000000000009</v>
      </c>
      <c r="Z333">
        <v>3.8349000000000002</v>
      </c>
    </row>
    <row r="334" spans="1:30" ht="14.7" customHeight="1">
      <c r="A334" s="110" t="s">
        <v>177</v>
      </c>
      <c r="B334" s="147"/>
      <c r="C334" s="155">
        <v>19.945905983687911</v>
      </c>
      <c r="D334" s="155">
        <v>12.664495629800451</v>
      </c>
      <c r="E334" s="155">
        <v>4.3744560585951762</v>
      </c>
      <c r="F334" s="155">
        <v>1.2615967433727735</v>
      </c>
      <c r="G334" s="147">
        <v>18.194637195214604</v>
      </c>
      <c r="H334" s="147">
        <v>12.005405339697639</v>
      </c>
      <c r="I334" s="147">
        <v>4.8672369151475134</v>
      </c>
      <c r="J334" s="112">
        <v>3.3765139205731121</v>
      </c>
      <c r="K334" s="112">
        <v>16.73278958277297</v>
      </c>
      <c r="L334" s="126">
        <v>9.5895924076280572</v>
      </c>
      <c r="M334" s="112">
        <v>3.2535621459909874</v>
      </c>
      <c r="N334" s="126">
        <v>1.5166504428024525</v>
      </c>
      <c r="O334" s="147">
        <v>18.790322610675386</v>
      </c>
      <c r="P334" s="147">
        <v>12.515884420946129</v>
      </c>
      <c r="Q334" s="147">
        <v>5.0641727622738779</v>
      </c>
      <c r="R334" s="112">
        <v>2.2463204647915838</v>
      </c>
      <c r="S334" s="112">
        <v>19.7087</v>
      </c>
      <c r="T334" s="112">
        <v>13.425999999999998</v>
      </c>
      <c r="U334" s="147">
        <v>4.9533000000000005</v>
      </c>
      <c r="V334" s="149">
        <v>2.0099</v>
      </c>
      <c r="W334">
        <v>17.8963</v>
      </c>
      <c r="X334">
        <v>8.6823999999999995</v>
      </c>
      <c r="Y334">
        <v>4.6548999999999996</v>
      </c>
      <c r="Z334">
        <v>2.0952999999999999</v>
      </c>
      <c r="AA334" s="104">
        <v>21.256944158255358</v>
      </c>
      <c r="AB334" s="104">
        <v>13.612519953427778</v>
      </c>
      <c r="AC334" s="104">
        <v>5.9266328914823134</v>
      </c>
      <c r="AD334" s="104">
        <v>3.782585156059759</v>
      </c>
    </row>
    <row r="335" spans="1:30" ht="14.7" customHeight="1">
      <c r="A335" s="110" t="s">
        <v>178</v>
      </c>
      <c r="B335" s="147"/>
      <c r="C335" s="155">
        <v>17.243745310369761</v>
      </c>
      <c r="D335" s="155">
        <v>9.7527557034337597</v>
      </c>
      <c r="E335" s="155">
        <v>3.5256271105710111</v>
      </c>
      <c r="F335" s="155">
        <v>2.7150788488872299</v>
      </c>
      <c r="G335" s="147">
        <v>15.330067018580479</v>
      </c>
      <c r="H335" s="147">
        <v>10.054652179955688</v>
      </c>
      <c r="I335" s="147">
        <v>4.1581847464416803</v>
      </c>
      <c r="J335" s="112">
        <v>1.485460149281796</v>
      </c>
      <c r="K335" s="112">
        <v>15.566002196834813</v>
      </c>
      <c r="L335" s="126">
        <v>7.417190363312665</v>
      </c>
      <c r="M335" s="112">
        <v>2.3122269033220193</v>
      </c>
      <c r="N335" s="126">
        <v>0.9256936178924613</v>
      </c>
      <c r="O335" s="147">
        <v>14.680034012030823</v>
      </c>
      <c r="P335" s="147">
        <v>7.9871316283617428</v>
      </c>
      <c r="Q335" s="147">
        <v>3.6262179819956546</v>
      </c>
      <c r="R335" s="112">
        <v>1.4159426383575331</v>
      </c>
      <c r="S335" s="112">
        <v>13.444000000000001</v>
      </c>
      <c r="T335" s="112">
        <v>8.2336000000000009</v>
      </c>
      <c r="U335" s="147">
        <v>3.3062</v>
      </c>
      <c r="V335" s="149">
        <v>2.8599000000000001</v>
      </c>
      <c r="W335">
        <v>14.214099999999998</v>
      </c>
      <c r="X335">
        <v>7.9527999999999999</v>
      </c>
      <c r="Y335">
        <v>2.3185000000000002</v>
      </c>
      <c r="Z335">
        <v>1.4398</v>
      </c>
      <c r="AA335" s="104">
        <v>15.922625351813391</v>
      </c>
      <c r="AB335" s="104">
        <v>9.6943849203599477</v>
      </c>
      <c r="AC335" s="104">
        <v>3.7144706817916462</v>
      </c>
      <c r="AD335" s="104">
        <v>1.2113232116059498</v>
      </c>
    </row>
    <row r="336" spans="1:30" ht="14.7" customHeight="1">
      <c r="A336" s="110" t="s">
        <v>179</v>
      </c>
      <c r="B336" s="147"/>
      <c r="C336" s="155">
        <v>10.463700835918811</v>
      </c>
      <c r="D336" s="155">
        <v>7.1878955673307692</v>
      </c>
      <c r="E336" s="155">
        <v>2.258075478037612</v>
      </c>
      <c r="F336" s="155">
        <v>1.046124011511226</v>
      </c>
      <c r="G336" s="147">
        <v>10.398916547911425</v>
      </c>
      <c r="H336" s="147">
        <v>6.9057376220200402</v>
      </c>
      <c r="I336" s="147">
        <v>3.5298329645256947</v>
      </c>
      <c r="J336" s="112">
        <v>2.6382219561233531</v>
      </c>
      <c r="K336" s="112">
        <v>10.710326219272952</v>
      </c>
      <c r="L336" s="126">
        <v>7.8910324573396124</v>
      </c>
      <c r="M336" s="112">
        <v>3.1780849663274089</v>
      </c>
      <c r="N336" s="126">
        <v>1.9448073320168111</v>
      </c>
      <c r="O336" s="147">
        <v>12.800426732467779</v>
      </c>
      <c r="P336" s="147">
        <v>7.5650686464028407</v>
      </c>
      <c r="Q336" s="147">
        <v>3.2136497110163136</v>
      </c>
      <c r="R336" s="112">
        <v>2.1325860867466391</v>
      </c>
      <c r="S336" s="112">
        <v>10.2933</v>
      </c>
      <c r="T336" s="144">
        <v>7.0569000000000006</v>
      </c>
      <c r="U336" s="146">
        <v>4.2986000000000004</v>
      </c>
      <c r="V336" s="113">
        <v>2.8567</v>
      </c>
      <c r="W336">
        <v>5.8770999999999995</v>
      </c>
      <c r="X336">
        <v>4.3291000000000004</v>
      </c>
      <c r="Y336">
        <v>1.8579999999999999</v>
      </c>
      <c r="Z336">
        <v>1.1242000000000001</v>
      </c>
      <c r="AA336" s="104">
        <v>7.8881687770610762</v>
      </c>
      <c r="AB336" s="104">
        <v>5.0305799949436247</v>
      </c>
      <c r="AC336" s="104">
        <v>0.84360386787872255</v>
      </c>
      <c r="AD336" s="104">
        <v>0.2437517877497978</v>
      </c>
    </row>
    <row r="337" spans="1:30" ht="14.7" customHeight="1">
      <c r="A337" s="26" t="s">
        <v>180</v>
      </c>
      <c r="B337" s="147"/>
      <c r="C337" s="155">
        <v>15.9652981947019</v>
      </c>
      <c r="D337" s="155">
        <v>11.761585285670938</v>
      </c>
      <c r="E337" s="155">
        <v>7.556725922982614</v>
      </c>
      <c r="F337" s="155">
        <v>5.0439397782813327</v>
      </c>
      <c r="G337" s="146">
        <v>16.776213916643577</v>
      </c>
      <c r="H337" s="147">
        <v>11.765910142447108</v>
      </c>
      <c r="I337" s="147">
        <v>6.0203250201653349</v>
      </c>
      <c r="J337" s="112">
        <v>5.6722938529506903</v>
      </c>
      <c r="K337" s="112">
        <v>16.762147970789893</v>
      </c>
      <c r="L337" s="126">
        <v>9.7111928487749015</v>
      </c>
      <c r="M337" s="112">
        <v>6.0635331825865508</v>
      </c>
      <c r="N337" s="126">
        <v>3.853622612815605</v>
      </c>
      <c r="O337" s="147">
        <v>18.685579364901361</v>
      </c>
      <c r="P337" s="147">
        <v>12.147873963469586</v>
      </c>
      <c r="Q337" s="147">
        <v>6.1914964715021465</v>
      </c>
      <c r="R337" s="112">
        <v>4.2094176005318946</v>
      </c>
      <c r="S337" s="112">
        <v>18.3995</v>
      </c>
      <c r="T337" s="112">
        <v>12.861600000000001</v>
      </c>
      <c r="U337" s="146">
        <v>5.7112999999999996</v>
      </c>
      <c r="V337" s="113">
        <v>3.8281999999999998</v>
      </c>
      <c r="W337">
        <v>19.699300000000001</v>
      </c>
      <c r="X337">
        <v>12.992699999999999</v>
      </c>
      <c r="Y337">
        <v>4.7376000000000005</v>
      </c>
      <c r="Z337">
        <v>3.7684000000000002</v>
      </c>
      <c r="AA337" s="104">
        <v>13.587316599707986</v>
      </c>
      <c r="AB337" s="104">
        <v>9.3981906924758789</v>
      </c>
      <c r="AC337" s="104">
        <v>4.501334190354445</v>
      </c>
      <c r="AD337" s="104">
        <v>2.6039241434739435</v>
      </c>
    </row>
    <row r="338" spans="1:30" ht="14.7" customHeight="1">
      <c r="A338" s="26" t="s">
        <v>296</v>
      </c>
      <c r="B338" s="147"/>
      <c r="C338" s="155">
        <v>17.01267965768454</v>
      </c>
      <c r="D338" s="155">
        <v>10.75382396921183</v>
      </c>
      <c r="E338" s="155">
        <v>3.4238482498536125</v>
      </c>
      <c r="F338" s="155">
        <v>2.4531601760574331</v>
      </c>
      <c r="G338" s="147">
        <v>21.196558203613804</v>
      </c>
      <c r="H338" s="147">
        <v>12.504000636024681</v>
      </c>
      <c r="I338" s="147">
        <v>6.8837440652985347</v>
      </c>
      <c r="J338" s="112">
        <v>3.1267136482335025</v>
      </c>
      <c r="K338" s="112">
        <v>19.007323372927491</v>
      </c>
      <c r="L338" s="126">
        <v>11.845381712447413</v>
      </c>
      <c r="M338" s="112">
        <v>5.281219067062608</v>
      </c>
      <c r="N338" s="126">
        <v>3.1828059267508042</v>
      </c>
      <c r="O338" s="147">
        <v>19.104757454654713</v>
      </c>
      <c r="P338" s="147">
        <v>13.837770929041312</v>
      </c>
      <c r="Q338" s="147">
        <v>5.4840513414206855</v>
      </c>
      <c r="R338" s="112">
        <v>2.3223658087686254</v>
      </c>
      <c r="S338" s="112">
        <v>18.4331</v>
      </c>
      <c r="T338" s="112">
        <v>12.232099999999999</v>
      </c>
      <c r="U338" s="147">
        <v>4.3918999999999997</v>
      </c>
      <c r="V338" s="149">
        <v>2.2894999999999999</v>
      </c>
      <c r="W338">
        <v>16.054199999999998</v>
      </c>
      <c r="X338">
        <v>9.1606999999999985</v>
      </c>
      <c r="Y338">
        <v>4.7755999999999998</v>
      </c>
      <c r="Z338">
        <v>2.5352999999999999</v>
      </c>
      <c r="AA338" s="104">
        <v>18.712657179627712</v>
      </c>
      <c r="AB338" s="104">
        <v>11.445776998182595</v>
      </c>
      <c r="AC338" s="104">
        <v>3.8367291931848904</v>
      </c>
      <c r="AD338" s="104">
        <v>1.6735577399758668</v>
      </c>
    </row>
    <row r="339" spans="1:30" ht="14.7" customHeight="1">
      <c r="A339" s="110" t="s">
        <v>181</v>
      </c>
      <c r="B339" s="146"/>
      <c r="C339" s="155">
        <v>15.79560873323403</v>
      </c>
      <c r="D339" s="155">
        <v>9.9735855443861148</v>
      </c>
      <c r="E339" s="155">
        <v>4.3161083859949709</v>
      </c>
      <c r="F339" s="155">
        <v>2.6118325471533979</v>
      </c>
      <c r="G339" s="146">
        <v>19.172495718784887</v>
      </c>
      <c r="H339" s="146">
        <v>10.020503771958845</v>
      </c>
      <c r="I339" s="146">
        <v>2.9742722590500459</v>
      </c>
      <c r="J339" s="144">
        <v>0.76664501925802486</v>
      </c>
      <c r="K339" s="144">
        <v>14.040086576359018</v>
      </c>
      <c r="L339" s="126">
        <v>6.994798373366419</v>
      </c>
      <c r="M339" s="144">
        <v>3.046415417793555</v>
      </c>
      <c r="N339" s="126">
        <v>2.0522745863943608</v>
      </c>
      <c r="O339" s="146">
        <v>14.657665992146168</v>
      </c>
      <c r="P339" s="146">
        <v>8.8368385526450997</v>
      </c>
      <c r="Q339" s="146">
        <v>5.1632067161201105</v>
      </c>
      <c r="R339" s="144">
        <v>1.9213808730087334</v>
      </c>
      <c r="S339" s="144">
        <v>20.215</v>
      </c>
      <c r="T339" s="144">
        <v>12.5059</v>
      </c>
      <c r="U339" s="146">
        <v>4.2466999999999997</v>
      </c>
      <c r="V339" s="113">
        <v>3.4341999999999997</v>
      </c>
      <c r="W339">
        <v>15.2393</v>
      </c>
      <c r="X339">
        <v>7.3990999999999998</v>
      </c>
      <c r="Y339">
        <v>2.1768999999999998</v>
      </c>
      <c r="Z339">
        <v>1.5519000000000001</v>
      </c>
      <c r="AA339" s="104">
        <v>13.398435317130453</v>
      </c>
      <c r="AB339" s="104">
        <v>8.9044276504038571</v>
      </c>
      <c r="AC339" s="104">
        <v>4.2042590524252539</v>
      </c>
      <c r="AD339" s="104">
        <v>2.6637000141570368</v>
      </c>
    </row>
    <row r="340" spans="1:30" ht="14.7" customHeight="1">
      <c r="A340" s="108" t="s">
        <v>182</v>
      </c>
      <c r="B340" s="148"/>
      <c r="C340" s="155">
        <v>11.319775458486882</v>
      </c>
      <c r="D340" s="155">
        <v>7.5317413026628008</v>
      </c>
      <c r="E340" s="155">
        <v>1.8806465594458686</v>
      </c>
      <c r="F340" s="155">
        <v>1.4517892446795113</v>
      </c>
      <c r="G340" s="148">
        <v>17.570139948930773</v>
      </c>
      <c r="H340" s="148">
        <v>11.008366446757424</v>
      </c>
      <c r="I340" s="148">
        <v>4.9560816706416144</v>
      </c>
      <c r="J340" s="109">
        <v>2.2206888528279634</v>
      </c>
      <c r="K340" s="109">
        <v>18.588039032429883</v>
      </c>
      <c r="L340" s="126">
        <v>10.754079534495343</v>
      </c>
      <c r="M340" s="109">
        <v>5.0086635139697897</v>
      </c>
      <c r="N340" s="126">
        <v>3.2053990776440902</v>
      </c>
      <c r="O340" s="148">
        <v>16.403507235388641</v>
      </c>
      <c r="P340" s="148">
        <v>9.921830601843725</v>
      </c>
      <c r="Q340" s="148">
        <v>3.4219925287670714</v>
      </c>
      <c r="R340" s="109">
        <v>2.206918936132753</v>
      </c>
      <c r="S340" s="109">
        <v>15.862000000000002</v>
      </c>
      <c r="T340" s="109">
        <v>8.4268000000000001</v>
      </c>
      <c r="U340" s="148">
        <v>4.4344000000000001</v>
      </c>
      <c r="V340" s="150">
        <v>1.5782</v>
      </c>
      <c r="W340">
        <v>15.460899999999999</v>
      </c>
      <c r="X340">
        <v>12.3919</v>
      </c>
      <c r="Y340">
        <v>5.52</v>
      </c>
      <c r="Z340">
        <v>2.8475000000000001</v>
      </c>
    </row>
    <row r="341" spans="1:30" ht="14.7" customHeight="1">
      <c r="A341" s="110" t="s">
        <v>183</v>
      </c>
      <c r="B341" s="146"/>
      <c r="C341" s="155">
        <v>11.669777811893761</v>
      </c>
      <c r="D341" s="155">
        <v>8.2295457325956676</v>
      </c>
      <c r="E341" s="155">
        <v>4.7226912067643703</v>
      </c>
      <c r="F341" s="155">
        <v>2.6836896856023911</v>
      </c>
      <c r="G341" s="146">
        <v>10.101158938025568</v>
      </c>
      <c r="H341" s="146">
        <v>5.8260997800235135</v>
      </c>
      <c r="I341" s="146">
        <v>1.9666799116816933</v>
      </c>
      <c r="J341" s="144">
        <v>0.46576027068987413</v>
      </c>
      <c r="K341" s="144">
        <v>9.8756772350237707</v>
      </c>
      <c r="L341" s="126">
        <v>6.0813828042568492</v>
      </c>
      <c r="M341" s="144">
        <v>1.5240010906892285</v>
      </c>
      <c r="N341" s="126">
        <v>0.80596401515899974</v>
      </c>
      <c r="O341" s="146">
        <v>16.32552273256961</v>
      </c>
      <c r="P341" s="146">
        <v>10.912929255867454</v>
      </c>
      <c r="Q341" s="146">
        <v>5.2322409652680184</v>
      </c>
      <c r="R341" s="144">
        <v>4.7161029735209299</v>
      </c>
      <c r="S341" s="144">
        <v>15.1693</v>
      </c>
      <c r="T341" s="144">
        <v>11.992800000000001</v>
      </c>
      <c r="U341" s="146">
        <v>5.3228</v>
      </c>
      <c r="V341" s="113">
        <v>4.2458</v>
      </c>
      <c r="W341">
        <v>13.2439</v>
      </c>
      <c r="X341">
        <v>7.7723000000000004</v>
      </c>
      <c r="Y341">
        <v>3.0659999999999998</v>
      </c>
      <c r="Z341">
        <v>1.8807999999999998</v>
      </c>
      <c r="AA341" s="104">
        <v>12.956233204007953</v>
      </c>
      <c r="AB341" s="104">
        <v>8.3712270030630584</v>
      </c>
      <c r="AC341" s="104">
        <v>3.0983665104833853</v>
      </c>
      <c r="AD341" s="104">
        <v>1.6742222574048133</v>
      </c>
    </row>
    <row r="342" spans="1:30" ht="14.7" customHeight="1">
      <c r="A342" s="110" t="s">
        <v>184</v>
      </c>
      <c r="B342" s="147"/>
      <c r="C342" s="155">
        <v>17.423325292039074</v>
      </c>
      <c r="D342" s="155">
        <v>11.723495631447431</v>
      </c>
      <c r="E342" s="155">
        <v>4.2337497278503298</v>
      </c>
      <c r="F342" s="155">
        <v>1.5256009905299432</v>
      </c>
      <c r="G342" s="146">
        <v>18.553095006596283</v>
      </c>
      <c r="H342" s="147">
        <v>10.940251585116377</v>
      </c>
      <c r="I342" s="147">
        <v>4.6093435442348127</v>
      </c>
      <c r="J342" s="112">
        <v>2.4881955092097394</v>
      </c>
      <c r="K342" s="112">
        <v>15.657042924530151</v>
      </c>
      <c r="L342" s="126">
        <v>10.108577910499402</v>
      </c>
      <c r="M342" s="112">
        <v>4.9118578559253905</v>
      </c>
      <c r="N342" s="126">
        <v>2.7634975337499785</v>
      </c>
      <c r="O342" s="147">
        <v>15.695234525181151</v>
      </c>
      <c r="P342" s="147">
        <v>10.848884003878094</v>
      </c>
      <c r="Q342" s="147">
        <v>5.3023504710020779</v>
      </c>
      <c r="R342" s="112">
        <v>2.3346286879428209</v>
      </c>
      <c r="S342" s="112">
        <v>21.240100000000002</v>
      </c>
      <c r="T342" s="112">
        <v>15.6774</v>
      </c>
      <c r="U342" s="146">
        <v>7.7113000000000005</v>
      </c>
      <c r="V342" s="113">
        <v>5.6129999999999995</v>
      </c>
      <c r="W342">
        <v>19.734500000000001</v>
      </c>
      <c r="X342">
        <v>15.7806</v>
      </c>
      <c r="Y342">
        <v>6.9535</v>
      </c>
      <c r="Z342">
        <v>4.6493000000000002</v>
      </c>
      <c r="AA342" s="104">
        <v>13.289648360436429</v>
      </c>
      <c r="AB342" s="104">
        <v>8.4889391598570167</v>
      </c>
      <c r="AC342" s="104">
        <v>2.5407931892795101</v>
      </c>
      <c r="AD342" s="104">
        <v>1.6702184018707968</v>
      </c>
    </row>
    <row r="343" spans="1:30" ht="14.7" customHeight="1">
      <c r="A343" s="110" t="s">
        <v>185</v>
      </c>
      <c r="B343" s="146"/>
      <c r="C343" s="155">
        <v>17.567556241623706</v>
      </c>
      <c r="D343" s="155">
        <v>10.503221491781602</v>
      </c>
      <c r="E343" s="155">
        <v>4.3398116034263801</v>
      </c>
      <c r="F343" s="155">
        <v>2.4510425059631276</v>
      </c>
      <c r="G343" s="146">
        <v>13.965462562896796</v>
      </c>
      <c r="H343" s="147">
        <v>7.9240219936334215</v>
      </c>
      <c r="I343" s="147">
        <v>4.0079491159441707</v>
      </c>
      <c r="J343" s="112">
        <v>1.774182777050368</v>
      </c>
      <c r="K343" s="112">
        <v>18.997303854416081</v>
      </c>
      <c r="L343" s="126">
        <v>11.284833607632013</v>
      </c>
      <c r="M343" s="112">
        <v>3.8642241465193292</v>
      </c>
      <c r="N343" s="126">
        <v>2.4360113651307267</v>
      </c>
      <c r="O343" s="147">
        <v>21.368355201070152</v>
      </c>
      <c r="P343" s="147">
        <v>14.813547385411182</v>
      </c>
      <c r="Q343" s="147">
        <v>5.1737078297117476</v>
      </c>
      <c r="R343" s="112">
        <v>2.8927973900865442</v>
      </c>
      <c r="S343" s="112">
        <v>18.650400000000001</v>
      </c>
      <c r="T343" s="112">
        <v>12.487</v>
      </c>
      <c r="U343" s="146">
        <v>5.4653</v>
      </c>
      <c r="V343" s="113">
        <v>3.3326000000000002</v>
      </c>
      <c r="W343">
        <v>18.2683</v>
      </c>
      <c r="X343">
        <v>13.4886</v>
      </c>
      <c r="Y343">
        <v>6.7134999999999998</v>
      </c>
      <c r="Z343">
        <v>3.1396000000000002</v>
      </c>
      <c r="AA343" s="104">
        <v>22.316116413519676</v>
      </c>
      <c r="AB343" s="104">
        <v>15.49813953870216</v>
      </c>
      <c r="AC343" s="104">
        <v>7.6998398174051355</v>
      </c>
      <c r="AD343" s="104">
        <v>4.8538802254288598</v>
      </c>
    </row>
    <row r="344" spans="1:30" ht="14.7" customHeight="1">
      <c r="A344" s="110" t="s">
        <v>186</v>
      </c>
      <c r="B344" s="147"/>
      <c r="C344" s="154">
        <v>15.795849288139182</v>
      </c>
      <c r="D344" s="154">
        <v>9.9349415494019695</v>
      </c>
      <c r="E344" s="154">
        <v>3.256799530623077</v>
      </c>
      <c r="F344" s="154">
        <v>1.2382555684684109</v>
      </c>
      <c r="G344" s="146">
        <v>11.161613384731616</v>
      </c>
      <c r="H344" s="147">
        <v>7.3383419393257157</v>
      </c>
      <c r="I344" s="147">
        <v>3.4234311398249435</v>
      </c>
      <c r="J344" s="112">
        <v>1.3565654340927815</v>
      </c>
      <c r="K344" s="112">
        <v>10.729823280036836</v>
      </c>
      <c r="L344" s="126">
        <v>7.6983534716819335</v>
      </c>
      <c r="M344" s="112">
        <v>1.3248043060605581</v>
      </c>
      <c r="N344" s="126">
        <v>0.84152363411187503</v>
      </c>
      <c r="O344" s="147">
        <v>16.20982833346423</v>
      </c>
      <c r="P344" s="147">
        <v>11.205371057775434</v>
      </c>
      <c r="Q344" s="147">
        <v>6.0360377938332714</v>
      </c>
      <c r="R344" s="112">
        <v>3.9116082283184888</v>
      </c>
      <c r="S344" s="112">
        <v>17.540900000000001</v>
      </c>
      <c r="T344" s="112">
        <v>12.3498</v>
      </c>
      <c r="U344" s="146">
        <v>7.6324000000000005</v>
      </c>
      <c r="V344" s="113">
        <v>4.5588999999999995</v>
      </c>
      <c r="W344">
        <v>12.1991</v>
      </c>
      <c r="X344">
        <v>9.6448999999999998</v>
      </c>
      <c r="Y344">
        <v>3.7130000000000005</v>
      </c>
      <c r="Z344">
        <v>2.0467</v>
      </c>
    </row>
    <row r="345" spans="1:30" ht="14.7" customHeight="1">
      <c r="A345" s="110" t="s">
        <v>910</v>
      </c>
      <c r="B345" s="147"/>
      <c r="C345" s="153"/>
      <c r="D345" s="153"/>
      <c r="E345" s="153"/>
      <c r="F345" s="153"/>
      <c r="G345" s="147"/>
      <c r="H345" s="147"/>
      <c r="I345" s="147"/>
      <c r="J345" s="112"/>
      <c r="K345" s="112"/>
      <c r="L345" s="126"/>
      <c r="M345" s="112"/>
      <c r="N345" s="126"/>
      <c r="O345" s="147"/>
      <c r="P345" s="147"/>
      <c r="Q345" s="147"/>
      <c r="R345" s="112"/>
      <c r="S345" s="112"/>
      <c r="T345" s="112"/>
      <c r="U345" s="147"/>
      <c r="V345" s="149"/>
      <c r="W345"/>
      <c r="X345"/>
      <c r="Y345"/>
      <c r="Z345"/>
      <c r="AA345" s="104">
        <v>20.938986319148242</v>
      </c>
      <c r="AB345" s="104">
        <v>13.467022279882851</v>
      </c>
      <c r="AC345" s="104">
        <v>5.5348428715442699</v>
      </c>
      <c r="AD345" s="104">
        <v>2.4851720713832965</v>
      </c>
    </row>
    <row r="346" spans="1:30" ht="14.7" customHeight="1">
      <c r="A346" s="110" t="s">
        <v>331</v>
      </c>
      <c r="B346" s="147"/>
      <c r="C346" s="154">
        <v>16.410658971163379</v>
      </c>
      <c r="D346" s="154">
        <v>10.960401956179549</v>
      </c>
      <c r="E346" s="154">
        <v>3.914107156200028</v>
      </c>
      <c r="F346" s="154">
        <v>2.3115074625887262</v>
      </c>
      <c r="G346" s="146">
        <v>19.787942232519164</v>
      </c>
      <c r="H346" s="147">
        <v>12.672712444781043</v>
      </c>
      <c r="I346" s="147">
        <v>5.6261872639474158</v>
      </c>
      <c r="J346" s="112">
        <v>3.1193491764181482</v>
      </c>
      <c r="K346" s="112">
        <v>17.473925552192334</v>
      </c>
      <c r="L346" s="126">
        <v>11.566494116524046</v>
      </c>
      <c r="M346" s="112">
        <v>5.2098286818849049</v>
      </c>
      <c r="N346" s="126">
        <v>3.1225789735799698</v>
      </c>
      <c r="O346" s="147">
        <v>21.573779423022906</v>
      </c>
      <c r="P346" s="147">
        <v>15.442362730315423</v>
      </c>
      <c r="Q346" s="147">
        <v>6.7001365837516795</v>
      </c>
      <c r="R346" s="112">
        <v>4.0234137710976068</v>
      </c>
      <c r="S346" s="112">
        <v>20.786200000000001</v>
      </c>
      <c r="T346" s="112">
        <v>13.1051</v>
      </c>
      <c r="U346" s="146">
        <v>5.5159000000000002</v>
      </c>
      <c r="V346" s="113">
        <v>3.2414999999999998</v>
      </c>
      <c r="W346">
        <v>18.315899999999999</v>
      </c>
      <c r="X346">
        <v>12.703100000000001</v>
      </c>
      <c r="Y346">
        <v>5.6945999999999994</v>
      </c>
      <c r="Z346">
        <v>3.4531999999999998</v>
      </c>
      <c r="AA346" s="104">
        <v>18.584095297011689</v>
      </c>
      <c r="AB346" s="104">
        <v>13.260313026390156</v>
      </c>
      <c r="AC346" s="104">
        <v>5.9997114092933499</v>
      </c>
      <c r="AD346" s="104">
        <v>3.3986392832969088</v>
      </c>
    </row>
    <row r="347" spans="1:30" ht="14.7" customHeight="1">
      <c r="A347" s="110" t="s">
        <v>187</v>
      </c>
      <c r="B347" s="147"/>
      <c r="C347" s="155">
        <v>17.608506934190466</v>
      </c>
      <c r="D347" s="155">
        <v>13.484316784811009</v>
      </c>
      <c r="E347" s="155">
        <v>4.5539926356335512</v>
      </c>
      <c r="F347" s="155">
        <v>2.4528276243876426</v>
      </c>
      <c r="G347" s="146">
        <v>18.436144632008411</v>
      </c>
      <c r="H347" s="147">
        <v>11.650237623521692</v>
      </c>
      <c r="I347" s="147">
        <v>7.3282445840879342</v>
      </c>
      <c r="J347" s="112">
        <v>5.5078822943128367</v>
      </c>
      <c r="K347" s="112">
        <v>15.753784630704606</v>
      </c>
      <c r="L347" s="126">
        <v>11.084876744618329</v>
      </c>
      <c r="M347" s="112">
        <v>6.7390023294535473</v>
      </c>
      <c r="N347" s="126">
        <v>3.2074479234642017</v>
      </c>
      <c r="O347" s="147">
        <v>19.204125805165752</v>
      </c>
      <c r="P347" s="147">
        <v>13.505053567605632</v>
      </c>
      <c r="Q347" s="147">
        <v>5.3026598287856563</v>
      </c>
      <c r="R347" s="112">
        <v>3.8033075398835088</v>
      </c>
      <c r="S347" s="112">
        <v>22.959199999999999</v>
      </c>
      <c r="T347" s="112">
        <v>16.526499999999999</v>
      </c>
      <c r="U347" s="146">
        <v>8.5607000000000006</v>
      </c>
      <c r="V347" s="113">
        <v>5.8936000000000002</v>
      </c>
      <c r="W347">
        <v>18.343699999999998</v>
      </c>
      <c r="X347">
        <v>12.4846</v>
      </c>
      <c r="Y347">
        <v>6.9350999999999994</v>
      </c>
      <c r="Z347">
        <v>5.8271999999999995</v>
      </c>
      <c r="AA347" s="104">
        <v>23.646432057640133</v>
      </c>
      <c r="AB347" s="104">
        <v>17.872075555718926</v>
      </c>
      <c r="AC347" s="104">
        <v>9.7460090190013222</v>
      </c>
      <c r="AD347" s="104">
        <v>5.7981483204225226</v>
      </c>
    </row>
    <row r="348" spans="1:30" ht="14.7" customHeight="1">
      <c r="A348" s="110" t="s">
        <v>351</v>
      </c>
      <c r="B348" s="146"/>
      <c r="C348" s="154">
        <v>18.128274044499744</v>
      </c>
      <c r="D348" s="155">
        <v>13.793831533738645</v>
      </c>
      <c r="E348" s="155">
        <v>9.3851333024857908</v>
      </c>
      <c r="F348" s="154">
        <v>6.2462068919445519</v>
      </c>
      <c r="G348" s="146">
        <v>18.788312839125528</v>
      </c>
      <c r="H348" s="147">
        <v>12.130831138247897</v>
      </c>
      <c r="I348" s="147">
        <v>6.1187247868642851</v>
      </c>
      <c r="J348" s="112">
        <v>3.4399113064096496</v>
      </c>
      <c r="K348" s="112">
        <v>20.82265036260484</v>
      </c>
      <c r="L348" s="126">
        <v>11.604766701176056</v>
      </c>
      <c r="M348" s="112">
        <v>5.565890572528791</v>
      </c>
      <c r="N348" s="126">
        <v>1.5665393757471753</v>
      </c>
      <c r="O348" s="147">
        <v>25.306829624012394</v>
      </c>
      <c r="P348" s="147">
        <v>20.12775664866637</v>
      </c>
      <c r="Q348" s="147">
        <v>10.497558841456652</v>
      </c>
      <c r="R348" s="112">
        <v>5.5583596369011046</v>
      </c>
      <c r="S348" s="112">
        <v>18.189</v>
      </c>
      <c r="T348" s="112">
        <v>11.8932</v>
      </c>
      <c r="U348" s="146">
        <v>5.6802000000000001</v>
      </c>
      <c r="V348" s="113">
        <v>3.6633</v>
      </c>
      <c r="W348">
        <v>21.3368</v>
      </c>
      <c r="X348">
        <v>15.885999999999999</v>
      </c>
      <c r="Y348">
        <v>8.1042000000000005</v>
      </c>
      <c r="Z348">
        <v>5.4222999999999999</v>
      </c>
    </row>
    <row r="349" spans="1:30" ht="14.7" customHeight="1">
      <c r="A349" s="110" t="s">
        <v>255</v>
      </c>
      <c r="B349" s="147"/>
      <c r="C349" s="154">
        <v>11.629636021644265</v>
      </c>
      <c r="D349" s="155">
        <v>6.8395535035390846</v>
      </c>
      <c r="E349" s="155">
        <v>2.8955599725934587</v>
      </c>
      <c r="F349" s="154">
        <v>0.68493976308035243</v>
      </c>
      <c r="G349" s="146">
        <v>12.041290136800574</v>
      </c>
      <c r="H349" s="147">
        <v>5.3845722726854204</v>
      </c>
      <c r="I349" s="147">
        <v>2.3741277917669148</v>
      </c>
      <c r="J349" s="112">
        <v>0.39171807507696244</v>
      </c>
      <c r="K349" s="112">
        <v>12.260705922359358</v>
      </c>
      <c r="L349" s="126">
        <v>5.4934268998616602</v>
      </c>
      <c r="M349" s="112">
        <v>2.9121036238996529</v>
      </c>
      <c r="N349" s="126">
        <v>1.1600497716224467</v>
      </c>
      <c r="O349" s="147">
        <v>11.361053975092773</v>
      </c>
      <c r="P349" s="147">
        <v>7.4841485794935396</v>
      </c>
      <c r="Q349" s="147">
        <v>2.3220525754251442</v>
      </c>
      <c r="R349" s="112">
        <v>1.3030711802032282</v>
      </c>
      <c r="S349" s="112">
        <v>12.0158</v>
      </c>
      <c r="T349" s="112">
        <v>8.8757000000000001</v>
      </c>
      <c r="U349" s="146">
        <v>4.8456999999999999</v>
      </c>
      <c r="V349" s="113">
        <v>2.9267000000000003</v>
      </c>
      <c r="W349">
        <v>13.530700000000001</v>
      </c>
      <c r="X349">
        <v>9.213000000000001</v>
      </c>
      <c r="Y349">
        <v>4.4939999999999998</v>
      </c>
      <c r="Z349">
        <v>2.8012999999999999</v>
      </c>
      <c r="AA349" s="104">
        <v>12.566624930086137</v>
      </c>
      <c r="AB349" s="104">
        <v>9.1456143920284987</v>
      </c>
      <c r="AC349" s="104">
        <v>3.8284576052696222</v>
      </c>
      <c r="AD349" s="104">
        <v>1.8681747777184197</v>
      </c>
    </row>
    <row r="350" spans="1:30" ht="14.7" customHeight="1">
      <c r="A350" s="110" t="s">
        <v>297</v>
      </c>
      <c r="B350" s="147"/>
      <c r="C350" s="155">
        <v>18.668269474616238</v>
      </c>
      <c r="D350" s="155">
        <v>10.343522608701742</v>
      </c>
      <c r="E350" s="155">
        <v>5.6760703713163929</v>
      </c>
      <c r="F350" s="155">
        <v>1.8706286305517954</v>
      </c>
      <c r="G350" s="146">
        <v>17.79921932528865</v>
      </c>
      <c r="H350" s="147">
        <v>11.454134847916112</v>
      </c>
      <c r="I350" s="147">
        <v>4.8581924693401604</v>
      </c>
      <c r="J350" s="112">
        <v>2.7487708373074722</v>
      </c>
      <c r="K350" s="112">
        <v>15.424877638618097</v>
      </c>
      <c r="L350" s="126">
        <v>10.170222765642615</v>
      </c>
      <c r="M350" s="112">
        <v>5.8632489930199858</v>
      </c>
      <c r="N350" s="126">
        <v>4.9866164369981165</v>
      </c>
      <c r="O350" s="147">
        <v>19.74567280194238</v>
      </c>
      <c r="P350" s="147">
        <v>15.470974639224824</v>
      </c>
      <c r="Q350" s="147">
        <v>3.3486378102210876</v>
      </c>
      <c r="R350" s="112">
        <v>1.8273471665873759</v>
      </c>
      <c r="S350" s="112">
        <v>20.427199999999999</v>
      </c>
      <c r="T350" s="112">
        <v>13.0745</v>
      </c>
      <c r="U350" s="146">
        <v>7.2354000000000003</v>
      </c>
      <c r="V350" s="113">
        <v>2.9225999999999996</v>
      </c>
      <c r="W350">
        <v>16.023399999999999</v>
      </c>
      <c r="X350">
        <v>10.0677</v>
      </c>
      <c r="Y350">
        <v>3.1047000000000002</v>
      </c>
      <c r="Z350">
        <v>1.4749999999999999</v>
      </c>
      <c r="AA350" s="104">
        <v>17.180467203350975</v>
      </c>
      <c r="AB350" s="104">
        <v>11.869309206524289</v>
      </c>
      <c r="AC350" s="104">
        <v>4.7347662825526413</v>
      </c>
      <c r="AD350" s="104">
        <v>2.1190023272747842</v>
      </c>
    </row>
    <row r="351" spans="1:30">
      <c r="A351" s="113" t="s">
        <v>188</v>
      </c>
      <c r="B351" s="146"/>
      <c r="C351" s="155">
        <v>23.66914733500899</v>
      </c>
      <c r="D351" s="155">
        <v>13.730269636095121</v>
      </c>
      <c r="E351" s="155">
        <v>3.4997492083167292</v>
      </c>
      <c r="F351" s="155">
        <v>1.7183752021916761</v>
      </c>
      <c r="G351" s="146">
        <v>19.980689953567754</v>
      </c>
      <c r="H351" s="146">
        <v>14.191253207484431</v>
      </c>
      <c r="I351" s="146">
        <v>6.7558986665277834</v>
      </c>
      <c r="J351" s="146">
        <v>2.1587547048112765</v>
      </c>
      <c r="K351" s="146">
        <v>15.987057991230769</v>
      </c>
      <c r="L351" s="144">
        <v>9.5582019516893908</v>
      </c>
      <c r="M351" s="144">
        <v>2.5126552048714301</v>
      </c>
      <c r="N351" s="144">
        <v>1.2532299999800154</v>
      </c>
      <c r="O351" s="144">
        <v>20.759694539706253</v>
      </c>
      <c r="P351" s="144">
        <v>9.5776829404019477</v>
      </c>
      <c r="Q351" s="144">
        <v>3.3144564040458917</v>
      </c>
      <c r="R351" s="146">
        <v>1.3581825178545153</v>
      </c>
      <c r="S351" s="146">
        <v>19.9785</v>
      </c>
      <c r="T351" s="144">
        <v>13.6846</v>
      </c>
      <c r="U351" s="144">
        <v>7.8116000000000003</v>
      </c>
      <c r="V351" s="144">
        <v>4.4783999999999997</v>
      </c>
      <c r="W351">
        <v>20.869399999999999</v>
      </c>
      <c r="X351">
        <v>13.7332</v>
      </c>
      <c r="Y351">
        <v>6.4239000000000006</v>
      </c>
      <c r="Z351">
        <v>3.0032000000000001</v>
      </c>
      <c r="AA351" s="104">
        <v>18.610662031194757</v>
      </c>
      <c r="AB351" s="104">
        <v>9.757080681866249</v>
      </c>
      <c r="AC351" s="104">
        <v>4.1223806396607259</v>
      </c>
      <c r="AD351" s="104">
        <v>2.3239706438560397</v>
      </c>
    </row>
    <row r="352" spans="1:30">
      <c r="A352" s="113" t="s">
        <v>814</v>
      </c>
      <c r="B352" s="146"/>
      <c r="C352" s="155">
        <v>19.066279110431971</v>
      </c>
      <c r="D352" s="155">
        <v>10.204430700379035</v>
      </c>
      <c r="E352" s="155">
        <v>5.016290647647299</v>
      </c>
      <c r="F352" s="155">
        <v>2.420795376514175</v>
      </c>
      <c r="G352" s="146">
        <v>18.476174769890434</v>
      </c>
      <c r="H352" s="146">
        <v>12.66514806378132</v>
      </c>
      <c r="I352" s="146">
        <v>4.2731836032117414</v>
      </c>
      <c r="J352" s="146">
        <v>1.5176408744678875</v>
      </c>
      <c r="K352" s="146">
        <v>14.582193909871769</v>
      </c>
      <c r="L352" s="144">
        <v>9.2020889929926941</v>
      </c>
      <c r="M352" s="144">
        <v>3.6673607649922282</v>
      </c>
      <c r="N352" s="144">
        <v>1.3049311187853738</v>
      </c>
      <c r="O352" s="144">
        <v>26.334637161313978</v>
      </c>
      <c r="P352" s="144">
        <v>19.583369667884323</v>
      </c>
      <c r="Q352" s="144">
        <v>6.9757083801763136</v>
      </c>
      <c r="R352" s="146">
        <v>2.779937779829142</v>
      </c>
      <c r="S352" s="146">
        <v>23.712199999999999</v>
      </c>
      <c r="T352" s="144">
        <v>16.130099999999999</v>
      </c>
      <c r="U352" s="144">
        <v>5.2567999999999993</v>
      </c>
      <c r="V352" s="144">
        <v>2.4390000000000001</v>
      </c>
      <c r="W352">
        <v>20.001200000000001</v>
      </c>
      <c r="X352">
        <v>13.698399999999999</v>
      </c>
      <c r="Y352">
        <v>7.2303999999999995</v>
      </c>
      <c r="Z352">
        <v>4.3374999999999995</v>
      </c>
      <c r="AA352" s="104">
        <v>20.987545145842002</v>
      </c>
      <c r="AB352" s="104">
        <v>15.346770057961448</v>
      </c>
      <c r="AC352" s="104">
        <v>7.1502052555008664</v>
      </c>
      <c r="AD352" s="104">
        <v>4.2786112633652618</v>
      </c>
    </row>
    <row r="353" spans="1:30" ht="12.75" customHeight="1">
      <c r="A353" s="151" t="s">
        <v>256</v>
      </c>
      <c r="B353" s="151"/>
      <c r="C353" s="154">
        <v>14.231331519248286</v>
      </c>
      <c r="D353" s="155">
        <v>10.061609331458357</v>
      </c>
      <c r="E353" s="155">
        <v>4.174859497991517</v>
      </c>
      <c r="F353" s="154">
        <v>2.1601221647423654</v>
      </c>
      <c r="G353" s="151">
        <v>12.347741737927747</v>
      </c>
      <c r="H353" s="151">
        <v>8.5776350158552042</v>
      </c>
      <c r="I353" s="151">
        <v>4.1529744693181749</v>
      </c>
      <c r="J353" s="151">
        <v>2.8851746127651352</v>
      </c>
      <c r="K353" s="151">
        <v>12.31978658190487</v>
      </c>
      <c r="L353" s="151">
        <v>6.9813069966322336</v>
      </c>
      <c r="M353" s="151">
        <v>3.03723464638438</v>
      </c>
      <c r="N353" s="151">
        <v>1.350134332311651</v>
      </c>
      <c r="O353" s="151">
        <v>17.313547766457891</v>
      </c>
      <c r="P353" s="151">
        <v>11.165893004941466</v>
      </c>
      <c r="Q353" s="151">
        <v>5.8697313989907975</v>
      </c>
      <c r="R353" s="151">
        <v>2.833715337665915</v>
      </c>
      <c r="S353" s="151">
        <v>16.156000000000002</v>
      </c>
      <c r="T353" s="151">
        <v>12.212199999999999</v>
      </c>
      <c r="U353" s="151">
        <v>3.8085</v>
      </c>
      <c r="V353" s="151">
        <v>1.7985999999999998</v>
      </c>
      <c r="W353">
        <v>10.9389</v>
      </c>
      <c r="X353">
        <v>7.3748999999999993</v>
      </c>
      <c r="Y353">
        <v>2.8151999999999999</v>
      </c>
      <c r="Z353">
        <v>1.4203999999999999</v>
      </c>
      <c r="AA353" s="104">
        <v>15.113145441001727</v>
      </c>
      <c r="AB353" s="104">
        <v>12.643701928192019</v>
      </c>
      <c r="AC353" s="104">
        <v>4.8511939119774192</v>
      </c>
      <c r="AD353" s="104">
        <v>3.3163310930394116</v>
      </c>
    </row>
    <row r="354" spans="1:30" ht="12.75" customHeight="1">
      <c r="A354" s="152" t="s">
        <v>189</v>
      </c>
      <c r="B354" s="152"/>
      <c r="C354" s="155">
        <v>20.596773851272189</v>
      </c>
      <c r="D354" s="155">
        <v>14.351381958373805</v>
      </c>
      <c r="E354" s="155">
        <v>6.6791096742288465</v>
      </c>
      <c r="F354" s="155">
        <v>4.0532876916627023</v>
      </c>
      <c r="G354" s="152">
        <v>21.286836451893272</v>
      </c>
      <c r="H354" s="152">
        <v>13.81746174912675</v>
      </c>
      <c r="I354" s="152">
        <v>7.1924351006084057</v>
      </c>
      <c r="J354" s="152">
        <v>4.3416586037816298</v>
      </c>
      <c r="K354" s="152">
        <v>21.540739795867523</v>
      </c>
      <c r="L354" s="152">
        <v>14.525454773754165</v>
      </c>
      <c r="M354" s="152">
        <v>8.4800082912624841</v>
      </c>
      <c r="N354" s="152">
        <v>5.0487012016351329</v>
      </c>
      <c r="O354" s="152">
        <v>21.204308618053791</v>
      </c>
      <c r="P354" s="152">
        <v>13.361737092901299</v>
      </c>
      <c r="Q354" s="152">
        <v>7.039587123072458</v>
      </c>
      <c r="R354" s="152">
        <v>3.7790096153268546</v>
      </c>
      <c r="S354" s="152">
        <v>24.358000000000001</v>
      </c>
      <c r="T354" s="152">
        <v>15.773699999999998</v>
      </c>
      <c r="U354" s="152">
        <v>5.9439000000000002</v>
      </c>
      <c r="V354" s="152">
        <v>3.5680999999999998</v>
      </c>
      <c r="W354">
        <v>18.895999999999997</v>
      </c>
      <c r="X354">
        <v>12.519</v>
      </c>
      <c r="Y354">
        <v>4.1554000000000002</v>
      </c>
      <c r="Z354">
        <v>2.1446000000000001</v>
      </c>
      <c r="AA354" s="104">
        <v>23.819605750493743</v>
      </c>
      <c r="AB354" s="104">
        <v>18.53824296844223</v>
      </c>
      <c r="AC354" s="104">
        <v>9.9164909304104789</v>
      </c>
      <c r="AD354" s="104">
        <v>6.4752729892290191</v>
      </c>
    </row>
    <row r="355" spans="1:30">
      <c r="A355" s="105" t="s">
        <v>298</v>
      </c>
      <c r="B355" s="107"/>
      <c r="C355" s="155">
        <v>16.143993570885961</v>
      </c>
      <c r="D355" s="155">
        <v>7.9437518390802753</v>
      </c>
      <c r="E355" s="155">
        <v>2.2276231182036197</v>
      </c>
      <c r="F355" s="155">
        <v>1.1416002784486701</v>
      </c>
      <c r="G355" s="107">
        <v>21.024040116021826</v>
      </c>
      <c r="H355" s="107">
        <v>11.63700571915507</v>
      </c>
      <c r="I355" s="107">
        <v>5.8074414565000083</v>
      </c>
      <c r="J355" s="107">
        <v>3.5527587958638538</v>
      </c>
      <c r="K355" s="107">
        <v>23.301543109916658</v>
      </c>
      <c r="L355" s="107">
        <v>14.774011983784744</v>
      </c>
      <c r="M355" s="107">
        <v>7.9008995913884714</v>
      </c>
      <c r="N355" s="107">
        <v>2.6470920748744291</v>
      </c>
      <c r="O355" s="107">
        <v>20.387710578002295</v>
      </c>
      <c r="P355" s="107">
        <v>11.541884476592395</v>
      </c>
      <c r="Q355" s="107">
        <v>5.9774291525715499</v>
      </c>
      <c r="R355" s="107">
        <v>2.8436414872557902</v>
      </c>
      <c r="S355" s="107">
        <v>20.9468</v>
      </c>
      <c r="T355" s="107">
        <v>13.169600000000001</v>
      </c>
      <c r="U355" s="107">
        <v>5.4584999999999999</v>
      </c>
      <c r="V355" s="107">
        <v>2.8878999999999997</v>
      </c>
      <c r="W355">
        <v>21.604300000000002</v>
      </c>
      <c r="X355">
        <v>15.2173</v>
      </c>
      <c r="Y355">
        <v>5.0682</v>
      </c>
      <c r="Z355">
        <v>0.81089999999999995</v>
      </c>
      <c r="AA355" s="104">
        <v>22.857037353279054</v>
      </c>
      <c r="AB355" s="104">
        <v>14.146618355604327</v>
      </c>
      <c r="AC355" s="104">
        <v>4.5530153109495579</v>
      </c>
      <c r="AD355" s="104">
        <v>2.4440954734600417</v>
      </c>
    </row>
    <row r="356" spans="1:30">
      <c r="A356" s="107" t="s">
        <v>257</v>
      </c>
      <c r="B356" s="107"/>
      <c r="C356" s="156">
        <v>10.893016123980209</v>
      </c>
      <c r="D356" s="163">
        <v>6.684655402161173</v>
      </c>
      <c r="E356" s="163">
        <v>3.4079632789783378</v>
      </c>
      <c r="F356" s="156">
        <v>1.9913080617845338</v>
      </c>
      <c r="G356" s="107">
        <v>12.79136546184739</v>
      </c>
      <c r="H356" s="107">
        <v>7.5248902556778994</v>
      </c>
      <c r="I356" s="107">
        <v>3.2576415316331415</v>
      </c>
      <c r="J356" s="107">
        <v>2.9375370209589344</v>
      </c>
      <c r="K356" s="107">
        <v>8.3511231104902119</v>
      </c>
      <c r="L356" s="107">
        <v>5.239180403101753</v>
      </c>
      <c r="M356" s="107">
        <v>2.2634835034753888</v>
      </c>
      <c r="N356" s="107">
        <v>1.4624403944748314</v>
      </c>
      <c r="O356" s="107">
        <v>11.019725005245224</v>
      </c>
      <c r="P356" s="107">
        <v>8.4924723464622538</v>
      </c>
      <c r="Q356" s="107">
        <v>3.6890871695696652</v>
      </c>
      <c r="R356" s="107">
        <v>1.7396842785040494</v>
      </c>
      <c r="S356" s="107">
        <v>8.4072999999999993</v>
      </c>
      <c r="T356" s="107">
        <v>6.9326999999999996</v>
      </c>
      <c r="U356" s="107">
        <v>2.1539999999999999</v>
      </c>
      <c r="V356" s="107">
        <v>1.3551</v>
      </c>
      <c r="W356">
        <v>9.9123000000000001</v>
      </c>
      <c r="X356">
        <v>4.8090000000000002</v>
      </c>
      <c r="Y356">
        <v>2.2016</v>
      </c>
      <c r="Z356">
        <v>0.66880000000000006</v>
      </c>
      <c r="AA356" s="104">
        <v>9.4451928938245775</v>
      </c>
      <c r="AB356" s="104">
        <v>8.1281269043568756</v>
      </c>
      <c r="AC356" s="104">
        <v>3.3448211910891525</v>
      </c>
      <c r="AD356" s="104">
        <v>2.4468731627848181</v>
      </c>
    </row>
    <row r="357" spans="1:30">
      <c r="A357" s="126" t="s">
        <v>190</v>
      </c>
      <c r="B357" s="126"/>
      <c r="C357" s="157">
        <v>18.522899654702066</v>
      </c>
      <c r="D357" s="126">
        <v>14.857565401737874</v>
      </c>
      <c r="E357" s="164">
        <v>6.1033242261164897</v>
      </c>
      <c r="F357" s="157">
        <v>2.7637501042537047</v>
      </c>
      <c r="G357" s="126">
        <v>12.768150054270277</v>
      </c>
      <c r="H357" s="126">
        <v>7.9031939641750091</v>
      </c>
      <c r="I357" s="126">
        <v>2.8711688406844234</v>
      </c>
      <c r="J357" s="126">
        <v>0.59633690389206506</v>
      </c>
      <c r="K357" s="126">
        <v>18.718913645142663</v>
      </c>
      <c r="L357" s="126">
        <v>12.381578161400155</v>
      </c>
      <c r="M357" s="126">
        <v>6.7526830336698334</v>
      </c>
      <c r="N357" s="126">
        <v>4.5994862911415089</v>
      </c>
      <c r="O357" s="126">
        <v>15.987180751378357</v>
      </c>
      <c r="P357" s="126">
        <v>9.6240531902783832</v>
      </c>
      <c r="Q357" s="126">
        <v>4.7074275087440771</v>
      </c>
      <c r="R357" s="126">
        <v>1.7334059033243334</v>
      </c>
      <c r="S357" s="126">
        <v>24.2456</v>
      </c>
      <c r="T357" s="126">
        <v>19.966999999999999</v>
      </c>
      <c r="U357" s="126">
        <v>10.047699999999999</v>
      </c>
      <c r="V357" s="126">
        <v>6.7568000000000001</v>
      </c>
      <c r="W357">
        <v>14.876100000000001</v>
      </c>
      <c r="X357">
        <v>10.9129</v>
      </c>
      <c r="Y357">
        <v>5.3575999999999997</v>
      </c>
      <c r="Z357">
        <v>2.4068999999999998</v>
      </c>
      <c r="AA357" s="104">
        <v>16.871144466498237</v>
      </c>
      <c r="AB357" s="104">
        <v>9.3690351618831809</v>
      </c>
      <c r="AC357" s="104">
        <v>4.5010463442305673</v>
      </c>
      <c r="AD357" s="104">
        <v>2.1848517079832481</v>
      </c>
    </row>
    <row r="358" spans="1:30">
      <c r="A358" s="145" t="s">
        <v>332</v>
      </c>
      <c r="B358" s="126"/>
      <c r="C358" s="151">
        <v>13.741142339471665</v>
      </c>
      <c r="D358" s="126">
        <v>9.412215233787105</v>
      </c>
      <c r="E358" s="151">
        <v>4.3216732796000663</v>
      </c>
      <c r="F358" s="151">
        <v>2.3019478077977431</v>
      </c>
      <c r="G358" s="126">
        <v>12.843891516179184</v>
      </c>
      <c r="H358" s="126">
        <v>6.75615406912216</v>
      </c>
      <c r="I358" s="126">
        <v>3.065172072273274</v>
      </c>
      <c r="J358" s="126">
        <v>1.5889625566225949</v>
      </c>
      <c r="K358" s="126">
        <v>14.747963160466607</v>
      </c>
      <c r="L358" s="126">
        <v>9.6386898222902584</v>
      </c>
      <c r="M358" s="126">
        <v>4.6352316633494759</v>
      </c>
      <c r="N358" s="126">
        <v>2.5306330944978144</v>
      </c>
      <c r="O358" s="126">
        <v>14.776628835731245</v>
      </c>
      <c r="P358" s="126">
        <v>9.4338531644484007</v>
      </c>
      <c r="Q358" s="126">
        <v>3.7686778958526985</v>
      </c>
      <c r="R358" s="126">
        <v>1.5501398878416959</v>
      </c>
      <c r="S358" s="126">
        <v>15.1411</v>
      </c>
      <c r="T358" s="126">
        <v>10.7478</v>
      </c>
      <c r="U358" s="126">
        <v>5.1305000000000005</v>
      </c>
      <c r="V358" s="126">
        <v>2.6408999999999998</v>
      </c>
      <c r="W358">
        <v>13.815199999999999</v>
      </c>
      <c r="X358">
        <v>8.9702000000000002</v>
      </c>
      <c r="Y358">
        <v>3.7121</v>
      </c>
      <c r="Z358">
        <v>1.7608999999999999</v>
      </c>
      <c r="AA358" s="104">
        <v>14.778256892169054</v>
      </c>
      <c r="AB358" s="104">
        <v>10.194855557505129</v>
      </c>
      <c r="AC358" s="104">
        <v>4.5602308037502626</v>
      </c>
      <c r="AD358" s="104">
        <v>2.2534265805704652</v>
      </c>
    </row>
    <row r="359" spans="1:30" ht="12.75" customHeight="1">
      <c r="A359" s="145" t="s">
        <v>191</v>
      </c>
      <c r="B359" s="145"/>
      <c r="C359" s="158">
        <v>14.379159493626014</v>
      </c>
      <c r="D359" s="114">
        <v>11.084819166771757</v>
      </c>
      <c r="E359" s="158">
        <v>3.8258616761758404</v>
      </c>
      <c r="F359" s="158">
        <v>1.2270465598905103</v>
      </c>
      <c r="G359" s="114">
        <v>21.222836286967006</v>
      </c>
      <c r="H359" s="114">
        <v>12.680617588863754</v>
      </c>
      <c r="I359" s="114">
        <v>7.3151496153546676</v>
      </c>
      <c r="J359" s="114">
        <v>5.4778766539350032</v>
      </c>
      <c r="K359" s="114">
        <v>16.775624255152973</v>
      </c>
      <c r="L359" s="114">
        <v>10.894140165793589</v>
      </c>
      <c r="M359" s="114">
        <v>7.3028899558706604</v>
      </c>
      <c r="N359" s="114">
        <v>4.5841097952568539</v>
      </c>
      <c r="O359" s="114">
        <v>21.260229278556398</v>
      </c>
      <c r="P359" s="114">
        <v>15.026719396813776</v>
      </c>
      <c r="Q359" s="114">
        <v>7.8235983280641337</v>
      </c>
      <c r="R359" s="114">
        <v>5.4064928868121465</v>
      </c>
      <c r="S359" s="114">
        <v>19.518899999999999</v>
      </c>
      <c r="T359" s="114">
        <v>13.944899999999999</v>
      </c>
      <c r="U359" s="114">
        <v>4.2639999999999993</v>
      </c>
      <c r="V359" s="114">
        <v>1.472</v>
      </c>
      <c r="W359">
        <v>17.9923</v>
      </c>
      <c r="X359">
        <v>12.6974</v>
      </c>
      <c r="Y359">
        <v>6.9355000000000002</v>
      </c>
      <c r="Z359">
        <v>4.7822000000000005</v>
      </c>
      <c r="AA359" s="104">
        <v>19.034576327160028</v>
      </c>
      <c r="AB359" s="104">
        <v>13.757868852055545</v>
      </c>
      <c r="AC359" s="104">
        <v>6.0475970166403021</v>
      </c>
      <c r="AD359" s="104">
        <v>3.0781355651372118</v>
      </c>
    </row>
    <row r="360" spans="1:30">
      <c r="A360" s="145" t="s">
        <v>192</v>
      </c>
      <c r="B360" s="114"/>
      <c r="C360" s="159">
        <v>11.679210911927598</v>
      </c>
      <c r="D360" s="114">
        <v>7.4635330824317752</v>
      </c>
      <c r="E360" s="159">
        <v>4.142340260310271</v>
      </c>
      <c r="F360" s="159">
        <v>2.2351622872729902</v>
      </c>
      <c r="G360" s="114">
        <v>12.189621687559187</v>
      </c>
      <c r="H360" s="114">
        <v>5.2224611976951358</v>
      </c>
      <c r="I360" s="114">
        <v>2.9462866956647358</v>
      </c>
      <c r="J360" s="114">
        <v>1.703168386755052</v>
      </c>
      <c r="K360" s="114">
        <v>17.653672109952502</v>
      </c>
      <c r="L360" s="114">
        <v>11.528641676483952</v>
      </c>
      <c r="M360" s="114">
        <v>5.7144637752250604</v>
      </c>
      <c r="N360" s="114">
        <v>3.4624524045981082</v>
      </c>
      <c r="O360" s="114">
        <v>15.179289821879619</v>
      </c>
      <c r="P360" s="114">
        <v>8.1823912618430654</v>
      </c>
      <c r="Q360" s="114">
        <v>2.9346937023777304</v>
      </c>
      <c r="R360" s="114">
        <v>1.2981340579539664</v>
      </c>
      <c r="S360" s="114">
        <v>10.4709</v>
      </c>
      <c r="T360" s="114">
        <v>5.6404000000000005</v>
      </c>
      <c r="U360" s="114">
        <v>2.1694999999999998</v>
      </c>
      <c r="V360" s="114">
        <v>0.60560000000000003</v>
      </c>
      <c r="W360" s="114">
        <v>16.155200000000001</v>
      </c>
      <c r="X360" s="114">
        <v>9.7750000000000004</v>
      </c>
      <c r="Y360" s="126">
        <v>3.6865000000000001</v>
      </c>
      <c r="Z360" s="104">
        <v>1.8263999999999998</v>
      </c>
      <c r="AA360" s="104">
        <v>17.775700212463466</v>
      </c>
      <c r="AB360" s="104">
        <v>12.726226087804415</v>
      </c>
      <c r="AC360" s="104">
        <v>4.9668627977779316</v>
      </c>
      <c r="AD360" s="104">
        <v>2.0781245804410897</v>
      </c>
    </row>
    <row r="361" spans="1:30" ht="12.75" customHeight="1">
      <c r="A361" s="145" t="s">
        <v>193</v>
      </c>
      <c r="B361" s="145"/>
      <c r="C361" s="159">
        <v>10.238580545753546</v>
      </c>
      <c r="D361" s="114">
        <v>5.9034225414299515</v>
      </c>
      <c r="E361" s="159">
        <v>2.0674750551416774</v>
      </c>
      <c r="F361" s="159">
        <v>1.0156663637585353</v>
      </c>
      <c r="G361" s="114">
        <v>14.96013667425968</v>
      </c>
      <c r="H361" s="114">
        <v>9.749341604490521</v>
      </c>
      <c r="I361" s="114">
        <v>3.2496448531177622</v>
      </c>
      <c r="J361" s="114">
        <v>2.3580124800039077</v>
      </c>
      <c r="K361" s="114">
        <v>16.010836317074904</v>
      </c>
      <c r="L361" s="114">
        <v>6.8959313589814553</v>
      </c>
      <c r="M361" s="114">
        <v>2.8051480763908105</v>
      </c>
      <c r="N361" s="114">
        <v>1.3344668063738085</v>
      </c>
      <c r="O361" s="114">
        <v>14.880261887515356</v>
      </c>
      <c r="P361" s="114">
        <v>9.3009571830221578</v>
      </c>
      <c r="Q361" s="114">
        <v>3.9788724007504404</v>
      </c>
      <c r="R361" s="114">
        <v>1.8114737273509061</v>
      </c>
      <c r="S361" s="114">
        <v>18.6294</v>
      </c>
      <c r="T361" s="114">
        <v>9.5393000000000008</v>
      </c>
      <c r="U361" s="114">
        <v>3.5957999999999997</v>
      </c>
      <c r="V361" s="114">
        <v>1.1089</v>
      </c>
      <c r="W361" s="114">
        <v>15.2782</v>
      </c>
      <c r="X361" s="114">
        <v>9.4743999999999993</v>
      </c>
      <c r="Y361" s="126">
        <v>5.3676000000000004</v>
      </c>
      <c r="Z361" s="104">
        <v>4.1116000000000001</v>
      </c>
      <c r="AA361" s="104">
        <v>16.24564935464095</v>
      </c>
      <c r="AB361" s="104">
        <v>12.296551530471827</v>
      </c>
      <c r="AC361" s="104">
        <v>5.2766637725496981</v>
      </c>
      <c r="AD361" s="104">
        <v>2.1841017721727609</v>
      </c>
    </row>
    <row r="362" spans="1:30">
      <c r="A362" s="126" t="s">
        <v>194</v>
      </c>
      <c r="B362" s="126"/>
      <c r="C362" s="160">
        <v>12.612934927393091</v>
      </c>
      <c r="D362" s="126">
        <v>8.5648993881202173</v>
      </c>
      <c r="E362" s="160">
        <v>4.4968882720430283</v>
      </c>
      <c r="F362" s="160">
        <v>2.5851775546432418</v>
      </c>
      <c r="G362" s="126">
        <v>19.414768420632704</v>
      </c>
      <c r="H362" s="126">
        <v>14.046150039509286</v>
      </c>
      <c r="I362" s="126">
        <v>5.5131418263666614</v>
      </c>
      <c r="J362" s="126">
        <v>3.9870457429741308</v>
      </c>
      <c r="K362" s="126">
        <v>17.918179491690793</v>
      </c>
      <c r="L362" s="126">
        <v>11.599102701492299</v>
      </c>
      <c r="M362" s="126">
        <v>5.0259112938052812</v>
      </c>
      <c r="N362" s="126">
        <v>2.0379152604724813</v>
      </c>
      <c r="O362" s="126">
        <v>17.62219864314515</v>
      </c>
      <c r="P362" s="126">
        <v>9.6723496452991551</v>
      </c>
      <c r="Q362" s="126">
        <v>4.2723120677035338</v>
      </c>
      <c r="R362" s="126">
        <v>2.6677731896134902</v>
      </c>
      <c r="S362" s="126">
        <v>14.207500000000001</v>
      </c>
      <c r="T362" s="126">
        <v>10.886700000000001</v>
      </c>
      <c r="U362" s="126">
        <v>4.6892999999999994</v>
      </c>
      <c r="V362" s="126">
        <v>2.2294</v>
      </c>
      <c r="W362" s="126">
        <v>17.433799999999998</v>
      </c>
      <c r="X362" s="126">
        <v>12.9725</v>
      </c>
      <c r="Y362" s="126">
        <v>5.0126999999999997</v>
      </c>
      <c r="Z362" s="104">
        <v>3.7698</v>
      </c>
      <c r="AA362" s="104">
        <v>14.426454636465577</v>
      </c>
      <c r="AB362" s="104">
        <v>11.634760344863668</v>
      </c>
      <c r="AC362" s="104">
        <v>4.8487757820175696</v>
      </c>
      <c r="AD362" s="104">
        <v>2.6447856287855478</v>
      </c>
    </row>
    <row r="363" spans="1:30">
      <c r="A363" s="16" t="s">
        <v>195</v>
      </c>
      <c r="B363" s="114"/>
      <c r="C363" s="160">
        <v>12.023922533852922</v>
      </c>
      <c r="D363" s="114">
        <v>7.7996700144969875</v>
      </c>
      <c r="E363" s="160">
        <v>4.2649423145513783</v>
      </c>
      <c r="F363" s="160">
        <v>3.1172412191878669</v>
      </c>
      <c r="G363" s="114">
        <v>9.9289968164060536</v>
      </c>
      <c r="H363" s="114">
        <v>6.5294808833719991</v>
      </c>
      <c r="I363" s="114">
        <v>2.3413977684713725</v>
      </c>
      <c r="J363" s="114">
        <v>1.2609844034025288</v>
      </c>
      <c r="K363" s="114">
        <v>12.668239968184047</v>
      </c>
      <c r="L363" s="114">
        <v>8.4243246846104434</v>
      </c>
      <c r="M363" s="114">
        <v>3.9822097264806047</v>
      </c>
      <c r="N363" s="114">
        <v>2.3152804876570889</v>
      </c>
      <c r="O363" s="114">
        <v>16.996768773376271</v>
      </c>
      <c r="P363" s="114">
        <v>12.547973951357545</v>
      </c>
      <c r="Q363" s="114">
        <v>5.0055380707238841</v>
      </c>
      <c r="R363" s="114">
        <v>2.2607019937340063</v>
      </c>
      <c r="S363" s="114">
        <v>14.297000000000001</v>
      </c>
      <c r="T363" s="115">
        <v>10.354800000000001</v>
      </c>
      <c r="U363" s="116">
        <v>4.1456999999999997</v>
      </c>
      <c r="V363" s="126">
        <v>2.0558000000000001</v>
      </c>
      <c r="W363" s="126">
        <v>10.2773</v>
      </c>
      <c r="X363" s="126">
        <v>5.8411</v>
      </c>
      <c r="Y363" s="126">
        <v>2.8243999999999998</v>
      </c>
      <c r="Z363" s="104">
        <v>1.3284</v>
      </c>
      <c r="AA363" s="104">
        <v>13.475618015263921</v>
      </c>
      <c r="AB363" s="104">
        <v>9.8693201735869387</v>
      </c>
      <c r="AC363" s="104">
        <v>5.0991545354076333</v>
      </c>
      <c r="AD363" s="104">
        <v>1.8406645792401515</v>
      </c>
    </row>
    <row r="364" spans="1:30">
      <c r="A364" s="16" t="s">
        <v>299</v>
      </c>
      <c r="B364" s="114"/>
      <c r="C364" s="161">
        <v>27.200055970448151</v>
      </c>
      <c r="D364" s="114">
        <v>17.789834641353515</v>
      </c>
      <c r="E364" s="161">
        <v>12.508436085539554</v>
      </c>
      <c r="F364" s="161">
        <v>8.6242455528709705</v>
      </c>
      <c r="G364" s="114">
        <v>32.325555898452087</v>
      </c>
      <c r="H364" s="114">
        <v>22.747372780872873</v>
      </c>
      <c r="I364" s="114">
        <v>16.070297399580944</v>
      </c>
      <c r="J364" s="114">
        <v>8.9928451930417257</v>
      </c>
      <c r="K364" s="114">
        <v>34.179379147621177</v>
      </c>
      <c r="L364" s="114">
        <v>27.049993845017546</v>
      </c>
      <c r="M364" s="114">
        <v>14.78888410168031</v>
      </c>
      <c r="N364" s="114">
        <v>10.573105804148458</v>
      </c>
      <c r="O364" s="114">
        <v>33.633061645679433</v>
      </c>
      <c r="P364" s="114">
        <v>27.208634392464255</v>
      </c>
      <c r="Q364" s="114">
        <v>13.925001554834887</v>
      </c>
      <c r="R364" s="114">
        <v>10.37400616913218</v>
      </c>
      <c r="S364" s="114">
        <v>29.748400000000004</v>
      </c>
      <c r="T364" s="115">
        <v>24.978000000000002</v>
      </c>
      <c r="U364" s="116">
        <v>14.2806</v>
      </c>
      <c r="V364" s="126">
        <v>9.3323</v>
      </c>
      <c r="W364" s="126">
        <v>27.1175</v>
      </c>
      <c r="X364" s="126">
        <v>21.0352</v>
      </c>
      <c r="Y364" s="126">
        <v>8.8142999999999994</v>
      </c>
      <c r="Z364" s="104">
        <v>4.5167999999999999</v>
      </c>
      <c r="AA364" s="104">
        <v>30.996393008873675</v>
      </c>
      <c r="AB364" s="104">
        <v>22.102795551466656</v>
      </c>
      <c r="AC364" s="104">
        <v>12.906966572211283</v>
      </c>
      <c r="AD364" s="104">
        <v>10.221770809534986</v>
      </c>
    </row>
    <row r="365" spans="1:30">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30">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30">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30">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404</v>
      </c>
      <c r="C1" s="6" t="s">
        <v>413</v>
      </c>
      <c r="D1" s="6" t="s">
        <v>412</v>
      </c>
      <c r="E1" s="7" t="s">
        <v>339</v>
      </c>
      <c r="F1" s="7" t="s">
        <v>398</v>
      </c>
      <c r="G1" s="7" t="s">
        <v>378</v>
      </c>
      <c r="H1" s="6" t="s">
        <v>379</v>
      </c>
      <c r="I1" s="6" t="s">
        <v>380</v>
      </c>
      <c r="J1" s="6" t="s">
        <v>301</v>
      </c>
      <c r="K1" s="6" t="s">
        <v>373</v>
      </c>
      <c r="M1">
        <f>SUBTOTAL(3,K:K)</f>
        <v>112</v>
      </c>
    </row>
    <row r="2" spans="1:13" ht="14.4">
      <c r="A2" s="5" t="str">
        <f>F2&amp;(COUNTIFS(F$2:F2,F2,K$2:K2,"Sparse"))</f>
        <v>SD0</v>
      </c>
      <c r="B2" s="5" t="str">
        <f>J2&amp;(COUNTIF(J$2:J2,J2))</f>
        <v>West Sussex1</v>
      </c>
      <c r="C2" s="8" t="s">
        <v>4</v>
      </c>
      <c r="D2" s="8" t="s">
        <v>4</v>
      </c>
      <c r="E2" s="9" t="s">
        <v>0</v>
      </c>
      <c r="F2" s="9" t="s">
        <v>381</v>
      </c>
      <c r="G2" s="9" t="s">
        <v>5</v>
      </c>
      <c r="H2" s="10" t="s">
        <v>889</v>
      </c>
      <c r="I2" s="11" t="s">
        <v>384</v>
      </c>
      <c r="J2" t="s">
        <v>331</v>
      </c>
      <c r="K2" s="21"/>
    </row>
    <row r="3" spans="1:13" ht="14.4">
      <c r="A3" s="5" t="str">
        <f>F3&amp;(COUNTIFS(F$2:F3,F3,K$2:K3,"Sparse"))</f>
        <v>SD1</v>
      </c>
      <c r="B3" s="5" t="str">
        <f>J3&amp;(COUNTIF(J$2:J3,J3))</f>
        <v>Cumbria1</v>
      </c>
      <c r="C3" s="8" t="s">
        <v>6</v>
      </c>
      <c r="D3" s="8" t="s">
        <v>6</v>
      </c>
      <c r="E3" s="9" t="s">
        <v>376</v>
      </c>
      <c r="F3" s="9" t="s">
        <v>381</v>
      </c>
      <c r="G3" s="9" t="s">
        <v>5</v>
      </c>
      <c r="H3" s="10" t="s">
        <v>890</v>
      </c>
      <c r="I3" s="11" t="s">
        <v>382</v>
      </c>
      <c r="J3" t="s">
        <v>306</v>
      </c>
      <c r="K3" s="21" t="s">
        <v>335</v>
      </c>
    </row>
    <row r="4" spans="1:13" ht="14.4">
      <c r="A4" s="5" t="str">
        <f>F4&amp;(COUNTIFS(F$2:F4,F4,K$2:K4,"Sparse"))</f>
        <v>SD1</v>
      </c>
      <c r="B4" s="5" t="str">
        <f>J4&amp;(COUNTIF(J$2:J4,J4))</f>
        <v>Derbyshire1</v>
      </c>
      <c r="C4" s="8" t="s">
        <v>7</v>
      </c>
      <c r="D4" s="8" t="s">
        <v>7</v>
      </c>
      <c r="E4" s="9" t="s">
        <v>367</v>
      </c>
      <c r="F4" s="9" t="s">
        <v>381</v>
      </c>
      <c r="G4" s="9" t="s">
        <v>5</v>
      </c>
      <c r="H4" s="12" t="s">
        <v>891</v>
      </c>
      <c r="I4" s="11" t="s">
        <v>384</v>
      </c>
      <c r="J4" t="s">
        <v>307</v>
      </c>
      <c r="K4" s="21"/>
    </row>
    <row r="5" spans="1:13" ht="14.4">
      <c r="A5" s="5" t="str">
        <f>F5&amp;(COUNTIFS(F$2:F5,F5,K$2:K5,"Sparse"))</f>
        <v>SD1</v>
      </c>
      <c r="B5" s="5" t="str">
        <f>J5&amp;(COUNTIF(J$2:J5,J5))</f>
        <v>West Sussex2</v>
      </c>
      <c r="C5" s="8" t="s">
        <v>8</v>
      </c>
      <c r="D5" s="8" t="s">
        <v>8</v>
      </c>
      <c r="E5" s="9" t="s">
        <v>0</v>
      </c>
      <c r="F5" s="9" t="s">
        <v>381</v>
      </c>
      <c r="G5" s="9" t="s">
        <v>5</v>
      </c>
      <c r="H5" s="10" t="s">
        <v>889</v>
      </c>
      <c r="I5" s="11" t="s">
        <v>384</v>
      </c>
      <c r="J5" t="s">
        <v>331</v>
      </c>
      <c r="K5" s="21"/>
    </row>
    <row r="6" spans="1:13" ht="14.4">
      <c r="A6" s="5" t="str">
        <f>F6&amp;(COUNTIFS(F$2:F6,F6,K$2:K6,"Sparse"))</f>
        <v>SD1</v>
      </c>
      <c r="B6" s="5" t="str">
        <f>J6&amp;(COUNTIF(J$2:J6,J6))</f>
        <v>Nottinghamshire1</v>
      </c>
      <c r="C6" s="8" t="s">
        <v>9</v>
      </c>
      <c r="D6" s="8" t="s">
        <v>9</v>
      </c>
      <c r="E6" s="9" t="s">
        <v>367</v>
      </c>
      <c r="F6" s="9" t="s">
        <v>381</v>
      </c>
      <c r="G6" s="9" t="s">
        <v>5</v>
      </c>
      <c r="H6" s="10" t="s">
        <v>889</v>
      </c>
      <c r="I6" s="11" t="s">
        <v>384</v>
      </c>
      <c r="J6" t="s">
        <v>323</v>
      </c>
      <c r="K6" s="21"/>
    </row>
    <row r="7" spans="1:13" ht="14.4">
      <c r="A7" s="5" t="str">
        <f>F7&amp;(COUNTIFS(F$2:F7,F7,K$2:K7,"Sparse"))</f>
        <v>SD2</v>
      </c>
      <c r="B7" s="5" t="str">
        <f>J7&amp;(COUNTIF(J$2:J7,J7))</f>
        <v>Kent1</v>
      </c>
      <c r="C7" s="8" t="s">
        <v>10</v>
      </c>
      <c r="D7" s="8" t="s">
        <v>10</v>
      </c>
      <c r="E7" s="9" t="s">
        <v>0</v>
      </c>
      <c r="F7" s="9" t="s">
        <v>381</v>
      </c>
      <c r="G7" s="9" t="s">
        <v>5</v>
      </c>
      <c r="H7" s="12" t="s">
        <v>892</v>
      </c>
      <c r="I7" s="11" t="s">
        <v>371</v>
      </c>
      <c r="J7" t="s">
        <v>315</v>
      </c>
      <c r="K7" s="21" t="s">
        <v>335</v>
      </c>
    </row>
    <row r="8" spans="1:13" ht="14.4">
      <c r="A8" s="5" t="str">
        <f>F8&amp;(COUNTIFS(F$2:F8,F8,K$2:K8,"Sparse"))</f>
        <v>SD2</v>
      </c>
      <c r="B8" s="5" t="str">
        <f>J8&amp;(COUNTIF(J$2:J8,J8))</f>
        <v>Buckinghamshire1</v>
      </c>
      <c r="C8" s="8" t="s">
        <v>11</v>
      </c>
      <c r="D8" s="8" t="s">
        <v>11</v>
      </c>
      <c r="E8" s="9" t="s">
        <v>0</v>
      </c>
      <c r="F8" s="9" t="s">
        <v>381</v>
      </c>
      <c r="G8" s="9" t="s">
        <v>5</v>
      </c>
      <c r="H8" s="10" t="s">
        <v>893</v>
      </c>
      <c r="I8" s="11" t="s">
        <v>382</v>
      </c>
      <c r="J8" t="s">
        <v>300</v>
      </c>
      <c r="K8" s="21"/>
    </row>
    <row r="9" spans="1:13" ht="14.4">
      <c r="A9" s="5" t="str">
        <f>F9&amp;(COUNTIFS(F$2:F9,F9,K$2:K9,"Sparse"))</f>
        <v>SD3</v>
      </c>
      <c r="B9" s="5" t="str">
        <f>J9&amp;(COUNTIF(J$2:J9,J9))</f>
        <v>Suffolk1</v>
      </c>
      <c r="C9" s="8" t="s">
        <v>12</v>
      </c>
      <c r="D9" s="8" t="s">
        <v>12</v>
      </c>
      <c r="E9" s="9" t="s">
        <v>369</v>
      </c>
      <c r="F9" s="9" t="s">
        <v>381</v>
      </c>
      <c r="G9" s="9" t="s">
        <v>5</v>
      </c>
      <c r="H9" s="10" t="s">
        <v>890</v>
      </c>
      <c r="I9" s="11" t="s">
        <v>382</v>
      </c>
      <c r="J9" t="s">
        <v>328</v>
      </c>
      <c r="K9" s="21" t="s">
        <v>335</v>
      </c>
    </row>
    <row r="10" spans="1:13" ht="14.4">
      <c r="A10" s="5" t="str">
        <f>F10&amp;(COUNTIFS(F$2:F10,F10,K$2:K10,"Sparse"))</f>
        <v>L0</v>
      </c>
      <c r="B10" s="5" t="str">
        <f>J10&amp;(COUNTIF(J$2:J10,J10))</f>
        <v>London1</v>
      </c>
      <c r="C10" s="8" t="s">
        <v>338</v>
      </c>
      <c r="D10" s="8" t="s">
        <v>338</v>
      </c>
      <c r="E10" s="9" t="s">
        <v>383</v>
      </c>
      <c r="F10" s="9" t="s">
        <v>359</v>
      </c>
      <c r="G10" s="9" t="s">
        <v>383</v>
      </c>
      <c r="H10" s="10" t="s">
        <v>894</v>
      </c>
      <c r="I10" s="11" t="s">
        <v>384</v>
      </c>
      <c r="J10" t="str">
        <f>G10</f>
        <v>London</v>
      </c>
      <c r="K10" s="21"/>
    </row>
    <row r="11" spans="1:13" ht="14.4">
      <c r="A11" s="5" t="str">
        <f>F11&amp;(COUNTIFS(F$2:F11,F11,K$2:K11,"Sparse"))</f>
        <v>L0</v>
      </c>
      <c r="B11" s="5" t="str">
        <f>J11&amp;(COUNTIF(J$2:J11,J11))</f>
        <v>London2</v>
      </c>
      <c r="C11" s="8" t="s">
        <v>196</v>
      </c>
      <c r="D11" s="8" t="s">
        <v>196</v>
      </c>
      <c r="E11" s="9" t="s">
        <v>383</v>
      </c>
      <c r="F11" s="9" t="s">
        <v>359</v>
      </c>
      <c r="G11" s="9" t="s">
        <v>383</v>
      </c>
      <c r="H11" s="10" t="s">
        <v>894</v>
      </c>
      <c r="I11" s="11" t="s">
        <v>384</v>
      </c>
      <c r="J11" t="str">
        <f>G11</f>
        <v>London</v>
      </c>
      <c r="K11" s="21"/>
    </row>
    <row r="12" spans="1:13" ht="14.4">
      <c r="A12" s="5" t="str">
        <f>F12&amp;(COUNTIFS(F$2:F12,F12,K$2:K12,"Sparse"))</f>
        <v>MD0</v>
      </c>
      <c r="B12" s="5" t="str">
        <f>J12&amp;(COUNTIF(J$2:J12,J12))</f>
        <v>Barnsley1</v>
      </c>
      <c r="C12" s="8" t="s">
        <v>222</v>
      </c>
      <c r="D12" s="8" t="s">
        <v>222</v>
      </c>
      <c r="E12" s="9" t="s">
        <v>385</v>
      </c>
      <c r="F12" s="9" t="s">
        <v>386</v>
      </c>
      <c r="G12" s="9" t="s">
        <v>397</v>
      </c>
      <c r="H12" s="10" t="s">
        <v>891</v>
      </c>
      <c r="I12" s="11" t="s">
        <v>384</v>
      </c>
      <c r="J12" t="str">
        <f>C12</f>
        <v>Barnsley</v>
      </c>
      <c r="K12" s="21"/>
    </row>
    <row r="13" spans="1:13" ht="14.4">
      <c r="A13" s="5" t="str">
        <f>F13&amp;(COUNTIFS(F$2:F13,F13,K$2:K13,"Sparse"))</f>
        <v>SD3</v>
      </c>
      <c r="B13" s="5" t="str">
        <f>J13&amp;(COUNTIF(J$2:J13,J13))</f>
        <v>Cumbria2</v>
      </c>
      <c r="C13" s="8" t="s">
        <v>13</v>
      </c>
      <c r="D13" s="8" t="s">
        <v>13</v>
      </c>
      <c r="E13" s="9" t="s">
        <v>376</v>
      </c>
      <c r="F13" s="9" t="s">
        <v>381</v>
      </c>
      <c r="G13" s="9" t="s">
        <v>5</v>
      </c>
      <c r="H13" s="10" t="s">
        <v>892</v>
      </c>
      <c r="I13" s="11" t="s">
        <v>371</v>
      </c>
      <c r="J13" t="s">
        <v>306</v>
      </c>
      <c r="K13" s="21"/>
    </row>
    <row r="14" spans="1:13" ht="14.4">
      <c r="A14" s="5" t="str">
        <f>F14&amp;(COUNTIFS(F$2:F14,F14,K$2:K14,"Sparse"))</f>
        <v>SD3</v>
      </c>
      <c r="B14" s="5" t="str">
        <f>J14&amp;(COUNTIF(J$2:J14,J14))</f>
        <v>Essex1</v>
      </c>
      <c r="C14" s="8" t="s">
        <v>14</v>
      </c>
      <c r="D14" s="8" t="s">
        <v>14</v>
      </c>
      <c r="E14" s="9" t="s">
        <v>369</v>
      </c>
      <c r="F14" s="9" t="s">
        <v>381</v>
      </c>
      <c r="G14" s="9" t="s">
        <v>5</v>
      </c>
      <c r="H14" s="10" t="s">
        <v>889</v>
      </c>
      <c r="I14" s="11" t="s">
        <v>384</v>
      </c>
      <c r="J14" t="s">
        <v>311</v>
      </c>
      <c r="K14" s="21"/>
    </row>
    <row r="15" spans="1:13" ht="14.4">
      <c r="A15" s="5" t="str">
        <f>F15&amp;(COUNTIFS(F$2:F15,F15,K$2:K15,"Sparse"))</f>
        <v>SD3</v>
      </c>
      <c r="B15" s="5" t="str">
        <f>J15&amp;(COUNTIF(J$2:J15,J15))</f>
        <v>Hampshire1</v>
      </c>
      <c r="C15" s="8" t="s">
        <v>343</v>
      </c>
      <c r="D15" s="8" t="s">
        <v>343</v>
      </c>
      <c r="E15" s="9" t="s">
        <v>0</v>
      </c>
      <c r="F15" s="9" t="s">
        <v>381</v>
      </c>
      <c r="G15" s="9" t="s">
        <v>5</v>
      </c>
      <c r="H15" s="12" t="s">
        <v>892</v>
      </c>
      <c r="I15" s="11" t="s">
        <v>371</v>
      </c>
      <c r="J15" t="s">
        <v>313</v>
      </c>
      <c r="K15" s="21"/>
    </row>
    <row r="16" spans="1:13" ht="14.4">
      <c r="A16" s="5" t="str">
        <f>F16&amp;(COUNTIFS(F$2:F16,F16,K$2:K16,"Sparse"))</f>
        <v>SD3</v>
      </c>
      <c r="B16" s="5" t="str">
        <f>J16&amp;(COUNTIF(J$2:J16,J16))</f>
        <v>Nottinghamshire2</v>
      </c>
      <c r="C16" s="8" t="s">
        <v>15</v>
      </c>
      <c r="D16" s="8" t="s">
        <v>15</v>
      </c>
      <c r="E16" s="9" t="s">
        <v>367</v>
      </c>
      <c r="F16" s="9" t="s">
        <v>381</v>
      </c>
      <c r="G16" s="9" t="s">
        <v>5</v>
      </c>
      <c r="H16" s="10" t="s">
        <v>893</v>
      </c>
      <c r="I16" s="11" t="s">
        <v>382</v>
      </c>
      <c r="J16" t="s">
        <v>323</v>
      </c>
      <c r="K16" s="21"/>
    </row>
    <row r="17" spans="1:11" ht="14.4">
      <c r="A17" s="5" t="str">
        <f>F17&amp;(COUNTIFS(F$2:F17,F17,K$2:K17,"Sparse"))</f>
        <v>UA0</v>
      </c>
      <c r="B17" s="5" t="str">
        <f>J17&amp;(COUNTIF(J$2:J17,J17))</f>
        <v>Unitary1</v>
      </c>
      <c r="C17" s="8" t="s">
        <v>258</v>
      </c>
      <c r="D17" s="8" t="s">
        <v>258</v>
      </c>
      <c r="E17" s="9" t="s">
        <v>1</v>
      </c>
      <c r="F17" s="9" t="s">
        <v>387</v>
      </c>
      <c r="G17" s="9" t="s">
        <v>396</v>
      </c>
      <c r="H17" s="12" t="s">
        <v>892</v>
      </c>
      <c r="I17" s="11" t="s">
        <v>371</v>
      </c>
      <c r="J17" s="22" t="s">
        <v>396</v>
      </c>
      <c r="K17" s="14"/>
    </row>
    <row r="18" spans="1:11" ht="14.4">
      <c r="A18" s="5" t="str">
        <f>F18&amp;(COUNTIFS(F$2:F18,F18,K$2:K18,"Sparse"))</f>
        <v>UA0</v>
      </c>
      <c r="B18" s="5" t="str">
        <f>J18&amp;(COUNTIF(J$2:J18,J18))</f>
        <v>Unitary2</v>
      </c>
      <c r="C18" s="8" t="s">
        <v>259</v>
      </c>
      <c r="D18" s="8" t="s">
        <v>259</v>
      </c>
      <c r="E18" s="9" t="s">
        <v>369</v>
      </c>
      <c r="F18" s="9" t="s">
        <v>387</v>
      </c>
      <c r="G18" s="9" t="s">
        <v>396</v>
      </c>
      <c r="H18" s="12" t="s">
        <v>892</v>
      </c>
      <c r="I18" s="11" t="s">
        <v>371</v>
      </c>
      <c r="J18" s="22" t="s">
        <v>396</v>
      </c>
      <c r="K18" s="21"/>
    </row>
    <row r="19" spans="1:11" ht="14.4">
      <c r="A19" s="5" t="str">
        <f>F19&amp;(COUNTIFS(F$2:F19,F19,K$2:K19,"Sparse"))</f>
        <v>L0</v>
      </c>
      <c r="B19" s="5" t="str">
        <f>J19&amp;(COUNTIF(J$2:J19,J19))</f>
        <v>London3</v>
      </c>
      <c r="C19" s="8" t="s">
        <v>197</v>
      </c>
      <c r="D19" s="8" t="s">
        <v>197</v>
      </c>
      <c r="E19" s="9" t="s">
        <v>383</v>
      </c>
      <c r="F19" s="9" t="s">
        <v>359</v>
      </c>
      <c r="G19" s="9" t="s">
        <v>383</v>
      </c>
      <c r="H19" s="10" t="s">
        <v>894</v>
      </c>
      <c r="I19" s="11" t="s">
        <v>384</v>
      </c>
      <c r="J19" t="str">
        <f>G19</f>
        <v>London</v>
      </c>
      <c r="K19" s="21"/>
    </row>
    <row r="20" spans="1:11" ht="14.4">
      <c r="A20" s="5" t="str">
        <f>F20&amp;(COUNTIFS(F$2:F20,F20,K$2:K20,"Sparse"))</f>
        <v>MD0</v>
      </c>
      <c r="B20" s="5" t="str">
        <f>J20&amp;(COUNTIF(J$2:J20,J20))</f>
        <v>Birmingham1</v>
      </c>
      <c r="C20" s="8" t="s">
        <v>223</v>
      </c>
      <c r="D20" s="8" t="s">
        <v>223</v>
      </c>
      <c r="E20" s="9" t="s">
        <v>368</v>
      </c>
      <c r="F20" s="9" t="s">
        <v>386</v>
      </c>
      <c r="G20" s="9" t="s">
        <v>397</v>
      </c>
      <c r="H20" s="10" t="s">
        <v>894</v>
      </c>
      <c r="I20" s="11" t="s">
        <v>384</v>
      </c>
      <c r="J20" t="str">
        <f>C20</f>
        <v>Birmingham</v>
      </c>
      <c r="K20" s="21"/>
    </row>
    <row r="21" spans="1:11" ht="14.4">
      <c r="A21" s="5" t="str">
        <f>F21&amp;(COUNTIFS(F$2:F21,F21,K$2:K21,"Sparse"))</f>
        <v>SD3</v>
      </c>
      <c r="B21" s="5" t="str">
        <f>J21&amp;(COUNTIF(J$2:J21,J21))</f>
        <v>Leicestershire1</v>
      </c>
      <c r="C21" s="8" t="s">
        <v>16</v>
      </c>
      <c r="D21" s="8" t="s">
        <v>16</v>
      </c>
      <c r="E21" s="9" t="s">
        <v>367</v>
      </c>
      <c r="F21" s="9" t="s">
        <v>381</v>
      </c>
      <c r="G21" s="9" t="s">
        <v>5</v>
      </c>
      <c r="H21" s="10" t="s">
        <v>889</v>
      </c>
      <c r="I21" s="11" t="s">
        <v>384</v>
      </c>
      <c r="J21" t="s">
        <v>317</v>
      </c>
      <c r="K21" s="21"/>
    </row>
    <row r="22" spans="1:11" ht="14.4">
      <c r="A22" s="5" t="str">
        <f>F22&amp;(COUNTIFS(F$2:F22,F22,K$2:K22,"Sparse"))</f>
        <v>UA0</v>
      </c>
      <c r="B22" s="5" t="str">
        <f>J22&amp;(COUNTIF(J$2:J22,J22))</f>
        <v>Unitary3</v>
      </c>
      <c r="C22" s="8" t="s">
        <v>260</v>
      </c>
      <c r="D22" s="8" t="s">
        <v>260</v>
      </c>
      <c r="E22" s="9" t="s">
        <v>376</v>
      </c>
      <c r="F22" s="9" t="s">
        <v>387</v>
      </c>
      <c r="G22" s="9" t="s">
        <v>396</v>
      </c>
      <c r="H22" s="10" t="s">
        <v>889</v>
      </c>
      <c r="I22" s="11" t="s">
        <v>384</v>
      </c>
      <c r="J22" s="22" t="s">
        <v>396</v>
      </c>
      <c r="K22" s="21"/>
    </row>
    <row r="23" spans="1:11" ht="14.4">
      <c r="A23" s="5" t="str">
        <f>F23&amp;(COUNTIFS(F$2:F23,F23,K$2:K23,"Sparse"))</f>
        <v>UA0</v>
      </c>
      <c r="B23" s="5" t="str">
        <f>J23&amp;(COUNTIF(J$2:J23,J23))</f>
        <v>Unitary4</v>
      </c>
      <c r="C23" s="8" t="s">
        <v>261</v>
      </c>
      <c r="D23" s="8" t="s">
        <v>261</v>
      </c>
      <c r="E23" s="9" t="s">
        <v>376</v>
      </c>
      <c r="F23" s="9" t="s">
        <v>387</v>
      </c>
      <c r="G23" s="9" t="s">
        <v>396</v>
      </c>
      <c r="H23" s="10" t="s">
        <v>889</v>
      </c>
      <c r="I23" s="11" t="s">
        <v>384</v>
      </c>
      <c r="J23" s="22" t="s">
        <v>396</v>
      </c>
      <c r="K23" s="21"/>
    </row>
    <row r="24" spans="1:11" ht="14.4">
      <c r="A24" s="5" t="str">
        <f>F24&amp;(COUNTIFS(F$2:F24,F24,K$2:K24,"Sparse"))</f>
        <v>SD3</v>
      </c>
      <c r="B24" s="5" t="str">
        <f>J24&amp;(COUNTIF(J$2:J24,J24))</f>
        <v>Derbyshire2</v>
      </c>
      <c r="C24" s="8" t="s">
        <v>17</v>
      </c>
      <c r="D24" s="8" t="s">
        <v>17</v>
      </c>
      <c r="E24" s="9" t="s">
        <v>367</v>
      </c>
      <c r="F24" s="9" t="s">
        <v>381</v>
      </c>
      <c r="G24" s="9" t="s">
        <v>5</v>
      </c>
      <c r="H24" s="12" t="s">
        <v>892</v>
      </c>
      <c r="I24" s="11" t="s">
        <v>371</v>
      </c>
      <c r="J24" t="s">
        <v>307</v>
      </c>
      <c r="K24" s="21"/>
    </row>
    <row r="25" spans="1:11" ht="14.4">
      <c r="A25" s="5" t="str">
        <f>F25&amp;(COUNTIFS(F$2:F25,F25,K$2:K25,"Sparse"))</f>
        <v>MD0</v>
      </c>
      <c r="B25" s="5" t="str">
        <f>J25&amp;(COUNTIF(J$2:J25,J25))</f>
        <v>Bolton1</v>
      </c>
      <c r="C25" s="8" t="s">
        <v>224</v>
      </c>
      <c r="D25" s="8" t="s">
        <v>224</v>
      </c>
      <c r="E25" s="9" t="s">
        <v>376</v>
      </c>
      <c r="F25" s="9" t="s">
        <v>386</v>
      </c>
      <c r="G25" s="9" t="s">
        <v>397</v>
      </c>
      <c r="H25" s="10" t="s">
        <v>894</v>
      </c>
      <c r="I25" s="11" t="s">
        <v>384</v>
      </c>
      <c r="J25" t="str">
        <f>C25</f>
        <v>Bolton</v>
      </c>
      <c r="K25" s="21"/>
    </row>
    <row r="26" spans="1:11" ht="14.4">
      <c r="A26" s="5" t="str">
        <f>F26&amp;(COUNTIFS(F$2:F26,F26,K$2:K26,"Sparse"))</f>
        <v>SD4</v>
      </c>
      <c r="B26" s="5" t="str">
        <f>J26&amp;(COUNTIF(J$2:J26,J26))</f>
        <v>Lincolnshire1</v>
      </c>
      <c r="C26" s="8" t="s">
        <v>18</v>
      </c>
      <c r="D26" s="8" t="s">
        <v>18</v>
      </c>
      <c r="E26" s="9" t="s">
        <v>367</v>
      </c>
      <c r="F26" s="9" t="s">
        <v>381</v>
      </c>
      <c r="G26" s="9" t="s">
        <v>5</v>
      </c>
      <c r="H26" s="12" t="s">
        <v>892</v>
      </c>
      <c r="I26" s="11" t="s">
        <v>371</v>
      </c>
      <c r="J26" t="s">
        <v>318</v>
      </c>
      <c r="K26" s="21" t="s">
        <v>335</v>
      </c>
    </row>
    <row r="27" spans="1:11" ht="14.4">
      <c r="A27" s="5" t="str">
        <f>F27&amp;(COUNTIFS(F$2:F27,F27,K$2:K27,"Sparse"))</f>
        <v>UA0</v>
      </c>
      <c r="B27" s="5" t="str">
        <f>J27&amp;(COUNTIF(J$2:J27,J27))</f>
        <v>Unitary5</v>
      </c>
      <c r="C27" s="8" t="s">
        <v>262</v>
      </c>
      <c r="D27" s="8" t="s">
        <v>262</v>
      </c>
      <c r="E27" s="9" t="s">
        <v>1</v>
      </c>
      <c r="F27" s="9" t="s">
        <v>387</v>
      </c>
      <c r="G27" s="9" t="s">
        <v>396</v>
      </c>
      <c r="H27" s="10" t="s">
        <v>889</v>
      </c>
      <c r="I27" s="11" t="s">
        <v>384</v>
      </c>
      <c r="J27" s="22" t="s">
        <v>396</v>
      </c>
      <c r="K27" s="21"/>
    </row>
    <row r="28" spans="1:11" ht="14.4">
      <c r="A28" s="5" t="str">
        <f>F28&amp;(COUNTIFS(F$2:F28,F28,K$2:K28,"Sparse"))</f>
        <v>UA0</v>
      </c>
      <c r="B28" s="5" t="str">
        <f>J28&amp;(COUNTIF(J$2:J28,J28))</f>
        <v>Unitary6</v>
      </c>
      <c r="C28" t="s">
        <v>912</v>
      </c>
      <c r="D28" t="s">
        <v>912</v>
      </c>
      <c r="E28" s="280" t="s">
        <v>1</v>
      </c>
      <c r="F28" s="280" t="s">
        <v>387</v>
      </c>
      <c r="G28" s="280" t="s">
        <v>396</v>
      </c>
      <c r="H28" s="281" t="s">
        <v>384</v>
      </c>
      <c r="I28" s="282" t="s">
        <v>384</v>
      </c>
      <c r="J28" s="283" t="s">
        <v>396</v>
      </c>
    </row>
    <row r="29" spans="1:11" ht="14.4">
      <c r="A29" s="5" t="str">
        <f>F29&amp;(COUNTIFS(F$2:F29,F29,K$2:K29,"Sparse"))</f>
        <v>UA0</v>
      </c>
      <c r="B29" s="5" t="str">
        <f>J29&amp;(COUNTIF(J$2:J29,J29))</f>
        <v>Unitary7</v>
      </c>
      <c r="C29" s="8" t="s">
        <v>263</v>
      </c>
      <c r="D29" s="8" t="s">
        <v>263</v>
      </c>
      <c r="E29" s="9" t="s">
        <v>0</v>
      </c>
      <c r="F29" s="9" t="s">
        <v>387</v>
      </c>
      <c r="G29" s="9" t="s">
        <v>396</v>
      </c>
      <c r="H29" s="10" t="s">
        <v>889</v>
      </c>
      <c r="I29" s="11" t="s">
        <v>384</v>
      </c>
      <c r="J29" s="22" t="s">
        <v>396</v>
      </c>
      <c r="K29" s="21"/>
    </row>
    <row r="30" spans="1:11" ht="14.4">
      <c r="A30" s="5" t="str">
        <f>F30&amp;(COUNTIFS(F$2:F30,F30,K$2:K30,"Sparse"))</f>
        <v>MD0</v>
      </c>
      <c r="B30" s="5" t="str">
        <f>J30&amp;(COUNTIF(J$2:J30,J30))</f>
        <v>Bradford1</v>
      </c>
      <c r="C30" s="8" t="s">
        <v>225</v>
      </c>
      <c r="D30" s="8" t="s">
        <v>225</v>
      </c>
      <c r="E30" s="9" t="s">
        <v>385</v>
      </c>
      <c r="F30" s="9" t="s">
        <v>386</v>
      </c>
      <c r="G30" s="9" t="s">
        <v>397</v>
      </c>
      <c r="H30" s="10" t="s">
        <v>894</v>
      </c>
      <c r="I30" s="11" t="s">
        <v>384</v>
      </c>
      <c r="J30" t="str">
        <f>C30</f>
        <v>Bradford</v>
      </c>
      <c r="K30" s="21"/>
    </row>
    <row r="31" spans="1:11" ht="14.4">
      <c r="A31" s="5" t="str">
        <f>F31&amp;(COUNTIFS(F$2:F31,F31,K$2:K31,"Sparse"))</f>
        <v>SD5</v>
      </c>
      <c r="B31" s="5" t="str">
        <f>J31&amp;(COUNTIF(J$2:J31,J31))</f>
        <v>Essex2</v>
      </c>
      <c r="C31" s="8" t="s">
        <v>19</v>
      </c>
      <c r="D31" s="8" t="s">
        <v>19</v>
      </c>
      <c r="E31" s="9" t="s">
        <v>369</v>
      </c>
      <c r="F31" s="9" t="s">
        <v>381</v>
      </c>
      <c r="G31" s="9" t="s">
        <v>5</v>
      </c>
      <c r="H31" s="10" t="s">
        <v>893</v>
      </c>
      <c r="I31" s="11" t="s">
        <v>382</v>
      </c>
      <c r="J31" t="s">
        <v>311</v>
      </c>
      <c r="K31" s="21" t="s">
        <v>335</v>
      </c>
    </row>
    <row r="32" spans="1:11" ht="14.4">
      <c r="A32" s="5" t="str">
        <f>F32&amp;(COUNTIFS(F$2:F32,F32,K$2:K32,"Sparse"))</f>
        <v>SD6</v>
      </c>
      <c r="B32" s="5" t="str">
        <f>J32&amp;(COUNTIF(J$2:J32,J32))</f>
        <v>Norfolk1</v>
      </c>
      <c r="C32" s="8" t="s">
        <v>20</v>
      </c>
      <c r="D32" s="8" t="s">
        <v>20</v>
      </c>
      <c r="E32" s="9" t="s">
        <v>369</v>
      </c>
      <c r="F32" s="9" t="s">
        <v>381</v>
      </c>
      <c r="G32" s="9" t="s">
        <v>5</v>
      </c>
      <c r="H32" s="10" t="s">
        <v>890</v>
      </c>
      <c r="I32" s="11" t="s">
        <v>382</v>
      </c>
      <c r="J32" t="s">
        <v>319</v>
      </c>
      <c r="K32" s="21" t="s">
        <v>335</v>
      </c>
    </row>
    <row r="33" spans="1:11" ht="14.4">
      <c r="A33" s="5" t="str">
        <f>F33&amp;(COUNTIFS(F$2:F33,F33,K$2:K33,"Sparse"))</f>
        <v>L0</v>
      </c>
      <c r="B33" s="5" t="str">
        <f>J33&amp;(COUNTIF(J$2:J33,J33))</f>
        <v>London4</v>
      </c>
      <c r="C33" s="8" t="s">
        <v>198</v>
      </c>
      <c r="D33" s="8" t="s">
        <v>198</v>
      </c>
      <c r="E33" s="9" t="s">
        <v>383</v>
      </c>
      <c r="F33" s="9" t="s">
        <v>359</v>
      </c>
      <c r="G33" s="9" t="s">
        <v>383</v>
      </c>
      <c r="H33" s="10" t="s">
        <v>894</v>
      </c>
      <c r="I33" s="11" t="s">
        <v>384</v>
      </c>
      <c r="J33" t="str">
        <f>G33</f>
        <v>London</v>
      </c>
      <c r="K33" s="21"/>
    </row>
    <row r="34" spans="1:11" ht="14.4">
      <c r="A34" s="5" t="str">
        <f>F34&amp;(COUNTIFS(F$2:F34,F34,K$2:K34,"Sparse"))</f>
        <v>SD6</v>
      </c>
      <c r="B34" s="5" t="str">
        <f>J34&amp;(COUNTIF(J$2:J34,J34))</f>
        <v>Essex3</v>
      </c>
      <c r="C34" s="8" t="s">
        <v>21</v>
      </c>
      <c r="D34" s="8" t="s">
        <v>21</v>
      </c>
      <c r="E34" s="9" t="s">
        <v>369</v>
      </c>
      <c r="F34" s="9" t="s">
        <v>381</v>
      </c>
      <c r="G34" s="9" t="s">
        <v>5</v>
      </c>
      <c r="H34" s="12" t="s">
        <v>892</v>
      </c>
      <c r="I34" s="11" t="s">
        <v>371</v>
      </c>
      <c r="J34" t="s">
        <v>311</v>
      </c>
      <c r="K34" s="21"/>
    </row>
    <row r="35" spans="1:11" ht="14.4">
      <c r="A35" s="5" t="str">
        <f>F35&amp;(COUNTIFS(F$2:F35,F35,K$2:K35,"Sparse"))</f>
        <v>UA0</v>
      </c>
      <c r="B35" s="5" t="str">
        <f>J35&amp;(COUNTIF(J$2:J35,J35))</f>
        <v>Unitary8</v>
      </c>
      <c r="C35" s="8" t="s">
        <v>811</v>
      </c>
      <c r="D35" s="8" t="s">
        <v>811</v>
      </c>
      <c r="E35" s="9" t="s">
        <v>0</v>
      </c>
      <c r="F35" s="9" t="s">
        <v>387</v>
      </c>
      <c r="G35" s="9" t="s">
        <v>396</v>
      </c>
      <c r="H35" s="10" t="s">
        <v>889</v>
      </c>
      <c r="I35" s="11" t="s">
        <v>384</v>
      </c>
      <c r="J35" s="22" t="s">
        <v>396</v>
      </c>
      <c r="K35" s="21"/>
    </row>
    <row r="36" spans="1:11" ht="14.4">
      <c r="A36" s="5" t="str">
        <f>F36&amp;(COUNTIFS(F$2:F36,F36,K$2:K36,"Sparse"))</f>
        <v>UA0</v>
      </c>
      <c r="B36" s="5" t="str">
        <f>J36&amp;(COUNTIF(J$2:J36,J36))</f>
        <v>Unitary9</v>
      </c>
      <c r="C36" s="8" t="s">
        <v>815</v>
      </c>
      <c r="D36" s="8" t="s">
        <v>388</v>
      </c>
      <c r="E36" s="9" t="s">
        <v>1</v>
      </c>
      <c r="F36" s="9" t="s">
        <v>387</v>
      </c>
      <c r="G36" s="9" t="s">
        <v>396</v>
      </c>
      <c r="H36" s="10" t="s">
        <v>889</v>
      </c>
      <c r="I36" s="11" t="s">
        <v>384</v>
      </c>
      <c r="J36" s="22" t="s">
        <v>396</v>
      </c>
      <c r="K36" s="21"/>
    </row>
    <row r="37" spans="1:11" ht="14.4">
      <c r="A37" s="5" t="str">
        <f>F37&amp;(COUNTIFS(F$2:F37,F37,K$2:K37,"Sparse"))</f>
        <v>SD6</v>
      </c>
      <c r="B37" s="5" t="str">
        <f>J37&amp;(COUNTIF(J$2:J37,J37))</f>
        <v>Norfolk2</v>
      </c>
      <c r="C37" s="8" t="s">
        <v>22</v>
      </c>
      <c r="D37" s="8" t="s">
        <v>22</v>
      </c>
      <c r="E37" s="9" t="s">
        <v>369</v>
      </c>
      <c r="F37" s="9" t="s">
        <v>381</v>
      </c>
      <c r="G37" s="9" t="s">
        <v>5</v>
      </c>
      <c r="H37" s="12" t="s">
        <v>892</v>
      </c>
      <c r="I37" s="11" t="s">
        <v>371</v>
      </c>
      <c r="J37" t="s">
        <v>319</v>
      </c>
      <c r="K37" s="21"/>
    </row>
    <row r="38" spans="1:11" ht="14.4">
      <c r="A38" s="5" t="str">
        <f>F38&amp;(COUNTIFS(F$2:F38,F38,K$2:K38,"Sparse"))</f>
        <v>L0</v>
      </c>
      <c r="B38" s="5" t="str">
        <f>J38&amp;(COUNTIF(J$2:J38,J38))</f>
        <v>London5</v>
      </c>
      <c r="C38" s="8" t="s">
        <v>199</v>
      </c>
      <c r="D38" s="8" t="s">
        <v>199</v>
      </c>
      <c r="E38" s="9" t="s">
        <v>383</v>
      </c>
      <c r="F38" s="9" t="s">
        <v>359</v>
      </c>
      <c r="G38" s="9" t="s">
        <v>383</v>
      </c>
      <c r="H38" s="10" t="s">
        <v>894</v>
      </c>
      <c r="I38" s="11" t="s">
        <v>384</v>
      </c>
      <c r="J38" t="str">
        <f>G38</f>
        <v>London</v>
      </c>
      <c r="K38" s="21"/>
    </row>
    <row r="39" spans="1:11" ht="14.4">
      <c r="A39" s="5" t="str">
        <f>F39&amp;(COUNTIFS(F$2:F39,F39,K$2:K39,"Sparse"))</f>
        <v>SD6</v>
      </c>
      <c r="B39" s="5" t="str">
        <f>J39&amp;(COUNTIF(J$2:J39,J39))</f>
        <v>Worcestershire1</v>
      </c>
      <c r="C39" s="8" t="s">
        <v>23</v>
      </c>
      <c r="D39" s="8" t="s">
        <v>23</v>
      </c>
      <c r="E39" s="9" t="s">
        <v>368</v>
      </c>
      <c r="F39" s="9" t="s">
        <v>381</v>
      </c>
      <c r="G39" s="9" t="s">
        <v>5</v>
      </c>
      <c r="H39" s="12" t="s">
        <v>889</v>
      </c>
      <c r="I39" s="11" t="s">
        <v>384</v>
      </c>
      <c r="J39" t="s">
        <v>332</v>
      </c>
      <c r="K39" s="21"/>
    </row>
    <row r="40" spans="1:11" ht="14.4">
      <c r="A40" s="5" t="str">
        <f>F40&amp;(COUNTIFS(F$2:F40,F40,K$2:K40,"Sparse"))</f>
        <v>SD6</v>
      </c>
      <c r="B40" s="5" t="str">
        <f>J40&amp;(COUNTIF(J$2:J40,J40))</f>
        <v>Hertfordshire1</v>
      </c>
      <c r="C40" s="8" t="s">
        <v>24</v>
      </c>
      <c r="D40" s="8" t="s">
        <v>24</v>
      </c>
      <c r="E40" s="9" t="s">
        <v>369</v>
      </c>
      <c r="F40" s="9" t="s">
        <v>381</v>
      </c>
      <c r="G40" s="9" t="s">
        <v>5</v>
      </c>
      <c r="H40" s="10" t="s">
        <v>894</v>
      </c>
      <c r="I40" s="11" t="s">
        <v>384</v>
      </c>
      <c r="J40" t="s">
        <v>314</v>
      </c>
      <c r="K40" s="21"/>
    </row>
    <row r="41" spans="1:11" ht="14.4">
      <c r="A41" s="5" t="str">
        <f>F41&amp;(COUNTIFS(F$2:F41,F41,K$2:K41,"Sparse"))</f>
        <v>SD6</v>
      </c>
      <c r="B41" s="5" t="str">
        <f>J41&amp;(COUNTIF(J$2:J41,J41))</f>
        <v>Nottinghamshire3</v>
      </c>
      <c r="C41" s="8" t="s">
        <v>25</v>
      </c>
      <c r="D41" s="8" t="s">
        <v>25</v>
      </c>
      <c r="E41" s="9" t="s">
        <v>367</v>
      </c>
      <c r="F41" s="9" t="s">
        <v>381</v>
      </c>
      <c r="G41" s="9" t="s">
        <v>5</v>
      </c>
      <c r="H41" s="10" t="s">
        <v>891</v>
      </c>
      <c r="I41" s="11" t="s">
        <v>384</v>
      </c>
      <c r="J41" t="s">
        <v>323</v>
      </c>
      <c r="K41" s="21"/>
    </row>
    <row r="42" spans="1:11" ht="14.4">
      <c r="A42" s="5" t="str">
        <f>F42&amp;(COUNTIFS(F$2:F42,F42,K$2:K42,"Sparse"))</f>
        <v>SC0</v>
      </c>
      <c r="B42" s="5" t="str">
        <f>J42&amp;(COUNTIF(J$2:J42,J42))</f>
        <v>Buckinghamshire2</v>
      </c>
      <c r="C42" s="8" t="s">
        <v>300</v>
      </c>
      <c r="D42" s="8" t="s">
        <v>300</v>
      </c>
      <c r="E42" s="9" t="s">
        <v>0</v>
      </c>
      <c r="F42" s="9" t="s">
        <v>389</v>
      </c>
      <c r="G42" s="9" t="s">
        <v>301</v>
      </c>
      <c r="H42" s="11" t="s">
        <v>371</v>
      </c>
      <c r="I42" s="11" t="s">
        <v>371</v>
      </c>
      <c r="J42" t="str">
        <f>C42</f>
        <v>Buckinghamshire</v>
      </c>
      <c r="K42" s="21"/>
    </row>
    <row r="43" spans="1:11" ht="14.4">
      <c r="A43" s="5" t="str">
        <f>F43&amp;(COUNTIFS(F$2:F43,F43,K$2:K43,"Sparse"))</f>
        <v>SD6</v>
      </c>
      <c r="B43" s="5" t="str">
        <f>J43&amp;(COUNTIF(J$2:J43,J43))</f>
        <v>Lancashire1</v>
      </c>
      <c r="C43" s="8" t="s">
        <v>26</v>
      </c>
      <c r="D43" s="8" t="s">
        <v>26</v>
      </c>
      <c r="E43" s="9" t="s">
        <v>376</v>
      </c>
      <c r="F43" s="9" t="s">
        <v>381</v>
      </c>
      <c r="G43" s="9" t="s">
        <v>5</v>
      </c>
      <c r="H43" s="10" t="s">
        <v>889</v>
      </c>
      <c r="I43" s="11" t="s">
        <v>384</v>
      </c>
      <c r="J43" t="s">
        <v>316</v>
      </c>
      <c r="K43" s="21"/>
    </row>
    <row r="44" spans="1:11" ht="14.4">
      <c r="A44" s="5" t="str">
        <f>F44&amp;(COUNTIFS(F$2:F44,F44,K$2:K44,"Sparse"))</f>
        <v>MD0</v>
      </c>
      <c r="B44" s="5" t="str">
        <f>J44&amp;(COUNTIF(J$2:J44,J44))</f>
        <v>Bury1</v>
      </c>
      <c r="C44" s="8" t="s">
        <v>226</v>
      </c>
      <c r="D44" s="8" t="s">
        <v>226</v>
      </c>
      <c r="E44" s="9" t="s">
        <v>376</v>
      </c>
      <c r="F44" s="9" t="s">
        <v>386</v>
      </c>
      <c r="G44" s="9" t="s">
        <v>397</v>
      </c>
      <c r="H44" s="10" t="s">
        <v>894</v>
      </c>
      <c r="I44" s="11" t="s">
        <v>384</v>
      </c>
      <c r="J44" t="str">
        <f>C44</f>
        <v>Bury</v>
      </c>
      <c r="K44" s="21"/>
    </row>
    <row r="45" spans="1:11" ht="14.4">
      <c r="A45" s="5" t="str">
        <f>F45&amp;(COUNTIFS(F$2:F45,F45,K$2:K45,"Sparse"))</f>
        <v>MD0</v>
      </c>
      <c r="B45" s="5" t="str">
        <f>J45&amp;(COUNTIF(J$2:J45,J45))</f>
        <v>Calderdale1</v>
      </c>
      <c r="C45" s="8" t="s">
        <v>227</v>
      </c>
      <c r="D45" s="8" t="s">
        <v>227</v>
      </c>
      <c r="E45" s="9" t="s">
        <v>385</v>
      </c>
      <c r="F45" s="9" t="s">
        <v>386</v>
      </c>
      <c r="G45" s="9" t="s">
        <v>397</v>
      </c>
      <c r="H45" s="12" t="s">
        <v>894</v>
      </c>
      <c r="I45" s="11" t="s">
        <v>384</v>
      </c>
      <c r="J45" t="str">
        <f>C45</f>
        <v>Calderdale</v>
      </c>
      <c r="K45" s="21"/>
    </row>
    <row r="46" spans="1:11" ht="14.4">
      <c r="A46" s="5" t="str">
        <f>F46&amp;(COUNTIFS(F$2:F46,F46,K$2:K46,"Sparse"))</f>
        <v>SD6</v>
      </c>
      <c r="B46" s="5" t="str">
        <f>J46&amp;(COUNTIF(J$2:J46,J46))</f>
        <v>Cambridgeshire1</v>
      </c>
      <c r="C46" s="8" t="s">
        <v>27</v>
      </c>
      <c r="D46" s="8" t="s">
        <v>27</v>
      </c>
      <c r="E46" s="9" t="s">
        <v>369</v>
      </c>
      <c r="F46" s="9" t="s">
        <v>381</v>
      </c>
      <c r="G46" s="9" t="s">
        <v>5</v>
      </c>
      <c r="H46" s="10" t="s">
        <v>889</v>
      </c>
      <c r="I46" s="11" t="s">
        <v>384</v>
      </c>
      <c r="J46" t="s">
        <v>302</v>
      </c>
      <c r="K46" s="21"/>
    </row>
    <row r="47" spans="1:11" ht="14.4">
      <c r="A47" s="5" t="str">
        <f>F47&amp;(COUNTIFS(F$2:F47,F47,K$2:K47,"Sparse"))</f>
        <v>SC0</v>
      </c>
      <c r="B47" s="5" t="str">
        <f>J47&amp;(COUNTIF(J$2:J47,J47))</f>
        <v>Cambridgeshire2</v>
      </c>
      <c r="C47" s="8" t="s">
        <v>302</v>
      </c>
      <c r="D47" s="8" t="s">
        <v>302</v>
      </c>
      <c r="E47" s="9" t="s">
        <v>369</v>
      </c>
      <c r="F47" s="9" t="s">
        <v>389</v>
      </c>
      <c r="G47" s="9" t="s">
        <v>301</v>
      </c>
      <c r="H47" s="11" t="s">
        <v>382</v>
      </c>
      <c r="I47" s="11" t="s">
        <v>382</v>
      </c>
      <c r="J47" t="str">
        <f>C47</f>
        <v>Cambridgeshire</v>
      </c>
      <c r="K47" s="21"/>
    </row>
    <row r="48" spans="1:11" ht="14.4">
      <c r="A48" s="5" t="str">
        <f>F48&amp;(COUNTIFS(F$2:F48,F48,K$2:K48,"Sparse"))</f>
        <v>L0</v>
      </c>
      <c r="B48" s="5" t="str">
        <f>J48&amp;(COUNTIF(J$2:J48,J48))</f>
        <v>London6</v>
      </c>
      <c r="C48" s="8" t="s">
        <v>200</v>
      </c>
      <c r="D48" s="8" t="s">
        <v>200</v>
      </c>
      <c r="E48" s="9" t="s">
        <v>383</v>
      </c>
      <c r="F48" s="9" t="s">
        <v>359</v>
      </c>
      <c r="G48" s="9" t="s">
        <v>383</v>
      </c>
      <c r="H48" s="10" t="s">
        <v>894</v>
      </c>
      <c r="I48" s="11" t="s">
        <v>384</v>
      </c>
      <c r="J48" t="str">
        <f>G48</f>
        <v>London</v>
      </c>
      <c r="K48" s="21"/>
    </row>
    <row r="49" spans="1:11" ht="14.4">
      <c r="A49" s="5" t="str">
        <f>F49&amp;(COUNTIFS(F$2:F49,F49,K$2:K49,"Sparse"))</f>
        <v>SD6</v>
      </c>
      <c r="B49" s="5" t="str">
        <f>J49&amp;(COUNTIF(J$2:J49,J49))</f>
        <v>Staffordshire1</v>
      </c>
      <c r="C49" s="8" t="s">
        <v>28</v>
      </c>
      <c r="D49" s="8" t="s">
        <v>28</v>
      </c>
      <c r="E49" s="9" t="s">
        <v>368</v>
      </c>
      <c r="F49" s="9" t="s">
        <v>381</v>
      </c>
      <c r="G49" s="9" t="s">
        <v>5</v>
      </c>
      <c r="H49" s="12" t="s">
        <v>892</v>
      </c>
      <c r="I49" s="11" t="s">
        <v>371</v>
      </c>
      <c r="J49" t="s">
        <v>327</v>
      </c>
      <c r="K49" s="21"/>
    </row>
    <row r="50" spans="1:11" ht="14.4">
      <c r="A50" s="5" t="str">
        <f>F50&amp;(COUNTIFS(F$2:F50,F50,K$2:K50,"Sparse"))</f>
        <v>SD6</v>
      </c>
      <c r="B50" s="5" t="str">
        <f>J50&amp;(COUNTIF(J$2:J50,J50))</f>
        <v>Kent2</v>
      </c>
      <c r="C50" s="8" t="s">
        <v>29</v>
      </c>
      <c r="D50" s="8" t="s">
        <v>29</v>
      </c>
      <c r="E50" s="9" t="s">
        <v>0</v>
      </c>
      <c r="F50" s="9" t="s">
        <v>381</v>
      </c>
      <c r="G50" s="9" t="s">
        <v>5</v>
      </c>
      <c r="H50" s="10" t="s">
        <v>889</v>
      </c>
      <c r="I50" s="11" t="s">
        <v>384</v>
      </c>
      <c r="J50" t="s">
        <v>315</v>
      </c>
      <c r="K50" s="21"/>
    </row>
    <row r="51" spans="1:11" ht="14.4">
      <c r="A51" s="5" t="str">
        <f>F51&amp;(COUNTIFS(F$2:F51,F51,K$2:K51,"Sparse"))</f>
        <v>SD6</v>
      </c>
      <c r="B51" s="5" t="str">
        <f>J51&amp;(COUNTIF(J$2:J51,J51))</f>
        <v>Cumbria3</v>
      </c>
      <c r="C51" s="8" t="s">
        <v>30</v>
      </c>
      <c r="D51" s="8" t="s">
        <v>30</v>
      </c>
      <c r="E51" s="9" t="s">
        <v>376</v>
      </c>
      <c r="F51" s="9" t="s">
        <v>381</v>
      </c>
      <c r="G51" s="9" t="s">
        <v>5</v>
      </c>
      <c r="H51" s="12" t="s">
        <v>892</v>
      </c>
      <c r="I51" s="11" t="s">
        <v>371</v>
      </c>
      <c r="J51" t="s">
        <v>306</v>
      </c>
      <c r="K51" s="21"/>
    </row>
    <row r="52" spans="1:11" ht="14.4">
      <c r="A52" s="5" t="str">
        <f>F52&amp;(COUNTIFS(F$2:F52,F52,K$2:K52,"Sparse"))</f>
        <v>SD6</v>
      </c>
      <c r="B52" s="5" t="str">
        <f>J52&amp;(COUNTIF(J$2:J52,J52))</f>
        <v>Essex4</v>
      </c>
      <c r="C52" s="8" t="s">
        <v>31</v>
      </c>
      <c r="D52" s="8" t="s">
        <v>31</v>
      </c>
      <c r="E52" s="9" t="s">
        <v>369</v>
      </c>
      <c r="F52" s="9" t="s">
        <v>381</v>
      </c>
      <c r="G52" s="9" t="s">
        <v>5</v>
      </c>
      <c r="H52" s="10" t="s">
        <v>889</v>
      </c>
      <c r="I52" s="11" t="s">
        <v>384</v>
      </c>
      <c r="J52" t="s">
        <v>311</v>
      </c>
      <c r="K52" s="21"/>
    </row>
    <row r="53" spans="1:11" ht="14.4">
      <c r="A53" s="5" t="str">
        <f>F53&amp;(COUNTIFS(F$2:F53,F53,K$2:K53,"Sparse"))</f>
        <v>UA0</v>
      </c>
      <c r="B53" s="5" t="str">
        <f>J53&amp;(COUNTIF(J$2:J53,J53))</f>
        <v>Unitary10</v>
      </c>
      <c r="C53" s="8" t="s">
        <v>303</v>
      </c>
      <c r="D53" s="8" t="s">
        <v>303</v>
      </c>
      <c r="E53" s="9" t="s">
        <v>369</v>
      </c>
      <c r="F53" s="9" t="s">
        <v>387</v>
      </c>
      <c r="G53" s="9" t="s">
        <v>396</v>
      </c>
      <c r="H53" s="12" t="s">
        <v>893</v>
      </c>
      <c r="I53" s="11" t="s">
        <v>382</v>
      </c>
      <c r="J53" s="22" t="s">
        <v>396</v>
      </c>
      <c r="K53" s="21"/>
    </row>
    <row r="54" spans="1:11" ht="14.4">
      <c r="A54" s="5" t="str">
        <f>F54&amp;(COUNTIFS(F$2:F54,F54,K$2:K54,"Sparse"))</f>
        <v>SD6</v>
      </c>
      <c r="B54" s="5" t="str">
        <f>J54&amp;(COUNTIF(J$2:J54,J54))</f>
        <v>Leicestershire2</v>
      </c>
      <c r="C54" s="8" t="s">
        <v>32</v>
      </c>
      <c r="D54" s="8" t="s">
        <v>32</v>
      </c>
      <c r="E54" s="9" t="s">
        <v>367</v>
      </c>
      <c r="F54" s="9" t="s">
        <v>381</v>
      </c>
      <c r="G54" s="9" t="s">
        <v>5</v>
      </c>
      <c r="H54" s="10" t="s">
        <v>889</v>
      </c>
      <c r="I54" s="11" t="s">
        <v>384</v>
      </c>
      <c r="J54" t="s">
        <v>317</v>
      </c>
      <c r="K54" s="21"/>
    </row>
    <row r="55" spans="1:11" ht="14.4">
      <c r="A55" s="5" t="str">
        <f>F55&amp;(COUNTIFS(F$2:F55,F55,K$2:K55,"Sparse"))</f>
        <v>SD6</v>
      </c>
      <c r="B55" s="5" t="str">
        <f>J55&amp;(COUNTIF(J$2:J55,J55))</f>
        <v>Essex5</v>
      </c>
      <c r="C55" s="8" t="s">
        <v>33</v>
      </c>
      <c r="D55" s="8" t="s">
        <v>33</v>
      </c>
      <c r="E55" s="9" t="s">
        <v>369</v>
      </c>
      <c r="F55" s="9" t="s">
        <v>381</v>
      </c>
      <c r="G55" s="9" t="s">
        <v>5</v>
      </c>
      <c r="H55" s="10" t="s">
        <v>889</v>
      </c>
      <c r="I55" s="11" t="s">
        <v>384</v>
      </c>
      <c r="J55" t="s">
        <v>311</v>
      </c>
      <c r="K55" s="21"/>
    </row>
    <row r="56" spans="1:11" ht="14.4">
      <c r="A56" s="5" t="str">
        <f>F56&amp;(COUNTIFS(F$2:F56,F56,K$2:K56,"Sparse"))</f>
        <v>SD6</v>
      </c>
      <c r="B56" s="5" t="str">
        <f>J56&amp;(COUNTIF(J$2:J56,J56))</f>
        <v>Gloucestershire1</v>
      </c>
      <c r="C56" s="8" t="s">
        <v>34</v>
      </c>
      <c r="D56" s="8" t="s">
        <v>34</v>
      </c>
      <c r="E56" s="9" t="s">
        <v>1</v>
      </c>
      <c r="F56" s="9" t="s">
        <v>381</v>
      </c>
      <c r="G56" s="9" t="s">
        <v>5</v>
      </c>
      <c r="H56" s="10" t="s">
        <v>889</v>
      </c>
      <c r="I56" s="11" t="s">
        <v>384</v>
      </c>
      <c r="J56" t="s">
        <v>312</v>
      </c>
      <c r="K56" s="21"/>
    </row>
    <row r="57" spans="1:11" ht="14.4">
      <c r="A57" s="5" t="str">
        <f>F57&amp;(COUNTIFS(F$2:F57,F57,K$2:K57,"Sparse"))</f>
        <v>SD7</v>
      </c>
      <c r="B57" s="5" t="str">
        <f>J57&amp;(COUNTIF(J$2:J57,J57))</f>
        <v>Oxfordshire1</v>
      </c>
      <c r="C57" s="8" t="s">
        <v>35</v>
      </c>
      <c r="D57" s="8" t="s">
        <v>35</v>
      </c>
      <c r="E57" s="9" t="s">
        <v>0</v>
      </c>
      <c r="F57" s="9" t="s">
        <v>381</v>
      </c>
      <c r="G57" s="9" t="s">
        <v>5</v>
      </c>
      <c r="H57" s="12" t="s">
        <v>892</v>
      </c>
      <c r="I57" s="11" t="s">
        <v>371</v>
      </c>
      <c r="J57" t="s">
        <v>324</v>
      </c>
      <c r="K57" s="21" t="s">
        <v>335</v>
      </c>
    </row>
    <row r="58" spans="1:11" ht="14.4">
      <c r="A58" s="5" t="str">
        <f>F58&amp;(COUNTIFS(F$2:F58,F58,K$2:K58,"Sparse"))</f>
        <v>UA1</v>
      </c>
      <c r="B58" s="5" t="str">
        <f>J58&amp;(COUNTIF(J$2:J58,J58))</f>
        <v>Unitary11</v>
      </c>
      <c r="C58" s="8" t="s">
        <v>304</v>
      </c>
      <c r="D58" s="8" t="s">
        <v>304</v>
      </c>
      <c r="E58" s="9" t="s">
        <v>376</v>
      </c>
      <c r="F58" s="9" t="s">
        <v>387</v>
      </c>
      <c r="G58" s="9" t="s">
        <v>396</v>
      </c>
      <c r="H58" s="12" t="s">
        <v>892</v>
      </c>
      <c r="I58" s="11" t="s">
        <v>371</v>
      </c>
      <c r="J58" s="22" t="s">
        <v>396</v>
      </c>
      <c r="K58" s="21" t="s">
        <v>335</v>
      </c>
    </row>
    <row r="59" spans="1:11" ht="14.4">
      <c r="A59" s="5" t="str">
        <f>F59&amp;(COUNTIFS(F$2:F59,F59,K$2:K59,"Sparse"))</f>
        <v>UA1</v>
      </c>
      <c r="B59" s="5" t="str">
        <f>J59&amp;(COUNTIF(J$2:J59,J59))</f>
        <v>Unitary12</v>
      </c>
      <c r="C59" s="8" t="s">
        <v>812</v>
      </c>
      <c r="D59" s="8" t="s">
        <v>812</v>
      </c>
      <c r="E59" s="9" t="s">
        <v>376</v>
      </c>
      <c r="F59" s="9" t="s">
        <v>387</v>
      </c>
      <c r="G59" s="9" t="s">
        <v>396</v>
      </c>
      <c r="H59" s="12" t="s">
        <v>892</v>
      </c>
      <c r="I59" s="11" t="s">
        <v>371</v>
      </c>
      <c r="J59" s="22" t="s">
        <v>396</v>
      </c>
      <c r="K59" s="21"/>
    </row>
    <row r="60" spans="1:11" ht="14.4">
      <c r="A60" s="5" t="str">
        <f>F60&amp;(COUNTIFS(F$2:F60,F60,K$2:K60,"Sparse"))</f>
        <v>SD7</v>
      </c>
      <c r="B60" s="5" t="str">
        <f>J60&amp;(COUNTIF(J$2:J60,J60))</f>
        <v>Derbyshire3</v>
      </c>
      <c r="C60" s="8" t="s">
        <v>36</v>
      </c>
      <c r="D60" s="8" t="s">
        <v>36</v>
      </c>
      <c r="E60" s="9" t="s">
        <v>367</v>
      </c>
      <c r="F60" s="9" t="s">
        <v>381</v>
      </c>
      <c r="G60" s="9" t="s">
        <v>5</v>
      </c>
      <c r="H60" s="10" t="s">
        <v>889</v>
      </c>
      <c r="I60" s="11" t="s">
        <v>384</v>
      </c>
      <c r="J60" t="s">
        <v>307</v>
      </c>
      <c r="K60" s="21"/>
    </row>
    <row r="61" spans="1:11" ht="14.4">
      <c r="A61" s="5" t="str">
        <f>F61&amp;(COUNTIFS(F$2:F61,F61,K$2:K61,"Sparse"))</f>
        <v>SD8</v>
      </c>
      <c r="B61" s="5" t="str">
        <f>J61&amp;(COUNTIF(J$2:J61,J61))</f>
        <v>West Sussex3</v>
      </c>
      <c r="C61" s="8" t="s">
        <v>37</v>
      </c>
      <c r="D61" s="8" t="s">
        <v>37</v>
      </c>
      <c r="E61" s="9" t="s">
        <v>0</v>
      </c>
      <c r="F61" s="9" t="s">
        <v>381</v>
      </c>
      <c r="G61" s="9" t="s">
        <v>5</v>
      </c>
      <c r="H61" s="10" t="s">
        <v>893</v>
      </c>
      <c r="I61" s="11" t="s">
        <v>382</v>
      </c>
      <c r="J61" t="s">
        <v>331</v>
      </c>
      <c r="K61" s="21" t="s">
        <v>335</v>
      </c>
    </row>
    <row r="62" spans="1:11" ht="14.4">
      <c r="A62" s="5" t="str">
        <f>F62&amp;(COUNTIFS(F$2:F62,F62,K$2:K62,"Sparse"))</f>
        <v>SD8</v>
      </c>
      <c r="B62" s="5" t="str">
        <f>J62&amp;(COUNTIF(J$2:J62,J62))</f>
        <v>Buckinghamshire3</v>
      </c>
      <c r="C62" s="8" t="s">
        <v>38</v>
      </c>
      <c r="D62" s="8" t="s">
        <v>38</v>
      </c>
      <c r="E62" s="9" t="s">
        <v>0</v>
      </c>
      <c r="F62" s="9" t="s">
        <v>381</v>
      </c>
      <c r="G62" s="9" t="s">
        <v>5</v>
      </c>
      <c r="H62" s="12" t="s">
        <v>892</v>
      </c>
      <c r="I62" s="11" t="s">
        <v>371</v>
      </c>
      <c r="J62" t="s">
        <v>300</v>
      </c>
      <c r="K62" s="21"/>
    </row>
    <row r="63" spans="1:11" ht="14.4">
      <c r="A63" s="5" t="str">
        <f>F63&amp;(COUNTIFS(F$2:F63,F63,K$2:K63,"Sparse"))</f>
        <v>SD8</v>
      </c>
      <c r="B63" s="5" t="str">
        <f>J63&amp;(COUNTIF(J$2:J63,J63))</f>
        <v>Lancashire2</v>
      </c>
      <c r="C63" s="8" t="s">
        <v>39</v>
      </c>
      <c r="D63" s="8" t="s">
        <v>39</v>
      </c>
      <c r="E63" s="9" t="s">
        <v>376</v>
      </c>
      <c r="F63" s="9" t="s">
        <v>381</v>
      </c>
      <c r="G63" s="9" t="s">
        <v>5</v>
      </c>
      <c r="H63" s="12" t="s">
        <v>892</v>
      </c>
      <c r="I63" s="11" t="s">
        <v>371</v>
      </c>
      <c r="J63" t="s">
        <v>316</v>
      </c>
      <c r="K63" s="21"/>
    </row>
    <row r="64" spans="1:11" ht="14.4">
      <c r="A64" s="5" t="str">
        <f>F64&amp;(COUNTIFS(F$2:F64,F64,K$2:K64,"Sparse"))</f>
        <v>SD8</v>
      </c>
      <c r="B64" s="5" t="str">
        <f>J64&amp;(COUNTIF(J$2:J64,J64))</f>
        <v>Dorset1</v>
      </c>
      <c r="C64" s="8" t="s">
        <v>40</v>
      </c>
      <c r="D64" s="8" t="s">
        <v>40</v>
      </c>
      <c r="E64" s="9" t="s">
        <v>1</v>
      </c>
      <c r="F64" s="9" t="s">
        <v>381</v>
      </c>
      <c r="G64" s="9" t="s">
        <v>5</v>
      </c>
      <c r="H64" s="10" t="s">
        <v>889</v>
      </c>
      <c r="I64" s="11" t="s">
        <v>384</v>
      </c>
      <c r="J64" t="s">
        <v>309</v>
      </c>
      <c r="K64" s="21"/>
    </row>
    <row r="65" spans="1:11" ht="14.4">
      <c r="A65" s="5" t="str">
        <f>F65&amp;(COUNTIFS(F$2:F65,F65,K$2:K65,"Sparse"))</f>
        <v>L0</v>
      </c>
      <c r="B65" s="5" t="str">
        <f>J65&amp;(COUNTIF(J$2:J65,J65))</f>
        <v>London7</v>
      </c>
      <c r="C65" s="8" t="s">
        <v>370</v>
      </c>
      <c r="D65" s="8" t="s">
        <v>370</v>
      </c>
      <c r="E65" s="9" t="s">
        <v>383</v>
      </c>
      <c r="F65" s="9" t="s">
        <v>359</v>
      </c>
      <c r="G65" s="9" t="s">
        <v>383</v>
      </c>
      <c r="H65" s="13" t="s">
        <v>894</v>
      </c>
      <c r="I65" s="11" t="s">
        <v>384</v>
      </c>
      <c r="J65" t="str">
        <f>G65</f>
        <v>London</v>
      </c>
      <c r="K65" s="21"/>
    </row>
    <row r="66" spans="1:11" ht="14.4">
      <c r="A66" s="5" t="str">
        <f>F66&amp;(COUNTIFS(F$2:F66,F66,K$2:K66,"Sparse"))</f>
        <v>SD8</v>
      </c>
      <c r="B66" s="5" t="str">
        <f>J66&amp;(COUNTIF(J$2:J66,J66))</f>
        <v>Essex6</v>
      </c>
      <c r="C66" s="8" t="s">
        <v>41</v>
      </c>
      <c r="D66" s="8" t="s">
        <v>41</v>
      </c>
      <c r="E66" s="9" t="s">
        <v>369</v>
      </c>
      <c r="F66" s="9" t="s">
        <v>381</v>
      </c>
      <c r="G66" s="9" t="s">
        <v>5</v>
      </c>
      <c r="H66" s="12" t="s">
        <v>892</v>
      </c>
      <c r="I66" s="11" t="s">
        <v>371</v>
      </c>
      <c r="J66" t="s">
        <v>311</v>
      </c>
      <c r="K66" s="21"/>
    </row>
    <row r="67" spans="1:11" ht="14.4">
      <c r="A67" s="5" t="str">
        <f>F67&amp;(COUNTIFS(F$2:F67,F67,K$2:K67,"Sparse"))</f>
        <v>SD9</v>
      </c>
      <c r="B67" s="5" t="str">
        <f>J67&amp;(COUNTIF(J$2:J67,J67))</f>
        <v>Cumbria4</v>
      </c>
      <c r="C67" s="8" t="s">
        <v>42</v>
      </c>
      <c r="D67" s="8" t="s">
        <v>42</v>
      </c>
      <c r="E67" s="9" t="s">
        <v>376</v>
      </c>
      <c r="F67" s="9" t="s">
        <v>381</v>
      </c>
      <c r="G67" s="9" t="s">
        <v>5</v>
      </c>
      <c r="H67" s="10" t="s">
        <v>890</v>
      </c>
      <c r="I67" s="11" t="s">
        <v>382</v>
      </c>
      <c r="J67" t="s">
        <v>306</v>
      </c>
      <c r="K67" s="21" t="s">
        <v>335</v>
      </c>
    </row>
    <row r="68" spans="1:11" ht="14.4">
      <c r="A68" s="5" t="str">
        <f>F68&amp;(COUNTIFS(F$2:F68,F68,K$2:K68,"Sparse"))</f>
        <v>SD9</v>
      </c>
      <c r="B68" s="5" t="str">
        <f>J68&amp;(COUNTIF(J$2:J68,J68))</f>
        <v>Northamptonshire1</v>
      </c>
      <c r="C68" s="8" t="s">
        <v>43</v>
      </c>
      <c r="D68" s="8" t="s">
        <v>43</v>
      </c>
      <c r="E68" s="9" t="s">
        <v>367</v>
      </c>
      <c r="F68" s="9" t="s">
        <v>381</v>
      </c>
      <c r="G68" s="9" t="s">
        <v>5</v>
      </c>
      <c r="H68" s="10" t="s">
        <v>889</v>
      </c>
      <c r="I68" s="11" t="s">
        <v>384</v>
      </c>
      <c r="J68" t="s">
        <v>321</v>
      </c>
      <c r="K68" s="21"/>
    </row>
    <row r="69" spans="1:11" ht="14.4">
      <c r="A69" s="5" t="str">
        <f>F69&amp;(COUNTIFS(F$2:F69,F69,K$2:K69,"Sparse"))</f>
        <v>UA2</v>
      </c>
      <c r="B69" s="5" t="str">
        <f>J69&amp;(COUNTIF(J$2:J69,J69))</f>
        <v>Unitary13</v>
      </c>
      <c r="C69" s="8" t="s">
        <v>305</v>
      </c>
      <c r="D69" s="8" t="s">
        <v>305</v>
      </c>
      <c r="E69" s="9" t="s">
        <v>1</v>
      </c>
      <c r="F69" s="9" t="s">
        <v>387</v>
      </c>
      <c r="G69" s="9" t="s">
        <v>396</v>
      </c>
      <c r="H69" s="12" t="s">
        <v>890</v>
      </c>
      <c r="I69" s="11" t="s">
        <v>382</v>
      </c>
      <c r="J69" s="22" t="s">
        <v>396</v>
      </c>
      <c r="K69" s="21" t="s">
        <v>335</v>
      </c>
    </row>
    <row r="70" spans="1:11" ht="14.4">
      <c r="A70" s="5" t="str">
        <f>F70&amp;(COUNTIFS(F$2:F70,F70,K$2:K70,"Sparse"))</f>
        <v>SD10</v>
      </c>
      <c r="B70" s="5" t="str">
        <f>J70&amp;(COUNTIF(J$2:J70,J70))</f>
        <v>Gloucestershire2</v>
      </c>
      <c r="C70" s="8" t="s">
        <v>44</v>
      </c>
      <c r="D70" s="8" t="s">
        <v>44</v>
      </c>
      <c r="E70" s="9" t="s">
        <v>1</v>
      </c>
      <c r="F70" s="9" t="s">
        <v>381</v>
      </c>
      <c r="G70" s="9" t="s">
        <v>5</v>
      </c>
      <c r="H70" s="10" t="s">
        <v>890</v>
      </c>
      <c r="I70" s="11" t="s">
        <v>382</v>
      </c>
      <c r="J70" t="s">
        <v>312</v>
      </c>
      <c r="K70" s="21" t="s">
        <v>335</v>
      </c>
    </row>
    <row r="71" spans="1:11" ht="14.4">
      <c r="A71" s="5" t="str">
        <f>F71&amp;(COUNTIFS(F$2:F71,F71,K$2:K71,"Sparse"))</f>
        <v>MD0</v>
      </c>
      <c r="B71" s="5" t="str">
        <f>J71&amp;(COUNTIF(J$2:J71,J71))</f>
        <v>Coventry1</v>
      </c>
      <c r="C71" s="8" t="s">
        <v>228</v>
      </c>
      <c r="D71" s="8" t="s">
        <v>228</v>
      </c>
      <c r="E71" s="9" t="s">
        <v>368</v>
      </c>
      <c r="F71" s="9" t="s">
        <v>386</v>
      </c>
      <c r="G71" s="9" t="s">
        <v>397</v>
      </c>
      <c r="H71" s="10" t="s">
        <v>889</v>
      </c>
      <c r="I71" s="11" t="s">
        <v>384</v>
      </c>
      <c r="J71" t="str">
        <f>C71</f>
        <v>Coventry</v>
      </c>
      <c r="K71" s="21"/>
    </row>
    <row r="72" spans="1:11" ht="14.4">
      <c r="A72" s="5" t="str">
        <f>F72&amp;(COUNTIFS(F$2:F72,F72,K$2:K72,"Sparse"))</f>
        <v>SD11</v>
      </c>
      <c r="B72" s="5" t="str">
        <f>J72&amp;(COUNTIF(J$2:J72,J72))</f>
        <v>North Yorkshire1</v>
      </c>
      <c r="C72" s="8" t="s">
        <v>45</v>
      </c>
      <c r="D72" s="8" t="s">
        <v>45</v>
      </c>
      <c r="E72" s="9" t="s">
        <v>385</v>
      </c>
      <c r="F72" s="9" t="s">
        <v>381</v>
      </c>
      <c r="G72" s="9" t="s">
        <v>5</v>
      </c>
      <c r="H72" s="10" t="s">
        <v>890</v>
      </c>
      <c r="I72" s="11" t="s">
        <v>382</v>
      </c>
      <c r="J72" t="s">
        <v>320</v>
      </c>
      <c r="K72" s="21" t="s">
        <v>335</v>
      </c>
    </row>
    <row r="73" spans="1:11" ht="14.4">
      <c r="A73" s="5" t="str">
        <f>F73&amp;(COUNTIFS(F$2:F73,F73,K$2:K73,"Sparse"))</f>
        <v>SD11</v>
      </c>
      <c r="B73" s="5" t="str">
        <f>J73&amp;(COUNTIF(J$2:J73,J73))</f>
        <v>West Sussex4</v>
      </c>
      <c r="C73" s="8" t="s">
        <v>46</v>
      </c>
      <c r="D73" s="8" t="s">
        <v>46</v>
      </c>
      <c r="E73" s="9" t="s">
        <v>0</v>
      </c>
      <c r="F73" s="9" t="s">
        <v>381</v>
      </c>
      <c r="G73" s="9" t="s">
        <v>5</v>
      </c>
      <c r="H73" s="10" t="s">
        <v>889</v>
      </c>
      <c r="I73" s="11" t="s">
        <v>384</v>
      </c>
      <c r="J73" t="s">
        <v>331</v>
      </c>
      <c r="K73" s="21"/>
    </row>
    <row r="74" spans="1:11" ht="14.4">
      <c r="A74" s="5" t="str">
        <f>F74&amp;(COUNTIFS(F$2:F74,F74,K$2:K74,"Sparse"))</f>
        <v>L0</v>
      </c>
      <c r="B74" s="5" t="str">
        <f>J74&amp;(COUNTIF(J$2:J74,J74))</f>
        <v>London8</v>
      </c>
      <c r="C74" s="8" t="s">
        <v>201</v>
      </c>
      <c r="D74" s="8" t="s">
        <v>201</v>
      </c>
      <c r="E74" s="9" t="s">
        <v>383</v>
      </c>
      <c r="F74" s="9" t="s">
        <v>359</v>
      </c>
      <c r="G74" s="9" t="s">
        <v>383</v>
      </c>
      <c r="H74" s="10" t="s">
        <v>894</v>
      </c>
      <c r="I74" s="11" t="s">
        <v>384</v>
      </c>
      <c r="J74" t="str">
        <f>G74</f>
        <v>London</v>
      </c>
      <c r="K74" s="21"/>
    </row>
    <row r="75" spans="1:11" ht="14.4">
      <c r="A75" s="5" t="str">
        <f>F75&amp;(COUNTIFS(F$2:F75,F75,K$2:K75,"Sparse"))</f>
        <v>SC1</v>
      </c>
      <c r="B75" s="5" t="str">
        <f>J75&amp;(COUNTIF(J$2:J75,J75))</f>
        <v>Cumbria5</v>
      </c>
      <c r="C75" s="8" t="s">
        <v>306</v>
      </c>
      <c r="D75" s="8" t="s">
        <v>306</v>
      </c>
      <c r="E75" s="9" t="s">
        <v>376</v>
      </c>
      <c r="F75" s="9" t="s">
        <v>389</v>
      </c>
      <c r="G75" s="9" t="s">
        <v>301</v>
      </c>
      <c r="H75" s="11" t="s">
        <v>382</v>
      </c>
      <c r="I75" s="11" t="s">
        <v>382</v>
      </c>
      <c r="J75" t="str">
        <f>C75</f>
        <v>Cumbria</v>
      </c>
      <c r="K75" s="21" t="s">
        <v>335</v>
      </c>
    </row>
    <row r="76" spans="1:11" ht="14.4">
      <c r="A76" s="5" t="str">
        <f>F76&amp;(COUNTIFS(F$2:F76,F76,K$2:K76,"Sparse"))</f>
        <v>SD11</v>
      </c>
      <c r="B76" s="5" t="str">
        <f>J76&amp;(COUNTIF(J$2:J76,J76))</f>
        <v>Hertfordshire2</v>
      </c>
      <c r="C76" s="8" t="s">
        <v>47</v>
      </c>
      <c r="D76" s="8" t="s">
        <v>47</v>
      </c>
      <c r="E76" s="9" t="s">
        <v>369</v>
      </c>
      <c r="F76" s="9" t="s">
        <v>381</v>
      </c>
      <c r="G76" s="9" t="s">
        <v>5</v>
      </c>
      <c r="H76" s="12" t="s">
        <v>892</v>
      </c>
      <c r="I76" s="11" t="s">
        <v>371</v>
      </c>
      <c r="J76" t="s">
        <v>314</v>
      </c>
      <c r="K76" s="21"/>
    </row>
    <row r="77" spans="1:11" ht="14.4">
      <c r="A77" s="5" t="str">
        <f>F77&amp;(COUNTIFS(F$2:F77,F77,K$2:K77,"Sparse"))</f>
        <v>UA2</v>
      </c>
      <c r="B77" s="5" t="str">
        <f>J77&amp;(COUNTIF(J$2:J77,J77))</f>
        <v>Unitary14</v>
      </c>
      <c r="C77" s="8" t="s">
        <v>264</v>
      </c>
      <c r="D77" s="8" t="s">
        <v>264</v>
      </c>
      <c r="E77" s="9" t="s">
        <v>390</v>
      </c>
      <c r="F77" s="9" t="s">
        <v>387</v>
      </c>
      <c r="G77" s="9" t="s">
        <v>396</v>
      </c>
      <c r="H77" s="10" t="s">
        <v>889</v>
      </c>
      <c r="I77" s="11" t="s">
        <v>384</v>
      </c>
      <c r="J77" s="22" t="s">
        <v>396</v>
      </c>
      <c r="K77" s="21"/>
    </row>
    <row r="78" spans="1:11" ht="14.4">
      <c r="A78" s="5" t="str">
        <f>F78&amp;(COUNTIFS(F$2:F78,F78,K$2:K78,"Sparse"))</f>
        <v>SD11</v>
      </c>
      <c r="B78" s="5" t="str">
        <f>J78&amp;(COUNTIF(J$2:J78,J78))</f>
        <v>Kent3</v>
      </c>
      <c r="C78" s="8" t="s">
        <v>48</v>
      </c>
      <c r="D78" s="8" t="s">
        <v>48</v>
      </c>
      <c r="E78" s="9" t="s">
        <v>0</v>
      </c>
      <c r="F78" s="9" t="s">
        <v>381</v>
      </c>
      <c r="G78" s="9" t="s">
        <v>5</v>
      </c>
      <c r="H78" s="10" t="s">
        <v>894</v>
      </c>
      <c r="I78" s="11" t="s">
        <v>384</v>
      </c>
      <c r="J78" t="s">
        <v>315</v>
      </c>
      <c r="K78" s="21"/>
    </row>
    <row r="79" spans="1:11" ht="14.4">
      <c r="A79" s="5" t="str">
        <f>F79&amp;(COUNTIFS(F$2:F79,F79,K$2:K79,"Sparse"))</f>
        <v>SD12</v>
      </c>
      <c r="B79" s="5" t="str">
        <f>J79&amp;(COUNTIF(J$2:J79,J79))</f>
        <v>Northamptonshire2</v>
      </c>
      <c r="C79" s="8" t="s">
        <v>49</v>
      </c>
      <c r="D79" s="8" t="s">
        <v>49</v>
      </c>
      <c r="E79" s="9" t="s">
        <v>367</v>
      </c>
      <c r="F79" s="9" t="s">
        <v>381</v>
      </c>
      <c r="G79" s="9" t="s">
        <v>5</v>
      </c>
      <c r="H79" s="10" t="s">
        <v>890</v>
      </c>
      <c r="I79" s="11" t="s">
        <v>382</v>
      </c>
      <c r="J79" t="s">
        <v>321</v>
      </c>
      <c r="K79" s="21" t="s">
        <v>335</v>
      </c>
    </row>
    <row r="80" spans="1:11" ht="14.4">
      <c r="A80" s="5" t="str">
        <f>F80&amp;(COUNTIFS(F$2:F80,F80,K$2:K80,"Sparse"))</f>
        <v>UA2</v>
      </c>
      <c r="B80" s="5" t="str">
        <f>J80&amp;(COUNTIF(J$2:J80,J80))</f>
        <v>Unitary15</v>
      </c>
      <c r="C80" s="8" t="s">
        <v>265</v>
      </c>
      <c r="D80" s="8" t="s">
        <v>265</v>
      </c>
      <c r="E80" s="9" t="s">
        <v>367</v>
      </c>
      <c r="F80" s="9" t="s">
        <v>387</v>
      </c>
      <c r="G80" s="9" t="s">
        <v>396</v>
      </c>
      <c r="H80" s="10" t="s">
        <v>889</v>
      </c>
      <c r="I80" s="11" t="s">
        <v>384</v>
      </c>
      <c r="J80" s="22" t="s">
        <v>396</v>
      </c>
      <c r="K80" s="21"/>
    </row>
    <row r="81" spans="1:11" ht="14.4">
      <c r="A81" s="5" t="str">
        <f>F81&amp;(COUNTIFS(F$2:F81,F81,K$2:K81,"Sparse"))</f>
        <v>SC2</v>
      </c>
      <c r="B81" s="5" t="str">
        <f>J81&amp;(COUNTIF(J$2:J81,J81))</f>
        <v>Derbyshire4</v>
      </c>
      <c r="C81" s="8" t="s">
        <v>307</v>
      </c>
      <c r="D81" s="8" t="s">
        <v>307</v>
      </c>
      <c r="E81" s="9" t="s">
        <v>367</v>
      </c>
      <c r="F81" s="9" t="s">
        <v>389</v>
      </c>
      <c r="G81" s="9" t="s">
        <v>301</v>
      </c>
      <c r="H81" s="11" t="s">
        <v>371</v>
      </c>
      <c r="I81" s="11" t="s">
        <v>371</v>
      </c>
      <c r="J81" t="str">
        <f>C81</f>
        <v>Derbyshire</v>
      </c>
      <c r="K81" s="21" t="s">
        <v>335</v>
      </c>
    </row>
    <row r="82" spans="1:11" ht="14.4">
      <c r="A82" s="5" t="str">
        <f>F82&amp;(COUNTIFS(F$2:F82,F82,K$2:K82,"Sparse"))</f>
        <v>SD13</v>
      </c>
      <c r="B82" s="5" t="str">
        <f>J82&amp;(COUNTIF(J$2:J82,J82))</f>
        <v>Derbyshire5</v>
      </c>
      <c r="C82" s="8" t="s">
        <v>50</v>
      </c>
      <c r="D82" s="8" t="s">
        <v>50</v>
      </c>
      <c r="E82" s="9" t="s">
        <v>367</v>
      </c>
      <c r="F82" s="9" t="s">
        <v>381</v>
      </c>
      <c r="G82" s="9" t="s">
        <v>5</v>
      </c>
      <c r="H82" s="10" t="s">
        <v>890</v>
      </c>
      <c r="I82" s="11" t="s">
        <v>382</v>
      </c>
      <c r="J82" t="s">
        <v>307</v>
      </c>
      <c r="K82" s="21" t="s">
        <v>335</v>
      </c>
    </row>
    <row r="83" spans="1:11" ht="14.4">
      <c r="A83" s="5" t="str">
        <f>F83&amp;(COUNTIFS(F$2:F83,F83,K$2:K83,"Sparse"))</f>
        <v>SC3</v>
      </c>
      <c r="B83" s="5" t="str">
        <f>J83&amp;(COUNTIF(J$2:J83,J83))</f>
        <v>Devon1</v>
      </c>
      <c r="C83" s="8" t="s">
        <v>308</v>
      </c>
      <c r="D83" s="8" t="s">
        <v>308</v>
      </c>
      <c r="E83" s="9" t="s">
        <v>1</v>
      </c>
      <c r="F83" s="9" t="s">
        <v>389</v>
      </c>
      <c r="G83" s="9" t="s">
        <v>301</v>
      </c>
      <c r="H83" s="11" t="s">
        <v>382</v>
      </c>
      <c r="I83" s="11" t="s">
        <v>382</v>
      </c>
      <c r="J83" t="str">
        <f>C83</f>
        <v>Devon</v>
      </c>
      <c r="K83" s="21" t="s">
        <v>335</v>
      </c>
    </row>
    <row r="84" spans="1:11" ht="14.4">
      <c r="A84" s="5" t="str">
        <f>F84&amp;(COUNTIFS(F$2:F84,F84,K$2:K84,"Sparse"))</f>
        <v>MD0</v>
      </c>
      <c r="B84" s="5" t="str">
        <f>J84&amp;(COUNTIF(J$2:J84,J84))</f>
        <v>Doncaster1</v>
      </c>
      <c r="C84" s="8" t="s">
        <v>229</v>
      </c>
      <c r="D84" s="8" t="s">
        <v>229</v>
      </c>
      <c r="E84" s="9" t="s">
        <v>385</v>
      </c>
      <c r="F84" s="9" t="s">
        <v>386</v>
      </c>
      <c r="G84" s="9" t="s">
        <v>397</v>
      </c>
      <c r="H84" s="10" t="s">
        <v>891</v>
      </c>
      <c r="I84" s="11" t="s">
        <v>384</v>
      </c>
      <c r="J84" t="str">
        <f>C84</f>
        <v>Doncaster</v>
      </c>
      <c r="K84" s="21"/>
    </row>
    <row r="85" spans="1:11" ht="14.4">
      <c r="A85" s="5" t="str">
        <f>F85&amp;(COUNTIFS(F$2:F85,F85,K$2:K85,"Sparse"))</f>
        <v>SC3</v>
      </c>
      <c r="B85" s="5" t="str">
        <f>J85&amp;(COUNTIF(J$2:J85,J85))</f>
        <v>Dorset2</v>
      </c>
      <c r="C85" s="8" t="s">
        <v>309</v>
      </c>
      <c r="D85" s="8" t="s">
        <v>309</v>
      </c>
      <c r="E85" s="9" t="s">
        <v>1</v>
      </c>
      <c r="F85" s="9" t="s">
        <v>389</v>
      </c>
      <c r="G85" s="9" t="s">
        <v>301</v>
      </c>
      <c r="H85" s="11" t="s">
        <v>382</v>
      </c>
      <c r="I85" s="11" t="s">
        <v>382</v>
      </c>
      <c r="J85" t="str">
        <f>C85</f>
        <v>Dorset</v>
      </c>
      <c r="K85" s="21"/>
    </row>
    <row r="86" spans="1:11" ht="14.4">
      <c r="A86" s="5" t="str">
        <f>F86&amp;(COUNTIFS(F$2:F86,F86,K$2:K86,"Sparse"))</f>
        <v>UA2</v>
      </c>
      <c r="B86" s="5" t="str">
        <f>J86&amp;(COUNTIF(J$2:J86,J86))</f>
        <v>Unitary16</v>
      </c>
      <c r="C86" t="s">
        <v>907</v>
      </c>
      <c r="D86" t="s">
        <v>907</v>
      </c>
      <c r="E86" s="280" t="s">
        <v>1</v>
      </c>
      <c r="F86" s="283" t="s">
        <v>387</v>
      </c>
      <c r="G86" s="283" t="s">
        <v>396</v>
      </c>
      <c r="H86" s="282" t="s">
        <v>382</v>
      </c>
      <c r="I86" s="282" t="s">
        <v>382</v>
      </c>
      <c r="J86" t="s">
        <v>396</v>
      </c>
    </row>
    <row r="87" spans="1:11" ht="14.4">
      <c r="A87" s="5" t="str">
        <f>F87&amp;(COUNTIFS(F$2:F87,F87,K$2:K87,"Sparse"))</f>
        <v>SD13</v>
      </c>
      <c r="B87" s="5" t="str">
        <f>J87&amp;(COUNTIF(J$2:J87,J87))</f>
        <v>Kent4</v>
      </c>
      <c r="C87" s="19" t="s">
        <v>51</v>
      </c>
      <c r="D87" s="19" t="s">
        <v>51</v>
      </c>
      <c r="E87" s="9" t="s">
        <v>0</v>
      </c>
      <c r="F87" s="9" t="s">
        <v>381</v>
      </c>
      <c r="G87" s="9" t="s">
        <v>5</v>
      </c>
      <c r="H87" s="10" t="s">
        <v>892</v>
      </c>
      <c r="I87" s="11" t="s">
        <v>371</v>
      </c>
      <c r="J87" t="s">
        <v>315</v>
      </c>
      <c r="K87" s="21"/>
    </row>
    <row r="88" spans="1:11" ht="14.4">
      <c r="A88" s="5" t="str">
        <f>F88&amp;(COUNTIFS(F$2:F88,F88,K$2:K88,"Sparse"))</f>
        <v>UA3</v>
      </c>
      <c r="B88" s="5" t="str">
        <f>J88&amp;(COUNTIF(J$2:J88,J88))</f>
        <v>Unitary17</v>
      </c>
      <c r="C88" s="21" t="s">
        <v>266</v>
      </c>
      <c r="D88" s="19" t="s">
        <v>266</v>
      </c>
      <c r="E88" s="9" t="s">
        <v>390</v>
      </c>
      <c r="F88" s="9" t="s">
        <v>387</v>
      </c>
      <c r="G88" s="9" t="s">
        <v>396</v>
      </c>
      <c r="H88" s="12" t="s">
        <v>893</v>
      </c>
      <c r="I88" s="11" t="s">
        <v>382</v>
      </c>
      <c r="J88" s="22" t="s">
        <v>396</v>
      </c>
      <c r="K88" s="21" t="s">
        <v>335</v>
      </c>
    </row>
    <row r="89" spans="1:11" ht="14.4">
      <c r="A89" s="5" t="str">
        <f>F89&amp;(COUNTIFS(F$2:F89,F89,K$2:K89,"Sparse"))</f>
        <v>MD0</v>
      </c>
      <c r="B89" s="5" t="str">
        <f>J89&amp;(COUNTIF(J$2:J89,J89))</f>
        <v>Dudley1</v>
      </c>
      <c r="C89" s="8" t="s">
        <v>230</v>
      </c>
      <c r="D89" s="8" t="s">
        <v>230</v>
      </c>
      <c r="E89" s="9" t="s">
        <v>368</v>
      </c>
      <c r="F89" s="9" t="s">
        <v>386</v>
      </c>
      <c r="G89" s="9" t="s">
        <v>397</v>
      </c>
      <c r="H89" s="10" t="s">
        <v>894</v>
      </c>
      <c r="I89" s="11" t="s">
        <v>384</v>
      </c>
      <c r="J89" t="str">
        <f>C89</f>
        <v>Dudley</v>
      </c>
      <c r="K89" s="21"/>
    </row>
    <row r="90" spans="1:11" ht="14.4">
      <c r="A90" s="5" t="str">
        <f>F90&amp;(COUNTIFS(F$2:F90,F90,K$2:K90,"Sparse"))</f>
        <v>L0</v>
      </c>
      <c r="B90" s="5" t="str">
        <f>J90&amp;(COUNTIF(J$2:J90,J90))</f>
        <v>London9</v>
      </c>
      <c r="C90" s="8" t="s">
        <v>202</v>
      </c>
      <c r="D90" s="8" t="s">
        <v>202</v>
      </c>
      <c r="E90" s="9" t="s">
        <v>383</v>
      </c>
      <c r="F90" s="9" t="s">
        <v>359</v>
      </c>
      <c r="G90" s="9" t="s">
        <v>383</v>
      </c>
      <c r="H90" s="10" t="s">
        <v>894</v>
      </c>
      <c r="I90" s="11" t="s">
        <v>384</v>
      </c>
      <c r="J90" t="str">
        <f>G90</f>
        <v>London</v>
      </c>
      <c r="K90" s="21"/>
    </row>
    <row r="91" spans="1:11" ht="14.4">
      <c r="A91" s="5" t="str">
        <f>F91&amp;(COUNTIFS(F$2:F91,F91,K$2:K91,"Sparse"))</f>
        <v>SD14</v>
      </c>
      <c r="B91" s="5" t="str">
        <f>J91&amp;(COUNTIF(J$2:J91,J91))</f>
        <v>Cambridgeshire3</v>
      </c>
      <c r="C91" s="8" t="s">
        <v>52</v>
      </c>
      <c r="D91" s="8" t="s">
        <v>52</v>
      </c>
      <c r="E91" s="9" t="s">
        <v>369</v>
      </c>
      <c r="F91" s="9" t="s">
        <v>381</v>
      </c>
      <c r="G91" s="9" t="s">
        <v>5</v>
      </c>
      <c r="H91" s="10" t="s">
        <v>890</v>
      </c>
      <c r="I91" s="11" t="s">
        <v>382</v>
      </c>
      <c r="J91" t="s">
        <v>302</v>
      </c>
      <c r="K91" s="21" t="s">
        <v>335</v>
      </c>
    </row>
    <row r="92" spans="1:11" ht="14.4">
      <c r="A92" s="5" t="str">
        <f>F92&amp;(COUNTIFS(F$2:F92,F92,K$2:K92,"Sparse"))</f>
        <v>SD15</v>
      </c>
      <c r="B92" s="5" t="str">
        <f>J92&amp;(COUNTIF(J$2:J92,J92))</f>
        <v>Devon2</v>
      </c>
      <c r="C92" s="8" t="s">
        <v>53</v>
      </c>
      <c r="D92" s="8" t="s">
        <v>53</v>
      </c>
      <c r="E92" s="9" t="s">
        <v>1</v>
      </c>
      <c r="F92" s="9" t="s">
        <v>381</v>
      </c>
      <c r="G92" s="9" t="s">
        <v>5</v>
      </c>
      <c r="H92" s="10" t="s">
        <v>893</v>
      </c>
      <c r="I92" s="11" t="s">
        <v>382</v>
      </c>
      <c r="J92" t="s">
        <v>308</v>
      </c>
      <c r="K92" s="21" t="s">
        <v>335</v>
      </c>
    </row>
    <row r="93" spans="1:11" ht="14.4">
      <c r="A93" s="5" t="str">
        <f>F93&amp;(COUNTIFS(F$2:F93,F93,K$2:K93,"Sparse"))</f>
        <v>SD15</v>
      </c>
      <c r="B93" s="5" t="str">
        <f>J93&amp;(COUNTIF(J$2:J93,J93))</f>
        <v>Dorset3</v>
      </c>
      <c r="C93" s="8" t="s">
        <v>54</v>
      </c>
      <c r="D93" s="8" t="s">
        <v>54</v>
      </c>
      <c r="E93" s="9" t="s">
        <v>1</v>
      </c>
      <c r="F93" s="9" t="s">
        <v>381</v>
      </c>
      <c r="G93" s="9" t="s">
        <v>5</v>
      </c>
      <c r="H93" s="10" t="s">
        <v>892</v>
      </c>
      <c r="I93" s="11" t="s">
        <v>371</v>
      </c>
      <c r="J93" t="s">
        <v>309</v>
      </c>
      <c r="K93" s="21"/>
    </row>
    <row r="94" spans="1:11" ht="14.4">
      <c r="A94" s="5" t="str">
        <f>F94&amp;(COUNTIFS(F$2:F94,F94,K$2:K94,"Sparse"))</f>
        <v>SD15</v>
      </c>
      <c r="B94" s="5" t="str">
        <f>J94&amp;(COUNTIF(J$2:J94,J94))</f>
        <v>Hampshire2</v>
      </c>
      <c r="C94" s="8" t="s">
        <v>55</v>
      </c>
      <c r="D94" s="8" t="s">
        <v>55</v>
      </c>
      <c r="E94" s="9" t="s">
        <v>0</v>
      </c>
      <c r="F94" s="9" t="s">
        <v>381</v>
      </c>
      <c r="G94" s="9" t="s">
        <v>5</v>
      </c>
      <c r="H94" s="10" t="s">
        <v>890</v>
      </c>
      <c r="I94" s="11" t="s">
        <v>382</v>
      </c>
      <c r="J94" t="s">
        <v>313</v>
      </c>
      <c r="K94" s="21"/>
    </row>
    <row r="95" spans="1:11" ht="14.4">
      <c r="A95" s="5" t="str">
        <f>F95&amp;(COUNTIFS(F$2:F95,F95,K$2:K95,"Sparse"))</f>
        <v>SD16</v>
      </c>
      <c r="B95" s="5" t="str">
        <f>J95&amp;(COUNTIF(J$2:J95,J95))</f>
        <v>Hertfordshire3</v>
      </c>
      <c r="C95" s="8" t="s">
        <v>56</v>
      </c>
      <c r="D95" s="8" t="s">
        <v>56</v>
      </c>
      <c r="E95" s="9" t="s">
        <v>369</v>
      </c>
      <c r="F95" s="9" t="s">
        <v>381</v>
      </c>
      <c r="G95" s="9" t="s">
        <v>5</v>
      </c>
      <c r="H95" s="12" t="s">
        <v>892</v>
      </c>
      <c r="I95" s="11" t="s">
        <v>371</v>
      </c>
      <c r="J95" t="s">
        <v>314</v>
      </c>
      <c r="K95" s="21" t="s">
        <v>335</v>
      </c>
    </row>
    <row r="96" spans="1:11" ht="14.4">
      <c r="A96" s="5" t="str">
        <f>F96&amp;(COUNTIFS(F$2:F96,F96,K$2:K96,"Sparse"))</f>
        <v>SD17</v>
      </c>
      <c r="B96" s="5" t="str">
        <f>J96&amp;(COUNTIF(J$2:J96,J96))</f>
        <v>Lincolnshire2</v>
      </c>
      <c r="C96" s="8" t="s">
        <v>57</v>
      </c>
      <c r="D96" s="8" t="s">
        <v>57</v>
      </c>
      <c r="E96" s="9" t="s">
        <v>367</v>
      </c>
      <c r="F96" s="9" t="s">
        <v>381</v>
      </c>
      <c r="G96" s="9" t="s">
        <v>5</v>
      </c>
      <c r="H96" s="10" t="s">
        <v>890</v>
      </c>
      <c r="I96" s="11" t="s">
        <v>382</v>
      </c>
      <c r="J96" t="s">
        <v>318</v>
      </c>
      <c r="K96" s="21" t="s">
        <v>335</v>
      </c>
    </row>
    <row r="97" spans="1:11" ht="14.4">
      <c r="A97" s="5" t="str">
        <f>F97&amp;(COUNTIFS(F$2:F97,F97,K$2:K97,"Sparse"))</f>
        <v>SD18</v>
      </c>
      <c r="B97" s="5" t="str">
        <f>J97&amp;(COUNTIF(J$2:J97,J97))</f>
        <v>Northamptonshire3</v>
      </c>
      <c r="C97" s="8" t="s">
        <v>58</v>
      </c>
      <c r="D97" s="8" t="s">
        <v>58</v>
      </c>
      <c r="E97" s="9" t="s">
        <v>367</v>
      </c>
      <c r="F97" s="9" t="s">
        <v>381</v>
      </c>
      <c r="G97" s="9" t="s">
        <v>5</v>
      </c>
      <c r="H97" s="10" t="s">
        <v>893</v>
      </c>
      <c r="I97" s="11" t="s">
        <v>382</v>
      </c>
      <c r="J97" t="s">
        <v>321</v>
      </c>
      <c r="K97" s="21" t="s">
        <v>335</v>
      </c>
    </row>
    <row r="98" spans="1:11" ht="14.4">
      <c r="A98" s="5" t="str">
        <f>F98&amp;(COUNTIFS(F$2:F98,F98,K$2:K98,"Sparse"))</f>
        <v>UA4</v>
      </c>
      <c r="B98" s="5" t="str">
        <f>J98&amp;(COUNTIF(J$2:J98,J98))</f>
        <v>Unitary18</v>
      </c>
      <c r="C98" s="8" t="s">
        <v>267</v>
      </c>
      <c r="D98" s="8" t="s">
        <v>267</v>
      </c>
      <c r="E98" s="9" t="s">
        <v>385</v>
      </c>
      <c r="F98" s="9" t="s">
        <v>387</v>
      </c>
      <c r="G98" s="9" t="s">
        <v>396</v>
      </c>
      <c r="H98" s="10" t="s">
        <v>893</v>
      </c>
      <c r="I98" s="11" t="s">
        <v>382</v>
      </c>
      <c r="J98" s="22" t="s">
        <v>396</v>
      </c>
      <c r="K98" s="21" t="s">
        <v>335</v>
      </c>
    </row>
    <row r="99" spans="1:11" ht="14.4">
      <c r="A99" s="5" t="str">
        <f>F99&amp;(COUNTIFS(F$2:F99,F99,K$2:K99,"Sparse"))</f>
        <v>SD18</v>
      </c>
      <c r="B99" s="5" t="str">
        <f>J99&amp;(COUNTIF(J$2:J99,J99))</f>
        <v>Staffordshire2</v>
      </c>
      <c r="C99" s="8" t="s">
        <v>59</v>
      </c>
      <c r="D99" s="8" t="s">
        <v>59</v>
      </c>
      <c r="E99" s="9" t="s">
        <v>368</v>
      </c>
      <c r="F99" s="9" t="s">
        <v>381</v>
      </c>
      <c r="G99" s="9" t="s">
        <v>5</v>
      </c>
      <c r="H99" s="12" t="s">
        <v>892</v>
      </c>
      <c r="I99" s="11" t="s">
        <v>371</v>
      </c>
      <c r="J99" t="s">
        <v>327</v>
      </c>
      <c r="K99" s="21"/>
    </row>
    <row r="100" spans="1:11">
      <c r="A100" s="5" t="str">
        <f>F100&amp;(COUNTIFS(F$2:F100,F100,K$2:K100,"Sparse"))</f>
        <v>SD19</v>
      </c>
      <c r="B100" s="5" t="str">
        <f>J100&amp;(COUNTIF(J$2:J100,J100))</f>
        <v>Suffolk2</v>
      </c>
      <c r="C100" t="s">
        <v>908</v>
      </c>
      <c r="D100" t="s">
        <v>908</v>
      </c>
      <c r="E100" s="280" t="s">
        <v>369</v>
      </c>
      <c r="F100" s="280" t="s">
        <v>381</v>
      </c>
      <c r="G100" s="280" t="s">
        <v>5</v>
      </c>
      <c r="H100" s="281" t="s">
        <v>913</v>
      </c>
      <c r="I100" s="281" t="s">
        <v>913</v>
      </c>
      <c r="J100" t="s">
        <v>328</v>
      </c>
      <c r="K100" t="s">
        <v>335</v>
      </c>
    </row>
    <row r="101" spans="1:11" ht="14.4">
      <c r="A101" s="5" t="str">
        <f>F101&amp;(COUNTIFS(F$2:F101,F101,K$2:K101,"Sparse"))</f>
        <v>SC4</v>
      </c>
      <c r="B101" s="5" t="str">
        <f>J101&amp;(COUNTIF(J$2:J101,J101))</f>
        <v>East Sussex1</v>
      </c>
      <c r="C101" s="8" t="s">
        <v>310</v>
      </c>
      <c r="D101" s="8" t="s">
        <v>310</v>
      </c>
      <c r="E101" s="9" t="s">
        <v>0</v>
      </c>
      <c r="F101" s="9" t="s">
        <v>389</v>
      </c>
      <c r="G101" s="9" t="s">
        <v>301</v>
      </c>
      <c r="H101" s="11" t="s">
        <v>371</v>
      </c>
      <c r="I101" s="11" t="s">
        <v>371</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381</v>
      </c>
      <c r="G102" s="9" t="s">
        <v>5</v>
      </c>
      <c r="H102" s="10" t="s">
        <v>889</v>
      </c>
      <c r="I102" s="11" t="s">
        <v>384</v>
      </c>
      <c r="J102" t="s">
        <v>310</v>
      </c>
      <c r="K102" s="21"/>
    </row>
    <row r="103" spans="1:11" ht="14.4">
      <c r="A103" s="5" t="str">
        <f>F103&amp;(COUNTIFS(F$2:F103,F103,K$2:K103,"Sparse"))</f>
        <v>SD19</v>
      </c>
      <c r="B103" s="5" t="str">
        <f>J103&amp;(COUNTIF(J$2:J103,J103))</f>
        <v>Hampshire3</v>
      </c>
      <c r="C103" s="8" t="s">
        <v>61</v>
      </c>
      <c r="D103" s="8" t="s">
        <v>61</v>
      </c>
      <c r="E103" s="9" t="s">
        <v>0</v>
      </c>
      <c r="F103" s="9" t="s">
        <v>381</v>
      </c>
      <c r="G103" s="9" t="s">
        <v>5</v>
      </c>
      <c r="H103" s="12" t="s">
        <v>889</v>
      </c>
      <c r="I103" s="11" t="s">
        <v>384</v>
      </c>
      <c r="J103" t="s">
        <v>313</v>
      </c>
      <c r="K103" s="21"/>
    </row>
    <row r="104" spans="1:11" ht="14.4">
      <c r="A104" s="5" t="str">
        <f>F104&amp;(COUNTIFS(F$2:F104,F104,K$2:K104,"Sparse"))</f>
        <v>SD20</v>
      </c>
      <c r="B104" s="5" t="str">
        <f>J104&amp;(COUNTIF(J$2:J104,J104))</f>
        <v>Cumbria6</v>
      </c>
      <c r="C104" s="8" t="s">
        <v>62</v>
      </c>
      <c r="D104" s="8" t="s">
        <v>62</v>
      </c>
      <c r="E104" s="9" t="s">
        <v>376</v>
      </c>
      <c r="F104" s="9" t="s">
        <v>381</v>
      </c>
      <c r="G104" s="9" t="s">
        <v>5</v>
      </c>
      <c r="H104" s="10" t="s">
        <v>890</v>
      </c>
      <c r="I104" s="11" t="s">
        <v>382</v>
      </c>
      <c r="J104" t="s">
        <v>306</v>
      </c>
      <c r="K104" s="21" t="s">
        <v>335</v>
      </c>
    </row>
    <row r="105" spans="1:11" ht="14.4">
      <c r="A105" s="5" t="str">
        <f>F105&amp;(COUNTIFS(F$2:F105,F105,K$2:K105,"Sparse"))</f>
        <v>SD20</v>
      </c>
      <c r="B105" s="5" t="str">
        <f>J105&amp;(COUNTIF(J$2:J105,J105))</f>
        <v>Surrey1</v>
      </c>
      <c r="C105" s="8" t="s">
        <v>63</v>
      </c>
      <c r="D105" s="8" t="s">
        <v>63</v>
      </c>
      <c r="E105" s="9" t="s">
        <v>0</v>
      </c>
      <c r="F105" s="9" t="s">
        <v>381</v>
      </c>
      <c r="G105" s="9" t="s">
        <v>5</v>
      </c>
      <c r="H105" s="10" t="s">
        <v>894</v>
      </c>
      <c r="I105" s="11" t="s">
        <v>384</v>
      </c>
      <c r="J105" t="s">
        <v>329</v>
      </c>
      <c r="K105" s="21"/>
    </row>
    <row r="106" spans="1:11" ht="14.4">
      <c r="A106" s="5" t="str">
        <f>F106&amp;(COUNTIFS(F$2:F106,F106,K$2:K106,"Sparse"))</f>
        <v>L0</v>
      </c>
      <c r="B106" s="5" t="str">
        <f>J106&amp;(COUNTIF(J$2:J106,J106))</f>
        <v>London10</v>
      </c>
      <c r="C106" s="8" t="s">
        <v>203</v>
      </c>
      <c r="D106" s="8" t="s">
        <v>203</v>
      </c>
      <c r="E106" s="9" t="s">
        <v>383</v>
      </c>
      <c r="F106" s="9" t="s">
        <v>359</v>
      </c>
      <c r="G106" s="9" t="s">
        <v>383</v>
      </c>
      <c r="H106" s="10" t="s">
        <v>894</v>
      </c>
      <c r="I106" s="11" t="s">
        <v>384</v>
      </c>
      <c r="J106" t="str">
        <f>G106</f>
        <v>London</v>
      </c>
      <c r="K106" s="21"/>
    </row>
    <row r="107" spans="1:11" ht="14.4">
      <c r="A107" s="5" t="str">
        <f>F107&amp;(COUNTIFS(F$2:F107,F107,K$2:K107,"Sparse"))</f>
        <v>SD20</v>
      </c>
      <c r="B107" s="5" t="str">
        <f>J107&amp;(COUNTIF(J$2:J107,J107))</f>
        <v>Essex7</v>
      </c>
      <c r="C107" s="8" t="s">
        <v>64</v>
      </c>
      <c r="D107" s="8" t="s">
        <v>64</v>
      </c>
      <c r="E107" s="9" t="s">
        <v>369</v>
      </c>
      <c r="F107" s="9" t="s">
        <v>381</v>
      </c>
      <c r="G107" s="9" t="s">
        <v>5</v>
      </c>
      <c r="H107" s="12" t="s">
        <v>892</v>
      </c>
      <c r="I107" s="11" t="s">
        <v>371</v>
      </c>
      <c r="J107" t="s">
        <v>311</v>
      </c>
      <c r="K107" s="21"/>
    </row>
    <row r="108" spans="1:11" ht="14.4">
      <c r="A108" s="5" t="str">
        <f>F108&amp;(COUNTIFS(F$2:F108,F108,K$2:K108,"Sparse"))</f>
        <v>SD20</v>
      </c>
      <c r="B108" s="5" t="str">
        <f>J108&amp;(COUNTIF(J$2:J108,J108))</f>
        <v>Surrey2</v>
      </c>
      <c r="C108" s="8" t="s">
        <v>344</v>
      </c>
      <c r="D108" s="8" t="s">
        <v>344</v>
      </c>
      <c r="E108" s="9" t="s">
        <v>0</v>
      </c>
      <c r="F108" s="9" t="s">
        <v>381</v>
      </c>
      <c r="G108" s="9" t="s">
        <v>5</v>
      </c>
      <c r="H108" s="10" t="s">
        <v>894</v>
      </c>
      <c r="I108" s="11" t="s">
        <v>384</v>
      </c>
      <c r="J108" t="s">
        <v>329</v>
      </c>
      <c r="K108" s="21"/>
    </row>
    <row r="109" spans="1:11" ht="14.4">
      <c r="A109" s="5" t="str">
        <f>F109&amp;(COUNTIFS(F$2:F109,F109,K$2:K109,"Sparse"))</f>
        <v>SD20</v>
      </c>
      <c r="B109" s="5" t="str">
        <f>J109&amp;(COUNTIF(J$2:J109,J109))</f>
        <v>Derbyshire6</v>
      </c>
      <c r="C109" s="8" t="s">
        <v>65</v>
      </c>
      <c r="D109" s="8" t="s">
        <v>65</v>
      </c>
      <c r="E109" s="9" t="s">
        <v>367</v>
      </c>
      <c r="F109" s="9" t="s">
        <v>381</v>
      </c>
      <c r="G109" s="9" t="s">
        <v>5</v>
      </c>
      <c r="H109" s="10" t="s">
        <v>891</v>
      </c>
      <c r="I109" s="11" t="s">
        <v>384</v>
      </c>
      <c r="J109" t="s">
        <v>307</v>
      </c>
      <c r="K109" s="21"/>
    </row>
    <row r="110" spans="1:11" ht="14.4">
      <c r="A110" s="5" t="str">
        <f>F110&amp;(COUNTIFS(F$2:F110,F110,K$2:K110,"Sparse"))</f>
        <v>SC5</v>
      </c>
      <c r="B110" s="5" t="str">
        <f>J110&amp;(COUNTIF(J$2:J110,J110))</f>
        <v>Essex8</v>
      </c>
      <c r="C110" s="11" t="s">
        <v>311</v>
      </c>
      <c r="D110" s="11" t="s">
        <v>311</v>
      </c>
      <c r="E110" s="9" t="s">
        <v>369</v>
      </c>
      <c r="F110" s="9" t="s">
        <v>389</v>
      </c>
      <c r="G110" s="9" t="s">
        <v>301</v>
      </c>
      <c r="H110" s="11" t="s">
        <v>371</v>
      </c>
      <c r="I110" s="11" t="s">
        <v>371</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381</v>
      </c>
      <c r="G111" s="9" t="s">
        <v>5</v>
      </c>
      <c r="H111" s="10" t="s">
        <v>889</v>
      </c>
      <c r="I111" s="11" t="s">
        <v>384</v>
      </c>
      <c r="J111" t="s">
        <v>308</v>
      </c>
      <c r="K111" s="21"/>
    </row>
    <row r="112" spans="1:11" ht="14.4">
      <c r="A112" s="5" t="str">
        <f>F112&amp;(COUNTIFS(F$2:F112,F112,K$2:K112,"Sparse"))</f>
        <v>SD20</v>
      </c>
      <c r="B112" s="5" t="str">
        <f>J112&amp;(COUNTIF(J$2:J112,J112))</f>
        <v>Hampshire4</v>
      </c>
      <c r="C112" s="8" t="s">
        <v>67</v>
      </c>
      <c r="D112" s="8" t="s">
        <v>67</v>
      </c>
      <c r="E112" s="9" t="s">
        <v>0</v>
      </c>
      <c r="F112" s="9" t="s">
        <v>381</v>
      </c>
      <c r="G112" s="9" t="s">
        <v>5</v>
      </c>
      <c r="H112" s="10" t="s">
        <v>889</v>
      </c>
      <c r="I112" s="11" t="s">
        <v>384</v>
      </c>
      <c r="J112" t="s">
        <v>313</v>
      </c>
      <c r="K112" s="21"/>
    </row>
    <row r="113" spans="1:11" ht="14.4">
      <c r="A113" s="5" t="str">
        <f>F113&amp;(COUNTIFS(F$2:F113,F113,K$2:K113,"Sparse"))</f>
        <v>SD20</v>
      </c>
      <c r="B113" s="5" t="str">
        <f>J113&amp;(COUNTIF(J$2:J113,J113))</f>
        <v>Cambridgeshire4</v>
      </c>
      <c r="C113" s="8" t="s">
        <v>68</v>
      </c>
      <c r="D113" s="8" t="s">
        <v>68</v>
      </c>
      <c r="E113" s="9" t="s">
        <v>369</v>
      </c>
      <c r="F113" s="9" t="s">
        <v>381</v>
      </c>
      <c r="G113" s="9" t="s">
        <v>5</v>
      </c>
      <c r="H113" s="10" t="s">
        <v>893</v>
      </c>
      <c r="I113" s="11" t="s">
        <v>382</v>
      </c>
      <c r="J113" t="s">
        <v>302</v>
      </c>
      <c r="K113" s="21"/>
    </row>
    <row r="114" spans="1:11" ht="14.4">
      <c r="A114" s="5" t="str">
        <f>F114&amp;(COUNTIFS(F$2:F114,F114,K$2:K114,"Sparse"))</f>
        <v>SD21</v>
      </c>
      <c r="B114" s="5" t="str">
        <f>J114&amp;(COUNTIF(J$2:J114,J114))</f>
        <v>Suffolk3</v>
      </c>
      <c r="C114" s="8" t="s">
        <v>69</v>
      </c>
      <c r="D114" s="8" t="s">
        <v>69</v>
      </c>
      <c r="E114" s="9" t="s">
        <v>369</v>
      </c>
      <c r="F114" s="9" t="s">
        <v>381</v>
      </c>
      <c r="G114" s="9" t="s">
        <v>5</v>
      </c>
      <c r="H114" s="10" t="s">
        <v>890</v>
      </c>
      <c r="I114" s="11" t="s">
        <v>382</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381</v>
      </c>
      <c r="G115" s="9" t="s">
        <v>5</v>
      </c>
      <c r="H115" s="10" t="s">
        <v>890</v>
      </c>
      <c r="I115" s="11" t="s">
        <v>382</v>
      </c>
      <c r="J115" t="s">
        <v>312</v>
      </c>
      <c r="K115" s="21" t="s">
        <v>335</v>
      </c>
    </row>
    <row r="116" spans="1:11" ht="14.4">
      <c r="A116" s="5" t="str">
        <f>F116&amp;(COUNTIFS(F$2:F116,F116,K$2:K116,"Sparse"))</f>
        <v>SD22</v>
      </c>
      <c r="B116" s="5" t="str">
        <f>J116&amp;(COUNTIF(J$2:J116,J116))</f>
        <v>Lancashire3</v>
      </c>
      <c r="C116" s="8" t="s">
        <v>71</v>
      </c>
      <c r="D116" s="8" t="s">
        <v>71</v>
      </c>
      <c r="E116" s="9" t="s">
        <v>376</v>
      </c>
      <c r="F116" s="9" t="s">
        <v>381</v>
      </c>
      <c r="G116" s="9" t="s">
        <v>5</v>
      </c>
      <c r="H116" s="12" t="s">
        <v>889</v>
      </c>
      <c r="I116" s="11" t="s">
        <v>384</v>
      </c>
      <c r="J116" t="s">
        <v>316</v>
      </c>
      <c r="K116" s="21"/>
    </row>
    <row r="117" spans="1:11" ht="14.4">
      <c r="A117" s="5" t="str">
        <f>F117&amp;(COUNTIFS(F$2:F117,F117,K$2:K117,"Sparse"))</f>
        <v>MD0</v>
      </c>
      <c r="B117" s="5" t="str">
        <f>J117&amp;(COUNTIF(J$2:J117,J117))</f>
        <v>Gateshead1</v>
      </c>
      <c r="C117" s="8" t="s">
        <v>231</v>
      </c>
      <c r="D117" s="8" t="s">
        <v>231</v>
      </c>
      <c r="E117" s="9" t="s">
        <v>390</v>
      </c>
      <c r="F117" s="9" t="s">
        <v>386</v>
      </c>
      <c r="G117" s="9" t="s">
        <v>397</v>
      </c>
      <c r="H117" s="10" t="s">
        <v>894</v>
      </c>
      <c r="I117" s="11" t="s">
        <v>384</v>
      </c>
      <c r="J117" t="str">
        <f>C117</f>
        <v>Gateshead</v>
      </c>
      <c r="K117" s="21"/>
    </row>
    <row r="118" spans="1:11" ht="14.4">
      <c r="A118" s="5" t="str">
        <f>F118&amp;(COUNTIFS(F$2:F118,F118,K$2:K118,"Sparse"))</f>
        <v>SD22</v>
      </c>
      <c r="B118" s="5" t="str">
        <f>J118&amp;(COUNTIF(J$2:J118,J118))</f>
        <v>Nottinghamshire4</v>
      </c>
      <c r="C118" s="8" t="s">
        <v>72</v>
      </c>
      <c r="D118" s="8" t="s">
        <v>72</v>
      </c>
      <c r="E118" s="9" t="s">
        <v>367</v>
      </c>
      <c r="F118" s="9" t="s">
        <v>381</v>
      </c>
      <c r="G118" s="9" t="s">
        <v>5</v>
      </c>
      <c r="H118" s="10" t="s">
        <v>891</v>
      </c>
      <c r="I118" s="11" t="s">
        <v>384</v>
      </c>
      <c r="J118" t="s">
        <v>323</v>
      </c>
      <c r="K118" s="21"/>
    </row>
    <row r="119" spans="1:11" ht="14.4">
      <c r="A119" s="5" t="str">
        <f>F119&amp;(COUNTIFS(F$2:F119,F119,K$2:K119,"Sparse"))</f>
        <v>SD22</v>
      </c>
      <c r="B119" s="5" t="str">
        <f>J119&amp;(COUNTIF(J$2:J119,J119))</f>
        <v>Gloucestershire4</v>
      </c>
      <c r="C119" s="8" t="s">
        <v>73</v>
      </c>
      <c r="D119" s="8" t="s">
        <v>73</v>
      </c>
      <c r="E119" s="9" t="s">
        <v>1</v>
      </c>
      <c r="F119" s="9" t="s">
        <v>381</v>
      </c>
      <c r="G119" s="9" t="s">
        <v>5</v>
      </c>
      <c r="H119" s="10" t="s">
        <v>889</v>
      </c>
      <c r="I119" s="11" t="s">
        <v>384</v>
      </c>
      <c r="J119" t="s">
        <v>312</v>
      </c>
      <c r="K119" s="21"/>
    </row>
    <row r="120" spans="1:11" ht="14.4">
      <c r="A120" s="5" t="str">
        <f>F120&amp;(COUNTIFS(F$2:F120,F120,K$2:K120,"Sparse"))</f>
        <v>SC5</v>
      </c>
      <c r="B120" s="5" t="str">
        <f>J120&amp;(COUNTIF(J$2:J120,J120))</f>
        <v>Gloucestershire5</v>
      </c>
      <c r="C120" s="11" t="s">
        <v>312</v>
      </c>
      <c r="D120" s="11" t="s">
        <v>312</v>
      </c>
      <c r="E120" s="9" t="s">
        <v>1</v>
      </c>
      <c r="F120" s="9" t="s">
        <v>389</v>
      </c>
      <c r="G120" s="9" t="s">
        <v>301</v>
      </c>
      <c r="H120" s="11" t="s">
        <v>371</v>
      </c>
      <c r="I120" s="11" t="s">
        <v>371</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381</v>
      </c>
      <c r="G121" s="9" t="s">
        <v>5</v>
      </c>
      <c r="H121" s="10" t="s">
        <v>889</v>
      </c>
      <c r="I121" s="11" t="s">
        <v>384</v>
      </c>
      <c r="J121" t="s">
        <v>313</v>
      </c>
      <c r="K121" s="21"/>
    </row>
    <row r="122" spans="1:11" ht="14.4">
      <c r="A122" s="5" t="str">
        <f>F122&amp;(COUNTIFS(F$2:F122,F122,K$2:K122,"Sparse"))</f>
        <v>SD22</v>
      </c>
      <c r="B122" s="5" t="str">
        <f>J122&amp;(COUNTIF(J$2:J122,J122))</f>
        <v>Kent5</v>
      </c>
      <c r="C122" s="8" t="s">
        <v>75</v>
      </c>
      <c r="D122" s="8" t="s">
        <v>75</v>
      </c>
      <c r="E122" s="9" t="s">
        <v>0</v>
      </c>
      <c r="F122" s="9" t="s">
        <v>381</v>
      </c>
      <c r="G122" s="9" t="s">
        <v>5</v>
      </c>
      <c r="H122" s="10" t="s">
        <v>894</v>
      </c>
      <c r="I122" s="11" t="s">
        <v>384</v>
      </c>
      <c r="J122" t="s">
        <v>315</v>
      </c>
      <c r="K122" s="21"/>
    </row>
    <row r="123" spans="1:11" ht="14.4">
      <c r="A123" s="5" t="str">
        <f>F123&amp;(COUNTIFS(F$2:F123,F123,K$2:K123,"Sparse"))</f>
        <v>SD22</v>
      </c>
      <c r="B123" s="5" t="str">
        <f>J123&amp;(COUNTIF(J$2:J123,J123))</f>
        <v>Norfolk3</v>
      </c>
      <c r="C123" s="8" t="s">
        <v>76</v>
      </c>
      <c r="D123" s="8" t="s">
        <v>76</v>
      </c>
      <c r="E123" s="9" t="s">
        <v>369</v>
      </c>
      <c r="F123" s="9" t="s">
        <v>381</v>
      </c>
      <c r="G123" s="9" t="s">
        <v>5</v>
      </c>
      <c r="H123" s="12" t="s">
        <v>892</v>
      </c>
      <c r="I123" s="11" t="s">
        <v>371</v>
      </c>
      <c r="J123" t="s">
        <v>319</v>
      </c>
      <c r="K123" s="21"/>
    </row>
    <row r="124" spans="1:11" ht="14.4">
      <c r="A124" s="5" t="str">
        <f>F124&amp;(COUNTIFS(F$2:F124,F124,K$2:K124,"Sparse"))</f>
        <v>L0</v>
      </c>
      <c r="B124" s="5" t="str">
        <f>J124&amp;(COUNTIF(J$2:J124,J124))</f>
        <v>London11</v>
      </c>
      <c r="C124" s="8" t="s">
        <v>204</v>
      </c>
      <c r="D124" s="8" t="s">
        <v>204</v>
      </c>
      <c r="E124" s="9" t="s">
        <v>383</v>
      </c>
      <c r="F124" s="9" t="s">
        <v>359</v>
      </c>
      <c r="G124" s="9" t="s">
        <v>383</v>
      </c>
      <c r="H124" s="10" t="s">
        <v>894</v>
      </c>
      <c r="I124" s="11" t="s">
        <v>384</v>
      </c>
      <c r="J124" t="str">
        <f>G124</f>
        <v>London</v>
      </c>
      <c r="K124" s="21"/>
    </row>
    <row r="125" spans="1:11" ht="14.4">
      <c r="A125" s="5" t="str">
        <f>F125&amp;(COUNTIFS(F$2:F125,F125,K$2:K125,"Sparse"))</f>
        <v>SD22</v>
      </c>
      <c r="B125" s="5" t="str">
        <f>J125&amp;(COUNTIF(J$2:J125,J125))</f>
        <v>Surrey3</v>
      </c>
      <c r="C125" s="8" t="s">
        <v>77</v>
      </c>
      <c r="D125" s="8" t="s">
        <v>77</v>
      </c>
      <c r="E125" s="9" t="s">
        <v>0</v>
      </c>
      <c r="F125" s="9" t="s">
        <v>381</v>
      </c>
      <c r="G125" s="9" t="s">
        <v>5</v>
      </c>
      <c r="H125" s="12" t="s">
        <v>889</v>
      </c>
      <c r="I125" s="11" t="s">
        <v>384</v>
      </c>
      <c r="J125" t="s">
        <v>329</v>
      </c>
      <c r="K125" s="21"/>
    </row>
    <row r="126" spans="1:11" ht="14.4">
      <c r="A126" s="5" t="str">
        <f>F126&amp;(COUNTIFS(F$2:F126,F126,K$2:K126,"Sparse"))</f>
        <v>L0</v>
      </c>
      <c r="B126" s="5" t="str">
        <f>J126&amp;(COUNTIF(J$2:J126,J126))</f>
        <v>London12</v>
      </c>
      <c r="C126" s="8" t="s">
        <v>205</v>
      </c>
      <c r="D126" s="8" t="s">
        <v>205</v>
      </c>
      <c r="E126" s="9" t="s">
        <v>383</v>
      </c>
      <c r="F126" s="9" t="s">
        <v>359</v>
      </c>
      <c r="G126" s="9" t="s">
        <v>383</v>
      </c>
      <c r="H126" s="10" t="s">
        <v>894</v>
      </c>
      <c r="I126" s="11" t="s">
        <v>384</v>
      </c>
      <c r="J126" t="str">
        <f>G126</f>
        <v>London</v>
      </c>
      <c r="K126" s="21"/>
    </row>
    <row r="127" spans="1:11" ht="14.4">
      <c r="A127" s="5" t="str">
        <f>F127&amp;(COUNTIFS(F$2:F127,F127,K$2:K127,"Sparse"))</f>
        <v>UA4</v>
      </c>
      <c r="B127" s="5" t="str">
        <f>J127&amp;(COUNTIF(J$2:J127,J127))</f>
        <v>Unitary19</v>
      </c>
      <c r="C127" s="8" t="s">
        <v>268</v>
      </c>
      <c r="D127" s="8" t="s">
        <v>268</v>
      </c>
      <c r="E127" s="9" t="s">
        <v>376</v>
      </c>
      <c r="F127" s="9" t="s">
        <v>387</v>
      </c>
      <c r="G127" s="9" t="s">
        <v>396</v>
      </c>
      <c r="H127" s="10" t="s">
        <v>889</v>
      </c>
      <c r="I127" s="11" t="s">
        <v>384</v>
      </c>
      <c r="J127" s="22" t="s">
        <v>396</v>
      </c>
      <c r="K127" s="21"/>
    </row>
    <row r="128" spans="1:11" ht="14.4">
      <c r="A128" s="5" t="str">
        <f>F128&amp;(COUNTIFS(F$2:F128,F128,K$2:K128,"Sparse"))</f>
        <v>SD23</v>
      </c>
      <c r="B128" s="5" t="str">
        <f>J128&amp;(COUNTIF(J$2:J128,J128))</f>
        <v>North Yorkshire2</v>
      </c>
      <c r="C128" s="8" t="s">
        <v>78</v>
      </c>
      <c r="D128" s="8" t="s">
        <v>78</v>
      </c>
      <c r="E128" s="9" t="s">
        <v>385</v>
      </c>
      <c r="F128" s="9" t="s">
        <v>381</v>
      </c>
      <c r="G128" s="9" t="s">
        <v>5</v>
      </c>
      <c r="H128" s="10" t="s">
        <v>890</v>
      </c>
      <c r="I128" s="11" t="s">
        <v>382</v>
      </c>
      <c r="J128" t="s">
        <v>320</v>
      </c>
      <c r="K128" s="21" t="s">
        <v>335</v>
      </c>
    </row>
    <row r="129" spans="1:11" ht="14.4">
      <c r="A129" s="5" t="str">
        <f>F129&amp;(COUNTIFS(F$2:F129,F129,K$2:K129,"Sparse"))</f>
        <v>L0</v>
      </c>
      <c r="B129" s="5" t="str">
        <f>J129&amp;(COUNTIF(J$2:J129,J129))</f>
        <v>London13</v>
      </c>
      <c r="C129" s="8" t="s">
        <v>336</v>
      </c>
      <c r="D129" s="8" t="s">
        <v>336</v>
      </c>
      <c r="E129" s="9" t="s">
        <v>383</v>
      </c>
      <c r="F129" s="9" t="s">
        <v>359</v>
      </c>
      <c r="G129" s="9" t="s">
        <v>383</v>
      </c>
      <c r="H129" s="10" t="s">
        <v>894</v>
      </c>
      <c r="I129" s="11" t="s">
        <v>384</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389</v>
      </c>
      <c r="G130" s="9" t="s">
        <v>301</v>
      </c>
      <c r="H130" s="11" t="s">
        <v>371</v>
      </c>
      <c r="I130" s="11" t="s">
        <v>371</v>
      </c>
      <c r="J130" t="str">
        <f>C130</f>
        <v>Hampshire</v>
      </c>
      <c r="K130" s="21" t="s">
        <v>335</v>
      </c>
    </row>
    <row r="131" spans="1:11" ht="14.4">
      <c r="A131" s="5" t="str">
        <f>F131&amp;(COUNTIFS(F$2:F131,F131,K$2:K131,"Sparse"))</f>
        <v>SD24</v>
      </c>
      <c r="B131" s="5" t="str">
        <f>J131&amp;(COUNTIF(J$2:J131,J131))</f>
        <v>Leicestershire3</v>
      </c>
      <c r="C131" s="8" t="s">
        <v>79</v>
      </c>
      <c r="D131" s="8" t="s">
        <v>79</v>
      </c>
      <c r="E131" s="9" t="s">
        <v>367</v>
      </c>
      <c r="F131" s="9" t="s">
        <v>381</v>
      </c>
      <c r="G131" s="9" t="s">
        <v>5</v>
      </c>
      <c r="H131" s="10" t="s">
        <v>890</v>
      </c>
      <c r="I131" s="11" t="s">
        <v>382</v>
      </c>
      <c r="J131" t="s">
        <v>317</v>
      </c>
      <c r="K131" s="21" t="s">
        <v>335</v>
      </c>
    </row>
    <row r="132" spans="1:11" ht="14.4">
      <c r="A132" s="5" t="str">
        <f>F132&amp;(COUNTIFS(F$2:F132,F132,K$2:K132,"Sparse"))</f>
        <v>L0</v>
      </c>
      <c r="B132" s="5" t="str">
        <f>J132&amp;(COUNTIF(J$2:J132,J132))</f>
        <v>London14</v>
      </c>
      <c r="C132" s="8" t="s">
        <v>206</v>
      </c>
      <c r="D132" s="8" t="s">
        <v>206</v>
      </c>
      <c r="E132" s="9" t="s">
        <v>383</v>
      </c>
      <c r="F132" s="9" t="s">
        <v>359</v>
      </c>
      <c r="G132" s="9" t="s">
        <v>383</v>
      </c>
      <c r="H132" s="10" t="s">
        <v>894</v>
      </c>
      <c r="I132" s="11" t="s">
        <v>384</v>
      </c>
      <c r="J132" t="str">
        <f>G132</f>
        <v>London</v>
      </c>
      <c r="K132" s="21"/>
    </row>
    <row r="133" spans="1:11" ht="14.4">
      <c r="A133" s="5" t="str">
        <f>F133&amp;(COUNTIFS(F$2:F133,F133,K$2:K133,"Sparse"))</f>
        <v>SD24</v>
      </c>
      <c r="B133" s="5" t="str">
        <f>J133&amp;(COUNTIF(J$2:J133,J133))</f>
        <v>Essex9</v>
      </c>
      <c r="C133" s="8" t="s">
        <v>80</v>
      </c>
      <c r="D133" s="8" t="s">
        <v>80</v>
      </c>
      <c r="E133" s="9" t="s">
        <v>369</v>
      </c>
      <c r="F133" s="9" t="s">
        <v>381</v>
      </c>
      <c r="G133" s="9" t="s">
        <v>5</v>
      </c>
      <c r="H133" s="10" t="s">
        <v>889</v>
      </c>
      <c r="I133" s="11" t="s">
        <v>384</v>
      </c>
      <c r="J133" t="s">
        <v>311</v>
      </c>
      <c r="K133" s="21"/>
    </row>
    <row r="134" spans="1:11" ht="14.4">
      <c r="A134" s="5" t="str">
        <f>F134&amp;(COUNTIFS(F$2:F134,F134,K$2:K134,"Sparse"))</f>
        <v>SD25</v>
      </c>
      <c r="B134" s="5" t="str">
        <f>J134&amp;(COUNTIF(J$2:J134,J134))</f>
        <v>North Yorkshire3</v>
      </c>
      <c r="C134" s="8" t="s">
        <v>81</v>
      </c>
      <c r="D134" s="8" t="s">
        <v>81</v>
      </c>
      <c r="E134" s="9" t="s">
        <v>385</v>
      </c>
      <c r="F134" s="9" t="s">
        <v>381</v>
      </c>
      <c r="G134" s="9" t="s">
        <v>5</v>
      </c>
      <c r="H134" s="12" t="s">
        <v>892</v>
      </c>
      <c r="I134" s="11" t="s">
        <v>371</v>
      </c>
      <c r="J134" t="s">
        <v>320</v>
      </c>
      <c r="K134" s="21" t="s">
        <v>335</v>
      </c>
    </row>
    <row r="135" spans="1:11" ht="14.4">
      <c r="A135" s="5" t="str">
        <f>F135&amp;(COUNTIFS(F$2:F135,F135,K$2:K135,"Sparse"))</f>
        <v>L0</v>
      </c>
      <c r="B135" s="5" t="str">
        <f>J135&amp;(COUNTIF(J$2:J135,J135))</f>
        <v>London15</v>
      </c>
      <c r="C135" s="8" t="s">
        <v>207</v>
      </c>
      <c r="D135" s="8" t="s">
        <v>207</v>
      </c>
      <c r="E135" s="9" t="s">
        <v>383</v>
      </c>
      <c r="F135" s="9" t="s">
        <v>359</v>
      </c>
      <c r="G135" s="9" t="s">
        <v>383</v>
      </c>
      <c r="H135" s="10" t="s">
        <v>894</v>
      </c>
      <c r="I135" s="11" t="s">
        <v>384</v>
      </c>
      <c r="J135" t="str">
        <f>G135</f>
        <v>London</v>
      </c>
      <c r="K135" s="21"/>
    </row>
    <row r="136" spans="1:11" ht="14.4">
      <c r="A136" s="5" t="str">
        <f>F136&amp;(COUNTIFS(F$2:F136,F136,K$2:K136,"Sparse"))</f>
        <v>SD25</v>
      </c>
      <c r="B136" s="5" t="str">
        <f>J136&amp;(COUNTIF(J$2:J136,J136))</f>
        <v>Hampshire7</v>
      </c>
      <c r="C136" s="8" t="s">
        <v>82</v>
      </c>
      <c r="D136" s="8" t="s">
        <v>82</v>
      </c>
      <c r="E136" s="9" t="s">
        <v>0</v>
      </c>
      <c r="F136" s="9" t="s">
        <v>381</v>
      </c>
      <c r="G136" s="9" t="s">
        <v>5</v>
      </c>
      <c r="H136" s="12" t="s">
        <v>892</v>
      </c>
      <c r="I136" s="11" t="s">
        <v>371</v>
      </c>
      <c r="J136" t="s">
        <v>313</v>
      </c>
      <c r="K136" s="21"/>
    </row>
    <row r="137" spans="1:11" ht="14.4">
      <c r="A137" s="5" t="str">
        <f>F137&amp;(COUNTIFS(F$2:F137,F137,K$2:K137,"Sparse"))</f>
        <v>UA4</v>
      </c>
      <c r="B137" s="5" t="str">
        <f>J137&amp;(COUNTIF(J$2:J137,J137))</f>
        <v>Unitary20</v>
      </c>
      <c r="C137" s="8" t="s">
        <v>269</v>
      </c>
      <c r="D137" s="8" t="s">
        <v>269</v>
      </c>
      <c r="E137" s="9" t="s">
        <v>390</v>
      </c>
      <c r="F137" s="9" t="s">
        <v>387</v>
      </c>
      <c r="G137" s="9" t="s">
        <v>396</v>
      </c>
      <c r="H137" s="10" t="s">
        <v>889</v>
      </c>
      <c r="I137" s="11" t="s">
        <v>384</v>
      </c>
      <c r="J137" s="22" t="s">
        <v>396</v>
      </c>
      <c r="K137" s="21"/>
    </row>
    <row r="138" spans="1:11" ht="14.4">
      <c r="A138" s="5" t="str">
        <f>F138&amp;(COUNTIFS(F$2:F138,F138,K$2:K138,"Sparse"))</f>
        <v>SD25</v>
      </c>
      <c r="B138" s="5" t="str">
        <f>J138&amp;(COUNTIF(J$2:J138,J138))</f>
        <v>East Sussex3</v>
      </c>
      <c r="C138" s="8" t="s">
        <v>83</v>
      </c>
      <c r="D138" s="8" t="s">
        <v>83</v>
      </c>
      <c r="E138" s="9" t="s">
        <v>0</v>
      </c>
      <c r="F138" s="9" t="s">
        <v>381</v>
      </c>
      <c r="G138" s="9" t="s">
        <v>5</v>
      </c>
      <c r="H138" s="10" t="s">
        <v>889</v>
      </c>
      <c r="I138" s="11" t="s">
        <v>384</v>
      </c>
      <c r="J138" t="s">
        <v>310</v>
      </c>
      <c r="K138" s="21"/>
    </row>
    <row r="139" spans="1:11" ht="14.4">
      <c r="A139" s="5" t="str">
        <f>F139&amp;(COUNTIFS(F$2:F139,F139,K$2:K139,"Sparse"))</f>
        <v>SD25</v>
      </c>
      <c r="B139" s="5" t="str">
        <f>J139&amp;(COUNTIF(J$2:J139,J139))</f>
        <v>Hampshire8</v>
      </c>
      <c r="C139" s="8" t="s">
        <v>84</v>
      </c>
      <c r="D139" s="8" t="s">
        <v>84</v>
      </c>
      <c r="E139" s="9" t="s">
        <v>0</v>
      </c>
      <c r="F139" s="9" t="s">
        <v>381</v>
      </c>
      <c r="G139" s="9" t="s">
        <v>5</v>
      </c>
      <c r="H139" s="10" t="s">
        <v>889</v>
      </c>
      <c r="I139" s="11" t="s">
        <v>384</v>
      </c>
      <c r="J139" t="s">
        <v>313</v>
      </c>
      <c r="K139" s="21"/>
    </row>
    <row r="140" spans="1:11" ht="14.4">
      <c r="A140" s="5" t="str">
        <f>F140&amp;(COUNTIFS(F$2:F140,F140,K$2:K140,"Sparse"))</f>
        <v>L0</v>
      </c>
      <c r="B140" s="5" t="str">
        <f>J140&amp;(COUNTIF(J$2:J140,J140))</f>
        <v>London16</v>
      </c>
      <c r="C140" s="8" t="s">
        <v>208</v>
      </c>
      <c r="D140" s="8" t="s">
        <v>208</v>
      </c>
      <c r="E140" s="9" t="s">
        <v>383</v>
      </c>
      <c r="F140" s="9" t="s">
        <v>359</v>
      </c>
      <c r="G140" s="9" t="s">
        <v>383</v>
      </c>
      <c r="H140" s="10" t="s">
        <v>894</v>
      </c>
      <c r="I140" s="11" t="s">
        <v>384</v>
      </c>
      <c r="J140" t="str">
        <f>G140</f>
        <v>London</v>
      </c>
      <c r="K140" s="21"/>
    </row>
    <row r="141" spans="1:11" ht="14.4">
      <c r="A141" s="5" t="str">
        <f>F141&amp;(COUNTIFS(F$2:F141,F141,K$2:K141,"Sparse"))</f>
        <v>UA5</v>
      </c>
      <c r="B141" s="5" t="str">
        <f>J141&amp;(COUNTIF(J$2:J141,J141))</f>
        <v>Unitary21</v>
      </c>
      <c r="C141" s="8" t="s">
        <v>816</v>
      </c>
      <c r="D141" s="8" t="s">
        <v>391</v>
      </c>
      <c r="E141" s="9" t="s">
        <v>368</v>
      </c>
      <c r="F141" s="9" t="s">
        <v>387</v>
      </c>
      <c r="G141" s="9" t="s">
        <v>396</v>
      </c>
      <c r="H141" s="10" t="s">
        <v>893</v>
      </c>
      <c r="I141" s="11" t="s">
        <v>382</v>
      </c>
      <c r="J141" s="22" t="s">
        <v>396</v>
      </c>
      <c r="K141" s="21" t="s">
        <v>335</v>
      </c>
    </row>
    <row r="142" spans="1:11" ht="14.4">
      <c r="A142" s="5" t="str">
        <f>F142&amp;(COUNTIFS(F$2:F142,F142,K$2:K142,"Sparse"))</f>
        <v>SC6</v>
      </c>
      <c r="B142" s="5" t="str">
        <f>J142&amp;(COUNTIF(J$2:J142,J142))</f>
        <v>Hertfordshire4</v>
      </c>
      <c r="C142" s="11" t="s">
        <v>314</v>
      </c>
      <c r="D142" s="11" t="s">
        <v>314</v>
      </c>
      <c r="E142" s="9" t="s">
        <v>369</v>
      </c>
      <c r="F142" s="9" t="s">
        <v>389</v>
      </c>
      <c r="G142" s="9" t="s">
        <v>301</v>
      </c>
      <c r="H142" s="11" t="s">
        <v>384</v>
      </c>
      <c r="I142" s="11" t="s">
        <v>384</v>
      </c>
      <c r="J142" t="str">
        <f>C142</f>
        <v>Hertfordshire</v>
      </c>
      <c r="K142" s="21"/>
    </row>
    <row r="143" spans="1:11" ht="14.4">
      <c r="A143" s="5" t="str">
        <f>F143&amp;(COUNTIFS(F$2:F143,F143,K$2:K143,"Sparse"))</f>
        <v>SD25</v>
      </c>
      <c r="B143" s="5" t="str">
        <f>J143&amp;(COUNTIF(J$2:J143,J143))</f>
        <v>Hertfordshire5</v>
      </c>
      <c r="C143" s="8" t="s">
        <v>85</v>
      </c>
      <c r="D143" s="8" t="s">
        <v>85</v>
      </c>
      <c r="E143" s="9" t="s">
        <v>369</v>
      </c>
      <c r="F143" s="9" t="s">
        <v>381</v>
      </c>
      <c r="G143" s="9" t="s">
        <v>5</v>
      </c>
      <c r="H143" s="12" t="s">
        <v>894</v>
      </c>
      <c r="I143" s="11" t="s">
        <v>384</v>
      </c>
      <c r="J143" t="s">
        <v>314</v>
      </c>
      <c r="K143" s="21"/>
    </row>
    <row r="144" spans="1:11" ht="14.4">
      <c r="A144" s="5" t="str">
        <f>F144&amp;(COUNTIFS(F$2:F144,F144,K$2:K144,"Sparse"))</f>
        <v>SD25</v>
      </c>
      <c r="B144" s="5" t="str">
        <f>J144&amp;(COUNTIF(J$2:J144,J144))</f>
        <v>Derbyshire7</v>
      </c>
      <c r="C144" s="8" t="s">
        <v>86</v>
      </c>
      <c r="D144" s="8" t="s">
        <v>86</v>
      </c>
      <c r="E144" s="9" t="s">
        <v>367</v>
      </c>
      <c r="F144" s="9" t="s">
        <v>381</v>
      </c>
      <c r="G144" s="9" t="s">
        <v>5</v>
      </c>
      <c r="H144" s="10" t="s">
        <v>893</v>
      </c>
      <c r="I144" s="11" t="s">
        <v>382</v>
      </c>
      <c r="J144" t="s">
        <v>307</v>
      </c>
      <c r="K144" s="21"/>
    </row>
    <row r="145" spans="1:11" ht="14.4">
      <c r="A145" s="5" t="str">
        <f>F145&amp;(COUNTIFS(F$2:F145,F145,K$2:K145,"Sparse"))</f>
        <v>L0</v>
      </c>
      <c r="B145" s="5" t="str">
        <f>J145&amp;(COUNTIF(J$2:J145,J145))</f>
        <v>London17</v>
      </c>
      <c r="C145" s="8" t="s">
        <v>209</v>
      </c>
      <c r="D145" s="8" t="s">
        <v>209</v>
      </c>
      <c r="E145" s="9" t="s">
        <v>383</v>
      </c>
      <c r="F145" s="9" t="s">
        <v>359</v>
      </c>
      <c r="G145" s="9" t="s">
        <v>383</v>
      </c>
      <c r="H145" s="10" t="s">
        <v>894</v>
      </c>
      <c r="I145" s="11" t="s">
        <v>384</v>
      </c>
      <c r="J145" t="str">
        <f>G145</f>
        <v>London</v>
      </c>
      <c r="K145" s="21"/>
    </row>
    <row r="146" spans="1:11" ht="14.4">
      <c r="A146" s="5" t="str">
        <f>F146&amp;(COUNTIFS(F$2:F146,F146,K$2:K146,"Sparse"))</f>
        <v>SD25</v>
      </c>
      <c r="B146" s="5" t="str">
        <f>J146&amp;(COUNTIF(J$2:J146,J146))</f>
        <v>Leicestershire4</v>
      </c>
      <c r="C146" s="8" t="s">
        <v>345</v>
      </c>
      <c r="D146" s="8" t="s">
        <v>345</v>
      </c>
      <c r="E146" s="9" t="s">
        <v>367</v>
      </c>
      <c r="F146" s="9" t="s">
        <v>381</v>
      </c>
      <c r="G146" s="9" t="s">
        <v>5</v>
      </c>
      <c r="H146" s="12" t="s">
        <v>893</v>
      </c>
      <c r="I146" s="11" t="s">
        <v>382</v>
      </c>
      <c r="J146" t="s">
        <v>317</v>
      </c>
      <c r="K146" s="21"/>
    </row>
    <row r="147" spans="1:11" ht="14.4">
      <c r="A147" s="5" t="str">
        <f>F147&amp;(COUNTIFS(F$2:F147,F147,K$2:K147,"Sparse"))</f>
        <v>SD25</v>
      </c>
      <c r="B147" s="5" t="str">
        <f>J147&amp;(COUNTIF(J$2:J147,J147))</f>
        <v>West Sussex5</v>
      </c>
      <c r="C147" s="8" t="s">
        <v>87</v>
      </c>
      <c r="D147" s="8" t="s">
        <v>87</v>
      </c>
      <c r="E147" s="9" t="s">
        <v>0</v>
      </c>
      <c r="F147" s="9" t="s">
        <v>381</v>
      </c>
      <c r="G147" s="9" t="s">
        <v>5</v>
      </c>
      <c r="H147" s="10" t="s">
        <v>893</v>
      </c>
      <c r="I147" s="11" t="s">
        <v>382</v>
      </c>
      <c r="J147" t="s">
        <v>331</v>
      </c>
      <c r="K147" s="21"/>
    </row>
    <row r="148" spans="1:11" ht="14.4">
      <c r="A148" s="5" t="str">
        <f>F148&amp;(COUNTIFS(F$2:F148,F148,K$2:K148,"Sparse"))</f>
        <v>L0</v>
      </c>
      <c r="B148" s="5" t="str">
        <f>J148&amp;(COUNTIF(J$2:J148,J148))</f>
        <v>London18</v>
      </c>
      <c r="C148" s="8" t="s">
        <v>210</v>
      </c>
      <c r="D148" s="8" t="s">
        <v>210</v>
      </c>
      <c r="E148" s="9" t="s">
        <v>383</v>
      </c>
      <c r="F148" s="9" t="s">
        <v>359</v>
      </c>
      <c r="G148" s="9" t="s">
        <v>383</v>
      </c>
      <c r="H148" s="10" t="s">
        <v>894</v>
      </c>
      <c r="I148" s="11" t="s">
        <v>384</v>
      </c>
      <c r="J148" t="str">
        <f>G148</f>
        <v>London</v>
      </c>
      <c r="K148" s="21"/>
    </row>
    <row r="149" spans="1:11" ht="14.4">
      <c r="A149" s="5" t="str">
        <f>F149&amp;(COUNTIFS(F$2:F149,F149,K$2:K149,"Sparse"))</f>
        <v>SD26</v>
      </c>
      <c r="B149" s="5" t="str">
        <f>J149&amp;(COUNTIF(J$2:J149,J149))</f>
        <v>Cambridgeshire5</v>
      </c>
      <c r="C149" s="8" t="s">
        <v>88</v>
      </c>
      <c r="D149" s="8" t="s">
        <v>88</v>
      </c>
      <c r="E149" s="9" t="s">
        <v>369</v>
      </c>
      <c r="F149" s="9" t="s">
        <v>381</v>
      </c>
      <c r="G149" s="9" t="s">
        <v>5</v>
      </c>
      <c r="H149" s="10" t="s">
        <v>890</v>
      </c>
      <c r="I149" s="11" t="s">
        <v>382</v>
      </c>
      <c r="J149" t="s">
        <v>302</v>
      </c>
      <c r="K149" s="21" t="s">
        <v>335</v>
      </c>
    </row>
    <row r="150" spans="1:11" ht="14.4">
      <c r="A150" s="5" t="str">
        <f>F150&amp;(COUNTIFS(F$2:F150,F150,K$2:K150,"Sparse"))</f>
        <v>SD26</v>
      </c>
      <c r="B150" s="5" t="str">
        <f>J150&amp;(COUNTIF(J$2:J150,J150))</f>
        <v>Lancashire4</v>
      </c>
      <c r="C150" s="8" t="s">
        <v>89</v>
      </c>
      <c r="D150" s="8" t="s">
        <v>89</v>
      </c>
      <c r="E150" s="9" t="s">
        <v>376</v>
      </c>
      <c r="F150" s="9" t="s">
        <v>381</v>
      </c>
      <c r="G150" s="9" t="s">
        <v>5</v>
      </c>
      <c r="H150" s="10" t="s">
        <v>889</v>
      </c>
      <c r="I150" s="11" t="s">
        <v>384</v>
      </c>
      <c r="J150" t="s">
        <v>316</v>
      </c>
      <c r="K150" s="21"/>
    </row>
    <row r="151" spans="1:11" ht="14.4">
      <c r="A151" s="5" t="str">
        <f>F151&amp;(COUNTIFS(F$2:F151,F151,K$2:K151,"Sparse"))</f>
        <v>SD26</v>
      </c>
      <c r="B151" s="5" t="str">
        <f>J151&amp;(COUNTIF(J$2:J151,J151))</f>
        <v>Suffolk4</v>
      </c>
      <c r="C151" s="8" t="s">
        <v>90</v>
      </c>
      <c r="D151" s="8" t="s">
        <v>90</v>
      </c>
      <c r="E151" s="9" t="s">
        <v>369</v>
      </c>
      <c r="F151" s="9" t="s">
        <v>381</v>
      </c>
      <c r="G151" s="9" t="s">
        <v>5</v>
      </c>
      <c r="H151" s="10" t="s">
        <v>889</v>
      </c>
      <c r="I151" s="11" t="s">
        <v>384</v>
      </c>
      <c r="J151" t="s">
        <v>328</v>
      </c>
      <c r="K151" s="21"/>
    </row>
    <row r="152" spans="1:11" ht="14.4">
      <c r="A152" s="5" t="str">
        <f>F152&amp;(COUNTIFS(F$2:F152,F152,K$2:K152,"Sparse"))</f>
        <v>UA6</v>
      </c>
      <c r="B152" s="5" t="str">
        <f>J152&amp;(COUNTIF(J$2:J152,J152))</f>
        <v>Unitary22</v>
      </c>
      <c r="C152" s="8" t="s">
        <v>270</v>
      </c>
      <c r="D152" s="8" t="s">
        <v>270</v>
      </c>
      <c r="E152" s="9" t="s">
        <v>0</v>
      </c>
      <c r="F152" s="9" t="s">
        <v>387</v>
      </c>
      <c r="G152" s="9" t="s">
        <v>396</v>
      </c>
      <c r="H152" s="10" t="s">
        <v>890</v>
      </c>
      <c r="I152" s="11" t="s">
        <v>382</v>
      </c>
      <c r="J152" s="22" t="s">
        <v>396</v>
      </c>
      <c r="K152" s="21" t="s">
        <v>335</v>
      </c>
    </row>
    <row r="153" spans="1:11" ht="14.4">
      <c r="A153" s="5" t="str">
        <f>F153&amp;(COUNTIFS(F$2:F153,F153,K$2:K153,"Sparse"))</f>
        <v>00</v>
      </c>
      <c r="B153" s="5" t="str">
        <f>J153&amp;(COUNTIF(J$2:J153,J153))</f>
        <v>0</v>
      </c>
      <c r="C153" s="8" t="s">
        <v>2</v>
      </c>
      <c r="D153" s="8" t="s">
        <v>2</v>
      </c>
      <c r="E153" s="9" t="s">
        <v>1</v>
      </c>
      <c r="F153" s="9">
        <v>0</v>
      </c>
      <c r="G153" s="22" t="s">
        <v>400</v>
      </c>
      <c r="H153" s="10" t="s">
        <v>890</v>
      </c>
      <c r="I153" s="11" t="s">
        <v>382</v>
      </c>
      <c r="K153" s="21"/>
    </row>
    <row r="154" spans="1:11" ht="14.4">
      <c r="A154" s="5" t="str">
        <f>F154&amp;(COUNTIFS(F$2:F154,F154,K$2:K154,"Sparse"))</f>
        <v>L0</v>
      </c>
      <c r="B154" s="5" t="str">
        <f>J154&amp;(COUNTIF(J$2:J154,J154))</f>
        <v>London19</v>
      </c>
      <c r="C154" s="8" t="s">
        <v>211</v>
      </c>
      <c r="D154" s="8" t="s">
        <v>211</v>
      </c>
      <c r="E154" s="9" t="s">
        <v>383</v>
      </c>
      <c r="F154" s="9" t="s">
        <v>359</v>
      </c>
      <c r="G154" s="9" t="s">
        <v>383</v>
      </c>
      <c r="H154" s="10" t="s">
        <v>894</v>
      </c>
      <c r="I154" s="11" t="s">
        <v>384</v>
      </c>
      <c r="J154" t="str">
        <f>G154</f>
        <v>London</v>
      </c>
      <c r="K154" s="21"/>
    </row>
    <row r="155" spans="1:11" ht="14.4">
      <c r="A155" s="5" t="str">
        <f>F155&amp;(COUNTIFS(F$2:F155,F155,K$2:K155,"Sparse"))</f>
        <v>L0</v>
      </c>
      <c r="B155" s="5" t="str">
        <f>J155&amp;(COUNTIF(J$2:J155,J155))</f>
        <v>London20</v>
      </c>
      <c r="C155" s="8" t="s">
        <v>337</v>
      </c>
      <c r="D155" s="8" t="s">
        <v>337</v>
      </c>
      <c r="E155" s="9" t="s">
        <v>383</v>
      </c>
      <c r="F155" s="9" t="s">
        <v>359</v>
      </c>
      <c r="G155" s="9" t="s">
        <v>383</v>
      </c>
      <c r="H155" s="10" t="s">
        <v>894</v>
      </c>
      <c r="I155" s="11" t="s">
        <v>384</v>
      </c>
      <c r="J155" t="str">
        <f>G155</f>
        <v>London</v>
      </c>
      <c r="K155" s="21"/>
    </row>
    <row r="156" spans="1:11" ht="14.4">
      <c r="A156" s="5" t="str">
        <f>F156&amp;(COUNTIFS(F$2:F156,F156,K$2:K156,"Sparse"))</f>
        <v>SC6</v>
      </c>
      <c r="B156" s="5" t="str">
        <f>J156&amp;(COUNTIF(J$2:J156,J156))</f>
        <v>Kent6</v>
      </c>
      <c r="C156" s="11" t="s">
        <v>315</v>
      </c>
      <c r="D156" s="11" t="s">
        <v>315</v>
      </c>
      <c r="E156" s="9" t="s">
        <v>369</v>
      </c>
      <c r="F156" s="9" t="s">
        <v>389</v>
      </c>
      <c r="G156" s="9" t="s">
        <v>301</v>
      </c>
      <c r="H156" s="11" t="s">
        <v>371</v>
      </c>
      <c r="I156" s="11" t="s">
        <v>371</v>
      </c>
      <c r="J156" t="str">
        <f>C156</f>
        <v>Kent</v>
      </c>
      <c r="K156" s="21"/>
    </row>
    <row r="157" spans="1:11" ht="14.4">
      <c r="A157" s="5" t="str">
        <f>F157&amp;(COUNTIFS(F$2:F157,F157,K$2:K157,"Sparse"))</f>
        <v>SD26</v>
      </c>
      <c r="B157" s="5" t="str">
        <f>J157&amp;(COUNTIF(J$2:J157,J157))</f>
        <v>Northamptonshire4</v>
      </c>
      <c r="C157" s="8" t="s">
        <v>91</v>
      </c>
      <c r="D157" s="8" t="s">
        <v>91</v>
      </c>
      <c r="E157" s="9" t="s">
        <v>367</v>
      </c>
      <c r="F157" s="9" t="s">
        <v>381</v>
      </c>
      <c r="G157" s="9" t="s">
        <v>5</v>
      </c>
      <c r="H157" s="12" t="s">
        <v>889</v>
      </c>
      <c r="I157" s="11" t="s">
        <v>384</v>
      </c>
      <c r="J157" t="s">
        <v>321</v>
      </c>
      <c r="K157" s="21"/>
    </row>
    <row r="158" spans="1:11" ht="14.4">
      <c r="A158" s="5" t="str">
        <f>F158&amp;(COUNTIFS(F$2:F158,F158,K$2:K158,"Sparse"))</f>
        <v>SD27</v>
      </c>
      <c r="B158" s="5" t="str">
        <f>J158&amp;(COUNTIF(J$2:J158,J158))</f>
        <v>Norfolk4</v>
      </c>
      <c r="C158" s="8" t="s">
        <v>377</v>
      </c>
      <c r="D158" s="8" t="s">
        <v>377</v>
      </c>
      <c r="E158" s="9" t="s">
        <v>369</v>
      </c>
      <c r="F158" s="9" t="s">
        <v>381</v>
      </c>
      <c r="G158" s="9" t="s">
        <v>5</v>
      </c>
      <c r="H158" s="10" t="s">
        <v>893</v>
      </c>
      <c r="I158" s="11" t="s">
        <v>382</v>
      </c>
      <c r="J158" t="s">
        <v>319</v>
      </c>
      <c r="K158" s="21" t="s">
        <v>335</v>
      </c>
    </row>
    <row r="159" spans="1:11" ht="14.4">
      <c r="A159" s="5" t="str">
        <f>F159&amp;(COUNTIFS(F$2:F159,F159,K$2:K159,"Sparse"))</f>
        <v>UA6</v>
      </c>
      <c r="B159" s="5" t="str">
        <f>J159&amp;(COUNTIF(J$2:J159,J159))</f>
        <v>Unitary23</v>
      </c>
      <c r="C159" s="8" t="s">
        <v>817</v>
      </c>
      <c r="D159" s="8" t="s">
        <v>392</v>
      </c>
      <c r="E159" s="9" t="s">
        <v>385</v>
      </c>
      <c r="F159" s="9" t="s">
        <v>387</v>
      </c>
      <c r="G159" s="9" t="s">
        <v>396</v>
      </c>
      <c r="H159" s="10" t="s">
        <v>889</v>
      </c>
      <c r="I159" s="11" t="s">
        <v>384</v>
      </c>
      <c r="J159" s="22" t="s">
        <v>396</v>
      </c>
      <c r="K159" s="21"/>
    </row>
    <row r="160" spans="1:11" ht="14.4">
      <c r="A160" s="5" t="str">
        <f>F160&amp;(COUNTIFS(F$2:F160,F160,K$2:K160,"Sparse"))</f>
        <v>L0</v>
      </c>
      <c r="B160" s="5" t="str">
        <f>J160&amp;(COUNTIF(J$2:J160,J160))</f>
        <v>London21</v>
      </c>
      <c r="C160" s="8" t="s">
        <v>393</v>
      </c>
      <c r="D160" s="8" t="s">
        <v>393</v>
      </c>
      <c r="E160" s="9" t="s">
        <v>383</v>
      </c>
      <c r="F160" s="9" t="s">
        <v>359</v>
      </c>
      <c r="G160" s="9" t="s">
        <v>383</v>
      </c>
      <c r="H160" s="10" t="s">
        <v>894</v>
      </c>
      <c r="I160" s="11" t="s">
        <v>384</v>
      </c>
      <c r="J160" t="str">
        <f>G160</f>
        <v>London</v>
      </c>
      <c r="K160" s="21"/>
    </row>
    <row r="161" spans="1:11" ht="14.4">
      <c r="A161" s="5" t="str">
        <f>F161&amp;(COUNTIFS(F$2:F161,F161,K$2:K161,"Sparse"))</f>
        <v>MD0</v>
      </c>
      <c r="B161" s="5" t="str">
        <f>J161&amp;(COUNTIF(J$2:J161,J161))</f>
        <v>Kirklees1</v>
      </c>
      <c r="C161" s="8" t="s">
        <v>232</v>
      </c>
      <c r="D161" s="8" t="s">
        <v>232</v>
      </c>
      <c r="E161" s="9" t="s">
        <v>385</v>
      </c>
      <c r="F161" s="9" t="s">
        <v>386</v>
      </c>
      <c r="G161" s="9" t="s">
        <v>397</v>
      </c>
      <c r="H161" s="10" t="s">
        <v>894</v>
      </c>
      <c r="I161" s="11" t="s">
        <v>384</v>
      </c>
      <c r="J161" t="str">
        <f>C161</f>
        <v>Kirklees</v>
      </c>
      <c r="K161" s="21"/>
    </row>
    <row r="162" spans="1:11" ht="14.4">
      <c r="A162" s="5" t="str">
        <f>F162&amp;(COUNTIFS(F$2:F162,F162,K$2:K162,"Sparse"))</f>
        <v>MD0</v>
      </c>
      <c r="B162" s="5" t="str">
        <f>J162&amp;(COUNTIF(J$2:J162,J162))</f>
        <v>Knowsley1</v>
      </c>
      <c r="C162" s="8" t="s">
        <v>233</v>
      </c>
      <c r="D162" s="8" t="s">
        <v>233</v>
      </c>
      <c r="E162" s="9" t="s">
        <v>376</v>
      </c>
      <c r="F162" s="9" t="s">
        <v>386</v>
      </c>
      <c r="G162" s="9" t="s">
        <v>397</v>
      </c>
      <c r="H162" s="10" t="s">
        <v>894</v>
      </c>
      <c r="I162" s="11" t="s">
        <v>384</v>
      </c>
      <c r="J162" t="str">
        <f>C162</f>
        <v>Knowsley</v>
      </c>
      <c r="K162" s="21"/>
    </row>
    <row r="163" spans="1:11" ht="14.4">
      <c r="A163" s="5" t="str">
        <f>F163&amp;(COUNTIFS(F$2:F163,F163,K$2:K163,"Sparse"))</f>
        <v>L0</v>
      </c>
      <c r="B163" s="5" t="str">
        <f>J163&amp;(COUNTIF(J$2:J163,J163))</f>
        <v>London22</v>
      </c>
      <c r="C163" s="8" t="s">
        <v>212</v>
      </c>
      <c r="D163" s="8" t="s">
        <v>212</v>
      </c>
      <c r="E163" s="9" t="s">
        <v>383</v>
      </c>
      <c r="F163" s="9" t="s">
        <v>359</v>
      </c>
      <c r="G163" s="9" t="s">
        <v>383</v>
      </c>
      <c r="H163" s="10" t="s">
        <v>894</v>
      </c>
      <c r="I163" s="11" t="s">
        <v>384</v>
      </c>
      <c r="J163" t="str">
        <f>G163</f>
        <v>London</v>
      </c>
      <c r="K163" s="21"/>
    </row>
    <row r="164" spans="1:11" ht="14.4">
      <c r="A164" s="5" t="str">
        <f>F164&amp;(COUNTIFS(F$2:F164,F164,K$2:K164,"Sparse"))</f>
        <v>SC7</v>
      </c>
      <c r="B164" s="5" t="str">
        <f>J164&amp;(COUNTIF(J$2:J164,J164))</f>
        <v>Lancashire5</v>
      </c>
      <c r="C164" s="11" t="s">
        <v>316</v>
      </c>
      <c r="D164" s="11" t="s">
        <v>316</v>
      </c>
      <c r="E164" s="9" t="s">
        <v>376</v>
      </c>
      <c r="F164" s="9" t="s">
        <v>389</v>
      </c>
      <c r="G164" s="9" t="s">
        <v>301</v>
      </c>
      <c r="H164" s="11" t="s">
        <v>371</v>
      </c>
      <c r="I164" s="11" t="s">
        <v>371</v>
      </c>
      <c r="J164" t="str">
        <f>C164</f>
        <v>Lancashire</v>
      </c>
      <c r="K164" s="21" t="s">
        <v>335</v>
      </c>
    </row>
    <row r="165" spans="1:11" ht="14.4">
      <c r="A165" s="5" t="str">
        <f>F165&amp;(COUNTIFS(F$2:F165,F165,K$2:K165,"Sparse"))</f>
        <v>SD27</v>
      </c>
      <c r="B165" s="5" t="str">
        <f>J165&amp;(COUNTIF(J$2:J165,J165))</f>
        <v>Lancashire6</v>
      </c>
      <c r="C165" s="8" t="s">
        <v>92</v>
      </c>
      <c r="D165" s="8" t="s">
        <v>92</v>
      </c>
      <c r="E165" s="9" t="s">
        <v>376</v>
      </c>
      <c r="F165" s="9" t="s">
        <v>381</v>
      </c>
      <c r="G165" s="9" t="s">
        <v>5</v>
      </c>
      <c r="H165" s="12" t="s">
        <v>892</v>
      </c>
      <c r="I165" s="11" t="s">
        <v>371</v>
      </c>
      <c r="J165" t="s">
        <v>316</v>
      </c>
      <c r="K165" s="21"/>
    </row>
    <row r="166" spans="1:11" ht="14.4">
      <c r="A166" s="5" t="str">
        <f>F166&amp;(COUNTIFS(F$2:F166,F166,K$2:K166,"Sparse"))</f>
        <v>MD0</v>
      </c>
      <c r="B166" s="5" t="str">
        <f>J166&amp;(COUNTIF(J$2:J166,J166))</f>
        <v>Leeds1</v>
      </c>
      <c r="C166" s="8" t="s">
        <v>234</v>
      </c>
      <c r="D166" s="8" t="s">
        <v>234</v>
      </c>
      <c r="E166" s="9" t="s">
        <v>385</v>
      </c>
      <c r="F166" s="9" t="s">
        <v>386</v>
      </c>
      <c r="G166" s="9" t="s">
        <v>397</v>
      </c>
      <c r="H166" s="10" t="s">
        <v>894</v>
      </c>
      <c r="I166" s="11" t="s">
        <v>384</v>
      </c>
      <c r="J166" t="str">
        <f>C166</f>
        <v>Leeds</v>
      </c>
      <c r="K166" s="21"/>
    </row>
    <row r="167" spans="1:11" ht="14.4">
      <c r="A167" s="5" t="str">
        <f>F167&amp;(COUNTIFS(F$2:F167,F167,K$2:K167,"Sparse"))</f>
        <v>UA6</v>
      </c>
      <c r="B167" s="5" t="str">
        <f>J167&amp;(COUNTIF(J$2:J167,J167))</f>
        <v>Unitary24</v>
      </c>
      <c r="C167" s="8" t="s">
        <v>271</v>
      </c>
      <c r="D167" s="8" t="s">
        <v>271</v>
      </c>
      <c r="E167" s="9" t="s">
        <v>367</v>
      </c>
      <c r="F167" s="9" t="s">
        <v>387</v>
      </c>
      <c r="G167" s="9" t="s">
        <v>396</v>
      </c>
      <c r="H167" s="10" t="s">
        <v>889</v>
      </c>
      <c r="I167" s="11" t="s">
        <v>384</v>
      </c>
      <c r="J167" s="22" t="s">
        <v>396</v>
      </c>
      <c r="K167" s="21"/>
    </row>
    <row r="168" spans="1:11" ht="14.4">
      <c r="A168" s="5" t="str">
        <f>F168&amp;(COUNTIFS(F$2:F168,F168,K$2:K168,"Sparse"))</f>
        <v>SC8</v>
      </c>
      <c r="B168" s="5" t="str">
        <f>J168&amp;(COUNTIF(J$2:J168,J168))</f>
        <v>Leicestershire5</v>
      </c>
      <c r="C168" s="11" t="s">
        <v>317</v>
      </c>
      <c r="D168" s="11" t="s">
        <v>317</v>
      </c>
      <c r="E168" s="9" t="s">
        <v>367</v>
      </c>
      <c r="F168" s="9" t="s">
        <v>389</v>
      </c>
      <c r="G168" s="9" t="s">
        <v>301</v>
      </c>
      <c r="H168" s="11" t="s">
        <v>371</v>
      </c>
      <c r="I168" s="11" t="s">
        <v>371</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381</v>
      </c>
      <c r="G169" s="9" t="s">
        <v>5</v>
      </c>
      <c r="H169" s="10" t="s">
        <v>892</v>
      </c>
      <c r="I169" s="11" t="s">
        <v>371</v>
      </c>
      <c r="J169" t="s">
        <v>310</v>
      </c>
      <c r="K169" s="21" t="s">
        <v>335</v>
      </c>
    </row>
    <row r="170" spans="1:11" ht="14.4">
      <c r="A170" s="5" t="str">
        <f>F170&amp;(COUNTIFS(F$2:F170,F170,K$2:K170,"Sparse"))</f>
        <v>L0</v>
      </c>
      <c r="B170" s="5" t="str">
        <f>J170&amp;(COUNTIF(J$2:J170,J170))</f>
        <v>London23</v>
      </c>
      <c r="C170" s="8" t="s">
        <v>213</v>
      </c>
      <c r="D170" s="8" t="s">
        <v>213</v>
      </c>
      <c r="E170" s="9" t="s">
        <v>383</v>
      </c>
      <c r="F170" s="9" t="s">
        <v>359</v>
      </c>
      <c r="G170" s="9" t="s">
        <v>383</v>
      </c>
      <c r="H170" s="10" t="s">
        <v>894</v>
      </c>
      <c r="I170" s="11" t="s">
        <v>384</v>
      </c>
      <c r="J170" t="str">
        <f>G170</f>
        <v>London</v>
      </c>
      <c r="K170" s="21"/>
    </row>
    <row r="171" spans="1:11" ht="14.4">
      <c r="A171" s="5" t="str">
        <f>F171&amp;(COUNTIFS(F$2:F171,F171,K$2:K171,"Sparse"))</f>
        <v>SD29</v>
      </c>
      <c r="B171" s="5" t="str">
        <f>J171&amp;(COUNTIF(J$2:J171,J171))</f>
        <v>Staffordshire3</v>
      </c>
      <c r="C171" s="8" t="s">
        <v>94</v>
      </c>
      <c r="D171" s="8" t="s">
        <v>94</v>
      </c>
      <c r="E171" s="9" t="s">
        <v>368</v>
      </c>
      <c r="F171" s="9" t="s">
        <v>381</v>
      </c>
      <c r="G171" s="9" t="s">
        <v>5</v>
      </c>
      <c r="H171" s="10" t="s">
        <v>892</v>
      </c>
      <c r="I171" s="11" t="s">
        <v>371</v>
      </c>
      <c r="J171" t="s">
        <v>327</v>
      </c>
      <c r="K171" s="21" t="s">
        <v>335</v>
      </c>
    </row>
    <row r="172" spans="1:11" ht="14.4">
      <c r="A172" s="5" t="str">
        <f>F172&amp;(COUNTIFS(F$2:F172,F172,K$2:K172,"Sparse"))</f>
        <v>SD29</v>
      </c>
      <c r="B172" s="5" t="str">
        <f>J172&amp;(COUNTIF(J$2:J172,J172))</f>
        <v>Lincolnshire3</v>
      </c>
      <c r="C172" s="8" t="s">
        <v>95</v>
      </c>
      <c r="D172" s="8" t="s">
        <v>95</v>
      </c>
      <c r="E172" s="9" t="s">
        <v>367</v>
      </c>
      <c r="F172" s="9" t="s">
        <v>381</v>
      </c>
      <c r="G172" s="9" t="s">
        <v>5</v>
      </c>
      <c r="H172" s="10" t="s">
        <v>889</v>
      </c>
      <c r="I172" s="11" t="s">
        <v>384</v>
      </c>
      <c r="J172" t="s">
        <v>318</v>
      </c>
      <c r="K172" s="21"/>
    </row>
    <row r="173" spans="1:11" ht="14.4">
      <c r="A173" s="5" t="str">
        <f>F173&amp;(COUNTIFS(F$2:F173,F173,K$2:K173,"Sparse"))</f>
        <v>SC9</v>
      </c>
      <c r="B173" s="5" t="str">
        <f>J173&amp;(COUNTIF(J$2:J173,J173))</f>
        <v>Lincolnshire4</v>
      </c>
      <c r="C173" s="11" t="s">
        <v>318</v>
      </c>
      <c r="D173" s="11" t="s">
        <v>318</v>
      </c>
      <c r="E173" s="9" t="s">
        <v>367</v>
      </c>
      <c r="F173" s="9" t="s">
        <v>389</v>
      </c>
      <c r="G173" s="9" t="s">
        <v>301</v>
      </c>
      <c r="H173" s="11" t="s">
        <v>382</v>
      </c>
      <c r="I173" s="11" t="s">
        <v>382</v>
      </c>
      <c r="J173" t="str">
        <f>C173</f>
        <v>Lincolnshire</v>
      </c>
      <c r="K173" s="21" t="s">
        <v>335</v>
      </c>
    </row>
    <row r="174" spans="1:11" ht="14.4">
      <c r="A174" s="5" t="str">
        <f>F174&amp;(COUNTIFS(F$2:F174,F174,K$2:K174,"Sparse"))</f>
        <v>MD0</v>
      </c>
      <c r="B174" s="5" t="str">
        <f>J174&amp;(COUNTIF(J$2:J174,J174))</f>
        <v>Liverpool1</v>
      </c>
      <c r="C174" s="8" t="s">
        <v>235</v>
      </c>
      <c r="D174" s="8" t="s">
        <v>235</v>
      </c>
      <c r="E174" s="9" t="s">
        <v>376</v>
      </c>
      <c r="F174" s="9" t="s">
        <v>386</v>
      </c>
      <c r="G174" s="9" t="s">
        <v>397</v>
      </c>
      <c r="H174" s="10" t="s">
        <v>894</v>
      </c>
      <c r="I174" s="11" t="s">
        <v>384</v>
      </c>
      <c r="J174" t="str">
        <f>C174</f>
        <v>Liverpool</v>
      </c>
      <c r="K174" s="21"/>
    </row>
    <row r="175" spans="1:11" ht="14.4">
      <c r="A175" s="5" t="str">
        <f>F175&amp;(COUNTIFS(F$2:F175,F175,K$2:K175,"Sparse"))</f>
        <v>UA6</v>
      </c>
      <c r="B175" s="5" t="str">
        <f>J175&amp;(COUNTIF(J$2:J175,J175))</f>
        <v>Unitary25</v>
      </c>
      <c r="C175" s="8" t="s">
        <v>272</v>
      </c>
      <c r="D175" s="8" t="s">
        <v>272</v>
      </c>
      <c r="E175" s="9" t="s">
        <v>369</v>
      </c>
      <c r="F175" s="9" t="s">
        <v>387</v>
      </c>
      <c r="G175" s="9" t="s">
        <v>396</v>
      </c>
      <c r="H175" s="10" t="s">
        <v>889</v>
      </c>
      <c r="I175" s="11" t="s">
        <v>384</v>
      </c>
      <c r="J175" s="22" t="s">
        <v>396</v>
      </c>
      <c r="K175" s="21"/>
    </row>
    <row r="176" spans="1:11" ht="14.4">
      <c r="A176" s="5" t="str">
        <f>F176&amp;(COUNTIFS(F$2:F176,F176,K$2:K176,"Sparse"))</f>
        <v>SD29</v>
      </c>
      <c r="B176" s="5" t="str">
        <f>J176&amp;(COUNTIF(J$2:J176,J176))</f>
        <v>Kent7</v>
      </c>
      <c r="C176" s="8" t="s">
        <v>96</v>
      </c>
      <c r="D176" s="8" t="s">
        <v>96</v>
      </c>
      <c r="E176" s="9" t="s">
        <v>0</v>
      </c>
      <c r="F176" s="9" t="s">
        <v>381</v>
      </c>
      <c r="G176" s="9" t="s">
        <v>5</v>
      </c>
      <c r="H176" s="12" t="s">
        <v>892</v>
      </c>
      <c r="I176" s="11" t="s">
        <v>371</v>
      </c>
      <c r="J176" t="s">
        <v>315</v>
      </c>
      <c r="K176" s="21"/>
    </row>
    <row r="177" spans="1:11" ht="14.4">
      <c r="A177" s="5" t="str">
        <f>F177&amp;(COUNTIFS(F$2:F177,F177,K$2:K177,"Sparse"))</f>
        <v>SD29</v>
      </c>
      <c r="B177" s="5" t="str">
        <f>J177&amp;(COUNTIF(J$2:J177,J177))</f>
        <v>Essex10</v>
      </c>
      <c r="C177" s="8" t="s">
        <v>97</v>
      </c>
      <c r="D177" s="8" t="s">
        <v>97</v>
      </c>
      <c r="E177" s="9" t="s">
        <v>369</v>
      </c>
      <c r="F177" s="9" t="s">
        <v>381</v>
      </c>
      <c r="G177" s="9" t="s">
        <v>5</v>
      </c>
      <c r="H177" s="10" t="s">
        <v>890</v>
      </c>
      <c r="I177" s="11" t="s">
        <v>382</v>
      </c>
      <c r="J177" t="s">
        <v>311</v>
      </c>
      <c r="K177" s="21"/>
    </row>
    <row r="178" spans="1:11" ht="14.4">
      <c r="A178" s="5" t="str">
        <f>F178&amp;(COUNTIFS(F$2:F178,F178,K$2:K178,"Sparse"))</f>
        <v>SD30</v>
      </c>
      <c r="B178" s="5" t="str">
        <f>J178&amp;(COUNTIF(J$2:J178,J178))</f>
        <v>Worcestershire2</v>
      </c>
      <c r="C178" s="8" t="s">
        <v>98</v>
      </c>
      <c r="D178" s="8" t="s">
        <v>98</v>
      </c>
      <c r="E178" s="9" t="s">
        <v>368</v>
      </c>
      <c r="F178" s="9" t="s">
        <v>381</v>
      </c>
      <c r="G178" s="9" t="s">
        <v>5</v>
      </c>
      <c r="H178" s="10" t="s">
        <v>893</v>
      </c>
      <c r="I178" s="11" t="s">
        <v>382</v>
      </c>
      <c r="J178" t="s">
        <v>332</v>
      </c>
      <c r="K178" s="21" t="s">
        <v>335</v>
      </c>
    </row>
    <row r="179" spans="1:11" ht="14.4">
      <c r="A179" s="5" t="str">
        <f>F179&amp;(COUNTIFS(F$2:F179,F179,K$2:K179,"Sparse"))</f>
        <v>MD0</v>
      </c>
      <c r="B179" s="5" t="str">
        <f>J179&amp;(COUNTIF(J$2:J179,J179))</f>
        <v>Manchester1</v>
      </c>
      <c r="C179" s="8" t="s">
        <v>236</v>
      </c>
      <c r="D179" s="8" t="s">
        <v>236</v>
      </c>
      <c r="E179" s="9" t="s">
        <v>376</v>
      </c>
      <c r="F179" s="9" t="s">
        <v>386</v>
      </c>
      <c r="G179" s="9" t="s">
        <v>397</v>
      </c>
      <c r="H179" s="10" t="s">
        <v>894</v>
      </c>
      <c r="I179" s="11" t="s">
        <v>384</v>
      </c>
      <c r="J179" t="str">
        <f>C179</f>
        <v>Manchester</v>
      </c>
      <c r="K179" s="21"/>
    </row>
    <row r="180" spans="1:11" ht="14.4">
      <c r="A180" s="5" t="str">
        <f>F180&amp;(COUNTIFS(F$2:F180,F180,K$2:K180,"Sparse"))</f>
        <v>SD30</v>
      </c>
      <c r="B180" s="5" t="str">
        <f>J180&amp;(COUNTIF(J$2:J180,J180))</f>
        <v>Nottinghamshire5</v>
      </c>
      <c r="C180" s="8" t="s">
        <v>99</v>
      </c>
      <c r="D180" s="8" t="s">
        <v>99</v>
      </c>
      <c r="E180" s="9" t="s">
        <v>367</v>
      </c>
      <c r="F180" s="9" t="s">
        <v>381</v>
      </c>
      <c r="G180" s="9" t="s">
        <v>5</v>
      </c>
      <c r="H180" s="10" t="s">
        <v>889</v>
      </c>
      <c r="I180" s="11" t="s">
        <v>384</v>
      </c>
      <c r="J180" t="s">
        <v>323</v>
      </c>
      <c r="K180" s="21"/>
    </row>
    <row r="181" spans="1:11" ht="14.4">
      <c r="A181" s="5" t="str">
        <f>F181&amp;(COUNTIFS(F$2:F181,F181,K$2:K181,"Sparse"))</f>
        <v>UA6</v>
      </c>
      <c r="B181" s="5" t="str">
        <f>J181&amp;(COUNTIF(J$2:J181,J181))</f>
        <v>Unitary26</v>
      </c>
      <c r="C181" s="8" t="s">
        <v>273</v>
      </c>
      <c r="D181" s="8" t="s">
        <v>273</v>
      </c>
      <c r="E181" s="9" t="s">
        <v>0</v>
      </c>
      <c r="F181" s="9" t="s">
        <v>387</v>
      </c>
      <c r="G181" s="9" t="s">
        <v>396</v>
      </c>
      <c r="H181" s="10" t="s">
        <v>889</v>
      </c>
      <c r="I181" s="11" t="s">
        <v>384</v>
      </c>
      <c r="J181" s="22" t="s">
        <v>396</v>
      </c>
      <c r="K181" s="21"/>
    </row>
    <row r="182" spans="1:11" ht="14.4">
      <c r="A182" s="5" t="str">
        <f>F182&amp;(COUNTIFS(F$2:F182,F182,K$2:K182,"Sparse"))</f>
        <v>SD31</v>
      </c>
      <c r="B182" s="5" t="str">
        <f>J182&amp;(COUNTIF(J$2:J182,J182))</f>
        <v>Leicestershire6</v>
      </c>
      <c r="C182" s="8" t="s">
        <v>100</v>
      </c>
      <c r="D182" s="8" t="s">
        <v>100</v>
      </c>
      <c r="E182" s="9" t="s">
        <v>367</v>
      </c>
      <c r="F182" s="9" t="s">
        <v>381</v>
      </c>
      <c r="G182" s="9" t="s">
        <v>5</v>
      </c>
      <c r="H182" s="10" t="s">
        <v>890</v>
      </c>
      <c r="I182" s="11" t="s">
        <v>382</v>
      </c>
      <c r="J182" t="s">
        <v>317</v>
      </c>
      <c r="K182" s="21" t="s">
        <v>335</v>
      </c>
    </row>
    <row r="183" spans="1:11" ht="14.4">
      <c r="A183" s="5" t="str">
        <f>F183&amp;(COUNTIFS(F$2:F183,F183,K$2:K183,"Sparse"))</f>
        <v>SD32</v>
      </c>
      <c r="B183" s="5" t="str">
        <f>J183&amp;(COUNTIF(J$2:J183,J183))</f>
        <v>Somerset1</v>
      </c>
      <c r="C183" s="8" t="s">
        <v>101</v>
      </c>
      <c r="D183" s="8" t="s">
        <v>101</v>
      </c>
      <c r="E183" s="9" t="s">
        <v>1</v>
      </c>
      <c r="F183" s="9" t="s">
        <v>381</v>
      </c>
      <c r="G183" s="9" t="s">
        <v>5</v>
      </c>
      <c r="H183" s="10" t="s">
        <v>890</v>
      </c>
      <c r="I183" s="11" t="s">
        <v>382</v>
      </c>
      <c r="J183" t="s">
        <v>326</v>
      </c>
      <c r="K183" s="21" t="s">
        <v>335</v>
      </c>
    </row>
    <row r="184" spans="1:11" ht="14.4">
      <c r="A184" s="5" t="str">
        <f>F184&amp;(COUNTIFS(F$2:F184,F184,K$2:K184,"Sparse"))</f>
        <v>L0</v>
      </c>
      <c r="B184" s="5" t="str">
        <f>J184&amp;(COUNTIF(J$2:J184,J184))</f>
        <v>London24</v>
      </c>
      <c r="C184" s="8" t="s">
        <v>214</v>
      </c>
      <c r="D184" s="8" t="s">
        <v>214</v>
      </c>
      <c r="E184" s="9" t="s">
        <v>383</v>
      </c>
      <c r="F184" s="9" t="s">
        <v>359</v>
      </c>
      <c r="G184" s="9" t="s">
        <v>383</v>
      </c>
      <c r="H184" s="10" t="s">
        <v>894</v>
      </c>
      <c r="I184" s="11" t="s">
        <v>384</v>
      </c>
      <c r="J184" t="str">
        <f>G184</f>
        <v>London</v>
      </c>
      <c r="K184" s="21"/>
    </row>
    <row r="185" spans="1:11" ht="14.4">
      <c r="A185" s="5" t="str">
        <f>F185&amp;(COUNTIFS(F$2:F185,F185,K$2:K185,"Sparse"))</f>
        <v>SD33</v>
      </c>
      <c r="B185" s="5" t="str">
        <f>J185&amp;(COUNTIF(J$2:J185,J185))</f>
        <v>Devon4</v>
      </c>
      <c r="C185" s="8" t="s">
        <v>102</v>
      </c>
      <c r="D185" s="8" t="s">
        <v>102</v>
      </c>
      <c r="E185" s="9" t="s">
        <v>1</v>
      </c>
      <c r="F185" s="9" t="s">
        <v>381</v>
      </c>
      <c r="G185" s="9" t="s">
        <v>5</v>
      </c>
      <c r="H185" s="10" t="s">
        <v>890</v>
      </c>
      <c r="I185" s="11" t="s">
        <v>382</v>
      </c>
      <c r="J185" t="s">
        <v>308</v>
      </c>
      <c r="K185" s="21" t="s">
        <v>335</v>
      </c>
    </row>
    <row r="186" spans="1:11" ht="14.4">
      <c r="A186" s="5" t="str">
        <f>F186&amp;(COUNTIFS(F$2:F186,F186,K$2:K186,"Sparse"))</f>
        <v>SD34</v>
      </c>
      <c r="B186" s="5" t="str">
        <f>J186&amp;(COUNTIF(J$2:J186,J186))</f>
        <v>Suffolk5</v>
      </c>
      <c r="C186" s="8" t="s">
        <v>103</v>
      </c>
      <c r="D186" s="8" t="s">
        <v>103</v>
      </c>
      <c r="E186" s="9" t="s">
        <v>369</v>
      </c>
      <c r="F186" s="9" t="s">
        <v>381</v>
      </c>
      <c r="G186" s="9" t="s">
        <v>5</v>
      </c>
      <c r="H186" s="10" t="s">
        <v>890</v>
      </c>
      <c r="I186" s="11" t="s">
        <v>382</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381</v>
      </c>
      <c r="G187" s="9" t="s">
        <v>5</v>
      </c>
      <c r="H187" s="10" t="s">
        <v>889</v>
      </c>
      <c r="I187" s="11" t="s">
        <v>384</v>
      </c>
      <c r="J187" t="s">
        <v>331</v>
      </c>
      <c r="K187" s="21" t="s">
        <v>335</v>
      </c>
    </row>
    <row r="188" spans="1:11" ht="14.4">
      <c r="A188" s="5" t="str">
        <f>F188&amp;(COUNTIFS(F$2:F188,F188,K$2:K188,"Sparse"))</f>
        <v>UA6</v>
      </c>
      <c r="B188" s="5" t="str">
        <f>J188&amp;(COUNTIF(J$2:J188,J188))</f>
        <v>Unitary27</v>
      </c>
      <c r="C188" s="8" t="s">
        <v>274</v>
      </c>
      <c r="D188" s="8" t="s">
        <v>274</v>
      </c>
      <c r="E188" s="9" t="s">
        <v>390</v>
      </c>
      <c r="F188" s="9" t="s">
        <v>387</v>
      </c>
      <c r="G188" s="9" t="s">
        <v>396</v>
      </c>
      <c r="H188" s="10" t="s">
        <v>889</v>
      </c>
      <c r="I188" s="11" t="s">
        <v>384</v>
      </c>
      <c r="J188" s="22" t="s">
        <v>396</v>
      </c>
      <c r="K188" s="21"/>
    </row>
    <row r="189" spans="1:11" ht="14.4">
      <c r="A189" s="5" t="str">
        <f>F189&amp;(COUNTIFS(F$2:F189,F189,K$2:K189,"Sparse"))</f>
        <v>UA6</v>
      </c>
      <c r="B189" s="5" t="str">
        <f>J189&amp;(COUNTIF(J$2:J189,J189))</f>
        <v>Unitary28</v>
      </c>
      <c r="C189" s="8" t="s">
        <v>275</v>
      </c>
      <c r="D189" s="8" t="s">
        <v>275</v>
      </c>
      <c r="E189" s="9" t="s">
        <v>0</v>
      </c>
      <c r="F189" s="9" t="s">
        <v>387</v>
      </c>
      <c r="G189" s="9" t="s">
        <v>396</v>
      </c>
      <c r="H189" s="10" t="s">
        <v>889</v>
      </c>
      <c r="I189" s="11" t="s">
        <v>384</v>
      </c>
      <c r="J189" s="22" t="s">
        <v>396</v>
      </c>
      <c r="K189" s="21"/>
    </row>
    <row r="190" spans="1:11" ht="14.4">
      <c r="A190" s="5" t="str">
        <f>F190&amp;(COUNTIFS(F$2:F190,F190,K$2:K190,"Sparse"))</f>
        <v>SD35</v>
      </c>
      <c r="B190" s="5" t="str">
        <f>J190&amp;(COUNTIF(J$2:J190,J190))</f>
        <v>Surrey4</v>
      </c>
      <c r="C190" s="8" t="s">
        <v>105</v>
      </c>
      <c r="D190" s="8" t="s">
        <v>105</v>
      </c>
      <c r="E190" s="9" t="s">
        <v>0</v>
      </c>
      <c r="F190" s="9" t="s">
        <v>381</v>
      </c>
      <c r="G190" s="9" t="s">
        <v>5</v>
      </c>
      <c r="H190" s="12" t="s">
        <v>892</v>
      </c>
      <c r="I190" s="11" t="s">
        <v>371</v>
      </c>
      <c r="J190" t="s">
        <v>329</v>
      </c>
      <c r="K190" s="21"/>
    </row>
    <row r="191" spans="1:11" ht="14.4">
      <c r="A191" s="5" t="str">
        <f>F191&amp;(COUNTIFS(F$2:F191,F191,K$2:K191,"Sparse"))</f>
        <v>SD36</v>
      </c>
      <c r="B191" s="5" t="str">
        <f>J191&amp;(COUNTIF(J$2:J191,J191))</f>
        <v>Hampshire9</v>
      </c>
      <c r="C191" s="8" t="s">
        <v>106</v>
      </c>
      <c r="D191" s="8" t="s">
        <v>106</v>
      </c>
      <c r="E191" s="9" t="s">
        <v>0</v>
      </c>
      <c r="F191" s="9" t="s">
        <v>381</v>
      </c>
      <c r="G191" s="9" t="s">
        <v>5</v>
      </c>
      <c r="H191" s="12" t="s">
        <v>892</v>
      </c>
      <c r="I191" s="11" t="s">
        <v>371</v>
      </c>
      <c r="J191" t="s">
        <v>313</v>
      </c>
      <c r="K191" s="21" t="s">
        <v>335</v>
      </c>
    </row>
    <row r="192" spans="1:11" ht="14.4">
      <c r="A192" s="5" t="str">
        <f>F192&amp;(COUNTIFS(F$2:F192,F192,K$2:K192,"Sparse"))</f>
        <v>SD37</v>
      </c>
      <c r="B192" s="5" t="str">
        <f>J192&amp;(COUNTIF(J$2:J192,J192))</f>
        <v>Nottinghamshire6</v>
      </c>
      <c r="C192" s="8" t="s">
        <v>346</v>
      </c>
      <c r="D192" s="8" t="s">
        <v>346</v>
      </c>
      <c r="E192" s="9" t="s">
        <v>367</v>
      </c>
      <c r="F192" s="9" t="s">
        <v>381</v>
      </c>
      <c r="G192" s="9" t="s">
        <v>5</v>
      </c>
      <c r="H192" s="10" t="s">
        <v>893</v>
      </c>
      <c r="I192" s="11" t="s">
        <v>382</v>
      </c>
      <c r="J192" t="s">
        <v>323</v>
      </c>
      <c r="K192" s="21" t="s">
        <v>335</v>
      </c>
    </row>
    <row r="193" spans="1:11" ht="14.4">
      <c r="A193" s="5" t="str">
        <f>F193&amp;(COUNTIFS(F$2:F193,F193,K$2:K193,"Sparse"))</f>
        <v>MD0</v>
      </c>
      <c r="B193" s="5" t="str">
        <f>J193&amp;(COUNTIF(J$2:J193,J193))</f>
        <v>Newcastle upon Tyne1</v>
      </c>
      <c r="C193" s="8" t="s">
        <v>237</v>
      </c>
      <c r="D193" s="8" t="s">
        <v>237</v>
      </c>
      <c r="E193" s="9" t="s">
        <v>390</v>
      </c>
      <c r="F193" s="9" t="s">
        <v>386</v>
      </c>
      <c r="G193" s="9" t="s">
        <v>397</v>
      </c>
      <c r="H193" s="10" t="s">
        <v>894</v>
      </c>
      <c r="I193" s="11" t="s">
        <v>384</v>
      </c>
      <c r="J193" t="str">
        <f>C193</f>
        <v>Newcastle upon Tyne</v>
      </c>
      <c r="K193" s="21"/>
    </row>
    <row r="194" spans="1:11" ht="14.4">
      <c r="A194" s="5" t="str">
        <f>F194&amp;(COUNTIFS(F$2:F194,F194,K$2:K194,"Sparse"))</f>
        <v>SD37</v>
      </c>
      <c r="B194" s="5" t="str">
        <f>J194&amp;(COUNTIF(J$2:J194,J194))</f>
        <v>Staffordshire4</v>
      </c>
      <c r="C194" s="8" t="s">
        <v>107</v>
      </c>
      <c r="D194" s="8" t="s">
        <v>107</v>
      </c>
      <c r="E194" s="9" t="s">
        <v>368</v>
      </c>
      <c r="F194" s="9" t="s">
        <v>381</v>
      </c>
      <c r="G194" s="9" t="s">
        <v>5</v>
      </c>
      <c r="H194" s="10" t="s">
        <v>889</v>
      </c>
      <c r="I194" s="11" t="s">
        <v>384</v>
      </c>
      <c r="J194" t="s">
        <v>327</v>
      </c>
      <c r="K194" s="21"/>
    </row>
    <row r="195" spans="1:11" ht="14.4">
      <c r="A195" s="5" t="str">
        <f>F195&amp;(COUNTIFS(F$2:F195,F195,K$2:K195,"Sparse"))</f>
        <v>L0</v>
      </c>
      <c r="B195" s="5" t="str">
        <f>J195&amp;(COUNTIF(J$2:J195,J195))</f>
        <v>London25</v>
      </c>
      <c r="C195" s="8" t="s">
        <v>215</v>
      </c>
      <c r="D195" s="8" t="s">
        <v>215</v>
      </c>
      <c r="E195" s="9" t="s">
        <v>383</v>
      </c>
      <c r="F195" s="9" t="s">
        <v>359</v>
      </c>
      <c r="G195" s="9" t="s">
        <v>383</v>
      </c>
      <c r="H195" s="10" t="s">
        <v>894</v>
      </c>
      <c r="I195" s="11" t="s">
        <v>384</v>
      </c>
      <c r="J195" t="str">
        <f>G195</f>
        <v>London</v>
      </c>
      <c r="K195" s="21"/>
    </row>
    <row r="196" spans="1:11" ht="14.4">
      <c r="A196" s="5" t="str">
        <f>F196&amp;(COUNTIFS(F$2:F196,F196,K$2:K196,"Sparse"))</f>
        <v>SC10</v>
      </c>
      <c r="B196" s="5" t="str">
        <f>J196&amp;(COUNTIF(J$2:J196,J196))</f>
        <v>Norfolk5</v>
      </c>
      <c r="C196" s="15" t="s">
        <v>319</v>
      </c>
      <c r="D196" s="15" t="s">
        <v>319</v>
      </c>
      <c r="E196" s="9" t="s">
        <v>369</v>
      </c>
      <c r="F196" s="9" t="s">
        <v>389</v>
      </c>
      <c r="G196" s="9" t="s">
        <v>301</v>
      </c>
      <c r="H196" s="15" t="s">
        <v>382</v>
      </c>
      <c r="I196" s="11" t="s">
        <v>382</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381</v>
      </c>
      <c r="G197" s="9" t="s">
        <v>5</v>
      </c>
      <c r="H197" s="10" t="s">
        <v>893</v>
      </c>
      <c r="I197" s="11" t="s">
        <v>382</v>
      </c>
      <c r="J197" t="s">
        <v>308</v>
      </c>
      <c r="K197" s="21" t="s">
        <v>335</v>
      </c>
    </row>
    <row r="198" spans="1:11" ht="14.4">
      <c r="A198" s="5" t="str">
        <f>F198&amp;(COUNTIFS(F$2:F198,F198,K$2:K198,"Sparse"))</f>
        <v>SD38</v>
      </c>
      <c r="B198" s="5" t="str">
        <f>J198&amp;(COUNTIF(J$2:J198,J198))</f>
        <v>Dorset4</v>
      </c>
      <c r="C198" s="8" t="s">
        <v>109</v>
      </c>
      <c r="D198" s="8" t="s">
        <v>109</v>
      </c>
      <c r="E198" s="9" t="s">
        <v>1</v>
      </c>
      <c r="F198" s="9" t="s">
        <v>381</v>
      </c>
      <c r="G198" s="9" t="s">
        <v>5</v>
      </c>
      <c r="H198" s="10" t="s">
        <v>890</v>
      </c>
      <c r="I198" s="11" t="s">
        <v>382</v>
      </c>
      <c r="J198" t="s">
        <v>309</v>
      </c>
      <c r="K198" s="21"/>
    </row>
    <row r="199" spans="1:11" ht="14.4">
      <c r="A199" s="5" t="str">
        <f>F199&amp;(COUNTIFS(F$2:F199,F199,K$2:K199,"Sparse"))</f>
        <v>SD38</v>
      </c>
      <c r="B199" s="5" t="str">
        <f>J199&amp;(COUNTIF(J$2:J199,J199))</f>
        <v>Derbyshire8</v>
      </c>
      <c r="C199" s="8" t="s">
        <v>110</v>
      </c>
      <c r="D199" s="8" t="s">
        <v>110</v>
      </c>
      <c r="E199" s="9" t="s">
        <v>367</v>
      </c>
      <c r="F199" s="9" t="s">
        <v>381</v>
      </c>
      <c r="G199" s="9" t="s">
        <v>5</v>
      </c>
      <c r="H199" s="10" t="s">
        <v>889</v>
      </c>
      <c r="I199" s="11" t="s">
        <v>384</v>
      </c>
      <c r="J199" t="s">
        <v>307</v>
      </c>
      <c r="K199" s="21"/>
    </row>
    <row r="200" spans="1:11" ht="14.4">
      <c r="A200" s="5" t="str">
        <f>F200&amp;(COUNTIFS(F$2:F200,F200,K$2:K200,"Sparse"))</f>
        <v>UA6</v>
      </c>
      <c r="B200" s="5" t="str">
        <f>J200&amp;(COUNTIF(J$2:J200,J200))</f>
        <v>Unitary29</v>
      </c>
      <c r="C200" s="8" t="s">
        <v>276</v>
      </c>
      <c r="D200" s="8" t="s">
        <v>276</v>
      </c>
      <c r="E200" s="9" t="s">
        <v>385</v>
      </c>
      <c r="F200" s="9" t="s">
        <v>387</v>
      </c>
      <c r="G200" s="9" t="s">
        <v>396</v>
      </c>
      <c r="H200" s="10" t="s">
        <v>889</v>
      </c>
      <c r="I200" s="11" t="s">
        <v>384</v>
      </c>
      <c r="J200" s="22" t="s">
        <v>396</v>
      </c>
      <c r="K200" s="21"/>
    </row>
    <row r="201" spans="1:11" ht="14.4">
      <c r="A201" s="5" t="str">
        <f>F201&amp;(COUNTIFS(F$2:F201,F201,K$2:K201,"Sparse"))</f>
        <v>SD38</v>
      </c>
      <c r="B201" s="5" t="str">
        <f>J201&amp;(COUNTIF(J$2:J201,J201))</f>
        <v>Hertfordshire6</v>
      </c>
      <c r="C201" s="8" t="s">
        <v>111</v>
      </c>
      <c r="D201" s="8" t="s">
        <v>111</v>
      </c>
      <c r="E201" s="9" t="s">
        <v>369</v>
      </c>
      <c r="F201" s="9" t="s">
        <v>381</v>
      </c>
      <c r="G201" s="9" t="s">
        <v>5</v>
      </c>
      <c r="H201" s="12" t="s">
        <v>892</v>
      </c>
      <c r="I201" s="11" t="s">
        <v>371</v>
      </c>
      <c r="J201" t="s">
        <v>314</v>
      </c>
      <c r="K201" s="21"/>
    </row>
    <row r="202" spans="1:11" ht="14.4">
      <c r="A202" s="5" t="str">
        <f>F202&amp;(COUNTIFS(F$2:F202,F202,K$2:K202,"Sparse"))</f>
        <v>SD39</v>
      </c>
      <c r="B202" s="5" t="str">
        <f>J202&amp;(COUNTIF(J$2:J202,J202))</f>
        <v>Lincolnshire5</v>
      </c>
      <c r="C202" s="8" t="s">
        <v>112</v>
      </c>
      <c r="D202" s="8" t="s">
        <v>112</v>
      </c>
      <c r="E202" s="9" t="s">
        <v>367</v>
      </c>
      <c r="F202" s="9" t="s">
        <v>381</v>
      </c>
      <c r="G202" s="9" t="s">
        <v>5</v>
      </c>
      <c r="H202" s="10" t="s">
        <v>890</v>
      </c>
      <c r="I202" s="11" t="s">
        <v>382</v>
      </c>
      <c r="J202" t="s">
        <v>318</v>
      </c>
      <c r="K202" s="21" t="s">
        <v>335</v>
      </c>
    </row>
    <row r="203" spans="1:11" ht="14.4">
      <c r="A203" s="5" t="str">
        <f>F203&amp;(COUNTIFS(F$2:F203,F203,K$2:K203,"Sparse"))</f>
        <v>UA7</v>
      </c>
      <c r="B203" s="5" t="str">
        <f>J203&amp;(COUNTIF(J$2:J203,J203))</f>
        <v>Unitary30</v>
      </c>
      <c r="C203" s="8" t="s">
        <v>277</v>
      </c>
      <c r="D203" s="8" t="s">
        <v>277</v>
      </c>
      <c r="E203" s="9" t="s">
        <v>385</v>
      </c>
      <c r="F203" s="9" t="s">
        <v>387</v>
      </c>
      <c r="G203" s="9" t="s">
        <v>396</v>
      </c>
      <c r="H203" s="10" t="s">
        <v>892</v>
      </c>
      <c r="I203" s="11" t="s">
        <v>371</v>
      </c>
      <c r="J203" s="22" t="s">
        <v>396</v>
      </c>
      <c r="K203" s="21" t="s">
        <v>335</v>
      </c>
    </row>
    <row r="204" spans="1:11" ht="14.4">
      <c r="A204" s="5" t="str">
        <f>F204&amp;(COUNTIFS(F$2:F204,F204,K$2:K204,"Sparse"))</f>
        <v>SD40</v>
      </c>
      <c r="B204" s="5" t="str">
        <f>J204&amp;(COUNTIF(J$2:J204,J204))</f>
        <v>Norfolk6</v>
      </c>
      <c r="C204" s="8" t="s">
        <v>113</v>
      </c>
      <c r="D204" s="8" t="s">
        <v>113</v>
      </c>
      <c r="E204" s="9" t="s">
        <v>369</v>
      </c>
      <c r="F204" s="9" t="s">
        <v>381</v>
      </c>
      <c r="G204" s="9" t="s">
        <v>5</v>
      </c>
      <c r="H204" s="10" t="s">
        <v>890</v>
      </c>
      <c r="I204" s="11" t="s">
        <v>382</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387</v>
      </c>
      <c r="G205" s="9" t="s">
        <v>396</v>
      </c>
      <c r="H205" s="10" t="s">
        <v>892</v>
      </c>
      <c r="I205" s="11" t="s">
        <v>371</v>
      </c>
      <c r="J205" s="22" t="s">
        <v>396</v>
      </c>
      <c r="K205" s="21" t="s">
        <v>335</v>
      </c>
    </row>
    <row r="206" spans="1:11" ht="14.4">
      <c r="A206" s="5" t="str">
        <f>F206&amp;(COUNTIFS(F$2:F206,F206,K$2:K206,"Sparse"))</f>
        <v>MD0</v>
      </c>
      <c r="B206" s="5" t="str">
        <f>J206&amp;(COUNTIF(J$2:J206,J206))</f>
        <v>North Tyneside1</v>
      </c>
      <c r="C206" s="8" t="s">
        <v>238</v>
      </c>
      <c r="D206" s="8" t="s">
        <v>238</v>
      </c>
      <c r="E206" s="9" t="s">
        <v>390</v>
      </c>
      <c r="F206" s="9" t="s">
        <v>386</v>
      </c>
      <c r="G206" s="9" t="s">
        <v>397</v>
      </c>
      <c r="H206" s="10" t="s">
        <v>894</v>
      </c>
      <c r="I206" s="11" t="s">
        <v>384</v>
      </c>
      <c r="J206" t="str">
        <f>C206</f>
        <v>North Tyneside</v>
      </c>
      <c r="K206" s="21"/>
    </row>
    <row r="207" spans="1:11" ht="14.4">
      <c r="A207" s="5" t="str">
        <f>F207&amp;(COUNTIFS(F$2:F207,F207,K$2:K207,"Sparse"))</f>
        <v>SD40</v>
      </c>
      <c r="B207" s="5" t="str">
        <f>J207&amp;(COUNTIF(J$2:J207,J207))</f>
        <v>Warwickshire1</v>
      </c>
      <c r="C207" s="8" t="s">
        <v>114</v>
      </c>
      <c r="D207" s="8" t="s">
        <v>114</v>
      </c>
      <c r="E207" s="9" t="s">
        <v>368</v>
      </c>
      <c r="F207" s="9" t="s">
        <v>381</v>
      </c>
      <c r="G207" s="9" t="s">
        <v>5</v>
      </c>
      <c r="H207" s="10" t="s">
        <v>890</v>
      </c>
      <c r="I207" s="11" t="s">
        <v>382</v>
      </c>
      <c r="J207" t="s">
        <v>330</v>
      </c>
      <c r="K207" s="21"/>
    </row>
    <row r="208" spans="1:11" ht="14.4">
      <c r="A208" s="5" t="str">
        <f>F208&amp;(COUNTIFS(F$2:F208,F208,K$2:K208,"Sparse"))</f>
        <v>SD41</v>
      </c>
      <c r="B208" s="5" t="str">
        <f>J208&amp;(COUNTIF(J$2:J208,J208))</f>
        <v>Leicestershire7</v>
      </c>
      <c r="C208" s="8" t="s">
        <v>115</v>
      </c>
      <c r="D208" s="8" t="s">
        <v>115</v>
      </c>
      <c r="E208" s="9" t="s">
        <v>367</v>
      </c>
      <c r="F208" s="9" t="s">
        <v>381</v>
      </c>
      <c r="G208" s="9" t="s">
        <v>5</v>
      </c>
      <c r="H208" s="10" t="s">
        <v>893</v>
      </c>
      <c r="I208" s="11" t="s">
        <v>382</v>
      </c>
      <c r="J208" t="s">
        <v>317</v>
      </c>
      <c r="K208" s="21" t="s">
        <v>335</v>
      </c>
    </row>
    <row r="209" spans="1:11" ht="14.4">
      <c r="A209" s="5" t="str">
        <f>F209&amp;(COUNTIFS(F$2:F209,F209,K$2:K209,"Sparse"))</f>
        <v>SC11</v>
      </c>
      <c r="B209" s="5" t="str">
        <f>J209&amp;(COUNTIF(J$2:J209,J209))</f>
        <v>North Yorkshire4</v>
      </c>
      <c r="C209" s="11" t="s">
        <v>320</v>
      </c>
      <c r="D209" s="11" t="s">
        <v>320</v>
      </c>
      <c r="E209" s="9" t="s">
        <v>385</v>
      </c>
      <c r="F209" s="9" t="s">
        <v>389</v>
      </c>
      <c r="G209" s="9" t="s">
        <v>301</v>
      </c>
      <c r="H209" s="11" t="s">
        <v>382</v>
      </c>
      <c r="I209" s="11" t="s">
        <v>382</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367</v>
      </c>
      <c r="F210" s="9" t="s">
        <v>381</v>
      </c>
      <c r="G210" s="9" t="s">
        <v>5</v>
      </c>
      <c r="H210" s="10" t="s">
        <v>889</v>
      </c>
      <c r="I210" s="11" t="s">
        <v>384</v>
      </c>
      <c r="J210" t="s">
        <v>321</v>
      </c>
      <c r="K210" s="21"/>
    </row>
    <row r="211" spans="1:11" ht="14.4">
      <c r="A211" s="5" t="str">
        <f>F211&amp;(COUNTIFS(F$2:F211,F211,K$2:K211,"Sparse"))</f>
        <v>SC11</v>
      </c>
      <c r="B211" s="5" t="str">
        <f>J211&amp;(COUNTIF(J$2:J211,J211))</f>
        <v>Northamptonshire6</v>
      </c>
      <c r="C211" s="11" t="s">
        <v>321</v>
      </c>
      <c r="D211" s="11" t="s">
        <v>321</v>
      </c>
      <c r="E211" s="9" t="s">
        <v>367</v>
      </c>
      <c r="F211" s="9" t="s">
        <v>389</v>
      </c>
      <c r="G211" s="9" t="s">
        <v>301</v>
      </c>
      <c r="H211" s="11" t="s">
        <v>371</v>
      </c>
      <c r="I211" s="11" t="s">
        <v>371</v>
      </c>
      <c r="J211" t="str">
        <f>C211</f>
        <v>Northamptonshire</v>
      </c>
      <c r="K211" s="21"/>
    </row>
    <row r="212" spans="1:11" ht="14.4">
      <c r="A212" s="5" t="str">
        <f>F212&amp;(COUNTIFS(F$2:F212,F212,K$2:K212,"Sparse"))</f>
        <v>UA9</v>
      </c>
      <c r="B212" s="5" t="str">
        <f>J212&amp;(COUNTIF(J$2:J212,J212))</f>
        <v>Unitary32</v>
      </c>
      <c r="C212" s="8" t="s">
        <v>322</v>
      </c>
      <c r="D212" s="8" t="s">
        <v>322</v>
      </c>
      <c r="E212" s="9" t="s">
        <v>390</v>
      </c>
      <c r="F212" s="9" t="s">
        <v>387</v>
      </c>
      <c r="G212" s="9" t="s">
        <v>396</v>
      </c>
      <c r="H212" s="12" t="s">
        <v>893</v>
      </c>
      <c r="I212" s="11" t="s">
        <v>382</v>
      </c>
      <c r="J212" s="22" t="s">
        <v>396</v>
      </c>
      <c r="K212" s="21" t="s">
        <v>335</v>
      </c>
    </row>
    <row r="213" spans="1:11" ht="14.4">
      <c r="A213" s="5" t="str">
        <f>F213&amp;(COUNTIFS(F$2:F213,F213,K$2:K213,"Sparse"))</f>
        <v>SD41</v>
      </c>
      <c r="B213" s="5" t="str">
        <f>J213&amp;(COUNTIF(J$2:J213,J213))</f>
        <v>Norfolk7</v>
      </c>
      <c r="C213" s="8" t="s">
        <v>117</v>
      </c>
      <c r="D213" s="8" t="s">
        <v>117</v>
      </c>
      <c r="E213" s="9" t="s">
        <v>369</v>
      </c>
      <c r="F213" s="9" t="s">
        <v>381</v>
      </c>
      <c r="G213" s="9" t="s">
        <v>5</v>
      </c>
      <c r="H213" s="10" t="s">
        <v>889</v>
      </c>
      <c r="I213" s="11" t="s">
        <v>384</v>
      </c>
      <c r="J213" t="s">
        <v>319</v>
      </c>
      <c r="K213" s="21"/>
    </row>
    <row r="214" spans="1:11" ht="14.4">
      <c r="A214" s="5" t="str">
        <f>F214&amp;(COUNTIFS(F$2:F214,F214,K$2:K214,"Sparse"))</f>
        <v>UA9</v>
      </c>
      <c r="B214" s="5" t="str">
        <f>J214&amp;(COUNTIF(J$2:J214,J214))</f>
        <v>Unitary33</v>
      </c>
      <c r="C214" s="8" t="s">
        <v>279</v>
      </c>
      <c r="D214" s="8" t="s">
        <v>279</v>
      </c>
      <c r="E214" s="9" t="s">
        <v>367</v>
      </c>
      <c r="F214" s="9" t="s">
        <v>387</v>
      </c>
      <c r="G214" s="9" t="s">
        <v>396</v>
      </c>
      <c r="H214" s="10" t="s">
        <v>891</v>
      </c>
      <c r="I214" s="11" t="s">
        <v>384</v>
      </c>
      <c r="J214" s="22" t="s">
        <v>396</v>
      </c>
      <c r="K214" s="21"/>
    </row>
    <row r="215" spans="1:11" ht="14.4">
      <c r="A215" s="5" t="str">
        <f>F215&amp;(COUNTIFS(F$2:F215,F215,K$2:K215,"Sparse"))</f>
        <v>SC12</v>
      </c>
      <c r="B215" s="5" t="str">
        <f>J215&amp;(COUNTIF(J$2:J215,J215))</f>
        <v>Nottinghamshire7</v>
      </c>
      <c r="C215" s="11" t="s">
        <v>323</v>
      </c>
      <c r="D215" s="11" t="s">
        <v>323</v>
      </c>
      <c r="E215" s="9" t="s">
        <v>367</v>
      </c>
      <c r="F215" s="9" t="s">
        <v>389</v>
      </c>
      <c r="G215" s="9" t="s">
        <v>301</v>
      </c>
      <c r="H215" s="11" t="s">
        <v>371</v>
      </c>
      <c r="I215" s="11" t="s">
        <v>371</v>
      </c>
      <c r="J215" t="str">
        <f>C215</f>
        <v>Nottinghamshire</v>
      </c>
      <c r="K215" s="21" t="s">
        <v>335</v>
      </c>
    </row>
    <row r="216" spans="1:11" ht="14.4">
      <c r="A216" s="5" t="str">
        <f>F216&amp;(COUNTIFS(F$2:F216,F216,K$2:K216,"Sparse"))</f>
        <v>SD41</v>
      </c>
      <c r="B216" s="5" t="str">
        <f>J216&amp;(COUNTIF(J$2:J216,J216))</f>
        <v>Warwickshire2</v>
      </c>
      <c r="C216" s="8" t="s">
        <v>347</v>
      </c>
      <c r="D216" s="8" t="s">
        <v>347</v>
      </c>
      <c r="E216" s="9" t="s">
        <v>368</v>
      </c>
      <c r="F216" s="9" t="s">
        <v>381</v>
      </c>
      <c r="G216" s="9" t="s">
        <v>5</v>
      </c>
      <c r="H216" s="10" t="s">
        <v>889</v>
      </c>
      <c r="I216" s="11" t="s">
        <v>384</v>
      </c>
      <c r="J216" t="s">
        <v>330</v>
      </c>
      <c r="K216" s="21"/>
    </row>
    <row r="217" spans="1:11" ht="14.4">
      <c r="A217" s="5" t="str">
        <f>F217&amp;(COUNTIFS(F$2:F217,F217,K$2:K217,"Sparse"))</f>
        <v>SD41</v>
      </c>
      <c r="B217" s="5" t="str">
        <f>J217&amp;(COUNTIF(J$2:J217,J217))</f>
        <v>Leicestershire8</v>
      </c>
      <c r="C217" s="8" t="s">
        <v>348</v>
      </c>
      <c r="D217" s="8" t="s">
        <v>348</v>
      </c>
      <c r="E217" s="9" t="s">
        <v>367</v>
      </c>
      <c r="F217" s="9" t="s">
        <v>381</v>
      </c>
      <c r="G217" s="9" t="s">
        <v>5</v>
      </c>
      <c r="H217" s="10" t="s">
        <v>889</v>
      </c>
      <c r="I217" s="11" t="s">
        <v>384</v>
      </c>
      <c r="J217" t="s">
        <v>317</v>
      </c>
      <c r="K217" s="21"/>
    </row>
    <row r="218" spans="1:11" ht="14.4">
      <c r="A218" s="5" t="str">
        <f>F218&amp;(COUNTIFS(F$2:F218,F218,K$2:K218,"Sparse"))</f>
        <v>MD0</v>
      </c>
      <c r="B218" s="5" t="str">
        <f>J218&amp;(COUNTIF(J$2:J218,J218))</f>
        <v>Oldham1</v>
      </c>
      <c r="C218" s="8" t="s">
        <v>239</v>
      </c>
      <c r="D218" s="8" t="s">
        <v>239</v>
      </c>
      <c r="E218" s="9" t="s">
        <v>376</v>
      </c>
      <c r="F218" s="9" t="s">
        <v>386</v>
      </c>
      <c r="G218" s="9" t="s">
        <v>397</v>
      </c>
      <c r="H218" s="10" t="s">
        <v>894</v>
      </c>
      <c r="I218" s="11" t="s">
        <v>384</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381</v>
      </c>
      <c r="G219" s="9" t="s">
        <v>5</v>
      </c>
      <c r="H219" s="10" t="s">
        <v>889</v>
      </c>
      <c r="I219" s="11" t="s">
        <v>384</v>
      </c>
      <c r="J219" t="s">
        <v>324</v>
      </c>
      <c r="K219" s="21"/>
    </row>
    <row r="220" spans="1:11" ht="14.4">
      <c r="A220" s="5" t="str">
        <f>F220&amp;(COUNTIFS(F$2:F220,F220,K$2:K220,"Sparse"))</f>
        <v>SC12</v>
      </c>
      <c r="B220" s="5" t="str">
        <f>J220&amp;(COUNTIF(J$2:J220,J220))</f>
        <v>Oxfordshire3</v>
      </c>
      <c r="C220" s="11" t="s">
        <v>324</v>
      </c>
      <c r="D220" s="11" t="s">
        <v>324</v>
      </c>
      <c r="E220" s="9" t="s">
        <v>0</v>
      </c>
      <c r="F220" s="9" t="s">
        <v>389</v>
      </c>
      <c r="G220" s="9" t="s">
        <v>301</v>
      </c>
      <c r="H220" s="11" t="s">
        <v>382</v>
      </c>
      <c r="I220" s="11" t="s">
        <v>382</v>
      </c>
      <c r="J220" t="str">
        <f>C220</f>
        <v>Oxfordshire</v>
      </c>
      <c r="K220" s="21"/>
    </row>
    <row r="221" spans="1:11" ht="14.4">
      <c r="A221" s="5" t="str">
        <f>F221&amp;(COUNTIFS(F$2:F221,F221,K$2:K221,"Sparse"))</f>
        <v>SD41</v>
      </c>
      <c r="B221" s="5" t="str">
        <f>J221&amp;(COUNTIF(J$2:J221,J221))</f>
        <v>Lancashire7</v>
      </c>
      <c r="C221" s="8" t="s">
        <v>119</v>
      </c>
      <c r="D221" s="8" t="s">
        <v>119</v>
      </c>
      <c r="E221" s="9" t="s">
        <v>376</v>
      </c>
      <c r="F221" s="9" t="s">
        <v>381</v>
      </c>
      <c r="G221" s="9" t="s">
        <v>5</v>
      </c>
      <c r="H221" s="10" t="s">
        <v>889</v>
      </c>
      <c r="I221" s="11" t="s">
        <v>384</v>
      </c>
      <c r="J221" t="s">
        <v>316</v>
      </c>
      <c r="K221" s="21"/>
    </row>
    <row r="222" spans="1:11" ht="14.4">
      <c r="A222" s="5" t="str">
        <f>F222&amp;(COUNTIFS(F$2:F222,F222,K$2:K222,"Sparse"))</f>
        <v>UA9</v>
      </c>
      <c r="B222" s="5" t="str">
        <f>J222&amp;(COUNTIF(J$2:J222,J222))</f>
        <v>Unitary34</v>
      </c>
      <c r="C222" s="8" t="s">
        <v>280</v>
      </c>
      <c r="D222" s="8" t="s">
        <v>280</v>
      </c>
      <c r="E222" s="9" t="s">
        <v>369</v>
      </c>
      <c r="F222" s="9" t="s">
        <v>387</v>
      </c>
      <c r="G222" s="9" t="s">
        <v>396</v>
      </c>
      <c r="H222" s="10" t="s">
        <v>889</v>
      </c>
      <c r="I222" s="11" t="s">
        <v>384</v>
      </c>
      <c r="J222" s="22" t="s">
        <v>396</v>
      </c>
      <c r="K222" s="21"/>
    </row>
    <row r="223" spans="1:11" ht="14.4">
      <c r="A223" s="5" t="str">
        <f>F223&amp;(COUNTIFS(F$2:F223,F223,K$2:K223,"Sparse"))</f>
        <v>UA9</v>
      </c>
      <c r="B223" s="5" t="str">
        <f>J223&amp;(COUNTIF(J$2:J223,J223))</f>
        <v>Unitary35</v>
      </c>
      <c r="C223" s="8" t="s">
        <v>281</v>
      </c>
      <c r="D223" s="8" t="s">
        <v>281</v>
      </c>
      <c r="E223" s="9" t="s">
        <v>1</v>
      </c>
      <c r="F223" s="9" t="s">
        <v>387</v>
      </c>
      <c r="G223" s="9" t="s">
        <v>396</v>
      </c>
      <c r="H223" s="10" t="s">
        <v>889</v>
      </c>
      <c r="I223" s="11" t="s">
        <v>384</v>
      </c>
      <c r="J223" s="22" t="s">
        <v>396</v>
      </c>
      <c r="K223" s="21"/>
    </row>
    <row r="224" spans="1:11" ht="14.4">
      <c r="A224" s="5" t="str">
        <f>F224&amp;(COUNTIFS(F$2:F224,F224,K$2:K224,"Sparse"))</f>
        <v>UA9</v>
      </c>
      <c r="B224" s="5" t="str">
        <f>J224&amp;(COUNTIF(J$2:J224,J224))</f>
        <v>Unitary36</v>
      </c>
      <c r="C224" s="8" t="s">
        <v>282</v>
      </c>
      <c r="D224" s="8" t="s">
        <v>282</v>
      </c>
      <c r="E224" s="9" t="s">
        <v>1</v>
      </c>
      <c r="F224" s="9" t="s">
        <v>387</v>
      </c>
      <c r="G224" s="9" t="s">
        <v>396</v>
      </c>
      <c r="H224" s="10" t="s">
        <v>889</v>
      </c>
      <c r="I224" s="11" t="s">
        <v>384</v>
      </c>
      <c r="J224" s="22" t="s">
        <v>396</v>
      </c>
      <c r="K224" s="21"/>
    </row>
    <row r="225" spans="1:11" ht="14.4">
      <c r="A225" s="5" t="str">
        <f>F225&amp;(COUNTIFS(F$2:F225,F225,K$2:K225,"Sparse"))</f>
        <v>UA9</v>
      </c>
      <c r="B225" s="5" t="str">
        <f>J225&amp;(COUNTIF(J$2:J225,J225))</f>
        <v>Unitary37</v>
      </c>
      <c r="C225" s="8" t="s">
        <v>283</v>
      </c>
      <c r="D225" s="8" t="s">
        <v>283</v>
      </c>
      <c r="E225" s="9" t="s">
        <v>0</v>
      </c>
      <c r="F225" s="9" t="s">
        <v>387</v>
      </c>
      <c r="G225" s="9" t="s">
        <v>396</v>
      </c>
      <c r="H225" s="10" t="s">
        <v>889</v>
      </c>
      <c r="I225" s="11" t="s">
        <v>384</v>
      </c>
      <c r="J225" s="22" t="s">
        <v>396</v>
      </c>
      <c r="K225" s="21"/>
    </row>
    <row r="226" spans="1:11" ht="14.4">
      <c r="A226" s="5" t="str">
        <f>F226&amp;(COUNTIFS(F$2:F226,F226,K$2:K226,"Sparse"))</f>
        <v>SD41</v>
      </c>
      <c r="B226" s="5" t="str">
        <f>J226&amp;(COUNTIF(J$2:J226,J226))</f>
        <v>Lancashire8</v>
      </c>
      <c r="C226" s="8" t="s">
        <v>120</v>
      </c>
      <c r="D226" s="8" t="s">
        <v>120</v>
      </c>
      <c r="E226" s="9" t="s">
        <v>376</v>
      </c>
      <c r="F226" s="9" t="s">
        <v>381</v>
      </c>
      <c r="G226" s="9" t="s">
        <v>5</v>
      </c>
      <c r="H226" s="10" t="s">
        <v>889</v>
      </c>
      <c r="I226" s="11" t="s">
        <v>384</v>
      </c>
      <c r="J226" t="s">
        <v>316</v>
      </c>
      <c r="K226" s="21"/>
    </row>
    <row r="227" spans="1:11" ht="14.4">
      <c r="A227" s="5" t="str">
        <f>F227&amp;(COUNTIFS(F$2:F227,F227,K$2:K227,"Sparse"))</f>
        <v>SD41</v>
      </c>
      <c r="B227" s="5" t="str">
        <f>J227&amp;(COUNTIF(J$2:J227,J227))</f>
        <v>Dorset5</v>
      </c>
      <c r="C227" s="8" t="s">
        <v>121</v>
      </c>
      <c r="D227" s="8" t="s">
        <v>121</v>
      </c>
      <c r="E227" s="9" t="s">
        <v>1</v>
      </c>
      <c r="F227" s="9" t="s">
        <v>381</v>
      </c>
      <c r="G227" s="9" t="s">
        <v>5</v>
      </c>
      <c r="H227" s="10" t="s">
        <v>890</v>
      </c>
      <c r="I227" s="11" t="s">
        <v>382</v>
      </c>
      <c r="J227" t="s">
        <v>309</v>
      </c>
      <c r="K227" s="21"/>
    </row>
    <row r="228" spans="1:11" ht="14.4">
      <c r="A228" s="5" t="str">
        <f>F228&amp;(COUNTIFS(F$2:F228,F228,K$2:K228,"Sparse"))</f>
        <v>UA9</v>
      </c>
      <c r="B228" s="5" t="str">
        <f>J228&amp;(COUNTIF(J$2:J228,J228))</f>
        <v>Unitary38</v>
      </c>
      <c r="C228" s="8" t="s">
        <v>284</v>
      </c>
      <c r="D228" s="8" t="s">
        <v>284</v>
      </c>
      <c r="E228" s="9" t="s">
        <v>0</v>
      </c>
      <c r="F228" s="9" t="s">
        <v>387</v>
      </c>
      <c r="G228" s="9" t="s">
        <v>396</v>
      </c>
      <c r="H228" s="10" t="s">
        <v>889</v>
      </c>
      <c r="I228" s="11" t="s">
        <v>384</v>
      </c>
      <c r="J228" s="22" t="s">
        <v>396</v>
      </c>
      <c r="K228" s="21"/>
    </row>
    <row r="229" spans="1:11" ht="14.4">
      <c r="A229" s="5" t="str">
        <f>F229&amp;(COUNTIFS(F$2:F229,F229,K$2:K229,"Sparse"))</f>
        <v>L0</v>
      </c>
      <c r="B229" s="5" t="str">
        <f>J229&amp;(COUNTIF(J$2:J229,J229))</f>
        <v>London26</v>
      </c>
      <c r="C229" s="8" t="s">
        <v>216</v>
      </c>
      <c r="D229" s="8" t="s">
        <v>216</v>
      </c>
      <c r="E229" s="9" t="s">
        <v>383</v>
      </c>
      <c r="F229" s="9" t="s">
        <v>359</v>
      </c>
      <c r="G229" s="9" t="s">
        <v>383</v>
      </c>
      <c r="H229" s="10" t="s">
        <v>894</v>
      </c>
      <c r="I229" s="11" t="s">
        <v>384</v>
      </c>
      <c r="J229" t="str">
        <f>G229</f>
        <v>London</v>
      </c>
      <c r="K229" s="21"/>
    </row>
    <row r="230" spans="1:11" ht="14.4">
      <c r="A230" s="5" t="str">
        <f>F230&amp;(COUNTIFS(F$2:F230,F230,K$2:K230,"Sparse"))</f>
        <v>UA9</v>
      </c>
      <c r="B230" s="5" t="str">
        <f>J230&amp;(COUNTIF(J$2:J230,J230))</f>
        <v>Unitary39</v>
      </c>
      <c r="C230" s="8" t="s">
        <v>809</v>
      </c>
      <c r="D230" s="8" t="s">
        <v>809</v>
      </c>
      <c r="E230" s="9" t="s">
        <v>390</v>
      </c>
      <c r="F230" s="9" t="s">
        <v>387</v>
      </c>
      <c r="G230" s="9" t="s">
        <v>396</v>
      </c>
      <c r="H230" s="12" t="s">
        <v>892</v>
      </c>
      <c r="I230" s="11" t="s">
        <v>371</v>
      </c>
      <c r="J230" s="22" t="s">
        <v>396</v>
      </c>
      <c r="K230" s="21"/>
    </row>
    <row r="231" spans="1:11" ht="14.4">
      <c r="A231" s="5" t="str">
        <f>F231&amp;(COUNTIFS(F$2:F231,F231,K$2:K231,"Sparse"))</f>
        <v>SD41</v>
      </c>
      <c r="B231" s="5" t="str">
        <f>J231&amp;(COUNTIF(J$2:J231,J231))</f>
        <v>Worcestershire3</v>
      </c>
      <c r="C231" s="8" t="s">
        <v>122</v>
      </c>
      <c r="D231" s="8" t="s">
        <v>122</v>
      </c>
      <c r="E231" s="9" t="s">
        <v>368</v>
      </c>
      <c r="F231" s="9" t="s">
        <v>381</v>
      </c>
      <c r="G231" s="9" t="s">
        <v>5</v>
      </c>
      <c r="H231" s="10" t="s">
        <v>889</v>
      </c>
      <c r="I231" s="11" t="s">
        <v>384</v>
      </c>
      <c r="J231" t="s">
        <v>332</v>
      </c>
      <c r="K231" s="21"/>
    </row>
    <row r="232" spans="1:11" ht="14.4">
      <c r="A232" s="5" t="str">
        <f>F232&amp;(COUNTIFS(F$2:F232,F232,K$2:K232,"Sparse"))</f>
        <v>SD41</v>
      </c>
      <c r="B232" s="5" t="str">
        <f>J232&amp;(COUNTIF(J$2:J232,J232))</f>
        <v>Surrey5</v>
      </c>
      <c r="C232" s="8" t="s">
        <v>349</v>
      </c>
      <c r="D232" s="8" t="s">
        <v>349</v>
      </c>
      <c r="E232" s="9" t="s">
        <v>0</v>
      </c>
      <c r="F232" s="9" t="s">
        <v>381</v>
      </c>
      <c r="G232" s="9" t="s">
        <v>5</v>
      </c>
      <c r="H232" s="10" t="s">
        <v>889</v>
      </c>
      <c r="I232" s="11" t="s">
        <v>384</v>
      </c>
      <c r="J232" t="s">
        <v>329</v>
      </c>
      <c r="K232" s="21"/>
    </row>
    <row r="233" spans="1:11" ht="14.4">
      <c r="A233" s="5" t="str">
        <f>F233&amp;(COUNTIFS(F$2:F233,F233,K$2:K233,"Sparse"))</f>
        <v>SD42</v>
      </c>
      <c r="B233" s="5" t="str">
        <f>J233&amp;(COUNTIF(J$2:J233,J233))</f>
        <v>Lancashire9</v>
      </c>
      <c r="C233" s="8" t="s">
        <v>123</v>
      </c>
      <c r="D233" s="8" t="s">
        <v>123</v>
      </c>
      <c r="E233" s="9" t="s">
        <v>376</v>
      </c>
      <c r="F233" s="9" t="s">
        <v>381</v>
      </c>
      <c r="G233" s="9" t="s">
        <v>5</v>
      </c>
      <c r="H233" s="10" t="s">
        <v>890</v>
      </c>
      <c r="I233" s="11" t="s">
        <v>382</v>
      </c>
      <c r="J233" t="s">
        <v>316</v>
      </c>
      <c r="K233" s="21" t="s">
        <v>335</v>
      </c>
    </row>
    <row r="234" spans="1:11" ht="14.4">
      <c r="A234" s="5" t="str">
        <f>F234&amp;(COUNTIFS(F$2:F234,F234,K$2:K234,"Sparse"))</f>
        <v>L0</v>
      </c>
      <c r="B234" s="5" t="str">
        <f>J234&amp;(COUNTIF(J$2:J234,J234))</f>
        <v>London27</v>
      </c>
      <c r="C234" s="8" t="s">
        <v>394</v>
      </c>
      <c r="D234" s="8" t="s">
        <v>394</v>
      </c>
      <c r="E234" s="9" t="s">
        <v>383</v>
      </c>
      <c r="F234" s="9" t="s">
        <v>359</v>
      </c>
      <c r="G234" s="9" t="s">
        <v>383</v>
      </c>
      <c r="H234" s="10" t="s">
        <v>894</v>
      </c>
      <c r="I234" s="11" t="s">
        <v>384</v>
      </c>
      <c r="J234" t="str">
        <f>G234</f>
        <v>London</v>
      </c>
      <c r="K234" s="21"/>
    </row>
    <row r="235" spans="1:11" ht="14.4">
      <c r="A235" s="5" t="str">
        <f>F235&amp;(COUNTIFS(F$2:F235,F235,K$2:K235,"Sparse"))</f>
        <v>SD43</v>
      </c>
      <c r="B235" s="5" t="str">
        <f>J235&amp;(COUNTIF(J$2:J235,J235))</f>
        <v>North Yorkshire5</v>
      </c>
      <c r="C235" s="8" t="s">
        <v>124</v>
      </c>
      <c r="D235" s="8" t="s">
        <v>124</v>
      </c>
      <c r="E235" s="9" t="s">
        <v>385</v>
      </c>
      <c r="F235" s="9" t="s">
        <v>381</v>
      </c>
      <c r="G235" s="9" t="s">
        <v>5</v>
      </c>
      <c r="H235" s="10" t="s">
        <v>890</v>
      </c>
      <c r="I235" s="11" t="s">
        <v>382</v>
      </c>
      <c r="J235" t="s">
        <v>320</v>
      </c>
      <c r="K235" s="21" t="s">
        <v>335</v>
      </c>
    </row>
    <row r="236" spans="1:11" ht="14.4">
      <c r="A236" s="5" t="str">
        <f>F236&amp;(COUNTIFS(F$2:F236,F236,K$2:K236,"Sparse"))</f>
        <v>MD0</v>
      </c>
      <c r="B236" s="5" t="str">
        <f>J236&amp;(COUNTIF(J$2:J236,J236))</f>
        <v>Rochdale1</v>
      </c>
      <c r="C236" s="8" t="s">
        <v>240</v>
      </c>
      <c r="D236" s="8" t="s">
        <v>240</v>
      </c>
      <c r="E236" s="9" t="s">
        <v>376</v>
      </c>
      <c r="F236" s="9" t="s">
        <v>386</v>
      </c>
      <c r="G236" s="9" t="s">
        <v>397</v>
      </c>
      <c r="H236" s="10" t="s">
        <v>894</v>
      </c>
      <c r="I236" s="11" t="s">
        <v>384</v>
      </c>
      <c r="J236" t="str">
        <f>C236</f>
        <v>Rochdale</v>
      </c>
      <c r="K236" s="21"/>
    </row>
    <row r="237" spans="1:11" ht="14.4">
      <c r="A237" s="5" t="str">
        <f>F237&amp;(COUNTIFS(F$2:F237,F237,K$2:K237,"Sparse"))</f>
        <v>SD43</v>
      </c>
      <c r="B237" s="5" t="str">
        <f>J237&amp;(COUNTIF(J$2:J237,J237))</f>
        <v>Essex11</v>
      </c>
      <c r="C237" s="8" t="s">
        <v>125</v>
      </c>
      <c r="D237" s="8" t="s">
        <v>125</v>
      </c>
      <c r="E237" s="9" t="s">
        <v>369</v>
      </c>
      <c r="F237" s="9" t="s">
        <v>381</v>
      </c>
      <c r="G237" s="9" t="s">
        <v>5</v>
      </c>
      <c r="H237" s="10" t="s">
        <v>889</v>
      </c>
      <c r="I237" s="11" t="s">
        <v>384</v>
      </c>
      <c r="J237" t="s">
        <v>311</v>
      </c>
      <c r="K237" s="21"/>
    </row>
    <row r="238" spans="1:11" ht="14.4">
      <c r="A238" s="5" t="str">
        <f>F238&amp;(COUNTIFS(F$2:F238,F238,K$2:K238,"Sparse"))</f>
        <v>SD43</v>
      </c>
      <c r="B238" s="5" t="str">
        <f>J238&amp;(COUNTIF(J$2:J238,J238))</f>
        <v>Lancashire10</v>
      </c>
      <c r="C238" s="8" t="s">
        <v>126</v>
      </c>
      <c r="D238" s="8" t="s">
        <v>126</v>
      </c>
      <c r="E238" s="9" t="s">
        <v>376</v>
      </c>
      <c r="F238" s="9" t="s">
        <v>381</v>
      </c>
      <c r="G238" s="9" t="s">
        <v>5</v>
      </c>
      <c r="H238" s="10" t="s">
        <v>889</v>
      </c>
      <c r="I238" s="11" t="s">
        <v>384</v>
      </c>
      <c r="J238" t="s">
        <v>316</v>
      </c>
      <c r="K238" s="21"/>
    </row>
    <row r="239" spans="1:11" ht="14.4">
      <c r="A239" s="5" t="str">
        <f>F239&amp;(COUNTIFS(F$2:F239,F239,K$2:K239,"Sparse"))</f>
        <v>SD44</v>
      </c>
      <c r="B239" s="5" t="str">
        <f>J239&amp;(COUNTIF(J$2:J239,J239))</f>
        <v>East Sussex5</v>
      </c>
      <c r="C239" s="8" t="s">
        <v>127</v>
      </c>
      <c r="D239" s="8" t="s">
        <v>127</v>
      </c>
      <c r="E239" s="9" t="s">
        <v>0</v>
      </c>
      <c r="F239" s="9" t="s">
        <v>381</v>
      </c>
      <c r="G239" s="9" t="s">
        <v>5</v>
      </c>
      <c r="H239" s="10" t="s">
        <v>893</v>
      </c>
      <c r="I239" s="11" t="s">
        <v>382</v>
      </c>
      <c r="J239" t="s">
        <v>310</v>
      </c>
      <c r="K239" s="21" t="s">
        <v>335</v>
      </c>
    </row>
    <row r="240" spans="1:11" ht="14.4">
      <c r="A240" s="5" t="str">
        <f>F240&amp;(COUNTIFS(F$2:F240,F240,K$2:K240,"Sparse"))</f>
        <v>MD0</v>
      </c>
      <c r="B240" s="5" t="str">
        <f>J240&amp;(COUNTIF(J$2:J240,J240))</f>
        <v>Rotherham1</v>
      </c>
      <c r="C240" s="8" t="s">
        <v>241</v>
      </c>
      <c r="D240" s="8" t="s">
        <v>241</v>
      </c>
      <c r="E240" s="9" t="s">
        <v>385</v>
      </c>
      <c r="F240" s="9" t="s">
        <v>386</v>
      </c>
      <c r="G240" s="9" t="s">
        <v>397</v>
      </c>
      <c r="H240" s="10" t="s">
        <v>891</v>
      </c>
      <c r="I240" s="11" t="s">
        <v>384</v>
      </c>
      <c r="J240" t="str">
        <f>C240</f>
        <v>Rotherham</v>
      </c>
      <c r="K240" s="21"/>
    </row>
    <row r="241" spans="1:11" ht="14.4">
      <c r="A241" s="5" t="str">
        <f>F241&amp;(COUNTIFS(F$2:F241,F241,K$2:K241,"Sparse"))</f>
        <v>SD45</v>
      </c>
      <c r="B241" s="5" t="str">
        <f>J241&amp;(COUNTIF(J$2:J241,J241))</f>
        <v>Warwickshire3</v>
      </c>
      <c r="C241" s="8" t="s">
        <v>128</v>
      </c>
      <c r="D241" s="8" t="s">
        <v>128</v>
      </c>
      <c r="E241" s="9" t="s">
        <v>368</v>
      </c>
      <c r="F241" s="9" t="s">
        <v>381</v>
      </c>
      <c r="G241" s="9" t="s">
        <v>5</v>
      </c>
      <c r="H241" s="12" t="s">
        <v>889</v>
      </c>
      <c r="I241" s="11" t="s">
        <v>384</v>
      </c>
      <c r="J241" t="s">
        <v>330</v>
      </c>
      <c r="K241" s="21" t="s">
        <v>335</v>
      </c>
    </row>
    <row r="242" spans="1:11" ht="14.4">
      <c r="A242" s="5" t="str">
        <f>F242&amp;(COUNTIFS(F$2:F242,F242,K$2:K242,"Sparse"))</f>
        <v>SD45</v>
      </c>
      <c r="B242" s="5" t="str">
        <f>J242&amp;(COUNTIF(J$2:J242,J242))</f>
        <v>Surrey6</v>
      </c>
      <c r="C242" s="8" t="s">
        <v>129</v>
      </c>
      <c r="D242" s="8" t="s">
        <v>129</v>
      </c>
      <c r="E242" s="9" t="s">
        <v>0</v>
      </c>
      <c r="F242" s="9" t="s">
        <v>381</v>
      </c>
      <c r="G242" s="9" t="s">
        <v>5</v>
      </c>
      <c r="H242" s="10" t="s">
        <v>894</v>
      </c>
      <c r="I242" s="11" t="s">
        <v>384</v>
      </c>
      <c r="J242" t="s">
        <v>329</v>
      </c>
      <c r="K242" s="21"/>
    </row>
    <row r="243" spans="1:11" ht="14.4">
      <c r="A243" s="5" t="str">
        <f>F243&amp;(COUNTIFS(F$2:F243,F243,K$2:K243,"Sparse"))</f>
        <v>SD45</v>
      </c>
      <c r="B243" s="5" t="str">
        <f>J243&amp;(COUNTIF(J$2:J243,J243))</f>
        <v>Nottinghamshire8</v>
      </c>
      <c r="C243" s="8" t="s">
        <v>130</v>
      </c>
      <c r="D243" s="8" t="s">
        <v>130</v>
      </c>
      <c r="E243" s="9" t="s">
        <v>367</v>
      </c>
      <c r="F243" s="9" t="s">
        <v>381</v>
      </c>
      <c r="G243" s="9" t="s">
        <v>5</v>
      </c>
      <c r="H243" s="10" t="s">
        <v>893</v>
      </c>
      <c r="I243" s="11" t="s">
        <v>382</v>
      </c>
      <c r="J243" t="s">
        <v>323</v>
      </c>
      <c r="K243" s="21"/>
    </row>
    <row r="244" spans="1:11" ht="14.4">
      <c r="A244" s="5" t="str">
        <f>F244&amp;(COUNTIFS(F$2:F244,F244,K$2:K244,"Sparse"))</f>
        <v>SD45</v>
      </c>
      <c r="B244" s="5" t="str">
        <f>J244&amp;(COUNTIF(J$2:J244,J244))</f>
        <v>Hampshire10</v>
      </c>
      <c r="C244" s="8" t="s">
        <v>131</v>
      </c>
      <c r="D244" s="8" t="s">
        <v>131</v>
      </c>
      <c r="E244" s="9" t="s">
        <v>0</v>
      </c>
      <c r="F244" s="9" t="s">
        <v>381</v>
      </c>
      <c r="G244" s="9" t="s">
        <v>5</v>
      </c>
      <c r="H244" s="10" t="s">
        <v>889</v>
      </c>
      <c r="I244" s="11" t="s">
        <v>384</v>
      </c>
      <c r="J244" t="s">
        <v>313</v>
      </c>
      <c r="K244" s="21"/>
    </row>
    <row r="245" spans="1:11" ht="14.4">
      <c r="A245" s="5" t="str">
        <f>F245&amp;(COUNTIFS(F$2:F245,F245,K$2:K245,"Sparse"))</f>
        <v>UA10</v>
      </c>
      <c r="B245" s="5" t="str">
        <f>J245&amp;(COUNTIF(J$2:J245,J245))</f>
        <v>Unitary40</v>
      </c>
      <c r="C245" s="8" t="s">
        <v>285</v>
      </c>
      <c r="D245" s="8" t="s">
        <v>285</v>
      </c>
      <c r="E245" s="9" t="s">
        <v>367</v>
      </c>
      <c r="F245" s="9" t="s">
        <v>387</v>
      </c>
      <c r="G245" s="9" t="s">
        <v>396</v>
      </c>
      <c r="H245" s="10" t="s">
        <v>890</v>
      </c>
      <c r="I245" s="11" t="s">
        <v>382</v>
      </c>
      <c r="J245" s="22" t="s">
        <v>396</v>
      </c>
      <c r="K245" s="21" t="s">
        <v>335</v>
      </c>
    </row>
    <row r="246" spans="1:11" ht="14.4">
      <c r="A246" s="5" t="str">
        <f>F246&amp;(COUNTIFS(F$2:F246,F246,K$2:K246,"Sparse"))</f>
        <v>SD46</v>
      </c>
      <c r="B246" s="5" t="str">
        <f>J246&amp;(COUNTIF(J$2:J246,J246))</f>
        <v>North Yorkshire6</v>
      </c>
      <c r="C246" s="8" t="s">
        <v>132</v>
      </c>
      <c r="D246" s="8" t="s">
        <v>132</v>
      </c>
      <c r="E246" s="9" t="s">
        <v>385</v>
      </c>
      <c r="F246" s="9" t="s">
        <v>381</v>
      </c>
      <c r="G246" s="9" t="s">
        <v>5</v>
      </c>
      <c r="H246" s="10" t="s">
        <v>890</v>
      </c>
      <c r="I246" s="11" t="s">
        <v>382</v>
      </c>
      <c r="J246" t="s">
        <v>320</v>
      </c>
      <c r="K246" s="21" t="s">
        <v>335</v>
      </c>
    </row>
    <row r="247" spans="1:11" ht="14.4">
      <c r="A247" s="5" t="str">
        <f>F247&amp;(COUNTIFS(F$2:F247,F247,K$2:K247,"Sparse"))</f>
        <v>MD0</v>
      </c>
      <c r="B247" s="5" t="str">
        <f>J247&amp;(COUNTIF(J$2:J247,J247))</f>
        <v>Salford1</v>
      </c>
      <c r="C247" s="8" t="s">
        <v>242</v>
      </c>
      <c r="D247" s="8" t="s">
        <v>242</v>
      </c>
      <c r="E247" s="9" t="s">
        <v>376</v>
      </c>
      <c r="F247" s="9" t="s">
        <v>386</v>
      </c>
      <c r="G247" s="9" t="s">
        <v>397</v>
      </c>
      <c r="H247" s="10" t="s">
        <v>894</v>
      </c>
      <c r="I247" s="11" t="s">
        <v>384</v>
      </c>
      <c r="J247" t="str">
        <f>C247</f>
        <v>Salford</v>
      </c>
      <c r="K247" s="21"/>
    </row>
    <row r="248" spans="1:11" ht="14.4">
      <c r="A248" s="5" t="str">
        <f>F248&amp;(COUNTIFS(F$2:F248,F248,K$2:K248,"Sparse"))</f>
        <v>MD0</v>
      </c>
      <c r="B248" s="5" t="str">
        <f>J248&amp;(COUNTIF(J$2:J248,J248))</f>
        <v>Sandwell1</v>
      </c>
      <c r="C248" s="8" t="s">
        <v>243</v>
      </c>
      <c r="D248" s="8" t="s">
        <v>243</v>
      </c>
      <c r="E248" s="9" t="s">
        <v>368</v>
      </c>
      <c r="F248" s="9" t="s">
        <v>386</v>
      </c>
      <c r="G248" s="9" t="s">
        <v>397</v>
      </c>
      <c r="H248" s="10" t="s">
        <v>894</v>
      </c>
      <c r="I248" s="11" t="s">
        <v>384</v>
      </c>
      <c r="J248" t="str">
        <f>C248</f>
        <v>Sandwell</v>
      </c>
      <c r="K248" s="21"/>
    </row>
    <row r="249" spans="1:11" ht="14.4">
      <c r="A249" s="5" t="str">
        <f>F249&amp;(COUNTIFS(F$2:F249,F249,K$2:K249,"Sparse"))</f>
        <v>SD47</v>
      </c>
      <c r="B249" s="5" t="str">
        <f>J249&amp;(COUNTIF(J$2:J249,J249))</f>
        <v>North Yorkshire7</v>
      </c>
      <c r="C249" s="8" t="s">
        <v>133</v>
      </c>
      <c r="D249" s="8" t="s">
        <v>133</v>
      </c>
      <c r="E249" s="9" t="s">
        <v>385</v>
      </c>
      <c r="F249" s="9" t="s">
        <v>381</v>
      </c>
      <c r="G249" s="9" t="s">
        <v>5</v>
      </c>
      <c r="H249" s="12" t="s">
        <v>892</v>
      </c>
      <c r="I249" s="11" t="s">
        <v>371</v>
      </c>
      <c r="J249" t="s">
        <v>320</v>
      </c>
      <c r="K249" s="21" t="s">
        <v>335</v>
      </c>
    </row>
    <row r="250" spans="1:11" ht="14.4">
      <c r="A250" s="5" t="str">
        <f>F250&amp;(COUNTIFS(F$2:F250,F250,K$2:K250,"Sparse"))</f>
        <v>SD48</v>
      </c>
      <c r="B250" s="5" t="str">
        <f>J250&amp;(COUNTIF(J$2:J250,J250))</f>
        <v>Somerset2</v>
      </c>
      <c r="C250" s="8" t="s">
        <v>134</v>
      </c>
      <c r="D250" s="8" t="s">
        <v>134</v>
      </c>
      <c r="E250" s="9" t="s">
        <v>1</v>
      </c>
      <c r="F250" s="9" t="s">
        <v>381</v>
      </c>
      <c r="G250" s="9" t="s">
        <v>5</v>
      </c>
      <c r="H250" s="10" t="s">
        <v>893</v>
      </c>
      <c r="I250" s="11" t="s">
        <v>382</v>
      </c>
      <c r="J250" t="s">
        <v>326</v>
      </c>
      <c r="K250" s="21" t="s">
        <v>335</v>
      </c>
    </row>
    <row r="251" spans="1:11" ht="14.4">
      <c r="A251" s="5" t="str">
        <f>F251&amp;(COUNTIFS(F$2:F251,F251,K$2:K251,"Sparse"))</f>
        <v>MD0</v>
      </c>
      <c r="B251" s="5" t="str">
        <f>J251&amp;(COUNTIF(J$2:J251,J251))</f>
        <v>Sefton1</v>
      </c>
      <c r="C251" s="8" t="s">
        <v>244</v>
      </c>
      <c r="D251" s="8" t="s">
        <v>244</v>
      </c>
      <c r="E251" s="9" t="s">
        <v>376</v>
      </c>
      <c r="F251" s="9" t="s">
        <v>386</v>
      </c>
      <c r="G251" s="9" t="s">
        <v>397</v>
      </c>
      <c r="H251" s="10" t="s">
        <v>894</v>
      </c>
      <c r="I251" s="11" t="s">
        <v>384</v>
      </c>
      <c r="J251" t="str">
        <f>C251</f>
        <v>Sefton</v>
      </c>
      <c r="K251" s="21"/>
    </row>
    <row r="252" spans="1:11" ht="14.4">
      <c r="A252" s="5" t="str">
        <f>F252&amp;(COUNTIFS(F$2:F252,F252,K$2:K252,"Sparse"))</f>
        <v>SD49</v>
      </c>
      <c r="B252" s="5" t="str">
        <f>J252&amp;(COUNTIF(J$2:J252,J252))</f>
        <v>North Yorkshire8</v>
      </c>
      <c r="C252" s="8" t="s">
        <v>135</v>
      </c>
      <c r="D252" s="8" t="s">
        <v>135</v>
      </c>
      <c r="E252" s="9" t="s">
        <v>385</v>
      </c>
      <c r="F252" s="9" t="s">
        <v>381</v>
      </c>
      <c r="G252" s="9" t="s">
        <v>5</v>
      </c>
      <c r="H252" s="10" t="s">
        <v>890</v>
      </c>
      <c r="I252" s="11" t="s">
        <v>382</v>
      </c>
      <c r="J252" t="s">
        <v>320</v>
      </c>
      <c r="K252" s="21" t="s">
        <v>335</v>
      </c>
    </row>
    <row r="253" spans="1:11" ht="14.4">
      <c r="A253" s="5" t="str">
        <f>F253&amp;(COUNTIFS(F$2:F253,F253,K$2:K253,"Sparse"))</f>
        <v>SD50</v>
      </c>
      <c r="B253" s="5" t="str">
        <f>J253&amp;(COUNTIF(J$2:J253,J253))</f>
        <v>Kent8</v>
      </c>
      <c r="C253" s="8" t="s">
        <v>136</v>
      </c>
      <c r="D253" s="8" t="s">
        <v>136</v>
      </c>
      <c r="E253" s="9" t="s">
        <v>0</v>
      </c>
      <c r="F253" s="9" t="s">
        <v>381</v>
      </c>
      <c r="G253" s="9" t="s">
        <v>5</v>
      </c>
      <c r="H253" s="10" t="s">
        <v>893</v>
      </c>
      <c r="I253" s="11" t="s">
        <v>382</v>
      </c>
      <c r="J253" t="s">
        <v>315</v>
      </c>
      <c r="K253" s="21" t="s">
        <v>335</v>
      </c>
    </row>
    <row r="254" spans="1:11" ht="14.4">
      <c r="A254" s="5" t="str">
        <f>F254&amp;(COUNTIFS(F$2:F254,F254,K$2:K254,"Sparse"))</f>
        <v>MD0</v>
      </c>
      <c r="B254" s="5" t="str">
        <f>J254&amp;(COUNTIF(J$2:J254,J254))</f>
        <v>Sheffield1</v>
      </c>
      <c r="C254" s="8" t="s">
        <v>245</v>
      </c>
      <c r="D254" s="8" t="s">
        <v>245</v>
      </c>
      <c r="E254" s="9" t="s">
        <v>385</v>
      </c>
      <c r="F254" s="9" t="s">
        <v>386</v>
      </c>
      <c r="G254" s="9" t="s">
        <v>397</v>
      </c>
      <c r="H254" s="10" t="s">
        <v>891</v>
      </c>
      <c r="I254" s="11" t="s">
        <v>384</v>
      </c>
      <c r="J254" t="str">
        <f>C254</f>
        <v>Sheffield</v>
      </c>
      <c r="K254" s="21"/>
    </row>
    <row r="255" spans="1:11" ht="14.4">
      <c r="A255" s="5" t="str">
        <f>F255&amp;(COUNTIFS(F$2:F255,F255,K$2:K255,"Sparse"))</f>
        <v>SD51</v>
      </c>
      <c r="B255" s="5" t="str">
        <f>J255&amp;(COUNTIF(J$2:J255,J255))</f>
        <v>Kent9</v>
      </c>
      <c r="C255" s="8" t="s">
        <v>898</v>
      </c>
      <c r="D255" s="8" t="s">
        <v>898</v>
      </c>
      <c r="E255" s="9" t="s">
        <v>0</v>
      </c>
      <c r="F255" s="9" t="s">
        <v>381</v>
      </c>
      <c r="G255" s="9" t="s">
        <v>5</v>
      </c>
      <c r="H255" s="12" t="s">
        <v>892</v>
      </c>
      <c r="I255" s="11" t="s">
        <v>371</v>
      </c>
      <c r="J255" t="s">
        <v>315</v>
      </c>
      <c r="K255" s="21" t="s">
        <v>335</v>
      </c>
    </row>
    <row r="256" spans="1:11" ht="14.4">
      <c r="A256" s="5" t="str">
        <f>F256&amp;(COUNTIFS(F$2:F256,F256,K$2:K256,"Sparse"))</f>
        <v>UA11</v>
      </c>
      <c r="B256" s="5" t="str">
        <f>J256&amp;(COUNTIF(J$2:J256,J256))</f>
        <v>Unitary41</v>
      </c>
      <c r="C256" s="8" t="s">
        <v>325</v>
      </c>
      <c r="D256" s="8" t="s">
        <v>325</v>
      </c>
      <c r="E256" s="9" t="s">
        <v>368</v>
      </c>
      <c r="F256" s="9" t="s">
        <v>387</v>
      </c>
      <c r="G256" s="9" t="s">
        <v>396</v>
      </c>
      <c r="H256" s="12" t="s">
        <v>893</v>
      </c>
      <c r="I256" s="11" t="s">
        <v>382</v>
      </c>
      <c r="J256" s="22" t="s">
        <v>396</v>
      </c>
      <c r="K256" s="21" t="s">
        <v>335</v>
      </c>
    </row>
    <row r="257" spans="1:11" ht="14.4">
      <c r="A257" s="5" t="str">
        <f>F257&amp;(COUNTIFS(F$2:F257,F257,K$2:K257,"Sparse"))</f>
        <v>UA11</v>
      </c>
      <c r="B257" s="5" t="str">
        <f>J257&amp;(COUNTIF(J$2:J257,J257))</f>
        <v>Unitary42</v>
      </c>
      <c r="C257" s="8" t="s">
        <v>286</v>
      </c>
      <c r="D257" s="8" t="s">
        <v>286</v>
      </c>
      <c r="E257" s="9" t="s">
        <v>0</v>
      </c>
      <c r="F257" s="9" t="s">
        <v>387</v>
      </c>
      <c r="G257" s="9" t="s">
        <v>396</v>
      </c>
      <c r="H257" s="10" t="s">
        <v>889</v>
      </c>
      <c r="I257" s="11" t="s">
        <v>384</v>
      </c>
      <c r="J257" s="22" t="s">
        <v>396</v>
      </c>
      <c r="K257" s="21"/>
    </row>
    <row r="258" spans="1:11" ht="14.4">
      <c r="A258" s="5" t="str">
        <f>F258&amp;(COUNTIFS(F$2:F258,F258,K$2:K258,"Sparse"))</f>
        <v>MD0</v>
      </c>
      <c r="B258" s="5" t="str">
        <f>J258&amp;(COUNTIF(J$2:J258,J258))</f>
        <v>Solihull1</v>
      </c>
      <c r="C258" s="8" t="s">
        <v>246</v>
      </c>
      <c r="D258" s="8" t="s">
        <v>246</v>
      </c>
      <c r="E258" s="9" t="s">
        <v>368</v>
      </c>
      <c r="F258" s="9" t="s">
        <v>386</v>
      </c>
      <c r="G258" s="9" t="s">
        <v>397</v>
      </c>
      <c r="H258" s="10" t="s">
        <v>894</v>
      </c>
      <c r="I258" s="11" t="s">
        <v>384</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389</v>
      </c>
      <c r="G259" s="9" t="s">
        <v>301</v>
      </c>
      <c r="H259" s="11" t="s">
        <v>382</v>
      </c>
      <c r="I259" s="11" t="s">
        <v>382</v>
      </c>
      <c r="J259" t="str">
        <f>C259</f>
        <v>Somerset</v>
      </c>
      <c r="K259" s="21"/>
    </row>
    <row r="260" spans="1:11" ht="14.4">
      <c r="A260" s="5" t="str">
        <f>F260&amp;(COUNTIFS(F$2:F260,F260,K$2:K260,"Sparse"))</f>
        <v>SD52</v>
      </c>
      <c r="B260" s="5" t="str">
        <f>J260&amp;(COUNTIF(J$2:J260,J260))</f>
        <v>Somerset4</v>
      </c>
      <c r="C260" t="s">
        <v>914</v>
      </c>
      <c r="D260" t="s">
        <v>914</v>
      </c>
      <c r="E260" s="280" t="s">
        <v>1</v>
      </c>
      <c r="F260" s="280" t="s">
        <v>381</v>
      </c>
      <c r="G260" s="280" t="s">
        <v>5</v>
      </c>
      <c r="H260" s="281" t="s">
        <v>913</v>
      </c>
      <c r="I260" s="282" t="s">
        <v>382</v>
      </c>
      <c r="J260" t="s">
        <v>326</v>
      </c>
      <c r="K260" t="s">
        <v>335</v>
      </c>
    </row>
    <row r="261" spans="1:11" ht="14.4">
      <c r="A261" s="5" t="str">
        <f>F261&amp;(COUNTIFS(F$2:F261,F261,K$2:K261,"Sparse"))</f>
        <v>SD52</v>
      </c>
      <c r="B261" s="5" t="str">
        <f>J261&amp;(COUNTIF(J$2:J261,J261))</f>
        <v>Buckinghamshire4</v>
      </c>
      <c r="C261" s="8" t="s">
        <v>137</v>
      </c>
      <c r="D261" s="8" t="s">
        <v>137</v>
      </c>
      <c r="E261" s="9" t="s">
        <v>0</v>
      </c>
      <c r="F261" s="9" t="s">
        <v>381</v>
      </c>
      <c r="G261" s="9" t="s">
        <v>5</v>
      </c>
      <c r="H261" s="10" t="s">
        <v>892</v>
      </c>
      <c r="I261" s="11" t="s">
        <v>371</v>
      </c>
      <c r="J261" t="s">
        <v>300</v>
      </c>
      <c r="K261" s="21"/>
    </row>
    <row r="262" spans="1:11" ht="14.4">
      <c r="A262" s="5" t="str">
        <f>F262&amp;(COUNTIFS(F$2:F262,F262,K$2:K262,"Sparse"))</f>
        <v>SD53</v>
      </c>
      <c r="B262" s="5" t="str">
        <f>J262&amp;(COUNTIF(J$2:J262,J262))</f>
        <v>Cambridgeshire6</v>
      </c>
      <c r="C262" s="8" t="s">
        <v>138</v>
      </c>
      <c r="D262" s="8" t="s">
        <v>138</v>
      </c>
      <c r="E262" s="9" t="s">
        <v>369</v>
      </c>
      <c r="F262" s="9" t="s">
        <v>381</v>
      </c>
      <c r="G262" s="9" t="s">
        <v>5</v>
      </c>
      <c r="H262" s="10" t="s">
        <v>893</v>
      </c>
      <c r="I262" s="11" t="s">
        <v>382</v>
      </c>
      <c r="J262" t="s">
        <v>302</v>
      </c>
      <c r="K262" s="21" t="s">
        <v>335</v>
      </c>
    </row>
    <row r="263" spans="1:11" ht="14.4">
      <c r="A263" s="5" t="str">
        <f>F263&amp;(COUNTIFS(F$2:F263,F263,K$2:K263,"Sparse"))</f>
        <v>SD54</v>
      </c>
      <c r="B263" s="5" t="str">
        <f>J263&amp;(COUNTIF(J$2:J263,J263))</f>
        <v>Derbyshire9</v>
      </c>
      <c r="C263" s="8" t="s">
        <v>139</v>
      </c>
      <c r="D263" s="8" t="s">
        <v>139</v>
      </c>
      <c r="E263" s="9" t="s">
        <v>367</v>
      </c>
      <c r="F263" s="9" t="s">
        <v>381</v>
      </c>
      <c r="G263" s="9" t="s">
        <v>5</v>
      </c>
      <c r="H263" s="12" t="s">
        <v>892</v>
      </c>
      <c r="I263" s="11" t="s">
        <v>371</v>
      </c>
      <c r="J263" t="s">
        <v>307</v>
      </c>
      <c r="K263" s="21" t="s">
        <v>335</v>
      </c>
    </row>
    <row r="264" spans="1:11" ht="14.4">
      <c r="A264" s="5" t="str">
        <f>F264&amp;(COUNTIFS(F$2:F264,F264,K$2:K264,"Sparse"))</f>
        <v>UA11</v>
      </c>
      <c r="B264" s="5" t="str">
        <f>J264&amp;(COUNTIF(J$2:J264,J264))</f>
        <v>Unitary43</v>
      </c>
      <c r="C264" s="8" t="s">
        <v>287</v>
      </c>
      <c r="D264" s="8" t="s">
        <v>287</v>
      </c>
      <c r="E264" s="9" t="s">
        <v>1</v>
      </c>
      <c r="F264" s="9" t="s">
        <v>387</v>
      </c>
      <c r="G264" s="9" t="s">
        <v>396</v>
      </c>
      <c r="H264" s="10" t="s">
        <v>889</v>
      </c>
      <c r="I264" s="11" t="s">
        <v>384</v>
      </c>
      <c r="J264" s="22" t="s">
        <v>396</v>
      </c>
      <c r="K264" s="21"/>
    </row>
    <row r="265" spans="1:11" ht="14.4">
      <c r="A265" s="5" t="str">
        <f>F265&amp;(COUNTIFS(F$2:F265,F265,K$2:K265,"Sparse"))</f>
        <v>SD55</v>
      </c>
      <c r="B265" s="5" t="str">
        <f>J265&amp;(COUNTIF(J$2:J265,J265))</f>
        <v>Devon6</v>
      </c>
      <c r="C265" s="8" t="s">
        <v>140</v>
      </c>
      <c r="D265" s="8" t="s">
        <v>140</v>
      </c>
      <c r="E265" s="9" t="s">
        <v>1</v>
      </c>
      <c r="F265" s="9" t="s">
        <v>381</v>
      </c>
      <c r="G265" s="9" t="s">
        <v>5</v>
      </c>
      <c r="H265" s="10" t="s">
        <v>890</v>
      </c>
      <c r="I265" s="11" t="s">
        <v>382</v>
      </c>
      <c r="J265" t="s">
        <v>308</v>
      </c>
      <c r="K265" s="21" t="s">
        <v>335</v>
      </c>
    </row>
    <row r="266" spans="1:11" ht="14.4">
      <c r="A266" s="5" t="str">
        <f>F266&amp;(COUNTIFS(F$2:F266,F266,K$2:K266,"Sparse"))</f>
        <v>SD56</v>
      </c>
      <c r="B266" s="5" t="str">
        <f>J266&amp;(COUNTIF(J$2:J266,J266))</f>
        <v>Lincolnshire6</v>
      </c>
      <c r="C266" s="8" t="s">
        <v>141</v>
      </c>
      <c r="D266" s="8" t="s">
        <v>141</v>
      </c>
      <c r="E266" s="9" t="s">
        <v>367</v>
      </c>
      <c r="F266" s="9" t="s">
        <v>381</v>
      </c>
      <c r="G266" s="9" t="s">
        <v>5</v>
      </c>
      <c r="H266" s="10" t="s">
        <v>893</v>
      </c>
      <c r="I266" s="11" t="s">
        <v>382</v>
      </c>
      <c r="J266" t="s">
        <v>318</v>
      </c>
      <c r="K266" s="21" t="s">
        <v>335</v>
      </c>
    </row>
    <row r="267" spans="1:11" ht="14.4">
      <c r="A267" s="5" t="str">
        <f>F267&amp;(COUNTIFS(F$2:F267,F267,K$2:K267,"Sparse"))</f>
        <v>SD57</v>
      </c>
      <c r="B267" s="5" t="str">
        <f>J267&amp;(COUNTIF(J$2:J267,J267))</f>
        <v>Lincolnshire7</v>
      </c>
      <c r="C267" s="8" t="s">
        <v>142</v>
      </c>
      <c r="D267" s="8" t="s">
        <v>142</v>
      </c>
      <c r="E267" s="9" t="s">
        <v>367</v>
      </c>
      <c r="F267" s="9" t="s">
        <v>381</v>
      </c>
      <c r="G267" s="9" t="s">
        <v>5</v>
      </c>
      <c r="H267" s="10" t="s">
        <v>893</v>
      </c>
      <c r="I267" s="11" t="s">
        <v>382</v>
      </c>
      <c r="J267" t="s">
        <v>318</v>
      </c>
      <c r="K267" s="21" t="s">
        <v>335</v>
      </c>
    </row>
    <row r="268" spans="1:11" ht="14.4">
      <c r="A268" s="5" t="str">
        <f>F268&amp;(COUNTIFS(F$2:F268,F268,K$2:K268,"Sparse"))</f>
        <v>SD58</v>
      </c>
      <c r="B268" s="5" t="str">
        <f>J268&amp;(COUNTIF(J$2:J268,J268))</f>
        <v>Cumbria7</v>
      </c>
      <c r="C268" s="8" t="s">
        <v>143</v>
      </c>
      <c r="D268" s="8" t="s">
        <v>143</v>
      </c>
      <c r="E268" s="9" t="s">
        <v>376</v>
      </c>
      <c r="F268" s="9" t="s">
        <v>381</v>
      </c>
      <c r="G268" s="9" t="s">
        <v>5</v>
      </c>
      <c r="H268" s="10" t="s">
        <v>890</v>
      </c>
      <c r="I268" s="11" t="s">
        <v>382</v>
      </c>
      <c r="J268" t="s">
        <v>306</v>
      </c>
      <c r="K268" s="21" t="s">
        <v>335</v>
      </c>
    </row>
    <row r="269" spans="1:11" ht="14.4">
      <c r="A269" s="5" t="str">
        <f>F269&amp;(COUNTIFS(F$2:F269,F269,K$2:K269,"Sparse"))</f>
        <v>SD59</v>
      </c>
      <c r="B269" s="5" t="str">
        <f>J269&amp;(COUNTIF(J$2:J269,J269))</f>
        <v>Norfolk8</v>
      </c>
      <c r="C269" s="8" t="s">
        <v>144</v>
      </c>
      <c r="D269" s="8" t="s">
        <v>144</v>
      </c>
      <c r="E269" s="9" t="s">
        <v>369</v>
      </c>
      <c r="F269" s="9" t="s">
        <v>381</v>
      </c>
      <c r="G269" s="9" t="s">
        <v>5</v>
      </c>
      <c r="H269" s="10" t="s">
        <v>890</v>
      </c>
      <c r="I269" s="11" t="s">
        <v>382</v>
      </c>
      <c r="J269" t="s">
        <v>319</v>
      </c>
      <c r="K269" s="21" t="s">
        <v>335</v>
      </c>
    </row>
    <row r="270" spans="1:11" ht="14.4">
      <c r="A270" s="5" t="str">
        <f>F270&amp;(COUNTIFS(F$2:F270,F270,K$2:K270,"Sparse"))</f>
        <v>SD60</v>
      </c>
      <c r="B270" s="5" t="str">
        <f>J270&amp;(COUNTIF(J$2:J270,J270))</f>
        <v>Northamptonshire7</v>
      </c>
      <c r="C270" s="8" t="s">
        <v>145</v>
      </c>
      <c r="D270" s="8" t="s">
        <v>145</v>
      </c>
      <c r="E270" s="9" t="s">
        <v>367</v>
      </c>
      <c r="F270" s="9" t="s">
        <v>381</v>
      </c>
      <c r="G270" s="9" t="s">
        <v>5</v>
      </c>
      <c r="H270" s="10" t="s">
        <v>890</v>
      </c>
      <c r="I270" s="11" t="s">
        <v>382</v>
      </c>
      <c r="J270" t="s">
        <v>321</v>
      </c>
      <c r="K270" s="21" t="s">
        <v>335</v>
      </c>
    </row>
    <row r="271" spans="1:11" ht="14.4">
      <c r="A271" s="5" t="str">
        <f>F271&amp;(COUNTIFS(F$2:F271,F271,K$2:K271,"Sparse"))</f>
        <v>SD61</v>
      </c>
      <c r="B271" s="5" t="str">
        <f>J271&amp;(COUNTIF(J$2:J271,J271))</f>
        <v>Oxfordshire4</v>
      </c>
      <c r="C271" s="8" t="s">
        <v>146</v>
      </c>
      <c r="D271" s="8" t="s">
        <v>146</v>
      </c>
      <c r="E271" s="9" t="s">
        <v>0</v>
      </c>
      <c r="F271" s="9" t="s">
        <v>381</v>
      </c>
      <c r="G271" s="9" t="s">
        <v>5</v>
      </c>
      <c r="H271" s="10" t="s">
        <v>890</v>
      </c>
      <c r="I271" s="11" t="s">
        <v>382</v>
      </c>
      <c r="J271" t="s">
        <v>324</v>
      </c>
      <c r="K271" s="21" t="s">
        <v>335</v>
      </c>
    </row>
    <row r="272" spans="1:11" ht="14.4">
      <c r="A272" s="5" t="str">
        <f>F272&amp;(COUNTIFS(F$2:F272,F272,K$2:K272,"Sparse"))</f>
        <v>SD61</v>
      </c>
      <c r="B272" s="5" t="str">
        <f>J272&amp;(COUNTIF(J$2:J272,J272))</f>
        <v>Lancashire11</v>
      </c>
      <c r="C272" s="8" t="s">
        <v>147</v>
      </c>
      <c r="D272" s="8" t="s">
        <v>147</v>
      </c>
      <c r="E272" s="9" t="s">
        <v>376</v>
      </c>
      <c r="F272" s="9" t="s">
        <v>381</v>
      </c>
      <c r="G272" s="9" t="s">
        <v>5</v>
      </c>
      <c r="H272" s="10" t="s">
        <v>889</v>
      </c>
      <c r="I272" s="11" t="s">
        <v>384</v>
      </c>
      <c r="J272" t="s">
        <v>316</v>
      </c>
      <c r="K272" s="21"/>
    </row>
    <row r="273" spans="1:11" ht="14.4">
      <c r="A273" s="5" t="str">
        <f>F273&amp;(COUNTIFS(F$2:F273,F273,K$2:K273,"Sparse"))</f>
        <v>SD62</v>
      </c>
      <c r="B273" s="5" t="str">
        <f>J273&amp;(COUNTIF(J$2:J273,J273))</f>
        <v>Somerset5</v>
      </c>
      <c r="C273" s="8" t="s">
        <v>148</v>
      </c>
      <c r="D273" s="8" t="s">
        <v>148</v>
      </c>
      <c r="E273" s="9" t="s">
        <v>1</v>
      </c>
      <c r="F273" s="9" t="s">
        <v>381</v>
      </c>
      <c r="G273" s="9" t="s">
        <v>5</v>
      </c>
      <c r="H273" s="10" t="s">
        <v>893</v>
      </c>
      <c r="I273" s="11" t="s">
        <v>382</v>
      </c>
      <c r="J273" t="s">
        <v>326</v>
      </c>
      <c r="K273" s="21" t="s">
        <v>335</v>
      </c>
    </row>
    <row r="274" spans="1:11" ht="14.4">
      <c r="A274" s="5" t="str">
        <f>F274&amp;(COUNTIFS(F$2:F274,F274,K$2:K274,"Sparse"))</f>
        <v>SD63</v>
      </c>
      <c r="B274" s="5" t="str">
        <f>J274&amp;(COUNTIF(J$2:J274,J274))</f>
        <v>Staffordshire5</v>
      </c>
      <c r="C274" s="8" t="s">
        <v>149</v>
      </c>
      <c r="D274" s="8" t="s">
        <v>149</v>
      </c>
      <c r="E274" s="9" t="s">
        <v>368</v>
      </c>
      <c r="F274" s="9" t="s">
        <v>381</v>
      </c>
      <c r="G274" s="9" t="s">
        <v>5</v>
      </c>
      <c r="H274" s="12" t="s">
        <v>892</v>
      </c>
      <c r="I274" s="11" t="s">
        <v>371</v>
      </c>
      <c r="J274" t="s">
        <v>327</v>
      </c>
      <c r="K274" s="21" t="s">
        <v>335</v>
      </c>
    </row>
    <row r="275" spans="1:11" ht="14.4">
      <c r="A275" s="5" t="str">
        <f>F275&amp;(COUNTIFS(F$2:F275,F275,K$2:K275,"Sparse"))</f>
        <v>MD0</v>
      </c>
      <c r="B275" s="5" t="str">
        <f>J275&amp;(COUNTIF(J$2:J275,J275))</f>
        <v>South Tyneside1</v>
      </c>
      <c r="C275" s="8" t="s">
        <v>247</v>
      </c>
      <c r="D275" s="8" t="s">
        <v>247</v>
      </c>
      <c r="E275" s="9" t="s">
        <v>390</v>
      </c>
      <c r="F275" s="9" t="s">
        <v>386</v>
      </c>
      <c r="G275" s="9" t="s">
        <v>397</v>
      </c>
      <c r="H275" s="10" t="s">
        <v>894</v>
      </c>
      <c r="I275" s="11" t="s">
        <v>384</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387</v>
      </c>
      <c r="G276" s="9" t="s">
        <v>396</v>
      </c>
      <c r="H276" s="10" t="s">
        <v>889</v>
      </c>
      <c r="I276" s="11" t="s">
        <v>384</v>
      </c>
      <c r="J276" s="22" t="s">
        <v>396</v>
      </c>
      <c r="K276" s="21"/>
    </row>
    <row r="277" spans="1:11" ht="14.4">
      <c r="A277" s="5" t="str">
        <f>F277&amp;(COUNTIFS(F$2:F277,F277,K$2:K277,"Sparse"))</f>
        <v>UA11</v>
      </c>
      <c r="B277" s="5" t="str">
        <f>J277&amp;(COUNTIF(J$2:J277,J277))</f>
        <v>Unitary45</v>
      </c>
      <c r="C277" s="8" t="s">
        <v>289</v>
      </c>
      <c r="D277" s="8" t="s">
        <v>289</v>
      </c>
      <c r="E277" s="9" t="s">
        <v>369</v>
      </c>
      <c r="F277" s="9" t="s">
        <v>387</v>
      </c>
      <c r="G277" s="9" t="s">
        <v>396</v>
      </c>
      <c r="H277" s="10" t="s">
        <v>889</v>
      </c>
      <c r="I277" s="11" t="s">
        <v>384</v>
      </c>
      <c r="J277" s="22" t="s">
        <v>396</v>
      </c>
      <c r="K277" s="21"/>
    </row>
    <row r="278" spans="1:11" ht="14.4">
      <c r="A278" s="5" t="str">
        <f>F278&amp;(COUNTIFS(F$2:F278,F278,K$2:K278,"Sparse"))</f>
        <v>L0</v>
      </c>
      <c r="B278" s="5" t="str">
        <f>J278&amp;(COUNTIF(J$2:J278,J278))</f>
        <v>London28</v>
      </c>
      <c r="C278" s="8" t="s">
        <v>217</v>
      </c>
      <c r="D278" s="8" t="s">
        <v>217</v>
      </c>
      <c r="E278" s="9" t="s">
        <v>383</v>
      </c>
      <c r="F278" s="9" t="s">
        <v>359</v>
      </c>
      <c r="G278" s="9" t="s">
        <v>383</v>
      </c>
      <c r="H278" s="10" t="s">
        <v>894</v>
      </c>
      <c r="I278" s="11" t="s">
        <v>384</v>
      </c>
      <c r="J278" t="str">
        <f>G278</f>
        <v>London</v>
      </c>
      <c r="K278" s="21"/>
    </row>
    <row r="279" spans="1:11" ht="14.4">
      <c r="A279" s="5" t="str">
        <f>F279&amp;(COUNTIFS(F$2:F279,F279,K$2:K279,"Sparse"))</f>
        <v>SD63</v>
      </c>
      <c r="B279" s="5" t="str">
        <f>J279&amp;(COUNTIF(J$2:J279,J279))</f>
        <v>Surrey7</v>
      </c>
      <c r="C279" s="8" t="s">
        <v>150</v>
      </c>
      <c r="D279" s="8" t="s">
        <v>150</v>
      </c>
      <c r="E279" s="9" t="s">
        <v>0</v>
      </c>
      <c r="F279" s="9" t="s">
        <v>381</v>
      </c>
      <c r="G279" s="9" t="s">
        <v>5</v>
      </c>
      <c r="H279" s="10" t="s">
        <v>894</v>
      </c>
      <c r="I279" s="11" t="s">
        <v>384</v>
      </c>
      <c r="J279" t="s">
        <v>329</v>
      </c>
      <c r="K279" s="21"/>
    </row>
    <row r="280" spans="1:11" ht="14.4">
      <c r="A280" s="5" t="str">
        <f>F280&amp;(COUNTIFS(F$2:F280,F280,K$2:K280,"Sparse"))</f>
        <v>SD63</v>
      </c>
      <c r="B280" s="5" t="str">
        <f>J280&amp;(COUNTIF(J$2:J280,J280))</f>
        <v>Hertfordshire7</v>
      </c>
      <c r="C280" s="8" t="s">
        <v>151</v>
      </c>
      <c r="D280" s="8" t="s">
        <v>151</v>
      </c>
      <c r="E280" s="9" t="s">
        <v>369</v>
      </c>
      <c r="F280" s="9" t="s">
        <v>381</v>
      </c>
      <c r="G280" s="9" t="s">
        <v>5</v>
      </c>
      <c r="H280" s="12" t="s">
        <v>889</v>
      </c>
      <c r="I280" s="11" t="s">
        <v>384</v>
      </c>
      <c r="J280" t="s">
        <v>314</v>
      </c>
      <c r="K280" s="21"/>
    </row>
    <row r="281" spans="1:11" ht="14.4">
      <c r="A281" s="5" t="str">
        <f>F281&amp;(COUNTIFS(F$2:F281,F281,K$2:K281,"Sparse"))</f>
        <v>SD64</v>
      </c>
      <c r="B281" s="5" t="str">
        <f>J281&amp;(COUNTIF(J$2:J281,J281))</f>
        <v>Suffolk6</v>
      </c>
      <c r="C281" s="8" t="s">
        <v>152</v>
      </c>
      <c r="D281" s="8" t="s">
        <v>152</v>
      </c>
      <c r="E281" s="9" t="s">
        <v>369</v>
      </c>
      <c r="F281" s="9" t="s">
        <v>381</v>
      </c>
      <c r="G281" s="9" t="s">
        <v>5</v>
      </c>
      <c r="H281" s="10" t="s">
        <v>893</v>
      </c>
      <c r="I281" s="11" t="s">
        <v>382</v>
      </c>
      <c r="J281" t="s">
        <v>328</v>
      </c>
      <c r="K281" s="21" t="s">
        <v>335</v>
      </c>
    </row>
    <row r="282" spans="1:11" ht="14.4">
      <c r="A282" s="5" t="str">
        <f>F282&amp;(COUNTIFS(F$2:F282,F282,K$2:K282,"Sparse"))</f>
        <v>MD0</v>
      </c>
      <c r="B282" s="5" t="str">
        <f>J282&amp;(COUNTIF(J$2:J282,J282))</f>
        <v>St Helens1</v>
      </c>
      <c r="C282" s="8" t="s">
        <v>248</v>
      </c>
      <c r="D282" s="8" t="s">
        <v>395</v>
      </c>
      <c r="E282" s="9" t="s">
        <v>376</v>
      </c>
      <c r="F282" s="9" t="s">
        <v>386</v>
      </c>
      <c r="G282" s="9" t="s">
        <v>397</v>
      </c>
      <c r="H282" s="10" t="s">
        <v>894</v>
      </c>
      <c r="I282" s="11" t="s">
        <v>384</v>
      </c>
      <c r="J282" t="str">
        <f>C282</f>
        <v>St Helens</v>
      </c>
      <c r="K282" s="21"/>
    </row>
    <row r="283" spans="1:11" ht="14.4">
      <c r="A283" s="5" t="str">
        <f>F283&amp;(COUNTIFS(F$2:F283,F283,K$2:K283,"Sparse"))</f>
        <v>SD65</v>
      </c>
      <c r="B283" s="5" t="str">
        <f>J283&amp;(COUNTIF(J$2:J283,J283))</f>
        <v>Staffordshire6</v>
      </c>
      <c r="C283" s="8" t="s">
        <v>153</v>
      </c>
      <c r="D283" s="8" t="s">
        <v>153</v>
      </c>
      <c r="E283" s="9" t="s">
        <v>368</v>
      </c>
      <c r="F283" s="9" t="s">
        <v>381</v>
      </c>
      <c r="G283" s="9" t="s">
        <v>5</v>
      </c>
      <c r="H283" s="12" t="s">
        <v>892</v>
      </c>
      <c r="I283" s="11" t="s">
        <v>371</v>
      </c>
      <c r="J283" t="s">
        <v>327</v>
      </c>
      <c r="K283" s="21" t="s">
        <v>335</v>
      </c>
    </row>
    <row r="284" spans="1:11" ht="14.4">
      <c r="A284" s="5" t="str">
        <f>F284&amp;(COUNTIFS(F$2:F284,F284,K$2:K284,"Sparse"))</f>
        <v>SC13</v>
      </c>
      <c r="B284" s="5" t="str">
        <f>J284&amp;(COUNTIF(J$2:J284,J284))</f>
        <v>Staffordshire7</v>
      </c>
      <c r="C284" s="11" t="s">
        <v>327</v>
      </c>
      <c r="D284" s="11" t="s">
        <v>327</v>
      </c>
      <c r="E284" s="9" t="s">
        <v>368</v>
      </c>
      <c r="F284" s="9" t="s">
        <v>389</v>
      </c>
      <c r="G284" s="9" t="s">
        <v>301</v>
      </c>
      <c r="H284" s="11" t="s">
        <v>371</v>
      </c>
      <c r="I284" s="11" t="s">
        <v>371</v>
      </c>
      <c r="J284" t="str">
        <f>C284</f>
        <v>Staffordshire</v>
      </c>
      <c r="K284" s="21" t="s">
        <v>335</v>
      </c>
    </row>
    <row r="285" spans="1:11" ht="14.4">
      <c r="A285" s="5" t="str">
        <f>F285&amp;(COUNTIFS(F$2:F285,F285,K$2:K285,"Sparse"))</f>
        <v>SD65</v>
      </c>
      <c r="B285" s="5" t="str">
        <f>J285&amp;(COUNTIF(J$2:J285,J285))</f>
        <v>Staffordshire8</v>
      </c>
      <c r="C285" s="8" t="s">
        <v>154</v>
      </c>
      <c r="D285" s="8" t="s">
        <v>154</v>
      </c>
      <c r="E285" s="9" t="s">
        <v>368</v>
      </c>
      <c r="F285" s="9" t="s">
        <v>381</v>
      </c>
      <c r="G285" s="9" t="s">
        <v>5</v>
      </c>
      <c r="H285" s="10" t="s">
        <v>893</v>
      </c>
      <c r="I285" s="11" t="s">
        <v>382</v>
      </c>
      <c r="J285" t="s">
        <v>327</v>
      </c>
      <c r="K285" s="21"/>
    </row>
    <row r="286" spans="1:11" ht="14.4">
      <c r="A286" s="5" t="str">
        <f>F286&amp;(COUNTIFS(F$2:F286,F286,K$2:K286,"Sparse"))</f>
        <v>SD65</v>
      </c>
      <c r="B286" s="5" t="str">
        <f>J286&amp;(COUNTIF(J$2:J286,J286))</f>
        <v>Hertfordshire8</v>
      </c>
      <c r="C286" s="8" t="s">
        <v>155</v>
      </c>
      <c r="D286" s="8" t="s">
        <v>155</v>
      </c>
      <c r="E286" s="9" t="s">
        <v>369</v>
      </c>
      <c r="F286" s="9" t="s">
        <v>381</v>
      </c>
      <c r="G286" s="9" t="s">
        <v>5</v>
      </c>
      <c r="H286" s="10" t="s">
        <v>889</v>
      </c>
      <c r="I286" s="11" t="s">
        <v>384</v>
      </c>
      <c r="J286" t="s">
        <v>314</v>
      </c>
      <c r="K286" s="21"/>
    </row>
    <row r="287" spans="1:11" ht="14.4">
      <c r="A287" s="5" t="str">
        <f>F287&amp;(COUNTIFS(F$2:F287,F287,K$2:K287,"Sparse"))</f>
        <v>MD0</v>
      </c>
      <c r="B287" s="5" t="str">
        <f>J287&amp;(COUNTIF(J$2:J287,J287))</f>
        <v>Stockport1</v>
      </c>
      <c r="C287" s="8" t="s">
        <v>249</v>
      </c>
      <c r="D287" s="8" t="s">
        <v>249</v>
      </c>
      <c r="E287" s="9" t="s">
        <v>376</v>
      </c>
      <c r="F287" s="9" t="s">
        <v>386</v>
      </c>
      <c r="G287" s="9" t="s">
        <v>397</v>
      </c>
      <c r="H287" s="10" t="s">
        <v>894</v>
      </c>
      <c r="I287" s="11" t="s">
        <v>384</v>
      </c>
      <c r="J287" t="str">
        <f>C287</f>
        <v>Stockport</v>
      </c>
      <c r="K287" s="21"/>
    </row>
    <row r="288" spans="1:11" ht="14.4">
      <c r="A288" s="5" t="str">
        <f>F288&amp;(COUNTIFS(F$2:F288,F288,K$2:K288,"Sparse"))</f>
        <v>UA11</v>
      </c>
      <c r="B288" s="5" t="str">
        <f>J288&amp;(COUNTIF(J$2:J288,J288))</f>
        <v>Unitary46</v>
      </c>
      <c r="C288" s="8" t="s">
        <v>290</v>
      </c>
      <c r="D288" s="8" t="s">
        <v>290</v>
      </c>
      <c r="E288" s="9" t="s">
        <v>390</v>
      </c>
      <c r="F288" s="9" t="s">
        <v>387</v>
      </c>
      <c r="G288" s="9" t="s">
        <v>396</v>
      </c>
      <c r="H288" s="10" t="s">
        <v>889</v>
      </c>
      <c r="I288" s="11" t="s">
        <v>384</v>
      </c>
      <c r="J288" s="22" t="s">
        <v>396</v>
      </c>
      <c r="K288" s="21"/>
    </row>
    <row r="289" spans="1:11" ht="14.4">
      <c r="A289" s="5" t="str">
        <f>F289&amp;(COUNTIFS(F$2:F289,F289,K$2:K289,"Sparse"))</f>
        <v>UA11</v>
      </c>
      <c r="B289" s="5" t="str">
        <f>J289&amp;(COUNTIF(J$2:J289,J289))</f>
        <v>Unitary47</v>
      </c>
      <c r="C289" s="8" t="s">
        <v>291</v>
      </c>
      <c r="D289" s="8" t="s">
        <v>291</v>
      </c>
      <c r="E289" s="9" t="s">
        <v>368</v>
      </c>
      <c r="F289" s="9" t="s">
        <v>387</v>
      </c>
      <c r="G289" s="9" t="s">
        <v>396</v>
      </c>
      <c r="H289" s="10" t="s">
        <v>889</v>
      </c>
      <c r="I289" s="11" t="s">
        <v>384</v>
      </c>
      <c r="J289" s="22" t="s">
        <v>396</v>
      </c>
      <c r="K289" s="21"/>
    </row>
    <row r="290" spans="1:11" ht="14.4">
      <c r="A290" s="5" t="str">
        <f>F290&amp;(COUNTIFS(F$2:F290,F290,K$2:K290,"Sparse"))</f>
        <v>SD66</v>
      </c>
      <c r="B290" s="5" t="str">
        <f>J290&amp;(COUNTIF(J$2:J290,J290))</f>
        <v>Warwickshire4</v>
      </c>
      <c r="C290" s="8" t="s">
        <v>156</v>
      </c>
      <c r="D290" s="8" t="s">
        <v>156</v>
      </c>
      <c r="E290" s="9" t="s">
        <v>368</v>
      </c>
      <c r="F290" s="9" t="s">
        <v>381</v>
      </c>
      <c r="G290" s="9" t="s">
        <v>5</v>
      </c>
      <c r="H290" s="10" t="s">
        <v>890</v>
      </c>
      <c r="I290" s="11" t="s">
        <v>382</v>
      </c>
      <c r="J290" t="s">
        <v>330</v>
      </c>
      <c r="K290" s="21" t="s">
        <v>335</v>
      </c>
    </row>
    <row r="291" spans="1:11" ht="14.4">
      <c r="A291" s="5" t="str">
        <f>F291&amp;(COUNTIFS(F$2:F291,F291,K$2:K291,"Sparse"))</f>
        <v>SD67</v>
      </c>
      <c r="B291" s="5" t="str">
        <f>J291&amp;(COUNTIF(J$2:J291,J291))</f>
        <v>Gloucestershire6</v>
      </c>
      <c r="C291" s="8" t="s">
        <v>157</v>
      </c>
      <c r="D291" s="8" t="s">
        <v>157</v>
      </c>
      <c r="E291" s="9" t="s">
        <v>1</v>
      </c>
      <c r="F291" s="9" t="s">
        <v>381</v>
      </c>
      <c r="G291" s="9" t="s">
        <v>5</v>
      </c>
      <c r="H291" s="10" t="s">
        <v>892</v>
      </c>
      <c r="I291" s="11" t="s">
        <v>371</v>
      </c>
      <c r="J291" t="s">
        <v>312</v>
      </c>
      <c r="K291" s="21" t="s">
        <v>335</v>
      </c>
    </row>
    <row r="292" spans="1:11" ht="14.4">
      <c r="A292" s="5" t="str">
        <f>F292&amp;(COUNTIFS(F$2:F292,F292,K$2:K292,"Sparse"))</f>
        <v>SC14</v>
      </c>
      <c r="B292" s="5" t="str">
        <f>J292&amp;(COUNTIF(J$2:J292,J292))</f>
        <v>Suffolk7</v>
      </c>
      <c r="C292" s="11" t="s">
        <v>328</v>
      </c>
      <c r="D292" s="11" t="s">
        <v>328</v>
      </c>
      <c r="E292" s="9" t="s">
        <v>369</v>
      </c>
      <c r="F292" s="9" t="s">
        <v>389</v>
      </c>
      <c r="G292" s="9" t="s">
        <v>301</v>
      </c>
      <c r="H292" s="11" t="s">
        <v>382</v>
      </c>
      <c r="I292" s="11" t="s">
        <v>382</v>
      </c>
      <c r="J292" t="str">
        <f>C292</f>
        <v>Suffolk</v>
      </c>
      <c r="K292" s="21" t="s">
        <v>335</v>
      </c>
    </row>
    <row r="293" spans="1:11" ht="14.4">
      <c r="A293" s="5" t="str">
        <f>F293&amp;(COUNTIFS(F$2:F293,F293,K$2:K293,"Sparse"))</f>
        <v>SD68</v>
      </c>
      <c r="B293" s="5" t="str">
        <f>J293&amp;(COUNTIF(J$2:J293,J293))</f>
        <v>Suffolk8</v>
      </c>
      <c r="C293" s="8" t="s">
        <v>158</v>
      </c>
      <c r="D293" s="8" t="s">
        <v>158</v>
      </c>
      <c r="E293" s="9" t="s">
        <v>369</v>
      </c>
      <c r="F293" s="9" t="s">
        <v>381</v>
      </c>
      <c r="G293" s="9" t="s">
        <v>5</v>
      </c>
      <c r="H293" s="10" t="s">
        <v>893</v>
      </c>
      <c r="I293" s="11" t="s">
        <v>382</v>
      </c>
      <c r="J293" t="s">
        <v>328</v>
      </c>
      <c r="K293" s="21" t="s">
        <v>335</v>
      </c>
    </row>
    <row r="294" spans="1:11" ht="14.4">
      <c r="A294" s="5" t="str">
        <f>F294&amp;(COUNTIFS(F$2:F294,F294,K$2:K294,"Sparse"))</f>
        <v>MD0</v>
      </c>
      <c r="B294" s="5" t="str">
        <f>J294&amp;(COUNTIF(J$2:J294,J294))</f>
        <v>Sunderland1</v>
      </c>
      <c r="C294" s="8" t="s">
        <v>250</v>
      </c>
      <c r="D294" s="8" t="s">
        <v>250</v>
      </c>
      <c r="E294" s="9" t="s">
        <v>390</v>
      </c>
      <c r="F294" s="9" t="s">
        <v>386</v>
      </c>
      <c r="G294" s="9" t="s">
        <v>397</v>
      </c>
      <c r="H294" s="10" t="s">
        <v>894</v>
      </c>
      <c r="I294" s="11" t="s">
        <v>384</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389</v>
      </c>
      <c r="G295" s="9" t="s">
        <v>301</v>
      </c>
      <c r="H295" s="11" t="s">
        <v>384</v>
      </c>
      <c r="I295" s="11" t="s">
        <v>384</v>
      </c>
      <c r="J295" t="str">
        <f>C295</f>
        <v>Surrey</v>
      </c>
      <c r="K295" s="21"/>
    </row>
    <row r="296" spans="1:11" ht="14.4">
      <c r="A296" s="5" t="str">
        <f>F296&amp;(COUNTIFS(F$2:F296,F296,K$2:K296,"Sparse"))</f>
        <v>SD68</v>
      </c>
      <c r="B296" s="5" t="str">
        <f>J296&amp;(COUNTIF(J$2:J296,J296))</f>
        <v>Surrey9</v>
      </c>
      <c r="C296" s="8" t="s">
        <v>159</v>
      </c>
      <c r="D296" s="8" t="s">
        <v>159</v>
      </c>
      <c r="E296" s="9" t="s">
        <v>0</v>
      </c>
      <c r="F296" s="9" t="s">
        <v>381</v>
      </c>
      <c r="G296" s="9" t="s">
        <v>5</v>
      </c>
      <c r="H296" s="10" t="s">
        <v>889</v>
      </c>
      <c r="I296" s="11" t="s">
        <v>384</v>
      </c>
      <c r="J296" t="s">
        <v>329</v>
      </c>
      <c r="K296" s="21"/>
    </row>
    <row r="297" spans="1:11" ht="14.4">
      <c r="A297" s="5" t="str">
        <f>F297&amp;(COUNTIFS(F$2:F297,F297,K$2:K297,"Sparse"))</f>
        <v>L0</v>
      </c>
      <c r="B297" s="5" t="str">
        <f>J297&amp;(COUNTIF(J$2:J297,J297))</f>
        <v>London29</v>
      </c>
      <c r="C297" s="8" t="s">
        <v>218</v>
      </c>
      <c r="D297" s="8" t="s">
        <v>218</v>
      </c>
      <c r="E297" s="9" t="s">
        <v>383</v>
      </c>
      <c r="F297" s="9" t="s">
        <v>359</v>
      </c>
      <c r="G297" s="9" t="s">
        <v>383</v>
      </c>
      <c r="H297" s="10" t="s">
        <v>894</v>
      </c>
      <c r="I297" s="11" t="s">
        <v>384</v>
      </c>
      <c r="J297" t="str">
        <f>G297</f>
        <v>London</v>
      </c>
      <c r="K297" s="21"/>
    </row>
    <row r="298" spans="1:11" ht="14.4">
      <c r="A298" s="5" t="str">
        <f>F298&amp;(COUNTIFS(F$2:F298,F298,K$2:K298,"Sparse"))</f>
        <v>SD68</v>
      </c>
      <c r="B298" s="5" t="str">
        <f>J298&amp;(COUNTIF(J$2:J298,J298))</f>
        <v>Kent10</v>
      </c>
      <c r="C298" s="8" t="s">
        <v>160</v>
      </c>
      <c r="D298" s="8" t="s">
        <v>160</v>
      </c>
      <c r="E298" s="9" t="s">
        <v>0</v>
      </c>
      <c r="F298" s="9" t="s">
        <v>381</v>
      </c>
      <c r="G298" s="9" t="s">
        <v>5</v>
      </c>
      <c r="H298" s="12" t="s">
        <v>893</v>
      </c>
      <c r="I298" s="11" t="s">
        <v>382</v>
      </c>
      <c r="J298" t="s">
        <v>315</v>
      </c>
      <c r="K298" s="21"/>
    </row>
    <row r="299" spans="1:11" ht="14.4">
      <c r="A299" s="5" t="str">
        <f>F299&amp;(COUNTIFS(F$2:F299,F299,K$2:K299,"Sparse"))</f>
        <v>UA11</v>
      </c>
      <c r="B299" s="5" t="str">
        <f>J299&amp;(COUNTIF(J$2:J299,J299))</f>
        <v>Unitary48</v>
      </c>
      <c r="C299" s="8" t="s">
        <v>292</v>
      </c>
      <c r="D299" s="8" t="s">
        <v>292</v>
      </c>
      <c r="E299" s="9" t="s">
        <v>1</v>
      </c>
      <c r="F299" s="9" t="s">
        <v>387</v>
      </c>
      <c r="G299" s="9" t="s">
        <v>396</v>
      </c>
      <c r="H299" s="10" t="s">
        <v>889</v>
      </c>
      <c r="I299" s="11" t="s">
        <v>384</v>
      </c>
      <c r="J299" s="22" t="s">
        <v>396</v>
      </c>
      <c r="K299" s="21"/>
    </row>
    <row r="300" spans="1:11" ht="14.4">
      <c r="A300" s="5" t="str">
        <f>F300&amp;(COUNTIFS(F$2:F300,F300,K$2:K300,"Sparse"))</f>
        <v>MD0</v>
      </c>
      <c r="B300" s="5" t="str">
        <f>J300&amp;(COUNTIF(J$2:J300,J300))</f>
        <v>Tameside1</v>
      </c>
      <c r="C300" s="8" t="s">
        <v>251</v>
      </c>
      <c r="D300" s="8" t="s">
        <v>251</v>
      </c>
      <c r="E300" s="9" t="s">
        <v>376</v>
      </c>
      <c r="F300" s="9" t="s">
        <v>386</v>
      </c>
      <c r="G300" s="9" t="s">
        <v>397</v>
      </c>
      <c r="H300" s="10" t="s">
        <v>894</v>
      </c>
      <c r="I300" s="11" t="s">
        <v>384</v>
      </c>
      <c r="J300" t="str">
        <f>C300</f>
        <v>Tameside</v>
      </c>
      <c r="K300" s="21"/>
    </row>
    <row r="301" spans="1:11" ht="14.4">
      <c r="A301" s="5" t="str">
        <f>F301&amp;(COUNTIFS(F$2:F301,F301,K$2:K301,"Sparse"))</f>
        <v>SD68</v>
      </c>
      <c r="B301" s="5" t="str">
        <f>J301&amp;(COUNTIF(J$2:J301,J301))</f>
        <v>Staffordshire9</v>
      </c>
      <c r="C301" s="8" t="s">
        <v>161</v>
      </c>
      <c r="D301" s="8" t="s">
        <v>161</v>
      </c>
      <c r="E301" s="9" t="s">
        <v>368</v>
      </c>
      <c r="F301" s="9" t="s">
        <v>381</v>
      </c>
      <c r="G301" s="9" t="s">
        <v>5</v>
      </c>
      <c r="H301" s="10" t="s">
        <v>889</v>
      </c>
      <c r="I301" s="11" t="s">
        <v>384</v>
      </c>
      <c r="J301" t="s">
        <v>327</v>
      </c>
      <c r="K301" s="21"/>
    </row>
    <row r="302" spans="1:11" ht="14.4">
      <c r="A302" s="5" t="str">
        <f>F302&amp;(COUNTIFS(F$2:F302,F302,K$2:K302,"Sparse"))</f>
        <v>SD69</v>
      </c>
      <c r="B302" s="5" t="str">
        <f>J302&amp;(COUNTIF(J$2:J302,J302))</f>
        <v>Surrey10</v>
      </c>
      <c r="C302" s="8" t="s">
        <v>162</v>
      </c>
      <c r="D302" s="8" t="s">
        <v>162</v>
      </c>
      <c r="E302" s="9" t="s">
        <v>0</v>
      </c>
      <c r="F302" s="9" t="s">
        <v>381</v>
      </c>
      <c r="G302" s="9" t="s">
        <v>5</v>
      </c>
      <c r="H302" s="10" t="s">
        <v>892</v>
      </c>
      <c r="I302" s="11" t="s">
        <v>371</v>
      </c>
      <c r="J302" t="s">
        <v>329</v>
      </c>
      <c r="K302" s="21" t="s">
        <v>335</v>
      </c>
    </row>
    <row r="303" spans="1:11" ht="14.4">
      <c r="A303" s="5" t="str">
        <f>F303&amp;(COUNTIFS(F$2:F303,F303,K$2:K303,"Sparse"))</f>
        <v>SD70</v>
      </c>
      <c r="B303" s="5" t="str">
        <f>J303&amp;(COUNTIF(J$2:J303,J303))</f>
        <v>Somerset6</v>
      </c>
      <c r="C303" s="8" t="s">
        <v>163</v>
      </c>
      <c r="D303" s="8" t="s">
        <v>163</v>
      </c>
      <c r="E303" s="9" t="s">
        <v>1</v>
      </c>
      <c r="F303" s="9" t="s">
        <v>381</v>
      </c>
      <c r="G303" s="9" t="s">
        <v>5</v>
      </c>
      <c r="H303" s="12" t="s">
        <v>892</v>
      </c>
      <c r="I303" s="11" t="s">
        <v>371</v>
      </c>
      <c r="J303" t="s">
        <v>326</v>
      </c>
      <c r="K303" s="21" t="s">
        <v>335</v>
      </c>
    </row>
    <row r="304" spans="1:11" ht="14.4">
      <c r="A304" s="5" t="str">
        <f>F304&amp;(COUNTIFS(F$2:F304,F304,K$2:K304,"Sparse"))</f>
        <v>SD71</v>
      </c>
      <c r="B304" s="5" t="str">
        <f>J304&amp;(COUNTIF(J$2:J304,J304))</f>
        <v>Devon7</v>
      </c>
      <c r="C304" s="8" t="s">
        <v>164</v>
      </c>
      <c r="D304" s="8" t="s">
        <v>164</v>
      </c>
      <c r="E304" s="9" t="s">
        <v>1</v>
      </c>
      <c r="F304" s="9" t="s">
        <v>381</v>
      </c>
      <c r="G304" s="9" t="s">
        <v>5</v>
      </c>
      <c r="H304" s="10" t="s">
        <v>893</v>
      </c>
      <c r="I304" s="11" t="s">
        <v>382</v>
      </c>
      <c r="J304" t="s">
        <v>308</v>
      </c>
      <c r="K304" s="21" t="s">
        <v>335</v>
      </c>
    </row>
    <row r="305" spans="1:11" ht="14.4">
      <c r="A305" s="5" t="str">
        <f>F305&amp;(COUNTIFS(F$2:F305,F305,K$2:K305,"Sparse"))</f>
        <v>UA11</v>
      </c>
      <c r="B305" s="5" t="str">
        <f>J305&amp;(COUNTIF(J$2:J305,J305))</f>
        <v>Unitary49</v>
      </c>
      <c r="C305" s="8" t="s">
        <v>813</v>
      </c>
      <c r="D305" s="8" t="s">
        <v>813</v>
      </c>
      <c r="E305" s="9" t="s">
        <v>368</v>
      </c>
      <c r="F305" s="9" t="s">
        <v>387</v>
      </c>
      <c r="G305" s="9" t="s">
        <v>396</v>
      </c>
      <c r="H305" s="10" t="s">
        <v>889</v>
      </c>
      <c r="I305" s="11" t="s">
        <v>384</v>
      </c>
      <c r="J305" s="22" t="s">
        <v>396</v>
      </c>
      <c r="K305" s="21"/>
    </row>
    <row r="306" spans="1:11" ht="14.4">
      <c r="A306" s="5" t="str">
        <f>F306&amp;(COUNTIFS(F$2:F306,F306,K$2:K306,"Sparse"))</f>
        <v>SD71</v>
      </c>
      <c r="B306" s="5" t="str">
        <f>J306&amp;(COUNTIF(J$2:J306,J306))</f>
        <v>Essex12</v>
      </c>
      <c r="C306" s="8" t="s">
        <v>165</v>
      </c>
      <c r="D306" s="8" t="s">
        <v>165</v>
      </c>
      <c r="E306" s="9" t="s">
        <v>369</v>
      </c>
      <c r="F306" s="9" t="s">
        <v>381</v>
      </c>
      <c r="G306" s="9" t="s">
        <v>5</v>
      </c>
      <c r="H306" s="10" t="s">
        <v>893</v>
      </c>
      <c r="I306" s="11" t="s">
        <v>382</v>
      </c>
      <c r="J306" t="s">
        <v>311</v>
      </c>
      <c r="K306" s="21"/>
    </row>
    <row r="307" spans="1:11" ht="14.4">
      <c r="A307" s="5" t="str">
        <f>F307&amp;(COUNTIFS(F$2:F307,F307,K$2:K307,"Sparse"))</f>
        <v>SD71</v>
      </c>
      <c r="B307" s="5" t="str">
        <f>J307&amp;(COUNTIF(J$2:J307,J307))</f>
        <v>Hampshire11</v>
      </c>
      <c r="C307" s="8" t="s">
        <v>166</v>
      </c>
      <c r="D307" s="8" t="s">
        <v>166</v>
      </c>
      <c r="E307" s="9" t="s">
        <v>0</v>
      </c>
      <c r="F307" s="9" t="s">
        <v>381</v>
      </c>
      <c r="G307" s="9" t="s">
        <v>5</v>
      </c>
      <c r="H307" s="10" t="s">
        <v>892</v>
      </c>
      <c r="I307" s="11" t="s">
        <v>371</v>
      </c>
      <c r="J307" t="s">
        <v>313</v>
      </c>
      <c r="K307" s="21"/>
    </row>
    <row r="308" spans="1:11" ht="14.4">
      <c r="A308" s="5" t="str">
        <f>F308&amp;(COUNTIFS(F$2:F308,F308,K$2:K308,"Sparse"))</f>
        <v>SD72</v>
      </c>
      <c r="B308" s="5" t="str">
        <f>J308&amp;(COUNTIF(J$2:J308,J308))</f>
        <v>Gloucestershire7</v>
      </c>
      <c r="C308" s="8" t="s">
        <v>167</v>
      </c>
      <c r="D308" s="8" t="s">
        <v>167</v>
      </c>
      <c r="E308" s="9" t="s">
        <v>1</v>
      </c>
      <c r="F308" s="9" t="s">
        <v>381</v>
      </c>
      <c r="G308" s="9" t="s">
        <v>5</v>
      </c>
      <c r="H308" s="10" t="s">
        <v>893</v>
      </c>
      <c r="I308" s="11" t="s">
        <v>382</v>
      </c>
      <c r="J308" t="s">
        <v>312</v>
      </c>
      <c r="K308" s="21" t="s">
        <v>335</v>
      </c>
    </row>
    <row r="309" spans="1:11" ht="14.4">
      <c r="A309" s="5" t="str">
        <f>F309&amp;(COUNTIFS(F$2:F309,F309,K$2:K309,"Sparse"))</f>
        <v>SD72</v>
      </c>
      <c r="B309" s="5" t="str">
        <f>J309&amp;(COUNTIF(J$2:J309,J309))</f>
        <v>Kent11</v>
      </c>
      <c r="C309" s="8" t="s">
        <v>168</v>
      </c>
      <c r="D309" s="8" t="s">
        <v>168</v>
      </c>
      <c r="E309" s="9" t="s">
        <v>0</v>
      </c>
      <c r="F309" s="9" t="s">
        <v>381</v>
      </c>
      <c r="G309" s="9" t="s">
        <v>5</v>
      </c>
      <c r="H309" s="10" t="s">
        <v>889</v>
      </c>
      <c r="I309" s="11" t="s">
        <v>384</v>
      </c>
      <c r="J309" t="s">
        <v>315</v>
      </c>
      <c r="K309" s="21"/>
    </row>
    <row r="310" spans="1:11" ht="14.4">
      <c r="A310" s="5" t="str">
        <f>F310&amp;(COUNTIFS(F$2:F310,F310,K$2:K310,"Sparse"))</f>
        <v>SD72</v>
      </c>
      <c r="B310" s="5" t="str">
        <f>J310&amp;(COUNTIF(J$2:J310,J310))</f>
        <v>Hertfordshire9</v>
      </c>
      <c r="C310" s="8" t="s">
        <v>169</v>
      </c>
      <c r="D310" s="8" t="s">
        <v>169</v>
      </c>
      <c r="E310" s="9" t="s">
        <v>369</v>
      </c>
      <c r="F310" s="9" t="s">
        <v>381</v>
      </c>
      <c r="G310" s="9" t="s">
        <v>5</v>
      </c>
      <c r="H310" s="10" t="s">
        <v>894</v>
      </c>
      <c r="I310" s="11" t="s">
        <v>384</v>
      </c>
      <c r="J310" t="s">
        <v>314</v>
      </c>
      <c r="K310" s="21"/>
    </row>
    <row r="311" spans="1:11" ht="14.4">
      <c r="A311" s="5" t="str">
        <f>F311&amp;(COUNTIFS(F$2:F311,F311,K$2:K311,"Sparse"))</f>
        <v>UA11</v>
      </c>
      <c r="B311" s="5" t="str">
        <f>J311&amp;(COUNTIF(J$2:J311,J311))</f>
        <v>Unitary50</v>
      </c>
      <c r="C311" s="8" t="s">
        <v>293</v>
      </c>
      <c r="D311" s="8" t="s">
        <v>293</v>
      </c>
      <c r="E311" s="9" t="s">
        <v>369</v>
      </c>
      <c r="F311" s="9" t="s">
        <v>387</v>
      </c>
      <c r="G311" s="9" t="s">
        <v>396</v>
      </c>
      <c r="H311" s="10" t="s">
        <v>894</v>
      </c>
      <c r="I311" s="11" t="s">
        <v>384</v>
      </c>
      <c r="J311" s="22" t="s">
        <v>396</v>
      </c>
      <c r="K311" s="21"/>
    </row>
    <row r="312" spans="1:11" ht="14.4">
      <c r="A312" s="5" t="str">
        <f>F312&amp;(COUNTIFS(F$2:F312,F312,K$2:K312,"Sparse"))</f>
        <v>SD72</v>
      </c>
      <c r="B312" s="5" t="str">
        <f>J312&amp;(COUNTIF(J$2:J312,J312))</f>
        <v>Kent12</v>
      </c>
      <c r="C312" s="8" t="s">
        <v>350</v>
      </c>
      <c r="D312" s="8" t="s">
        <v>350</v>
      </c>
      <c r="E312" s="9" t="s">
        <v>0</v>
      </c>
      <c r="F312" s="9" t="s">
        <v>381</v>
      </c>
      <c r="G312" s="9" t="s">
        <v>5</v>
      </c>
      <c r="H312" s="10" t="s">
        <v>892</v>
      </c>
      <c r="I312" s="11" t="s">
        <v>371</v>
      </c>
      <c r="J312" t="s">
        <v>315</v>
      </c>
      <c r="K312" s="21"/>
    </row>
    <row r="313" spans="1:11" ht="14.4">
      <c r="A313" s="5" t="str">
        <f>F313&amp;(COUNTIFS(F$2:F313,F313,K$2:K313,"Sparse"))</f>
        <v>UA11</v>
      </c>
      <c r="B313" s="5" t="str">
        <f>J313&amp;(COUNTIF(J$2:J313,J313))</f>
        <v>Unitary51</v>
      </c>
      <c r="C313" s="8" t="s">
        <v>294</v>
      </c>
      <c r="D313" s="8" t="s">
        <v>294</v>
      </c>
      <c r="E313" s="9" t="s">
        <v>1</v>
      </c>
      <c r="F313" s="9" t="s">
        <v>387</v>
      </c>
      <c r="G313" s="9" t="s">
        <v>396</v>
      </c>
      <c r="H313" s="10" t="s">
        <v>889</v>
      </c>
      <c r="I313" s="11" t="s">
        <v>384</v>
      </c>
      <c r="J313" s="22" t="s">
        <v>396</v>
      </c>
      <c r="K313" s="21"/>
    </row>
    <row r="314" spans="1:11" ht="14.4">
      <c r="A314" s="5" t="str">
        <f>F314&amp;(COUNTIFS(F$2:F314,F314,K$2:K314,"Sparse"))</f>
        <v>SD73</v>
      </c>
      <c r="B314" s="5" t="str">
        <f>J314&amp;(COUNTIF(J$2:J314,J314))</f>
        <v>Devon8</v>
      </c>
      <c r="C314" s="8" t="s">
        <v>170</v>
      </c>
      <c r="D314" s="8" t="s">
        <v>170</v>
      </c>
      <c r="E314" s="9" t="s">
        <v>1</v>
      </c>
      <c r="F314" s="9" t="s">
        <v>381</v>
      </c>
      <c r="G314" s="9" t="s">
        <v>5</v>
      </c>
      <c r="H314" s="10" t="s">
        <v>890</v>
      </c>
      <c r="I314" s="11" t="s">
        <v>382</v>
      </c>
      <c r="J314" t="s">
        <v>308</v>
      </c>
      <c r="K314" s="21" t="s">
        <v>335</v>
      </c>
    </row>
    <row r="315" spans="1:11" ht="14.4">
      <c r="A315" s="5" t="str">
        <f>F315&amp;(COUNTIFS(F$2:F315,F315,K$2:K315,"Sparse"))</f>
        <v>L0</v>
      </c>
      <c r="B315" s="5" t="str">
        <f>J315&amp;(COUNTIF(J$2:J315,J315))</f>
        <v>London30</v>
      </c>
      <c r="C315" s="8" t="s">
        <v>219</v>
      </c>
      <c r="D315" s="8" t="s">
        <v>219</v>
      </c>
      <c r="E315" s="9" t="s">
        <v>383</v>
      </c>
      <c r="F315" s="9" t="s">
        <v>359</v>
      </c>
      <c r="G315" s="9" t="s">
        <v>383</v>
      </c>
      <c r="H315" s="10" t="s">
        <v>894</v>
      </c>
      <c r="I315" s="11" t="s">
        <v>384</v>
      </c>
      <c r="J315" t="str">
        <f>G315</f>
        <v>London</v>
      </c>
      <c r="K315" s="21"/>
    </row>
    <row r="316" spans="1:11" ht="14.4">
      <c r="A316" s="5" t="str">
        <f>F316&amp;(COUNTIFS(F$2:F316,F316,K$2:K316,"Sparse"))</f>
        <v>MD0</v>
      </c>
      <c r="B316" s="5" t="str">
        <f>J316&amp;(COUNTIF(J$2:J316,J316))</f>
        <v>Trafford1</v>
      </c>
      <c r="C316" s="8" t="s">
        <v>252</v>
      </c>
      <c r="D316" s="8" t="s">
        <v>252</v>
      </c>
      <c r="E316" s="9" t="s">
        <v>376</v>
      </c>
      <c r="F316" s="9" t="s">
        <v>386</v>
      </c>
      <c r="G316" s="9" t="s">
        <v>397</v>
      </c>
      <c r="H316" s="10" t="s">
        <v>894</v>
      </c>
      <c r="I316" s="11" t="s">
        <v>384</v>
      </c>
      <c r="J316" t="str">
        <f>C316</f>
        <v>Trafford</v>
      </c>
      <c r="K316" s="21"/>
    </row>
    <row r="317" spans="1:11" ht="14.4">
      <c r="A317" s="5" t="str">
        <f>F317&amp;(COUNTIFS(F$2:F317,F317,K$2:K317,"Sparse"))</f>
        <v>SD74</v>
      </c>
      <c r="B317" s="5" t="str">
        <f>J317&amp;(COUNTIF(J$2:J317,J317))</f>
        <v>Kent13</v>
      </c>
      <c r="C317" s="8" t="s">
        <v>171</v>
      </c>
      <c r="D317" s="8" t="s">
        <v>171</v>
      </c>
      <c r="E317" s="9" t="s">
        <v>0</v>
      </c>
      <c r="F317" s="9" t="s">
        <v>381</v>
      </c>
      <c r="G317" s="9" t="s">
        <v>5</v>
      </c>
      <c r="H317" s="12" t="s">
        <v>892</v>
      </c>
      <c r="I317" s="11" t="s">
        <v>371</v>
      </c>
      <c r="J317" t="s">
        <v>315</v>
      </c>
      <c r="K317" s="21" t="s">
        <v>335</v>
      </c>
    </row>
    <row r="318" spans="1:11" ht="14.4">
      <c r="A318" s="5" t="str">
        <f>F318&amp;(COUNTIFS(F$2:F318,F318,K$2:K318,"Sparse"))</f>
        <v>SD75</v>
      </c>
      <c r="B318" s="5" t="str">
        <f>J318&amp;(COUNTIF(J$2:J318,J318))</f>
        <v>Essex13</v>
      </c>
      <c r="C318" s="8" t="s">
        <v>172</v>
      </c>
      <c r="D318" s="8" t="s">
        <v>172</v>
      </c>
      <c r="E318" s="9" t="s">
        <v>369</v>
      </c>
      <c r="F318" s="9" t="s">
        <v>381</v>
      </c>
      <c r="G318" s="9" t="s">
        <v>5</v>
      </c>
      <c r="H318" s="10" t="s">
        <v>890</v>
      </c>
      <c r="I318" s="11" t="s">
        <v>382</v>
      </c>
      <c r="J318" t="s">
        <v>311</v>
      </c>
      <c r="K318" s="21" t="s">
        <v>335</v>
      </c>
    </row>
    <row r="319" spans="1:11" ht="14.4">
      <c r="A319" s="5" t="str">
        <f>F319&amp;(COUNTIFS(F$2:F319,F319,K$2:K319,"Sparse"))</f>
        <v>SD76</v>
      </c>
      <c r="B319" s="5" t="str">
        <f>J319&amp;(COUNTIF(J$2:J319,J319))</f>
        <v>Oxfordshire5</v>
      </c>
      <c r="C319" s="8" t="s">
        <v>173</v>
      </c>
      <c r="D319" s="8" t="s">
        <v>173</v>
      </c>
      <c r="E319" s="9" t="s">
        <v>0</v>
      </c>
      <c r="F319" s="9" t="s">
        <v>381</v>
      </c>
      <c r="G319" s="9" t="s">
        <v>5</v>
      </c>
      <c r="H319" s="10" t="s">
        <v>893</v>
      </c>
      <c r="I319" s="11" t="s">
        <v>382</v>
      </c>
      <c r="J319" t="s">
        <v>324</v>
      </c>
      <c r="K319" s="21" t="s">
        <v>335</v>
      </c>
    </row>
    <row r="320" spans="1:11" ht="14.4">
      <c r="A320" s="5" t="str">
        <f>F320&amp;(COUNTIFS(F$2:F320,F320,K$2:K320,"Sparse"))</f>
        <v>MD0</v>
      </c>
      <c r="B320" s="5" t="str">
        <f>J320&amp;(COUNTIF(J$2:J320,J320))</f>
        <v>Wakefield1</v>
      </c>
      <c r="C320" s="8" t="s">
        <v>253</v>
      </c>
      <c r="D320" s="8" t="s">
        <v>253</v>
      </c>
      <c r="E320" s="9" t="s">
        <v>385</v>
      </c>
      <c r="F320" s="9" t="s">
        <v>386</v>
      </c>
      <c r="G320" s="9" t="s">
        <v>397</v>
      </c>
      <c r="H320" s="12" t="s">
        <v>889</v>
      </c>
      <c r="I320" s="11" t="s">
        <v>384</v>
      </c>
      <c r="J320" t="str">
        <f>C320</f>
        <v>Wakefield</v>
      </c>
      <c r="K320" s="21"/>
    </row>
    <row r="321" spans="1:11" ht="14.4">
      <c r="A321" s="5" t="str">
        <f>F321&amp;(COUNTIFS(F$2:F321,F321,K$2:K321,"Sparse"))</f>
        <v>MD0</v>
      </c>
      <c r="B321" s="5" t="str">
        <f>J321&amp;(COUNTIF(J$2:J321,J321))</f>
        <v>Walsall1</v>
      </c>
      <c r="C321" s="8" t="s">
        <v>254</v>
      </c>
      <c r="D321" s="8" t="s">
        <v>254</v>
      </c>
      <c r="E321" s="9" t="s">
        <v>368</v>
      </c>
      <c r="F321" s="9" t="s">
        <v>386</v>
      </c>
      <c r="G321" s="9" t="s">
        <v>397</v>
      </c>
      <c r="H321" s="10" t="s">
        <v>894</v>
      </c>
      <c r="I321" s="11" t="s">
        <v>384</v>
      </c>
      <c r="J321" t="str">
        <f>C321</f>
        <v>Walsall</v>
      </c>
      <c r="K321" s="21"/>
    </row>
    <row r="322" spans="1:11" ht="14.4">
      <c r="A322" s="5" t="str">
        <f>F322&amp;(COUNTIFS(F$2:F322,F322,K$2:K322,"Sparse"))</f>
        <v>L0</v>
      </c>
      <c r="B322" s="5" t="str">
        <f>J322&amp;(COUNTIF(J$2:J322,J322))</f>
        <v>London31</v>
      </c>
      <c r="C322" s="8" t="s">
        <v>220</v>
      </c>
      <c r="D322" s="8" t="s">
        <v>220</v>
      </c>
      <c r="E322" s="9" t="s">
        <v>383</v>
      </c>
      <c r="F322" s="9" t="s">
        <v>359</v>
      </c>
      <c r="G322" s="9" t="s">
        <v>383</v>
      </c>
      <c r="H322" s="10" t="s">
        <v>894</v>
      </c>
      <c r="I322" s="11" t="s">
        <v>384</v>
      </c>
      <c r="J322" t="str">
        <f>G322</f>
        <v>London</v>
      </c>
      <c r="K322" s="21"/>
    </row>
    <row r="323" spans="1:11" ht="14.4">
      <c r="A323" s="5" t="str">
        <f>F323&amp;(COUNTIFS(F$2:F323,F323,K$2:K323,"Sparse"))</f>
        <v>L0</v>
      </c>
      <c r="B323" s="5" t="str">
        <f>J323&amp;(COUNTIF(J$2:J323,J323))</f>
        <v>London32</v>
      </c>
      <c r="C323" s="8" t="s">
        <v>221</v>
      </c>
      <c r="D323" s="8" t="s">
        <v>221</v>
      </c>
      <c r="E323" s="9" t="s">
        <v>383</v>
      </c>
      <c r="F323" s="9" t="s">
        <v>359</v>
      </c>
      <c r="G323" s="9" t="s">
        <v>383</v>
      </c>
      <c r="H323" s="10" t="s">
        <v>894</v>
      </c>
      <c r="I323" s="11" t="s">
        <v>384</v>
      </c>
      <c r="J323" t="str">
        <f>G323</f>
        <v>London</v>
      </c>
      <c r="K323" s="21"/>
    </row>
    <row r="324" spans="1:11" ht="14.4">
      <c r="A324" s="5" t="str">
        <f>F324&amp;(COUNTIFS(F$2:F324,F324,K$2:K324,"Sparse"))</f>
        <v>UA11</v>
      </c>
      <c r="B324" s="5" t="str">
        <f>J324&amp;(COUNTIF(J$2:J324,J324))</f>
        <v>Unitary52</v>
      </c>
      <c r="C324" s="8" t="s">
        <v>295</v>
      </c>
      <c r="D324" s="8" t="s">
        <v>295</v>
      </c>
      <c r="E324" s="9" t="s">
        <v>376</v>
      </c>
      <c r="F324" s="9" t="s">
        <v>387</v>
      </c>
      <c r="G324" s="9" t="s">
        <v>396</v>
      </c>
      <c r="H324" s="10" t="s">
        <v>889</v>
      </c>
      <c r="I324" s="11" t="s">
        <v>384</v>
      </c>
      <c r="J324" s="22" t="s">
        <v>396</v>
      </c>
      <c r="K324" s="21"/>
    </row>
    <row r="325" spans="1:11" ht="14.4">
      <c r="A325" s="5" t="str">
        <f>F325&amp;(COUNTIFS(F$2:F325,F325,K$2:K325,"Sparse"))</f>
        <v>SD76</v>
      </c>
      <c r="B325" s="5" t="str">
        <f>J325&amp;(COUNTIF(J$2:J325,J325))</f>
        <v>Warwickshire5</v>
      </c>
      <c r="C325" s="8" t="s">
        <v>174</v>
      </c>
      <c r="D325" s="8" t="s">
        <v>174</v>
      </c>
      <c r="E325" s="9" t="s">
        <v>368</v>
      </c>
      <c r="F325" s="9" t="s">
        <v>381</v>
      </c>
      <c r="G325" s="9" t="s">
        <v>5</v>
      </c>
      <c r="H325" s="12" t="s">
        <v>889</v>
      </c>
      <c r="I325" s="11" t="s">
        <v>384</v>
      </c>
      <c r="J325" t="s">
        <v>330</v>
      </c>
      <c r="K325" s="21"/>
    </row>
    <row r="326" spans="1:11" ht="14.4">
      <c r="A326" s="5" t="str">
        <f>F326&amp;(COUNTIFS(F$2:F326,F326,K$2:K326,"Sparse"))</f>
        <v>SC15</v>
      </c>
      <c r="B326" s="5" t="str">
        <f>J326&amp;(COUNTIF(J$2:J326,J326))</f>
        <v>Warwickshire6</v>
      </c>
      <c r="C326" s="11" t="s">
        <v>330</v>
      </c>
      <c r="D326" s="11" t="s">
        <v>330</v>
      </c>
      <c r="E326" s="9" t="s">
        <v>368</v>
      </c>
      <c r="F326" s="9" t="s">
        <v>389</v>
      </c>
      <c r="G326" s="9" t="s">
        <v>301</v>
      </c>
      <c r="H326" s="11" t="s">
        <v>371</v>
      </c>
      <c r="I326" s="11" t="s">
        <v>371</v>
      </c>
      <c r="J326" t="str">
        <f>C326</f>
        <v>Warwickshire</v>
      </c>
      <c r="K326" s="21" t="s">
        <v>335</v>
      </c>
    </row>
    <row r="327" spans="1:11" ht="14.4">
      <c r="A327" s="5" t="str">
        <f>F327&amp;(COUNTIFS(F$2:F327,F327,K$2:K327,"Sparse"))</f>
        <v>SD76</v>
      </c>
      <c r="B327" s="5" t="str">
        <f>J327&amp;(COUNTIF(J$2:J327,J327))</f>
        <v>Hertfordshire10</v>
      </c>
      <c r="C327" s="8" t="s">
        <v>175</v>
      </c>
      <c r="D327" s="8" t="s">
        <v>175</v>
      </c>
      <c r="E327" s="9" t="s">
        <v>369</v>
      </c>
      <c r="F327" s="9" t="s">
        <v>381</v>
      </c>
      <c r="G327" s="9" t="s">
        <v>5</v>
      </c>
      <c r="H327" s="10" t="s">
        <v>894</v>
      </c>
      <c r="I327" s="11" t="s">
        <v>384</v>
      </c>
      <c r="J327" t="s">
        <v>314</v>
      </c>
      <c r="K327" s="21"/>
    </row>
    <row r="328" spans="1:11" ht="14.4">
      <c r="A328" s="5" t="str">
        <f>F328&amp;(COUNTIFS(F$2:F328,F328,K$2:K328,"Sparse"))</f>
        <v>SD77</v>
      </c>
      <c r="B328" s="5" t="str">
        <f>J328&amp;(COUNTIF(J$2:J328,J328))</f>
        <v>Suffolk9</v>
      </c>
      <c r="C328" s="8" t="s">
        <v>176</v>
      </c>
      <c r="D328" s="8" t="s">
        <v>176</v>
      </c>
      <c r="E328" s="9" t="s">
        <v>369</v>
      </c>
      <c r="F328" s="9" t="s">
        <v>381</v>
      </c>
      <c r="G328" s="9" t="s">
        <v>5</v>
      </c>
      <c r="H328" s="12" t="s">
        <v>892</v>
      </c>
      <c r="I328" s="11" t="s">
        <v>371</v>
      </c>
      <c r="J328" t="s">
        <v>328</v>
      </c>
      <c r="K328" s="21" t="s">
        <v>335</v>
      </c>
    </row>
    <row r="329" spans="1:11" ht="14.4">
      <c r="A329" s="5" t="str">
        <f>F329&amp;(COUNTIFS(F$2:F329,F329,K$2:K329,"Sparse"))</f>
        <v>SD77</v>
      </c>
      <c r="B329" s="5" t="str">
        <f>J329&amp;(COUNTIF(J$2:J329,J329))</f>
        <v>Surrey11</v>
      </c>
      <c r="C329" s="8" t="s">
        <v>177</v>
      </c>
      <c r="D329" s="8" t="s">
        <v>177</v>
      </c>
      <c r="E329" s="9" t="s">
        <v>0</v>
      </c>
      <c r="F329" s="9" t="s">
        <v>381</v>
      </c>
      <c r="G329" s="9" t="s">
        <v>5</v>
      </c>
      <c r="H329" s="10" t="s">
        <v>893</v>
      </c>
      <c r="I329" s="11" t="s">
        <v>382</v>
      </c>
      <c r="J329" t="s">
        <v>329</v>
      </c>
      <c r="K329" s="21"/>
    </row>
    <row r="330" spans="1:11" ht="14.4">
      <c r="A330" s="5" t="str">
        <f>F330&amp;(COUNTIFS(F$2:F330,F330,K$2:K330,"Sparse"))</f>
        <v>SD78</v>
      </c>
      <c r="B330" s="5" t="str">
        <f>J330&amp;(COUNTIF(J$2:J330,J330))</f>
        <v>East Sussex6</v>
      </c>
      <c r="C330" s="8" t="s">
        <v>178</v>
      </c>
      <c r="D330" s="8" t="s">
        <v>178</v>
      </c>
      <c r="E330" s="9" t="s">
        <v>0</v>
      </c>
      <c r="F330" s="9" t="s">
        <v>381</v>
      </c>
      <c r="G330" s="9" t="s">
        <v>5</v>
      </c>
      <c r="H330" s="10" t="s">
        <v>890</v>
      </c>
      <c r="I330" s="11" t="s">
        <v>382</v>
      </c>
      <c r="J330" t="s">
        <v>310</v>
      </c>
      <c r="K330" s="21" t="s">
        <v>335</v>
      </c>
    </row>
    <row r="331" spans="1:11" ht="14.4">
      <c r="A331" s="5" t="str">
        <f>F331&amp;(COUNTIFS(F$2:F331,F331,K$2:K331,"Sparse"))</f>
        <v>SD78</v>
      </c>
      <c r="B331" s="5" t="str">
        <f>J331&amp;(COUNTIF(J$2:J331,J331))</f>
        <v>Northamptonshire8</v>
      </c>
      <c r="C331" s="8" t="s">
        <v>179</v>
      </c>
      <c r="D331" s="8" t="s">
        <v>179</v>
      </c>
      <c r="E331" s="9" t="s">
        <v>367</v>
      </c>
      <c r="F331" s="9" t="s">
        <v>381</v>
      </c>
      <c r="G331" s="9" t="s">
        <v>5</v>
      </c>
      <c r="H331" s="12" t="s">
        <v>892</v>
      </c>
      <c r="I331" s="11" t="s">
        <v>371</v>
      </c>
      <c r="J331" t="s">
        <v>321</v>
      </c>
      <c r="K331" s="21"/>
    </row>
    <row r="332" spans="1:11" ht="14.4">
      <c r="A332" s="5" t="str">
        <f>F332&amp;(COUNTIFS(F$2:F332,F332,K$2:K332,"Sparse"))</f>
        <v>SD78</v>
      </c>
      <c r="B332" s="5" t="str">
        <f>J332&amp;(COUNTIF(J$2:J332,J332))</f>
        <v>Hertfordshire11</v>
      </c>
      <c r="C332" s="8" t="s">
        <v>180</v>
      </c>
      <c r="D332" s="8" t="s">
        <v>180</v>
      </c>
      <c r="E332" s="9" t="s">
        <v>369</v>
      </c>
      <c r="F332" s="9" t="s">
        <v>381</v>
      </c>
      <c r="G332" s="9" t="s">
        <v>5</v>
      </c>
      <c r="H332" s="10" t="s">
        <v>889</v>
      </c>
      <c r="I332" s="11" t="s">
        <v>384</v>
      </c>
      <c r="J332" t="s">
        <v>314</v>
      </c>
      <c r="K332" s="21"/>
    </row>
    <row r="333" spans="1:11" ht="14.4">
      <c r="A333" s="5" t="str">
        <f>F333&amp;(COUNTIFS(F$2:F333,F333,K$2:K333,"Sparse"))</f>
        <v>UA11</v>
      </c>
      <c r="B333" s="5" t="str">
        <f>J333&amp;(COUNTIF(J$2:J333,J333))</f>
        <v>Unitary53</v>
      </c>
      <c r="C333" s="8" t="s">
        <v>296</v>
      </c>
      <c r="D333" s="8" t="s">
        <v>296</v>
      </c>
      <c r="E333" s="9" t="s">
        <v>0</v>
      </c>
      <c r="F333" s="9" t="s">
        <v>387</v>
      </c>
      <c r="G333" s="9" t="s">
        <v>396</v>
      </c>
      <c r="H333" s="12" t="s">
        <v>892</v>
      </c>
      <c r="I333" s="11" t="s">
        <v>371</v>
      </c>
      <c r="J333" s="22" t="s">
        <v>396</v>
      </c>
      <c r="K333" s="21"/>
    </row>
    <row r="334" spans="1:11" ht="14.4">
      <c r="A334" s="5" t="str">
        <f>F334&amp;(COUNTIFS(F$2:F334,F334,K$2:K334,"Sparse"))</f>
        <v>SD79</v>
      </c>
      <c r="B334" s="5" t="str">
        <f>J334&amp;(COUNTIF(J$2:J334,J334))</f>
        <v>Devon9</v>
      </c>
      <c r="C334" s="8" t="s">
        <v>181</v>
      </c>
      <c r="D334" s="8" t="s">
        <v>181</v>
      </c>
      <c r="E334" s="9" t="s">
        <v>1</v>
      </c>
      <c r="F334" s="9" t="s">
        <v>381</v>
      </c>
      <c r="G334" s="9" t="s">
        <v>5</v>
      </c>
      <c r="H334" s="10" t="s">
        <v>890</v>
      </c>
      <c r="I334" s="11" t="s">
        <v>382</v>
      </c>
      <c r="J334" t="s">
        <v>308</v>
      </c>
      <c r="K334" s="21" t="s">
        <v>335</v>
      </c>
    </row>
    <row r="335" spans="1:11" ht="14.4">
      <c r="A335" s="5" t="str">
        <f>F335&amp;(COUNTIFS(F$2:F335,F335,K$2:K335,"Sparse"))</f>
        <v>SD79</v>
      </c>
      <c r="B335" s="5" t="str">
        <f>J335&amp;(COUNTIF(J$2:J335,J335))</f>
        <v>Dorset6</v>
      </c>
      <c r="C335" s="8" t="s">
        <v>182</v>
      </c>
      <c r="D335" s="8" t="s">
        <v>182</v>
      </c>
      <c r="E335" s="9" t="s">
        <v>1</v>
      </c>
      <c r="F335" s="9" t="s">
        <v>381</v>
      </c>
      <c r="G335" s="9" t="s">
        <v>5</v>
      </c>
      <c r="H335" s="10" t="s">
        <v>890</v>
      </c>
      <c r="I335" s="11" t="s">
        <v>382</v>
      </c>
      <c r="J335" t="s">
        <v>309</v>
      </c>
      <c r="K335" s="21"/>
    </row>
    <row r="336" spans="1:11" ht="14.4">
      <c r="A336" s="5" t="str">
        <f>F336&amp;(COUNTIFS(F$2:F336,F336,K$2:K336,"Sparse"))</f>
        <v>SD79</v>
      </c>
      <c r="B336" s="5" t="str">
        <f>J336&amp;(COUNTIF(J$2:J336,J336))</f>
        <v>Lancashire12</v>
      </c>
      <c r="C336" s="8" t="s">
        <v>183</v>
      </c>
      <c r="D336" s="8" t="s">
        <v>183</v>
      </c>
      <c r="E336" s="9" t="s">
        <v>376</v>
      </c>
      <c r="F336" s="9" t="s">
        <v>381</v>
      </c>
      <c r="G336" s="9" t="s">
        <v>5</v>
      </c>
      <c r="H336" s="10" t="s">
        <v>892</v>
      </c>
      <c r="I336" s="11" t="s">
        <v>371</v>
      </c>
      <c r="J336" t="s">
        <v>316</v>
      </c>
      <c r="K336" s="21"/>
    </row>
    <row r="337" spans="1:11" ht="14.4">
      <c r="A337" s="5" t="str">
        <f>F337&amp;(COUNTIFS(F$2:F337,F337,K$2:K337,"Sparse"))</f>
        <v>SD80</v>
      </c>
      <c r="B337" s="5" t="str">
        <f>J337&amp;(COUNTIF(J$2:J337,J337))</f>
        <v>Lincolnshire8</v>
      </c>
      <c r="C337" s="8" t="s">
        <v>184</v>
      </c>
      <c r="D337" s="8" t="s">
        <v>184</v>
      </c>
      <c r="E337" s="9" t="s">
        <v>367</v>
      </c>
      <c r="F337" s="9" t="s">
        <v>381</v>
      </c>
      <c r="G337" s="9" t="s">
        <v>5</v>
      </c>
      <c r="H337" s="10" t="s">
        <v>890</v>
      </c>
      <c r="I337" s="11" t="s">
        <v>382</v>
      </c>
      <c r="J337" t="s">
        <v>318</v>
      </c>
      <c r="K337" s="21" t="s">
        <v>335</v>
      </c>
    </row>
    <row r="338" spans="1:11" ht="14.4">
      <c r="A338" s="5" t="str">
        <f>F338&amp;(COUNTIFS(F$2:F338,F338,K$2:K338,"Sparse"))</f>
        <v>SD81</v>
      </c>
      <c r="B338" s="5" t="str">
        <f>J338&amp;(COUNTIF(J$2:J338,J338))</f>
        <v>Oxfordshire6</v>
      </c>
      <c r="C338" s="8" t="s">
        <v>185</v>
      </c>
      <c r="D338" s="8" t="s">
        <v>185</v>
      </c>
      <c r="E338" s="9" t="s">
        <v>0</v>
      </c>
      <c r="F338" s="9" t="s">
        <v>381</v>
      </c>
      <c r="G338" s="9" t="s">
        <v>5</v>
      </c>
      <c r="H338" s="10" t="s">
        <v>890</v>
      </c>
      <c r="I338" s="11" t="s">
        <v>382</v>
      </c>
      <c r="J338" t="s">
        <v>324</v>
      </c>
      <c r="K338" s="21" t="s">
        <v>335</v>
      </c>
    </row>
    <row r="339" spans="1:11" ht="14.4">
      <c r="A339" s="5" t="str">
        <f>F339&amp;(COUNTIFS(F$2:F339,F339,K$2:K339,"Sparse"))</f>
        <v>SD82</v>
      </c>
      <c r="B339" s="5" t="str">
        <f>J339&amp;(COUNTIF(J$2:J339,J339))</f>
        <v>Somerset7</v>
      </c>
      <c r="C339" s="8" t="s">
        <v>186</v>
      </c>
      <c r="D339" s="8" t="s">
        <v>186</v>
      </c>
      <c r="E339" s="9" t="s">
        <v>1</v>
      </c>
      <c r="F339" s="9" t="s">
        <v>381</v>
      </c>
      <c r="G339" s="9" t="s">
        <v>5</v>
      </c>
      <c r="H339" s="10" t="s">
        <v>890</v>
      </c>
      <c r="I339" s="11" t="s">
        <v>382</v>
      </c>
      <c r="J339" t="s">
        <v>326</v>
      </c>
      <c r="K339" s="21" t="s">
        <v>335</v>
      </c>
    </row>
    <row r="340" spans="1:11" ht="14.4">
      <c r="A340" s="5" t="str">
        <f>F340&amp;(COUNTIFS(F$2:F340,F340,K$2:K340,"Sparse"))</f>
        <v>SD83</v>
      </c>
      <c r="B340" s="5" t="str">
        <f>J340&amp;(COUNTIF(J$2:J340,J340))</f>
        <v>Suffolk10</v>
      </c>
      <c r="C340" t="s">
        <v>910</v>
      </c>
      <c r="D340" t="s">
        <v>910</v>
      </c>
      <c r="E340" s="280" t="s">
        <v>369</v>
      </c>
      <c r="F340" s="280" t="s">
        <v>381</v>
      </c>
      <c r="G340" s="280" t="s">
        <v>5</v>
      </c>
      <c r="H340" s="281" t="s">
        <v>913</v>
      </c>
      <c r="I340" s="282" t="s">
        <v>382</v>
      </c>
      <c r="J340" t="s">
        <v>328</v>
      </c>
      <c r="K340" t="s">
        <v>335</v>
      </c>
    </row>
    <row r="341" spans="1:11" ht="14.4">
      <c r="A341" s="5" t="str">
        <f>F341&amp;(COUNTIFS(F$2:F341,F341,K$2:K341,"Sparse"))</f>
        <v>SC15</v>
      </c>
      <c r="B341" s="5" t="str">
        <f>J341&amp;(COUNTIF(J$2:J341,J341))</f>
        <v>West Sussex7</v>
      </c>
      <c r="C341" s="11" t="s">
        <v>331</v>
      </c>
      <c r="D341" s="11" t="s">
        <v>331</v>
      </c>
      <c r="E341" s="9" t="s">
        <v>0</v>
      </c>
      <c r="F341" s="9" t="s">
        <v>389</v>
      </c>
      <c r="G341" s="9" t="s">
        <v>301</v>
      </c>
      <c r="H341" s="11" t="s">
        <v>371</v>
      </c>
      <c r="I341" s="11" t="s">
        <v>371</v>
      </c>
      <c r="J341" t="str">
        <f>C341</f>
        <v>West Sussex</v>
      </c>
      <c r="K341" s="21"/>
    </row>
    <row r="342" spans="1:11" ht="14.4">
      <c r="A342" s="5" t="str">
        <f>F342&amp;(COUNTIFS(F$2:F342,F342,K$2:K342,"Sparse"))</f>
        <v>L0</v>
      </c>
      <c r="B342" s="5" t="str">
        <f>J342&amp;(COUNTIF(J$2:J342,J342))</f>
        <v>London33</v>
      </c>
      <c r="C342" s="8" t="s">
        <v>187</v>
      </c>
      <c r="D342" s="8" t="s">
        <v>187</v>
      </c>
      <c r="E342" s="9" t="s">
        <v>383</v>
      </c>
      <c r="F342" s="9" t="s">
        <v>359</v>
      </c>
      <c r="G342" s="9" t="s">
        <v>383</v>
      </c>
      <c r="H342" s="10" t="s">
        <v>894</v>
      </c>
      <c r="I342" s="11" t="s">
        <v>384</v>
      </c>
      <c r="J342" t="str">
        <f>G342</f>
        <v>London</v>
      </c>
      <c r="K342" s="21"/>
    </row>
    <row r="343" spans="1:11" ht="14.4">
      <c r="A343" s="5" t="str">
        <f>F343&amp;(COUNTIFS(F$2:F343,F343,K$2:K343,"Sparse"))</f>
        <v>SD83</v>
      </c>
      <c r="B343" s="5" t="str">
        <f>J343&amp;(COUNTIF(J$2:J343,J343))</f>
        <v>Dorset7</v>
      </c>
      <c r="C343" s="8" t="s">
        <v>351</v>
      </c>
      <c r="D343" s="8" t="s">
        <v>351</v>
      </c>
      <c r="E343" s="9" t="s">
        <v>1</v>
      </c>
      <c r="F343" s="9" t="s">
        <v>381</v>
      </c>
      <c r="G343" s="9" t="s">
        <v>5</v>
      </c>
      <c r="H343" s="10" t="s">
        <v>889</v>
      </c>
      <c r="I343" s="11" t="s">
        <v>384</v>
      </c>
      <c r="J343" t="s">
        <v>309</v>
      </c>
      <c r="K343" s="21"/>
    </row>
    <row r="344" spans="1:11" ht="14.4">
      <c r="A344" s="5" t="str">
        <f>F344&amp;(COUNTIFS(F$2:F344,F344,K$2:K344,"Sparse"))</f>
        <v>MD0</v>
      </c>
      <c r="B344" s="5" t="str">
        <f>J344&amp;(COUNTIF(J$2:J344,J344))</f>
        <v>Wigan1</v>
      </c>
      <c r="C344" s="8" t="s">
        <v>255</v>
      </c>
      <c r="D344" s="8" t="s">
        <v>255</v>
      </c>
      <c r="E344" s="9" t="s">
        <v>376</v>
      </c>
      <c r="F344" s="9" t="s">
        <v>386</v>
      </c>
      <c r="G344" s="9" t="s">
        <v>397</v>
      </c>
      <c r="H344" s="10" t="s">
        <v>894</v>
      </c>
      <c r="I344" s="11" t="s">
        <v>384</v>
      </c>
      <c r="J344" t="str">
        <f>C344</f>
        <v>Wigan</v>
      </c>
      <c r="K344" s="21"/>
    </row>
    <row r="345" spans="1:11" ht="14.4">
      <c r="A345" s="5" t="str">
        <f>F345&amp;(COUNTIFS(F$2:F345,F345,K$2:K345,"Sparse"))</f>
        <v>UA11</v>
      </c>
      <c r="B345" s="5" t="str">
        <f>J345&amp;(COUNTIF(J$2:J345,J345))</f>
        <v>Unitary54</v>
      </c>
      <c r="C345" s="8" t="s">
        <v>297</v>
      </c>
      <c r="D345" s="8" t="s">
        <v>297</v>
      </c>
      <c r="E345" s="9" t="s">
        <v>1</v>
      </c>
      <c r="F345" s="9" t="s">
        <v>387</v>
      </c>
      <c r="G345" s="9" t="s">
        <v>396</v>
      </c>
      <c r="H345" s="12" t="s">
        <v>893</v>
      </c>
      <c r="I345" s="11" t="s">
        <v>382</v>
      </c>
      <c r="J345" s="22" t="s">
        <v>396</v>
      </c>
      <c r="K345" s="21"/>
    </row>
    <row r="346" spans="1:11" ht="14.4">
      <c r="A346" s="5" t="str">
        <f>F346&amp;(COUNTIFS(F$2:F346,F346,K$2:K346,"Sparse"))</f>
        <v>SD83</v>
      </c>
      <c r="B346" s="5" t="str">
        <f>J346&amp;(COUNTIF(J$2:J346,J346))</f>
        <v>Hampshire12</v>
      </c>
      <c r="C346" s="8" t="s">
        <v>188</v>
      </c>
      <c r="D346" s="8" t="s">
        <v>188</v>
      </c>
      <c r="E346" s="9" t="s">
        <v>0</v>
      </c>
      <c r="F346" s="9" t="s">
        <v>381</v>
      </c>
      <c r="G346" s="9" t="s">
        <v>5</v>
      </c>
      <c r="H346" s="10" t="s">
        <v>893</v>
      </c>
      <c r="I346" s="11" t="s">
        <v>382</v>
      </c>
      <c r="J346" t="s">
        <v>313</v>
      </c>
      <c r="K346" s="21"/>
    </row>
    <row r="347" spans="1:11" ht="14.4">
      <c r="A347" s="5" t="str">
        <f>F347&amp;(COUNTIFS(F$2:F347,F347,K$2:K347,"Sparse"))</f>
        <v>UA11</v>
      </c>
      <c r="B347" s="5" t="str">
        <f>J347&amp;(COUNTIF(J$2:J347,J347))</f>
        <v>Unitary55</v>
      </c>
      <c r="C347" s="8" t="s">
        <v>814</v>
      </c>
      <c r="D347" s="8" t="s">
        <v>814</v>
      </c>
      <c r="E347" s="9" t="s">
        <v>0</v>
      </c>
      <c r="F347" s="9" t="s">
        <v>387</v>
      </c>
      <c r="G347" s="9" t="s">
        <v>396</v>
      </c>
      <c r="H347" s="10" t="s">
        <v>889</v>
      </c>
      <c r="I347" s="11" t="s">
        <v>384</v>
      </c>
      <c r="J347" s="22" t="s">
        <v>396</v>
      </c>
      <c r="K347" s="21"/>
    </row>
    <row r="348" spans="1:11" ht="14.4">
      <c r="A348" s="5" t="str">
        <f>F348&amp;(COUNTIFS(F$2:F348,F348,K$2:K348,"Sparse"))</f>
        <v>MD0</v>
      </c>
      <c r="B348" s="5" t="str">
        <f>J348&amp;(COUNTIF(J$2:J348,J348))</f>
        <v>Wirral1</v>
      </c>
      <c r="C348" s="8" t="s">
        <v>256</v>
      </c>
      <c r="D348" s="8" t="s">
        <v>256</v>
      </c>
      <c r="E348" s="9" t="s">
        <v>376</v>
      </c>
      <c r="F348" s="9" t="s">
        <v>386</v>
      </c>
      <c r="G348" s="9" t="s">
        <v>397</v>
      </c>
      <c r="H348" s="10" t="s">
        <v>894</v>
      </c>
      <c r="I348" s="11" t="s">
        <v>384</v>
      </c>
      <c r="J348" t="str">
        <f>C348</f>
        <v>Wirral</v>
      </c>
      <c r="K348" s="21"/>
    </row>
    <row r="349" spans="1:11" ht="14.4">
      <c r="A349" s="5" t="str">
        <f>F349&amp;(COUNTIFS(F$2:F349,F349,K$2:K349,"Sparse"))</f>
        <v>SD83</v>
      </c>
      <c r="B349" s="5" t="str">
        <f>J349&amp;(COUNTIF(J$2:J349,J349))</f>
        <v>Surrey12</v>
      </c>
      <c r="C349" s="8" t="s">
        <v>189</v>
      </c>
      <c r="D349" s="8" t="s">
        <v>189</v>
      </c>
      <c r="E349" s="9" t="s">
        <v>0</v>
      </c>
      <c r="F349" s="9" t="s">
        <v>381</v>
      </c>
      <c r="G349" s="9" t="s">
        <v>5</v>
      </c>
      <c r="H349" s="10" t="s">
        <v>894</v>
      </c>
      <c r="I349" s="11" t="s">
        <v>384</v>
      </c>
      <c r="J349" t="s">
        <v>329</v>
      </c>
      <c r="K349" s="21"/>
    </row>
    <row r="350" spans="1:11" ht="14.4">
      <c r="A350" s="5" t="str">
        <f>F350&amp;(COUNTIFS(F$2:F350,F350,K$2:K350,"Sparse"))</f>
        <v>UA11</v>
      </c>
      <c r="B350" s="5" t="str">
        <f>J350&amp;(COUNTIF(J$2:J350,J350))</f>
        <v>Unitary56</v>
      </c>
      <c r="C350" s="8" t="s">
        <v>298</v>
      </c>
      <c r="D350" s="8" t="s">
        <v>298</v>
      </c>
      <c r="E350" s="9" t="s">
        <v>0</v>
      </c>
      <c r="F350" s="9" t="s">
        <v>387</v>
      </c>
      <c r="G350" s="9" t="s">
        <v>396</v>
      </c>
      <c r="H350" s="10" t="s">
        <v>889</v>
      </c>
      <c r="I350" s="11" t="s">
        <v>384</v>
      </c>
      <c r="J350" s="22" t="s">
        <v>396</v>
      </c>
      <c r="K350" s="21"/>
    </row>
    <row r="351" spans="1:11" ht="14.4">
      <c r="A351" s="5" t="str">
        <f>F351&amp;(COUNTIFS(F$2:F351,F351,K$2:K351,"Sparse"))</f>
        <v>MD0</v>
      </c>
      <c r="B351" s="5" t="str">
        <f>J351&amp;(COUNTIF(J$2:J351,J351))</f>
        <v>Wolverhampton1</v>
      </c>
      <c r="C351" s="8" t="s">
        <v>257</v>
      </c>
      <c r="D351" s="8" t="s">
        <v>257</v>
      </c>
      <c r="E351" s="9" t="s">
        <v>368</v>
      </c>
      <c r="F351" s="9" t="s">
        <v>386</v>
      </c>
      <c r="G351" s="9" t="s">
        <v>397</v>
      </c>
      <c r="H351" s="10" t="s">
        <v>894</v>
      </c>
      <c r="I351" s="11" t="s">
        <v>384</v>
      </c>
      <c r="J351" t="str">
        <f>C351</f>
        <v>Wolverhampton</v>
      </c>
      <c r="K351" s="21"/>
    </row>
    <row r="352" spans="1:11" ht="14.4">
      <c r="A352" s="5" t="str">
        <f>F352&amp;(COUNTIFS(F$2:F352,F352,K$2:K352,"Sparse"))</f>
        <v>SD83</v>
      </c>
      <c r="B352" s="5" t="str">
        <f>J352&amp;(COUNTIF(J$2:J352,J352))</f>
        <v>Worcestershire4</v>
      </c>
      <c r="C352" s="8" t="s">
        <v>190</v>
      </c>
      <c r="D352" s="8" t="s">
        <v>190</v>
      </c>
      <c r="E352" s="9" t="s">
        <v>368</v>
      </c>
      <c r="F352" s="9" t="s">
        <v>381</v>
      </c>
      <c r="G352" s="9" t="s">
        <v>5</v>
      </c>
      <c r="H352" s="10" t="s">
        <v>889</v>
      </c>
      <c r="I352" s="11" t="s">
        <v>384</v>
      </c>
      <c r="J352" t="s">
        <v>332</v>
      </c>
      <c r="K352" s="21"/>
    </row>
    <row r="353" spans="1:12" ht="14.4">
      <c r="A353" s="5" t="str">
        <f>F353&amp;(COUNTIFS(F$2:F353,F353,K$2:K353,"Sparse"))</f>
        <v>SC16</v>
      </c>
      <c r="B353" s="5" t="str">
        <f>J353&amp;(COUNTIF(J$2:J353,J353))</f>
        <v>Worcestershire5</v>
      </c>
      <c r="C353" s="11" t="s">
        <v>332</v>
      </c>
      <c r="D353" s="11" t="s">
        <v>332</v>
      </c>
      <c r="E353" s="9" t="s">
        <v>368</v>
      </c>
      <c r="F353" s="9" t="s">
        <v>389</v>
      </c>
      <c r="G353" s="9" t="s">
        <v>301</v>
      </c>
      <c r="H353" s="11" t="s">
        <v>371</v>
      </c>
      <c r="I353" s="11" t="s">
        <v>371</v>
      </c>
      <c r="J353" t="str">
        <f>C353</f>
        <v>Worcestershire</v>
      </c>
      <c r="K353" s="21" t="s">
        <v>335</v>
      </c>
    </row>
    <row r="354" spans="1:12" ht="14.4">
      <c r="A354" s="5" t="str">
        <f>F354&amp;(COUNTIFS(F$2:F354,F354,K$2:K354,"Sparse"))</f>
        <v>SD83</v>
      </c>
      <c r="B354" s="5" t="str">
        <f>J354&amp;(COUNTIF(J$2:J354,J354))</f>
        <v>West Sussex8</v>
      </c>
      <c r="C354" s="8" t="s">
        <v>191</v>
      </c>
      <c r="D354" s="8" t="s">
        <v>191</v>
      </c>
      <c r="E354" s="9" t="s">
        <v>0</v>
      </c>
      <c r="F354" s="9" t="s">
        <v>381</v>
      </c>
      <c r="G354" s="9" t="s">
        <v>5</v>
      </c>
      <c r="H354" s="10" t="s">
        <v>889</v>
      </c>
      <c r="I354" s="11" t="s">
        <v>384</v>
      </c>
      <c r="J354" t="s">
        <v>331</v>
      </c>
      <c r="K354" s="21"/>
    </row>
    <row r="355" spans="1:12" ht="14.4">
      <c r="A355" s="5" t="str">
        <f>F355&amp;(COUNTIFS(F$2:F355,F355,K$2:K355,"Sparse"))</f>
        <v>SD84</v>
      </c>
      <c r="B355" s="5" t="str">
        <f>J355&amp;(COUNTIF(J$2:J355,J355))</f>
        <v>Worcestershire6</v>
      </c>
      <c r="C355" s="8" t="s">
        <v>192</v>
      </c>
      <c r="D355" s="8" t="s">
        <v>192</v>
      </c>
      <c r="E355" s="9" t="s">
        <v>368</v>
      </c>
      <c r="F355" s="9" t="s">
        <v>381</v>
      </c>
      <c r="G355" s="9" t="s">
        <v>5</v>
      </c>
      <c r="H355" s="10" t="s">
        <v>890</v>
      </c>
      <c r="I355" s="11" t="s">
        <v>382</v>
      </c>
      <c r="J355" t="s">
        <v>332</v>
      </c>
      <c r="K355" s="21" t="s">
        <v>335</v>
      </c>
    </row>
    <row r="356" spans="1:12" ht="14.4">
      <c r="A356" s="5" t="str">
        <f>F356&amp;(COUNTIFS(F$2:F356,F356,K$2:K356,"Sparse"))</f>
        <v>SD84</v>
      </c>
      <c r="B356" s="5" t="str">
        <f>J356&amp;(COUNTIF(J$2:J356,J356))</f>
        <v>Buckinghamshire5</v>
      </c>
      <c r="C356" s="8" t="s">
        <v>193</v>
      </c>
      <c r="D356" s="8" t="s">
        <v>193</v>
      </c>
      <c r="E356" s="9" t="s">
        <v>0</v>
      </c>
      <c r="F356" s="9" t="s">
        <v>381</v>
      </c>
      <c r="G356" s="9" t="s">
        <v>5</v>
      </c>
      <c r="H356" s="12" t="s">
        <v>892</v>
      </c>
      <c r="I356" s="11" t="s">
        <v>371</v>
      </c>
      <c r="J356" t="s">
        <v>300</v>
      </c>
      <c r="K356" s="21"/>
    </row>
    <row r="357" spans="1:12" ht="14.4">
      <c r="A357" s="5" t="str">
        <f>F357&amp;(COUNTIFS(F$2:F357,F357,K$2:K357,"Sparse"))</f>
        <v>SD84</v>
      </c>
      <c r="B357" s="5" t="str">
        <f>J357&amp;(COUNTIF(J$2:J357,J357))</f>
        <v>Lancashire13</v>
      </c>
      <c r="C357" s="8" t="s">
        <v>194</v>
      </c>
      <c r="D357" s="8" t="s">
        <v>194</v>
      </c>
      <c r="E357" s="9" t="s">
        <v>376</v>
      </c>
      <c r="F357" s="9" t="s">
        <v>381</v>
      </c>
      <c r="G357" s="9" t="s">
        <v>5</v>
      </c>
      <c r="H357" s="12" t="s">
        <v>893</v>
      </c>
      <c r="I357" s="11" t="s">
        <v>382</v>
      </c>
      <c r="J357" t="s">
        <v>316</v>
      </c>
      <c r="K357" s="21"/>
    </row>
    <row r="358" spans="1:12" ht="14.4">
      <c r="A358" s="5" t="str">
        <f>F358&amp;(COUNTIFS(F$2:F358,F358,K$2:K358,"Sparse"))</f>
        <v>SD84</v>
      </c>
      <c r="B358" s="5" t="str">
        <f>J358&amp;(COUNTIF(J$2:J358,J358))</f>
        <v>Worcestershire7</v>
      </c>
      <c r="C358" s="8" t="s">
        <v>195</v>
      </c>
      <c r="D358" s="8" t="s">
        <v>195</v>
      </c>
      <c r="E358" s="9" t="s">
        <v>368</v>
      </c>
      <c r="F358" s="9" t="s">
        <v>381</v>
      </c>
      <c r="G358" s="9" t="s">
        <v>5</v>
      </c>
      <c r="H358" s="12" t="s">
        <v>892</v>
      </c>
      <c r="I358" s="11" t="s">
        <v>371</v>
      </c>
      <c r="J358" t="s">
        <v>332</v>
      </c>
      <c r="K358" s="21"/>
    </row>
    <row r="359" spans="1:12" ht="14.4">
      <c r="A359" s="5" t="str">
        <f>F359&amp;(COUNTIFS(F$2:F359,F359,K$2:K359,"Sparse"))</f>
        <v>UA11</v>
      </c>
      <c r="B359" s="5" t="str">
        <f>J359&amp;(COUNTIF(J$2:J359,J359))</f>
        <v>Unitary57</v>
      </c>
      <c r="C359" s="8" t="s">
        <v>299</v>
      </c>
      <c r="D359" s="8" t="s">
        <v>299</v>
      </c>
      <c r="E359" s="9" t="s">
        <v>385</v>
      </c>
      <c r="F359" s="9" t="s">
        <v>387</v>
      </c>
      <c r="G359" s="9" t="s">
        <v>396</v>
      </c>
      <c r="H359" s="10" t="s">
        <v>889</v>
      </c>
      <c r="I359" s="11" t="s">
        <v>384</v>
      </c>
      <c r="J359" s="22" t="s">
        <v>396</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422</v>
      </c>
      <c r="C1" s="65"/>
    </row>
    <row r="2" spans="1:18">
      <c r="A2" s="65"/>
      <c r="B2" s="65"/>
      <c r="C2" s="65"/>
    </row>
    <row r="3" spans="1:18">
      <c r="A3" s="65"/>
      <c r="B3" s="65" t="s">
        <v>423</v>
      </c>
      <c r="C3" s="65" t="s">
        <v>333</v>
      </c>
      <c r="D3" s="66" t="s">
        <v>424</v>
      </c>
      <c r="E3" s="66" t="s">
        <v>425</v>
      </c>
      <c r="F3" s="66" t="s">
        <v>426</v>
      </c>
      <c r="G3" s="66" t="s">
        <v>427</v>
      </c>
      <c r="H3" s="66" t="s">
        <v>428</v>
      </c>
      <c r="I3" s="66" t="s">
        <v>429</v>
      </c>
      <c r="J3" s="66" t="s">
        <v>430</v>
      </c>
      <c r="K3" s="66" t="s">
        <v>431</v>
      </c>
      <c r="L3" s="66" t="s">
        <v>432</v>
      </c>
      <c r="M3" s="66" t="s">
        <v>433</v>
      </c>
      <c r="N3" s="66" t="s">
        <v>434</v>
      </c>
      <c r="O3" s="66" t="s">
        <v>435</v>
      </c>
      <c r="P3" s="66" t="s">
        <v>436</v>
      </c>
      <c r="Q3" s="66" t="s">
        <v>437</v>
      </c>
      <c r="R3" s="66" t="s">
        <v>438</v>
      </c>
    </row>
    <row r="4" spans="1:18">
      <c r="A4" s="65"/>
      <c r="C4" s="65"/>
    </row>
    <row r="5" spans="1:18">
      <c r="A5" s="65"/>
      <c r="B5" s="65" t="s">
        <v>439</v>
      </c>
      <c r="C5" s="65"/>
    </row>
    <row r="6" spans="1:18">
      <c r="A6" s="66" t="str">
        <f>VLOOKUP(C6,classifications!C:F,4,FALSE)</f>
        <v>L</v>
      </c>
      <c r="B6" s="66" t="s">
        <v>440</v>
      </c>
      <c r="C6" s="66" t="s">
        <v>200</v>
      </c>
      <c r="D6" s="66" t="s">
        <v>336</v>
      </c>
      <c r="E6" s="66" t="s">
        <v>211</v>
      </c>
      <c r="F6" s="66" t="s">
        <v>337</v>
      </c>
      <c r="G6" s="66" t="s">
        <v>221</v>
      </c>
      <c r="H6" s="66" t="s">
        <v>217</v>
      </c>
      <c r="I6" s="66" t="s">
        <v>212</v>
      </c>
      <c r="J6" s="66" t="s">
        <v>206</v>
      </c>
      <c r="K6" s="66" t="s">
        <v>214</v>
      </c>
      <c r="L6" s="66" t="s">
        <v>202</v>
      </c>
      <c r="M6" s="66" t="s">
        <v>198</v>
      </c>
      <c r="N6" s="66" t="s">
        <v>219</v>
      </c>
      <c r="O6" s="66" t="s">
        <v>393</v>
      </c>
      <c r="P6" s="66" t="s">
        <v>210</v>
      </c>
      <c r="Q6" s="66" t="s">
        <v>213</v>
      </c>
      <c r="R6" s="66" t="s">
        <v>207</v>
      </c>
    </row>
    <row r="7" spans="1:18">
      <c r="A7" s="66" t="str">
        <f>VLOOKUP(C7,classifications!C:F,4,FALSE)</f>
        <v>L</v>
      </c>
      <c r="B7" s="66" t="s">
        <v>441</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442</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443</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393</v>
      </c>
    </row>
    <row r="10" spans="1:18">
      <c r="A10" s="66" t="str">
        <f>VLOOKUP(C10,classifications!C:F,4,FALSE)</f>
        <v>L</v>
      </c>
      <c r="B10" s="66" t="s">
        <v>444</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445</v>
      </c>
      <c r="C11" s="66" t="s">
        <v>337</v>
      </c>
      <c r="D11" s="66" t="s">
        <v>200</v>
      </c>
      <c r="E11" s="66" t="s">
        <v>336</v>
      </c>
      <c r="F11" s="66" t="s">
        <v>187</v>
      </c>
      <c r="G11" s="66" t="s">
        <v>211</v>
      </c>
      <c r="H11" s="66" t="s">
        <v>221</v>
      </c>
      <c r="I11" s="66" t="s">
        <v>393</v>
      </c>
      <c r="J11" s="66" t="s">
        <v>394</v>
      </c>
      <c r="K11" s="66" t="s">
        <v>207</v>
      </c>
      <c r="L11" s="66" t="s">
        <v>214</v>
      </c>
      <c r="M11" s="66" t="s">
        <v>196</v>
      </c>
      <c r="N11" s="66" t="s">
        <v>202</v>
      </c>
      <c r="O11" s="66" t="s">
        <v>212</v>
      </c>
      <c r="P11" s="66" t="s">
        <v>217</v>
      </c>
      <c r="Q11" s="66" t="s">
        <v>218</v>
      </c>
      <c r="R11" s="66" t="s">
        <v>198</v>
      </c>
    </row>
    <row r="12" spans="1:18">
      <c r="A12" s="66" t="str">
        <f>VLOOKUP(C12,classifications!C:F,4,FALSE)</f>
        <v>L</v>
      </c>
      <c r="B12" s="66" t="s">
        <v>446</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447</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448</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449</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450</v>
      </c>
      <c r="C16" s="66" t="s">
        <v>221</v>
      </c>
      <c r="D16" s="66" t="s">
        <v>212</v>
      </c>
      <c r="E16" s="66" t="s">
        <v>336</v>
      </c>
      <c r="F16" s="66" t="s">
        <v>214</v>
      </c>
      <c r="G16" s="66" t="s">
        <v>202</v>
      </c>
      <c r="H16" s="66" t="s">
        <v>211</v>
      </c>
      <c r="I16" s="66" t="s">
        <v>210</v>
      </c>
      <c r="J16" s="66" t="s">
        <v>200</v>
      </c>
      <c r="K16" s="66" t="s">
        <v>217</v>
      </c>
      <c r="L16" s="66" t="s">
        <v>393</v>
      </c>
      <c r="M16" s="66" t="s">
        <v>196</v>
      </c>
      <c r="N16" s="66" t="s">
        <v>213</v>
      </c>
      <c r="O16" s="66" t="s">
        <v>198</v>
      </c>
      <c r="P16" s="66" t="s">
        <v>218</v>
      </c>
      <c r="Q16" s="66" t="s">
        <v>201</v>
      </c>
      <c r="R16" s="66" t="s">
        <v>216</v>
      </c>
    </row>
    <row r="17" spans="1:18">
      <c r="A17" s="66" t="str">
        <f>VLOOKUP(C17,classifications!C:F,4,FALSE)</f>
        <v>L</v>
      </c>
      <c r="B17" s="66" t="s">
        <v>451</v>
      </c>
      <c r="C17" s="66" t="s">
        <v>187</v>
      </c>
      <c r="D17" s="66" t="s">
        <v>337</v>
      </c>
      <c r="E17" s="66" t="s">
        <v>200</v>
      </c>
      <c r="F17" s="66" t="s">
        <v>336</v>
      </c>
      <c r="G17" s="66" t="s">
        <v>211</v>
      </c>
      <c r="H17" s="66" t="s">
        <v>221</v>
      </c>
      <c r="I17" s="66" t="s">
        <v>219</v>
      </c>
      <c r="J17" s="66" t="s">
        <v>217</v>
      </c>
      <c r="K17" s="66" t="s">
        <v>393</v>
      </c>
      <c r="L17" s="66" t="s">
        <v>212</v>
      </c>
      <c r="M17" s="66" t="s">
        <v>394</v>
      </c>
      <c r="N17" s="66" t="s">
        <v>214</v>
      </c>
      <c r="O17" s="66" t="s">
        <v>202</v>
      </c>
      <c r="P17" s="66" t="s">
        <v>196</v>
      </c>
      <c r="Q17" s="66" t="s">
        <v>207</v>
      </c>
      <c r="R17" s="66" t="s">
        <v>206</v>
      </c>
    </row>
    <row r="18" spans="1:18">
      <c r="A18" s="66" t="str">
        <f>VLOOKUP(C18,classifications!C:F,4,FALSE)</f>
        <v>L</v>
      </c>
      <c r="B18" s="66" t="s">
        <v>452</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453</v>
      </c>
      <c r="C19" s="66" t="s">
        <v>196</v>
      </c>
      <c r="D19" s="66" t="s">
        <v>207</v>
      </c>
      <c r="E19" s="66" t="s">
        <v>216</v>
      </c>
      <c r="F19" s="66" t="s">
        <v>201</v>
      </c>
      <c r="G19" s="66" t="s">
        <v>202</v>
      </c>
      <c r="H19" s="66" t="s">
        <v>203</v>
      </c>
      <c r="I19" s="66" t="s">
        <v>199</v>
      </c>
      <c r="J19" s="66" t="s">
        <v>209</v>
      </c>
      <c r="K19" s="66" t="s">
        <v>214</v>
      </c>
      <c r="L19" s="66" t="s">
        <v>393</v>
      </c>
      <c r="M19" s="66" t="s">
        <v>210</v>
      </c>
      <c r="N19" s="66" t="s">
        <v>218</v>
      </c>
      <c r="O19" s="66" t="s">
        <v>394</v>
      </c>
      <c r="P19" s="66" t="s">
        <v>197</v>
      </c>
      <c r="Q19" s="66" t="s">
        <v>221</v>
      </c>
      <c r="R19" s="66" t="s">
        <v>198</v>
      </c>
    </row>
    <row r="20" spans="1:18">
      <c r="A20" s="66" t="str">
        <f>VLOOKUP(C20,classifications!C:F,4,FALSE)</f>
        <v>L</v>
      </c>
      <c r="B20" s="66" t="s">
        <v>454</v>
      </c>
      <c r="C20" s="66" t="s">
        <v>197</v>
      </c>
      <c r="D20" s="66" t="s">
        <v>208</v>
      </c>
      <c r="E20" s="66" t="s">
        <v>218</v>
      </c>
      <c r="F20" s="66" t="s">
        <v>209</v>
      </c>
      <c r="G20" s="66" t="s">
        <v>216</v>
      </c>
      <c r="H20" s="66" t="s">
        <v>199</v>
      </c>
      <c r="I20" s="66" t="s">
        <v>214</v>
      </c>
      <c r="J20" s="66" t="s">
        <v>207</v>
      </c>
      <c r="K20" s="66" t="s">
        <v>393</v>
      </c>
      <c r="L20" s="66" t="s">
        <v>201</v>
      </c>
      <c r="M20" s="66" t="s">
        <v>203</v>
      </c>
      <c r="N20" s="66" t="s">
        <v>210</v>
      </c>
      <c r="O20" s="66" t="s">
        <v>196</v>
      </c>
      <c r="P20" s="66" t="s">
        <v>220</v>
      </c>
      <c r="Q20" s="66" t="s">
        <v>202</v>
      </c>
      <c r="R20" s="66" t="s">
        <v>394</v>
      </c>
    </row>
    <row r="21" spans="1:18">
      <c r="A21" s="66" t="str">
        <f>VLOOKUP(C21,classifications!C:F,4,FALSE)</f>
        <v>L</v>
      </c>
      <c r="B21" s="66" t="s">
        <v>455</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456</v>
      </c>
      <c r="C22" s="66" t="s">
        <v>199</v>
      </c>
      <c r="D22" s="66" t="s">
        <v>208</v>
      </c>
      <c r="E22" s="66" t="s">
        <v>197</v>
      </c>
      <c r="F22" s="66" t="s">
        <v>209</v>
      </c>
      <c r="G22" s="66" t="s">
        <v>196</v>
      </c>
      <c r="H22" s="66" t="s">
        <v>394</v>
      </c>
      <c r="I22" s="66" t="s">
        <v>218</v>
      </c>
      <c r="J22" s="66" t="s">
        <v>393</v>
      </c>
      <c r="K22" s="66" t="s">
        <v>207</v>
      </c>
      <c r="L22" s="66" t="s">
        <v>201</v>
      </c>
      <c r="M22" s="66" t="s">
        <v>216</v>
      </c>
      <c r="N22" s="66" t="s">
        <v>203</v>
      </c>
      <c r="O22" s="66" t="s">
        <v>214</v>
      </c>
      <c r="P22" s="66" t="s">
        <v>210</v>
      </c>
      <c r="Q22" s="66" t="s">
        <v>202</v>
      </c>
      <c r="R22" s="66" t="s">
        <v>221</v>
      </c>
    </row>
    <row r="23" spans="1:18">
      <c r="A23" s="66" t="str">
        <f>VLOOKUP(C23,classifications!C:F,4,FALSE)</f>
        <v>L</v>
      </c>
      <c r="B23" s="66" t="s">
        <v>457</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458</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459</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460</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461</v>
      </c>
      <c r="C27" s="66" t="s">
        <v>207</v>
      </c>
      <c r="D27" s="66" t="s">
        <v>214</v>
      </c>
      <c r="E27" s="66" t="s">
        <v>393</v>
      </c>
      <c r="F27" s="66" t="s">
        <v>216</v>
      </c>
      <c r="G27" s="66" t="s">
        <v>196</v>
      </c>
      <c r="H27" s="66" t="s">
        <v>218</v>
      </c>
      <c r="I27" s="66" t="s">
        <v>202</v>
      </c>
      <c r="J27" s="66" t="s">
        <v>197</v>
      </c>
      <c r="K27" s="66" t="s">
        <v>203</v>
      </c>
      <c r="L27" s="66" t="s">
        <v>210</v>
      </c>
      <c r="M27" s="66" t="s">
        <v>209</v>
      </c>
      <c r="N27" s="66" t="s">
        <v>201</v>
      </c>
      <c r="O27" s="66" t="s">
        <v>394</v>
      </c>
      <c r="P27" s="66" t="s">
        <v>198</v>
      </c>
      <c r="Q27" s="66" t="s">
        <v>199</v>
      </c>
      <c r="R27" s="66" t="s">
        <v>208</v>
      </c>
    </row>
    <row r="28" spans="1:18">
      <c r="A28" s="66" t="str">
        <f>VLOOKUP(C28,classifications!C:F,4,FALSE)</f>
        <v>L</v>
      </c>
      <c r="B28" s="66" t="s">
        <v>462</v>
      </c>
      <c r="C28" s="66" t="s">
        <v>208</v>
      </c>
      <c r="D28" s="66" t="s">
        <v>197</v>
      </c>
      <c r="E28" s="66" t="s">
        <v>199</v>
      </c>
      <c r="F28" s="66" t="s">
        <v>218</v>
      </c>
      <c r="G28" s="66" t="s">
        <v>209</v>
      </c>
      <c r="H28" s="66" t="s">
        <v>393</v>
      </c>
      <c r="I28" s="66" t="s">
        <v>216</v>
      </c>
      <c r="J28" s="66" t="s">
        <v>207</v>
      </c>
      <c r="K28" s="66" t="s">
        <v>214</v>
      </c>
      <c r="L28" s="66" t="s">
        <v>201</v>
      </c>
      <c r="M28" s="66" t="s">
        <v>203</v>
      </c>
      <c r="N28" s="66" t="s">
        <v>210</v>
      </c>
      <c r="O28" s="66" t="s">
        <v>196</v>
      </c>
      <c r="P28" s="66" t="s">
        <v>394</v>
      </c>
      <c r="Q28" s="66" t="s">
        <v>220</v>
      </c>
      <c r="R28" s="66" t="s">
        <v>202</v>
      </c>
    </row>
    <row r="29" spans="1:18">
      <c r="A29" s="66" t="str">
        <f>VLOOKUP(C29,classifications!C:F,4,FALSE)</f>
        <v>L</v>
      </c>
      <c r="B29" s="66" t="s">
        <v>463</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393</v>
      </c>
      <c r="R29" s="66" t="s">
        <v>204</v>
      </c>
    </row>
    <row r="30" spans="1:18">
      <c r="A30" s="66" t="str">
        <f>VLOOKUP(C30,classifications!C:F,4,FALSE)</f>
        <v>L</v>
      </c>
      <c r="B30" s="66" t="s">
        <v>464</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465</v>
      </c>
      <c r="C31" s="68" t="s">
        <v>393</v>
      </c>
      <c r="D31" s="66" t="s">
        <v>214</v>
      </c>
      <c r="E31" s="66" t="s">
        <v>218</v>
      </c>
      <c r="F31" s="66" t="s">
        <v>207</v>
      </c>
      <c r="G31" s="66" t="s">
        <v>394</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466</v>
      </c>
      <c r="C32" s="66" t="s">
        <v>214</v>
      </c>
      <c r="D32" s="66" t="s">
        <v>218</v>
      </c>
      <c r="E32" s="66" t="s">
        <v>393</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467</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468</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393</v>
      </c>
      <c r="Q34" s="66" t="s">
        <v>206</v>
      </c>
      <c r="R34" s="66" t="s">
        <v>204</v>
      </c>
    </row>
    <row r="35" spans="1:18">
      <c r="A35" s="66" t="str">
        <f>VLOOKUP(C35,classifications!C:F,4,FALSE)</f>
        <v>L</v>
      </c>
      <c r="B35" s="66" t="s">
        <v>469</v>
      </c>
      <c r="C35" s="68" t="s">
        <v>394</v>
      </c>
      <c r="D35" s="66" t="s">
        <v>393</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470</v>
      </c>
      <c r="C36" s="66" t="s">
        <v>218</v>
      </c>
      <c r="D36" s="66" t="s">
        <v>197</v>
      </c>
      <c r="E36" s="66" t="s">
        <v>214</v>
      </c>
      <c r="F36" s="66" t="s">
        <v>393</v>
      </c>
      <c r="G36" s="66" t="s">
        <v>207</v>
      </c>
      <c r="H36" s="66" t="s">
        <v>216</v>
      </c>
      <c r="I36" s="66" t="s">
        <v>208</v>
      </c>
      <c r="J36" s="66" t="s">
        <v>209</v>
      </c>
      <c r="K36" s="66" t="s">
        <v>210</v>
      </c>
      <c r="L36" s="66" t="s">
        <v>201</v>
      </c>
      <c r="M36" s="66" t="s">
        <v>196</v>
      </c>
      <c r="N36" s="66" t="s">
        <v>199</v>
      </c>
      <c r="O36" s="66" t="s">
        <v>203</v>
      </c>
      <c r="P36" s="66" t="s">
        <v>394</v>
      </c>
      <c r="Q36" s="66" t="s">
        <v>202</v>
      </c>
      <c r="R36" s="66" t="s">
        <v>220</v>
      </c>
    </row>
    <row r="37" spans="1:18">
      <c r="A37" s="66" t="str">
        <f>VLOOKUP(C37,classifications!C:F,4,FALSE)</f>
        <v>L</v>
      </c>
      <c r="B37" s="66" t="s">
        <v>471</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414</v>
      </c>
    </row>
    <row r="40" spans="1:18">
      <c r="A40" s="66" t="str">
        <f>VLOOKUP(C40,classifications!C:F,4,FALSE)</f>
        <v>MD</v>
      </c>
      <c r="B40" s="66" t="s">
        <v>472</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473</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474</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475</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476</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477</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478</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479</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480</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481</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482</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483</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484</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485</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486</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487</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488</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489</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490</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491</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492</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493</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494</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495</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496</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497</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498</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499</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500</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501</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502</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503</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504</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505</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506</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507</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508</v>
      </c>
    </row>
    <row r="78" spans="1:18">
      <c r="A78" s="66" t="str">
        <f>VLOOKUP(C78,classifications!C:F,4,FALSE)</f>
        <v>UA</v>
      </c>
      <c r="B78" s="66" t="s">
        <v>509</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510</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511</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512</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513</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514</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515</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516</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517</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518</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519</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520</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521</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521</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522</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523</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524</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525</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526</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527</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528</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529</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530</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531</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532</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533</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534</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535</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536</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537</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538</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539</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540</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541</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542</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543</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544</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545</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546</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547</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548</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549</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550</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551</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552</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553</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554</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555</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556</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557</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558</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559</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560</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561</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562</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563</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416</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564</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565</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566</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567</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568</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569</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570</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571</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572</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573</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574</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575</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576</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577</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578</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579</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580</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581</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582</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583</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584</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585</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586</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587</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588</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589</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590</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591</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592</v>
      </c>
      <c r="C165" s="66" t="s">
        <v>11</v>
      </c>
      <c r="D165" s="66" t="s">
        <v>88</v>
      </c>
      <c r="E165" s="66" t="s">
        <v>193</v>
      </c>
      <c r="F165" s="66" t="s">
        <v>343</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593</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594</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595</v>
      </c>
      <c r="C168" s="66" t="s">
        <v>193</v>
      </c>
      <c r="D168" s="66" t="s">
        <v>11</v>
      </c>
      <c r="E168" s="66" t="s">
        <v>343</v>
      </c>
      <c r="F168" s="66" t="s">
        <v>56</v>
      </c>
      <c r="G168" s="66" t="s">
        <v>349</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596</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597</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598</v>
      </c>
      <c r="C171" s="66" t="s">
        <v>68</v>
      </c>
      <c r="D171" s="66" t="s">
        <v>141</v>
      </c>
      <c r="E171" s="66" t="s">
        <v>20</v>
      </c>
      <c r="F171" s="66" t="s">
        <v>15</v>
      </c>
      <c r="G171" s="66" t="s">
        <v>195</v>
      </c>
      <c r="H171" s="66" t="s">
        <v>7</v>
      </c>
      <c r="I171" s="66" t="s">
        <v>65</v>
      </c>
      <c r="J171" s="66" t="s">
        <v>346</v>
      </c>
      <c r="K171" s="66" t="s">
        <v>30</v>
      </c>
      <c r="L171" s="66" t="s">
        <v>377</v>
      </c>
      <c r="M171" s="66" t="s">
        <v>18</v>
      </c>
      <c r="N171" s="66" t="s">
        <v>91</v>
      </c>
      <c r="O171" s="66" t="s">
        <v>99</v>
      </c>
      <c r="P171" s="66" t="s">
        <v>183</v>
      </c>
      <c r="Q171" s="66" t="s">
        <v>59</v>
      </c>
      <c r="R171" s="66" t="s">
        <v>142</v>
      </c>
    </row>
    <row r="172" spans="1:18" s="67" customFormat="1">
      <c r="A172" s="66" t="str">
        <f>VLOOKUP(C172,classifications!C:F,4,FALSE)</f>
        <v>SD</v>
      </c>
      <c r="B172" s="66" t="s">
        <v>599</v>
      </c>
      <c r="C172" s="66" t="s">
        <v>88</v>
      </c>
      <c r="D172" s="66" t="s">
        <v>35</v>
      </c>
      <c r="E172" s="66" t="s">
        <v>96</v>
      </c>
      <c r="F172" s="66" t="s">
        <v>343</v>
      </c>
      <c r="G172" s="66" t="s">
        <v>11</v>
      </c>
      <c r="H172" s="66" t="s">
        <v>32</v>
      </c>
      <c r="I172" s="66" t="s">
        <v>41</v>
      </c>
      <c r="J172" s="66" t="s">
        <v>19</v>
      </c>
      <c r="K172" s="66" t="s">
        <v>33</v>
      </c>
      <c r="L172" s="66" t="s">
        <v>166</v>
      </c>
      <c r="M172" s="66" t="s">
        <v>153</v>
      </c>
      <c r="N172" s="66" t="s">
        <v>128</v>
      </c>
      <c r="O172" s="66" t="s">
        <v>10</v>
      </c>
      <c r="P172" s="66" t="s">
        <v>142</v>
      </c>
      <c r="Q172" s="66" t="s">
        <v>345</v>
      </c>
      <c r="R172" s="66" t="s">
        <v>152</v>
      </c>
    </row>
    <row r="173" spans="1:18" s="67" customFormat="1">
      <c r="A173" s="66" t="str">
        <f>VLOOKUP(C173,classifications!C:F,4,FALSE)</f>
        <v>SD</v>
      </c>
      <c r="B173" s="66" t="s">
        <v>600</v>
      </c>
      <c r="C173" s="66" t="s">
        <v>138</v>
      </c>
      <c r="D173" s="66" t="s">
        <v>173</v>
      </c>
      <c r="E173" s="66" t="s">
        <v>146</v>
      </c>
      <c r="F173" s="66" t="s">
        <v>172</v>
      </c>
      <c r="G173" s="66" t="s">
        <v>166</v>
      </c>
      <c r="H173" s="66" t="s">
        <v>188</v>
      </c>
      <c r="I173" s="66" t="s">
        <v>11</v>
      </c>
      <c r="J173" s="66" t="s">
        <v>136</v>
      </c>
      <c r="K173" s="66" t="s">
        <v>350</v>
      </c>
      <c r="L173" s="66" t="s">
        <v>145</v>
      </c>
      <c r="M173" s="66" t="s">
        <v>185</v>
      </c>
      <c r="N173" s="66" t="s">
        <v>55</v>
      </c>
      <c r="O173" s="66" t="s">
        <v>56</v>
      </c>
      <c r="P173" s="66" t="s">
        <v>79</v>
      </c>
      <c r="Q173" s="66" t="s">
        <v>52</v>
      </c>
      <c r="R173" s="66" t="s">
        <v>88</v>
      </c>
    </row>
    <row r="174" spans="1:18" s="67" customFormat="1">
      <c r="A174" s="66" t="str">
        <f>VLOOKUP(C174,classifications!C:F,4,FALSE)</f>
        <v>SD</v>
      </c>
      <c r="B174" s="66" t="s">
        <v>601</v>
      </c>
      <c r="C174" s="66" t="s">
        <v>6</v>
      </c>
      <c r="D174" s="66" t="s">
        <v>51</v>
      </c>
      <c r="E174" s="66" t="s">
        <v>30</v>
      </c>
      <c r="F174" s="66" t="s">
        <v>176</v>
      </c>
      <c r="G174" s="66" t="s">
        <v>15</v>
      </c>
      <c r="H174" s="66" t="s">
        <v>108</v>
      </c>
      <c r="I174" s="66" t="s">
        <v>134</v>
      </c>
      <c r="J174" s="66" t="s">
        <v>170</v>
      </c>
      <c r="K174" s="66" t="s">
        <v>346</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602</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347</v>
      </c>
    </row>
    <row r="176" spans="1:18" s="67" customFormat="1">
      <c r="A176" s="66" t="str">
        <f>VLOOKUP(C176,classifications!C:F,4,FALSE)</f>
        <v>SD</v>
      </c>
      <c r="B176" s="66" t="s">
        <v>603</v>
      </c>
      <c r="C176" s="66" t="s">
        <v>30</v>
      </c>
      <c r="D176" s="66" t="s">
        <v>15</v>
      </c>
      <c r="E176" s="66" t="s">
        <v>107</v>
      </c>
      <c r="F176" s="66" t="s">
        <v>195</v>
      </c>
      <c r="G176" s="66" t="s">
        <v>7</v>
      </c>
      <c r="H176" s="66" t="s">
        <v>99</v>
      </c>
      <c r="I176" s="66" t="s">
        <v>86</v>
      </c>
      <c r="J176" s="66" t="s">
        <v>65</v>
      </c>
      <c r="K176" s="66" t="s">
        <v>28</v>
      </c>
      <c r="L176" s="66" t="s">
        <v>59</v>
      </c>
      <c r="M176" s="66" t="s">
        <v>346</v>
      </c>
      <c r="N176" s="66" t="s">
        <v>36</v>
      </c>
      <c r="O176" s="66" t="s">
        <v>39</v>
      </c>
      <c r="P176" s="66" t="s">
        <v>142</v>
      </c>
      <c r="Q176" s="66" t="s">
        <v>190</v>
      </c>
      <c r="R176" s="66" t="s">
        <v>42</v>
      </c>
    </row>
    <row r="177" spans="1:18" s="67" customFormat="1">
      <c r="A177" s="66" t="str">
        <f>VLOOKUP(C177,classifications!C:F,4,FALSE)</f>
        <v>SD</v>
      </c>
      <c r="B177" s="66" t="s">
        <v>604</v>
      </c>
      <c r="C177" s="66" t="s">
        <v>42</v>
      </c>
      <c r="D177" s="66" t="s">
        <v>15</v>
      </c>
      <c r="E177" s="66" t="s">
        <v>114</v>
      </c>
      <c r="F177" s="66" t="s">
        <v>17</v>
      </c>
      <c r="G177" s="66" t="s">
        <v>30</v>
      </c>
      <c r="H177" s="66" t="s">
        <v>115</v>
      </c>
      <c r="I177" s="66" t="s">
        <v>346</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605</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606</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607</v>
      </c>
      <c r="C180" s="66" t="s">
        <v>7</v>
      </c>
      <c r="D180" s="66" t="s">
        <v>346</v>
      </c>
      <c r="E180" s="66" t="s">
        <v>65</v>
      </c>
      <c r="F180" s="66" t="s">
        <v>142</v>
      </c>
      <c r="G180" s="66" t="s">
        <v>345</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608</v>
      </c>
      <c r="C181" s="66" t="s">
        <v>17</v>
      </c>
      <c r="D181" s="66" t="s">
        <v>9</v>
      </c>
      <c r="E181" s="66" t="s">
        <v>99</v>
      </c>
      <c r="F181" s="66" t="s">
        <v>42</v>
      </c>
      <c r="G181" s="66" t="s">
        <v>15</v>
      </c>
      <c r="H181" s="66" t="s">
        <v>126</v>
      </c>
      <c r="I181" s="66" t="s">
        <v>30</v>
      </c>
      <c r="J181" s="66" t="s">
        <v>347</v>
      </c>
      <c r="K181" s="66" t="s">
        <v>107</v>
      </c>
      <c r="L181" s="66" t="s">
        <v>28</v>
      </c>
      <c r="M181" s="66" t="s">
        <v>346</v>
      </c>
      <c r="N181" s="66" t="s">
        <v>36</v>
      </c>
      <c r="O181" s="66" t="s">
        <v>110</v>
      </c>
      <c r="P181" s="66" t="s">
        <v>65</v>
      </c>
      <c r="Q181" s="66" t="s">
        <v>7</v>
      </c>
      <c r="R181" s="66" t="s">
        <v>6</v>
      </c>
    </row>
    <row r="182" spans="1:18" s="67" customFormat="1">
      <c r="A182" s="66" t="str">
        <f>VLOOKUP(C182,classifications!C:F,4,FALSE)</f>
        <v>SD</v>
      </c>
      <c r="B182" s="66" t="s">
        <v>609</v>
      </c>
      <c r="C182" s="66" t="s">
        <v>36</v>
      </c>
      <c r="D182" s="66" t="s">
        <v>99</v>
      </c>
      <c r="E182" s="66" t="s">
        <v>28</v>
      </c>
      <c r="F182" s="66" t="s">
        <v>30</v>
      </c>
      <c r="G182" s="66" t="s">
        <v>107</v>
      </c>
      <c r="H182" s="66" t="s">
        <v>195</v>
      </c>
      <c r="I182" s="66" t="s">
        <v>9</v>
      </c>
      <c r="J182" s="66" t="s">
        <v>190</v>
      </c>
      <c r="K182" s="66" t="s">
        <v>65</v>
      </c>
      <c r="L182" s="66" t="s">
        <v>15</v>
      </c>
      <c r="M182" s="66" t="s">
        <v>347</v>
      </c>
      <c r="N182" s="66" t="s">
        <v>95</v>
      </c>
      <c r="O182" s="66" t="s">
        <v>17</v>
      </c>
      <c r="P182" s="66" t="s">
        <v>90</v>
      </c>
      <c r="Q182" s="66" t="s">
        <v>161</v>
      </c>
      <c r="R182" s="66" t="s">
        <v>42</v>
      </c>
    </row>
    <row r="183" spans="1:18" s="67" customFormat="1">
      <c r="A183" s="66" t="str">
        <f>VLOOKUP(C183,classifications!C:F,4,FALSE)</f>
        <v>SD</v>
      </c>
      <c r="B183" s="66" t="s">
        <v>610</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611</v>
      </c>
      <c r="C184" s="66" t="s">
        <v>65</v>
      </c>
      <c r="D184" s="66" t="s">
        <v>7</v>
      </c>
      <c r="E184" s="66" t="s">
        <v>195</v>
      </c>
      <c r="F184" s="66" t="s">
        <v>72</v>
      </c>
      <c r="G184" s="66" t="s">
        <v>347</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612</v>
      </c>
      <c r="C185" s="66" t="s">
        <v>86</v>
      </c>
      <c r="D185" s="66" t="s">
        <v>39</v>
      </c>
      <c r="E185" s="66" t="s">
        <v>126</v>
      </c>
      <c r="F185" s="66" t="s">
        <v>7</v>
      </c>
      <c r="G185" s="66" t="s">
        <v>346</v>
      </c>
      <c r="H185" s="66" t="s">
        <v>147</v>
      </c>
      <c r="I185" s="66" t="s">
        <v>183</v>
      </c>
      <c r="J185" s="66" t="s">
        <v>195</v>
      </c>
      <c r="K185" s="66" t="s">
        <v>142</v>
      </c>
      <c r="L185" s="66" t="s">
        <v>30</v>
      </c>
      <c r="M185" s="66" t="s">
        <v>65</v>
      </c>
      <c r="N185" s="66" t="s">
        <v>94</v>
      </c>
      <c r="O185" s="66" t="s">
        <v>91</v>
      </c>
      <c r="P185" s="66" t="s">
        <v>345</v>
      </c>
      <c r="Q185" s="66" t="s">
        <v>101</v>
      </c>
      <c r="R185" s="66" t="s">
        <v>58</v>
      </c>
    </row>
    <row r="186" spans="1:18" s="67" customFormat="1">
      <c r="A186" s="66" t="str">
        <f>VLOOKUP(C186,classifications!C:F,4,FALSE)</f>
        <v>SD</v>
      </c>
      <c r="B186" s="66" t="s">
        <v>613</v>
      </c>
      <c r="C186" s="66" t="s">
        <v>110</v>
      </c>
      <c r="D186" s="66" t="s">
        <v>107</v>
      </c>
      <c r="E186" s="66" t="s">
        <v>149</v>
      </c>
      <c r="F186" s="66" t="s">
        <v>183</v>
      </c>
      <c r="G186" s="66" t="s">
        <v>346</v>
      </c>
      <c r="H186" s="66" t="s">
        <v>184</v>
      </c>
      <c r="I186" s="66" t="s">
        <v>7</v>
      </c>
      <c r="J186" s="66" t="s">
        <v>195</v>
      </c>
      <c r="K186" s="66" t="s">
        <v>20</v>
      </c>
      <c r="L186" s="66" t="s">
        <v>15</v>
      </c>
      <c r="M186" s="66" t="s">
        <v>65</v>
      </c>
      <c r="N186" s="66" t="s">
        <v>70</v>
      </c>
      <c r="O186" s="66" t="s">
        <v>112</v>
      </c>
      <c r="P186" s="66" t="s">
        <v>345</v>
      </c>
      <c r="Q186" s="66" t="s">
        <v>39</v>
      </c>
      <c r="R186" s="66" t="s">
        <v>94</v>
      </c>
    </row>
    <row r="187" spans="1:18" s="67" customFormat="1">
      <c r="A187" s="66" t="str">
        <f>VLOOKUP(C187,classifications!C:F,4,FALSE)</f>
        <v>SD</v>
      </c>
      <c r="B187" s="66" t="s">
        <v>614</v>
      </c>
      <c r="C187" s="66" t="s">
        <v>139</v>
      </c>
      <c r="D187" s="66" t="s">
        <v>58</v>
      </c>
      <c r="E187" s="66" t="s">
        <v>345</v>
      </c>
      <c r="F187" s="66" t="s">
        <v>39</v>
      </c>
      <c r="G187" s="66" t="s">
        <v>135</v>
      </c>
      <c r="H187" s="66" t="s">
        <v>346</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615</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616</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617</v>
      </c>
      <c r="C190" s="66" t="s">
        <v>102</v>
      </c>
      <c r="D190" s="66" t="s">
        <v>12</v>
      </c>
      <c r="E190" s="66" t="s">
        <v>109</v>
      </c>
      <c r="F190" s="66" t="s">
        <v>101</v>
      </c>
      <c r="G190" s="66" t="s">
        <v>100</v>
      </c>
      <c r="H190" s="66" t="s">
        <v>157</v>
      </c>
      <c r="I190" s="66" t="s">
        <v>78</v>
      </c>
      <c r="J190" s="66" t="s">
        <v>58</v>
      </c>
      <c r="K190" s="66" t="s">
        <v>97</v>
      </c>
      <c r="L190" s="66" t="s">
        <v>345</v>
      </c>
      <c r="M190" s="66" t="s">
        <v>167</v>
      </c>
      <c r="N190" s="66" t="s">
        <v>94</v>
      </c>
      <c r="O190" s="66" t="s">
        <v>103</v>
      </c>
      <c r="P190" s="66" t="s">
        <v>163</v>
      </c>
      <c r="Q190" s="66" t="s">
        <v>152</v>
      </c>
      <c r="R190" s="66" t="s">
        <v>144</v>
      </c>
    </row>
    <row r="191" spans="1:18" s="67" customFormat="1">
      <c r="A191" s="66" t="str">
        <f>VLOOKUP(C191,classifications!C:F,4,FALSE)</f>
        <v>SD</v>
      </c>
      <c r="B191" s="66" t="s">
        <v>618</v>
      </c>
      <c r="C191" s="66" t="s">
        <v>108</v>
      </c>
      <c r="D191" s="66" t="s">
        <v>194</v>
      </c>
      <c r="E191" s="66" t="s">
        <v>170</v>
      </c>
      <c r="F191" s="66" t="s">
        <v>71</v>
      </c>
      <c r="G191" s="66" t="s">
        <v>164</v>
      </c>
      <c r="H191" s="66" t="s">
        <v>134</v>
      </c>
      <c r="I191" s="66" t="s">
        <v>133</v>
      </c>
      <c r="J191" s="66" t="s">
        <v>898</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619</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620</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621</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622</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623</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624</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625</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626</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627</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628</v>
      </c>
      <c r="C201" s="66" t="s">
        <v>351</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629</v>
      </c>
      <c r="C202" s="66" t="s">
        <v>60</v>
      </c>
      <c r="D202" s="66" t="s">
        <v>191</v>
      </c>
      <c r="E202" s="66" t="s">
        <v>898</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630</v>
      </c>
      <c r="C203" s="66" t="s">
        <v>83</v>
      </c>
      <c r="D203" s="66" t="s">
        <v>168</v>
      </c>
      <c r="E203" s="66" t="s">
        <v>76</v>
      </c>
      <c r="F203" s="66" t="s">
        <v>898</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631</v>
      </c>
      <c r="C204" s="66" t="s">
        <v>93</v>
      </c>
      <c r="D204" s="66" t="s">
        <v>164</v>
      </c>
      <c r="E204" s="66" t="s">
        <v>134</v>
      </c>
      <c r="F204" s="66" t="s">
        <v>125</v>
      </c>
      <c r="G204" s="66" t="s">
        <v>158</v>
      </c>
      <c r="H204" s="66" t="s">
        <v>4</v>
      </c>
      <c r="I204" s="66" t="s">
        <v>8</v>
      </c>
      <c r="J204" s="66" t="s">
        <v>71</v>
      </c>
      <c r="K204" s="66" t="s">
        <v>37</v>
      </c>
      <c r="L204" s="66" t="s">
        <v>898</v>
      </c>
      <c r="M204" s="66" t="s">
        <v>182</v>
      </c>
      <c r="N204" s="66" t="s">
        <v>170</v>
      </c>
      <c r="O204" s="66" t="s">
        <v>67</v>
      </c>
      <c r="P204" s="66" t="s">
        <v>108</v>
      </c>
      <c r="Q204" s="66" t="s">
        <v>178</v>
      </c>
      <c r="R204" s="66" t="s">
        <v>140</v>
      </c>
    </row>
    <row r="205" spans="1:18" s="67" customFormat="1">
      <c r="A205" s="66" t="str">
        <f>VLOOKUP(C205,classifications!C:F,4,FALSE)</f>
        <v>SD</v>
      </c>
      <c r="B205" s="66" t="s">
        <v>632</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633</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634</v>
      </c>
      <c r="C207" s="66" t="s">
        <v>14</v>
      </c>
      <c r="D207" s="66" t="s">
        <v>47</v>
      </c>
      <c r="E207" s="66" t="s">
        <v>41</v>
      </c>
      <c r="F207" s="66" t="s">
        <v>19</v>
      </c>
      <c r="G207" s="66" t="s">
        <v>73</v>
      </c>
      <c r="H207" s="66" t="s">
        <v>111</v>
      </c>
      <c r="I207" s="66" t="s">
        <v>343</v>
      </c>
      <c r="J207" s="66" t="s">
        <v>116</v>
      </c>
      <c r="K207" s="66" t="s">
        <v>155</v>
      </c>
      <c r="L207" s="66" t="s">
        <v>90</v>
      </c>
      <c r="M207" s="66" t="s">
        <v>122</v>
      </c>
      <c r="N207" s="66" t="s">
        <v>347</v>
      </c>
      <c r="O207" s="66" t="s">
        <v>96</v>
      </c>
      <c r="P207" s="66" t="s">
        <v>75</v>
      </c>
      <c r="Q207" s="66" t="s">
        <v>33</v>
      </c>
      <c r="R207" s="66" t="s">
        <v>160</v>
      </c>
    </row>
    <row r="208" spans="1:18" s="67" customFormat="1">
      <c r="A208" s="66" t="str">
        <f>VLOOKUP(C208,classifications!C:F,4,FALSE)</f>
        <v>SD</v>
      </c>
      <c r="B208" s="66" t="s">
        <v>635</v>
      </c>
      <c r="C208" s="66" t="s">
        <v>19</v>
      </c>
      <c r="D208" s="66" t="s">
        <v>96</v>
      </c>
      <c r="E208" s="66" t="s">
        <v>142</v>
      </c>
      <c r="F208" s="66" t="s">
        <v>111</v>
      </c>
      <c r="G208" s="66" t="s">
        <v>41</v>
      </c>
      <c r="H208" s="66" t="s">
        <v>346</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636</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349</v>
      </c>
      <c r="Q209" s="66" t="s">
        <v>104</v>
      </c>
      <c r="R209" s="66" t="s">
        <v>185</v>
      </c>
    </row>
    <row r="210" spans="1:18" s="67" customFormat="1">
      <c r="A210" s="66" t="str">
        <f>VLOOKUP(C210,classifications!C:F,4,FALSE)</f>
        <v>SD</v>
      </c>
      <c r="B210" s="66" t="s">
        <v>637</v>
      </c>
      <c r="C210" s="66" t="s">
        <v>31</v>
      </c>
      <c r="D210" s="66" t="s">
        <v>72</v>
      </c>
      <c r="E210" s="66" t="s">
        <v>154</v>
      </c>
      <c r="F210" s="66" t="s">
        <v>147</v>
      </c>
      <c r="G210" s="66" t="s">
        <v>25</v>
      </c>
      <c r="H210" s="66" t="s">
        <v>345</v>
      </c>
      <c r="I210" s="66" t="s">
        <v>94</v>
      </c>
      <c r="J210" s="66" t="s">
        <v>149</v>
      </c>
      <c r="K210" s="66" t="s">
        <v>348</v>
      </c>
      <c r="L210" s="66" t="s">
        <v>195</v>
      </c>
      <c r="M210" s="66" t="s">
        <v>86</v>
      </c>
      <c r="N210" s="66" t="s">
        <v>65</v>
      </c>
      <c r="O210" s="66" t="s">
        <v>39</v>
      </c>
      <c r="P210" s="66" t="s">
        <v>7</v>
      </c>
      <c r="Q210" s="66" t="s">
        <v>23</v>
      </c>
      <c r="R210" s="66" t="s">
        <v>157</v>
      </c>
    </row>
    <row r="211" spans="1:18" s="67" customFormat="1">
      <c r="A211" s="66" t="str">
        <f>VLOOKUP(C211,classifications!C:F,4,FALSE)</f>
        <v>SD</v>
      </c>
      <c r="B211" s="66" t="s">
        <v>638</v>
      </c>
      <c r="C211" s="66" t="s">
        <v>33</v>
      </c>
      <c r="D211" s="66" t="s">
        <v>96</v>
      </c>
      <c r="E211" s="66" t="s">
        <v>41</v>
      </c>
      <c r="F211" s="66" t="s">
        <v>174</v>
      </c>
      <c r="G211" s="66" t="s">
        <v>343</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639</v>
      </c>
      <c r="C212" s="66" t="s">
        <v>41</v>
      </c>
      <c r="D212" s="66" t="s">
        <v>96</v>
      </c>
      <c r="E212" s="66" t="s">
        <v>32</v>
      </c>
      <c r="F212" s="66" t="s">
        <v>33</v>
      </c>
      <c r="G212" s="66" t="s">
        <v>19</v>
      </c>
      <c r="H212" s="66" t="s">
        <v>88</v>
      </c>
      <c r="I212" s="66" t="s">
        <v>111</v>
      </c>
      <c r="J212" s="66" t="s">
        <v>343</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640</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349</v>
      </c>
      <c r="P213" s="66" t="s">
        <v>173</v>
      </c>
      <c r="Q213" s="66" t="s">
        <v>185</v>
      </c>
      <c r="R213" s="66" t="s">
        <v>96</v>
      </c>
    </row>
    <row r="214" spans="1:18" s="67" customFormat="1">
      <c r="A214" s="66" t="str">
        <f>VLOOKUP(C214,classifications!C:F,4,FALSE)</f>
        <v>SD</v>
      </c>
      <c r="B214" s="66" t="s">
        <v>641</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642</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643</v>
      </c>
      <c r="C216" s="66" t="s">
        <v>125</v>
      </c>
      <c r="D216" s="66" t="s">
        <v>67</v>
      </c>
      <c r="E216" s="66" t="s">
        <v>93</v>
      </c>
      <c r="F216" s="66" t="s">
        <v>61</v>
      </c>
      <c r="G216" s="66" t="s">
        <v>130</v>
      </c>
      <c r="H216" s="66" t="s">
        <v>94</v>
      </c>
      <c r="I216" s="66" t="s">
        <v>16</v>
      </c>
      <c r="J216" s="66" t="s">
        <v>102</v>
      </c>
      <c r="K216" s="66" t="s">
        <v>164</v>
      </c>
      <c r="L216" s="66" t="s">
        <v>345</v>
      </c>
      <c r="M216" s="66" t="s">
        <v>31</v>
      </c>
      <c r="N216" s="66" t="s">
        <v>4</v>
      </c>
      <c r="O216" s="66" t="s">
        <v>134</v>
      </c>
      <c r="P216" s="66" t="s">
        <v>147</v>
      </c>
      <c r="Q216" s="66" t="s">
        <v>170</v>
      </c>
      <c r="R216" s="66" t="s">
        <v>178</v>
      </c>
    </row>
    <row r="217" spans="1:18" s="67" customFormat="1">
      <c r="A217" s="66" t="str">
        <f>VLOOKUP(C217,classifications!C:F,4,FALSE)</f>
        <v>SD</v>
      </c>
      <c r="B217" s="66" t="s">
        <v>644</v>
      </c>
      <c r="C217" s="66" t="s">
        <v>165</v>
      </c>
      <c r="D217" s="66" t="s">
        <v>176</v>
      </c>
      <c r="E217" s="66" t="s">
        <v>194</v>
      </c>
      <c r="F217" s="66" t="s">
        <v>898</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645</v>
      </c>
      <c r="C218" s="66" t="s">
        <v>172</v>
      </c>
      <c r="D218" s="66" t="s">
        <v>79</v>
      </c>
      <c r="E218" s="66" t="s">
        <v>145</v>
      </c>
      <c r="F218" s="66" t="s">
        <v>188</v>
      </c>
      <c r="G218" s="66" t="s">
        <v>136</v>
      </c>
      <c r="H218" s="66" t="s">
        <v>138</v>
      </c>
      <c r="I218" s="66" t="s">
        <v>350</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646</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647</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648</v>
      </c>
      <c r="C221" s="66" t="s">
        <v>70</v>
      </c>
      <c r="D221" s="66" t="s">
        <v>184</v>
      </c>
      <c r="E221" s="66" t="s">
        <v>100</v>
      </c>
      <c r="F221" s="66" t="s">
        <v>12</v>
      </c>
      <c r="G221" s="66" t="s">
        <v>346</v>
      </c>
      <c r="H221" s="66" t="s">
        <v>97</v>
      </c>
      <c r="I221" s="66" t="s">
        <v>112</v>
      </c>
      <c r="J221" s="66" t="s">
        <v>183</v>
      </c>
      <c r="K221" s="66" t="s">
        <v>144</v>
      </c>
      <c r="L221" s="66" t="s">
        <v>103</v>
      </c>
      <c r="M221" s="66" t="s">
        <v>109</v>
      </c>
      <c r="N221" s="66" t="s">
        <v>157</v>
      </c>
      <c r="O221" s="66" t="s">
        <v>154</v>
      </c>
      <c r="P221" s="66" t="s">
        <v>345</v>
      </c>
      <c r="Q221" s="66" t="s">
        <v>20</v>
      </c>
      <c r="R221" s="66" t="s">
        <v>102</v>
      </c>
    </row>
    <row r="222" spans="1:18" s="67" customFormat="1">
      <c r="A222" s="66" t="str">
        <f>VLOOKUP(C222,classifications!C:F,4,FALSE)</f>
        <v>SD</v>
      </c>
      <c r="B222" s="66" t="s">
        <v>649</v>
      </c>
      <c r="C222" s="66" t="s">
        <v>73</v>
      </c>
      <c r="D222" s="66" t="s">
        <v>190</v>
      </c>
      <c r="E222" s="66" t="s">
        <v>91</v>
      </c>
      <c r="F222" s="66" t="s">
        <v>347</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650</v>
      </c>
      <c r="C223" s="66" t="s">
        <v>157</v>
      </c>
      <c r="D223" s="66" t="s">
        <v>94</v>
      </c>
      <c r="E223" s="66" t="s">
        <v>101</v>
      </c>
      <c r="F223" s="66" t="s">
        <v>23</v>
      </c>
      <c r="G223" s="66" t="s">
        <v>345</v>
      </c>
      <c r="H223" s="66" t="s">
        <v>149</v>
      </c>
      <c r="I223" s="66" t="s">
        <v>167</v>
      </c>
      <c r="J223" s="66" t="s">
        <v>97</v>
      </c>
      <c r="K223" s="66" t="s">
        <v>153</v>
      </c>
      <c r="L223" s="66" t="s">
        <v>163</v>
      </c>
      <c r="M223" s="66" t="s">
        <v>185</v>
      </c>
      <c r="N223" s="66" t="s">
        <v>55</v>
      </c>
      <c r="O223" s="66" t="s">
        <v>102</v>
      </c>
      <c r="P223" s="66" t="s">
        <v>12</v>
      </c>
      <c r="Q223" s="66" t="s">
        <v>166</v>
      </c>
      <c r="R223" s="66" t="s">
        <v>346</v>
      </c>
    </row>
    <row r="224" spans="1:18" s="67" customFormat="1">
      <c r="A224" s="66" t="str">
        <f>VLOOKUP(C224,classifications!C:F,4,FALSE)</f>
        <v>SD</v>
      </c>
      <c r="B224" s="66" t="s">
        <v>651</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345</v>
      </c>
    </row>
    <row r="225" spans="1:18" s="67" customFormat="1">
      <c r="A225" s="66" t="str">
        <f>VLOOKUP(C225,classifications!C:F,4,FALSE)</f>
        <v>SD</v>
      </c>
      <c r="B225" s="66" t="s">
        <v>652</v>
      </c>
      <c r="C225" s="66" t="s">
        <v>343</v>
      </c>
      <c r="D225" s="66" t="s">
        <v>88</v>
      </c>
      <c r="E225" s="66" t="s">
        <v>47</v>
      </c>
      <c r="F225" s="66" t="s">
        <v>33</v>
      </c>
      <c r="G225" s="66" t="s">
        <v>96</v>
      </c>
      <c r="H225" s="66" t="s">
        <v>193</v>
      </c>
      <c r="I225" s="66" t="s">
        <v>11</v>
      </c>
      <c r="J225" s="66" t="s">
        <v>35</v>
      </c>
      <c r="K225" s="66" t="s">
        <v>41</v>
      </c>
      <c r="L225" s="66" t="s">
        <v>350</v>
      </c>
      <c r="M225" s="66" t="s">
        <v>56</v>
      </c>
      <c r="N225" s="66" t="s">
        <v>19</v>
      </c>
      <c r="O225" s="66" t="s">
        <v>111</v>
      </c>
      <c r="P225" s="66" t="s">
        <v>166</v>
      </c>
      <c r="Q225" s="66" t="s">
        <v>173</v>
      </c>
      <c r="R225" s="66" t="s">
        <v>10</v>
      </c>
    </row>
    <row r="226" spans="1:18" s="67" customFormat="1">
      <c r="A226" s="66" t="str">
        <f>VLOOKUP(C226,classifications!C:F,4,FALSE)</f>
        <v>SD</v>
      </c>
      <c r="B226" s="66" t="s">
        <v>653</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654</v>
      </c>
      <c r="C227" s="66" t="s">
        <v>61</v>
      </c>
      <c r="D227" s="66" t="s">
        <v>67</v>
      </c>
      <c r="E227" s="66" t="s">
        <v>125</v>
      </c>
      <c r="F227" s="66" t="s">
        <v>33</v>
      </c>
      <c r="G227" s="66" t="s">
        <v>128</v>
      </c>
      <c r="H227" s="66" t="s">
        <v>88</v>
      </c>
      <c r="I227" s="66" t="s">
        <v>96</v>
      </c>
      <c r="J227" s="66" t="s">
        <v>84</v>
      </c>
      <c r="K227" s="66" t="s">
        <v>16</v>
      </c>
      <c r="L227" s="66" t="s">
        <v>35</v>
      </c>
      <c r="M227" s="66" t="s">
        <v>166</v>
      </c>
      <c r="N227" s="66" t="s">
        <v>343</v>
      </c>
      <c r="O227" s="66" t="s">
        <v>147</v>
      </c>
      <c r="P227" s="66" t="s">
        <v>29</v>
      </c>
      <c r="Q227" s="66" t="s">
        <v>153</v>
      </c>
      <c r="R227" s="66" t="s">
        <v>160</v>
      </c>
    </row>
    <row r="228" spans="1:18" s="67" customFormat="1">
      <c r="A228" s="66" t="str">
        <f>VLOOKUP(C228,classifications!C:F,4,FALSE)</f>
        <v>SD</v>
      </c>
      <c r="B228" s="66" t="s">
        <v>655</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656</v>
      </c>
      <c r="C229" s="66" t="s">
        <v>74</v>
      </c>
      <c r="D229" s="66" t="s">
        <v>84</v>
      </c>
      <c r="E229" s="66" t="s">
        <v>4</v>
      </c>
      <c r="F229" s="66" t="s">
        <v>160</v>
      </c>
      <c r="G229" s="66" t="s">
        <v>75</v>
      </c>
      <c r="H229" s="66" t="s">
        <v>73</v>
      </c>
      <c r="I229" s="66" t="s">
        <v>51</v>
      </c>
      <c r="J229" s="66" t="s">
        <v>898</v>
      </c>
      <c r="K229" s="66" t="s">
        <v>347</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657</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658</v>
      </c>
      <c r="C231" s="66" t="s">
        <v>84</v>
      </c>
      <c r="D231" s="66" t="s">
        <v>4</v>
      </c>
      <c r="E231" s="66" t="s">
        <v>51</v>
      </c>
      <c r="F231" s="66" t="s">
        <v>29</v>
      </c>
      <c r="G231" s="66" t="s">
        <v>61</v>
      </c>
      <c r="H231" s="66" t="s">
        <v>74</v>
      </c>
      <c r="I231" s="66" t="s">
        <v>898</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659</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660</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661</v>
      </c>
      <c r="C234" s="66" t="s">
        <v>166</v>
      </c>
      <c r="D234" s="66" t="s">
        <v>173</v>
      </c>
      <c r="E234" s="66" t="s">
        <v>185</v>
      </c>
      <c r="F234" s="66" t="s">
        <v>146</v>
      </c>
      <c r="G234" s="66" t="s">
        <v>55</v>
      </c>
      <c r="H234" s="66" t="s">
        <v>167</v>
      </c>
      <c r="I234" s="66" t="s">
        <v>350</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662</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350</v>
      </c>
      <c r="P235" s="66" t="s">
        <v>185</v>
      </c>
      <c r="Q235" s="66" t="s">
        <v>172</v>
      </c>
      <c r="R235" s="66" t="s">
        <v>169</v>
      </c>
    </row>
    <row r="236" spans="1:18" s="67" customFormat="1">
      <c r="A236" s="66" t="str">
        <f>VLOOKUP(C236,classifications!C:F,4,FALSE)</f>
        <v>SD</v>
      </c>
      <c r="B236" s="66" t="s">
        <v>663</v>
      </c>
      <c r="C236" s="66" t="s">
        <v>23</v>
      </c>
      <c r="D236" s="66" t="s">
        <v>157</v>
      </c>
      <c r="E236" s="66" t="s">
        <v>94</v>
      </c>
      <c r="F236" s="66" t="s">
        <v>97</v>
      </c>
      <c r="G236" s="66" t="s">
        <v>149</v>
      </c>
      <c r="H236" s="66" t="s">
        <v>167</v>
      </c>
      <c r="I236" s="66" t="s">
        <v>130</v>
      </c>
      <c r="J236" s="66" t="s">
        <v>55</v>
      </c>
      <c r="K236" s="66" t="s">
        <v>79</v>
      </c>
      <c r="L236" s="66" t="s">
        <v>154</v>
      </c>
      <c r="M236" s="66" t="s">
        <v>345</v>
      </c>
      <c r="N236" s="66" t="s">
        <v>98</v>
      </c>
      <c r="O236" s="66" t="s">
        <v>153</v>
      </c>
      <c r="P236" s="66" t="s">
        <v>181</v>
      </c>
      <c r="Q236" s="66" t="s">
        <v>78</v>
      </c>
      <c r="R236" s="66" t="s">
        <v>123</v>
      </c>
    </row>
    <row r="237" spans="1:18" s="67" customFormat="1">
      <c r="A237" s="66" t="str">
        <f>VLOOKUP(C237,classifications!C:F,4,FALSE)</f>
        <v>SD</v>
      </c>
      <c r="B237" s="66" t="s">
        <v>664</v>
      </c>
      <c r="C237" s="66" t="s">
        <v>122</v>
      </c>
      <c r="D237" s="66" t="s">
        <v>161</v>
      </c>
      <c r="E237" s="66" t="s">
        <v>28</v>
      </c>
      <c r="F237" s="66" t="s">
        <v>155</v>
      </c>
      <c r="G237" s="66" t="s">
        <v>190</v>
      </c>
      <c r="H237" s="66" t="s">
        <v>75</v>
      </c>
      <c r="I237" s="66" t="s">
        <v>179</v>
      </c>
      <c r="J237" s="66" t="s">
        <v>91</v>
      </c>
      <c r="K237" s="66" t="s">
        <v>73</v>
      </c>
      <c r="L237" s="66" t="s">
        <v>131</v>
      </c>
      <c r="M237" s="66" t="s">
        <v>347</v>
      </c>
      <c r="N237" s="66" t="s">
        <v>90</v>
      </c>
      <c r="O237" s="66" t="s">
        <v>128</v>
      </c>
      <c r="P237" s="66" t="s">
        <v>99</v>
      </c>
      <c r="Q237" s="66" t="s">
        <v>59</v>
      </c>
      <c r="R237" s="66" t="s">
        <v>107</v>
      </c>
    </row>
    <row r="238" spans="1:18" s="67" customFormat="1">
      <c r="A238" s="66" t="str">
        <f>VLOOKUP(C238,classifications!C:F,4,FALSE)</f>
        <v>SD</v>
      </c>
      <c r="B238" s="66" t="s">
        <v>665</v>
      </c>
      <c r="C238" s="66" t="s">
        <v>190</v>
      </c>
      <c r="D238" s="66" t="s">
        <v>73</v>
      </c>
      <c r="E238" s="66" t="s">
        <v>28</v>
      </c>
      <c r="F238" s="66" t="s">
        <v>91</v>
      </c>
      <c r="G238" s="66" t="s">
        <v>59</v>
      </c>
      <c r="H238" s="66" t="s">
        <v>30</v>
      </c>
      <c r="I238" s="66" t="s">
        <v>131</v>
      </c>
      <c r="J238" s="66" t="s">
        <v>122</v>
      </c>
      <c r="K238" s="66" t="s">
        <v>86</v>
      </c>
      <c r="L238" s="66" t="s">
        <v>120</v>
      </c>
      <c r="M238" s="66" t="s">
        <v>347</v>
      </c>
      <c r="N238" s="66" t="s">
        <v>34</v>
      </c>
      <c r="O238" s="66" t="s">
        <v>161</v>
      </c>
      <c r="P238" s="66" t="s">
        <v>99</v>
      </c>
      <c r="Q238" s="66" t="s">
        <v>90</v>
      </c>
      <c r="R238" s="66" t="s">
        <v>75</v>
      </c>
    </row>
    <row r="239" spans="1:18" s="67" customFormat="1">
      <c r="A239" s="66" t="str">
        <f>VLOOKUP(C239,classifications!C:F,4,FALSE)</f>
        <v>SD</v>
      </c>
      <c r="B239" s="66" t="s">
        <v>666</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667</v>
      </c>
      <c r="C240" s="66" t="s">
        <v>195</v>
      </c>
      <c r="D240" s="66" t="s">
        <v>65</v>
      </c>
      <c r="E240" s="66" t="s">
        <v>7</v>
      </c>
      <c r="F240" s="66" t="s">
        <v>107</v>
      </c>
      <c r="G240" s="66" t="s">
        <v>30</v>
      </c>
      <c r="H240" s="66" t="s">
        <v>86</v>
      </c>
      <c r="I240" s="66" t="s">
        <v>183</v>
      </c>
      <c r="J240" s="66" t="s">
        <v>15</v>
      </c>
      <c r="K240" s="66" t="s">
        <v>72</v>
      </c>
      <c r="L240" s="66" t="s">
        <v>346</v>
      </c>
      <c r="M240" s="66" t="s">
        <v>142</v>
      </c>
      <c r="N240" s="66" t="s">
        <v>68</v>
      </c>
      <c r="O240" s="66" t="s">
        <v>28</v>
      </c>
      <c r="P240" s="66" t="s">
        <v>91</v>
      </c>
      <c r="Q240" s="66" t="s">
        <v>163</v>
      </c>
      <c r="R240" s="66" t="s">
        <v>99</v>
      </c>
    </row>
    <row r="241" spans="1:18" s="67" customFormat="1">
      <c r="A241" s="66" t="str">
        <f>VLOOKUP(C241,classifications!C:F,4,FALSE)</f>
        <v>SD</v>
      </c>
      <c r="B241" s="66" t="s">
        <v>668</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669</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670</v>
      </c>
      <c r="C243" s="66" t="s">
        <v>47</v>
      </c>
      <c r="D243" s="66" t="s">
        <v>111</v>
      </c>
      <c r="E243" s="66" t="s">
        <v>343</v>
      </c>
      <c r="F243" s="66" t="s">
        <v>33</v>
      </c>
      <c r="G243" s="66" t="s">
        <v>96</v>
      </c>
      <c r="H243" s="66" t="s">
        <v>180</v>
      </c>
      <c r="I243" s="66" t="s">
        <v>85</v>
      </c>
      <c r="J243" s="66" t="s">
        <v>171</v>
      </c>
      <c r="K243" s="66" t="s">
        <v>19</v>
      </c>
      <c r="L243" s="66" t="s">
        <v>350</v>
      </c>
      <c r="M243" s="66" t="s">
        <v>24</v>
      </c>
      <c r="N243" s="66" t="s">
        <v>41</v>
      </c>
      <c r="O243" s="66" t="s">
        <v>56</v>
      </c>
      <c r="P243" s="66" t="s">
        <v>64</v>
      </c>
      <c r="Q243" s="66" t="s">
        <v>10</v>
      </c>
      <c r="R243" s="66" t="s">
        <v>128</v>
      </c>
    </row>
    <row r="244" spans="1:18" s="67" customFormat="1">
      <c r="A244" s="66" t="str">
        <f>VLOOKUP(C244,classifications!C:F,4,FALSE)</f>
        <v>SD</v>
      </c>
      <c r="B244" s="66" t="s">
        <v>671</v>
      </c>
      <c r="C244" s="66" t="s">
        <v>56</v>
      </c>
      <c r="D244" s="66" t="s">
        <v>104</v>
      </c>
      <c r="E244" s="66" t="s">
        <v>87</v>
      </c>
      <c r="F244" s="66" t="s">
        <v>55</v>
      </c>
      <c r="G244" s="66" t="s">
        <v>96</v>
      </c>
      <c r="H244" s="66" t="s">
        <v>350</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672</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350</v>
      </c>
      <c r="R245" s="66" t="s">
        <v>21</v>
      </c>
    </row>
    <row r="246" spans="1:18" s="67" customFormat="1">
      <c r="A246" s="66" t="str">
        <f>VLOOKUP(C246,classifications!C:F,4,FALSE)</f>
        <v>SD</v>
      </c>
      <c r="B246" s="66" t="s">
        <v>673</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343</v>
      </c>
      <c r="Q246" s="66" t="s">
        <v>85</v>
      </c>
      <c r="R246" s="66" t="s">
        <v>152</v>
      </c>
    </row>
    <row r="247" spans="1:18" s="67" customFormat="1">
      <c r="A247" s="66" t="str">
        <f>VLOOKUP(C247,classifications!C:F,4,FALSE)</f>
        <v>SD</v>
      </c>
      <c r="B247" s="66" t="s">
        <v>674</v>
      </c>
      <c r="C247" s="66" t="s">
        <v>151</v>
      </c>
      <c r="D247" s="66" t="s">
        <v>104</v>
      </c>
      <c r="E247" s="66" t="s">
        <v>56</v>
      </c>
      <c r="F247" s="66" t="s">
        <v>169</v>
      </c>
      <c r="G247" s="66" t="s">
        <v>193</v>
      </c>
      <c r="H247" s="66" t="s">
        <v>82</v>
      </c>
      <c r="I247" s="66" t="s">
        <v>188</v>
      </c>
      <c r="J247" s="66" t="s">
        <v>87</v>
      </c>
      <c r="K247" s="66" t="s">
        <v>85</v>
      </c>
      <c r="L247" s="66" t="s">
        <v>171</v>
      </c>
      <c r="M247" s="66" t="s">
        <v>350</v>
      </c>
      <c r="N247" s="66" t="s">
        <v>38</v>
      </c>
      <c r="O247" s="66" t="s">
        <v>136</v>
      </c>
      <c r="P247" s="66" t="s">
        <v>173</v>
      </c>
      <c r="Q247" s="66" t="s">
        <v>349</v>
      </c>
      <c r="R247" s="66" t="s">
        <v>63</v>
      </c>
    </row>
    <row r="248" spans="1:18" s="67" customFormat="1">
      <c r="A248" s="66" t="str">
        <f>VLOOKUP(C248,classifications!C:F,4,FALSE)</f>
        <v>SD</v>
      </c>
      <c r="B248" s="66" t="s">
        <v>675</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676</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350</v>
      </c>
      <c r="Q249" s="66" t="s">
        <v>173</v>
      </c>
      <c r="R249" s="66" t="s">
        <v>24</v>
      </c>
    </row>
    <row r="250" spans="1:18" s="67" customFormat="1">
      <c r="A250" s="66" t="str">
        <f>VLOOKUP(C250,classifications!C:F,4,FALSE)</f>
        <v>SD</v>
      </c>
      <c r="B250" s="66" t="s">
        <v>677</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678</v>
      </c>
      <c r="C251" s="66" t="s">
        <v>180</v>
      </c>
      <c r="D251" s="66" t="s">
        <v>47</v>
      </c>
      <c r="E251" s="66" t="s">
        <v>85</v>
      </c>
      <c r="F251" s="66" t="s">
        <v>111</v>
      </c>
      <c r="G251" s="66" t="s">
        <v>24</v>
      </c>
      <c r="H251" s="66" t="s">
        <v>155</v>
      </c>
      <c r="I251" s="66" t="s">
        <v>343</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679</v>
      </c>
      <c r="C252" s="66" t="s">
        <v>10</v>
      </c>
      <c r="D252" s="66" t="s">
        <v>350</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680</v>
      </c>
      <c r="C253" s="66" t="s">
        <v>29</v>
      </c>
      <c r="D253" s="66" t="s">
        <v>898</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681</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682</v>
      </c>
      <c r="C255" s="66" t="s">
        <v>51</v>
      </c>
      <c r="D255" s="66" t="s">
        <v>134</v>
      </c>
      <c r="E255" s="66" t="s">
        <v>898</v>
      </c>
      <c r="F255" s="66" t="s">
        <v>160</v>
      </c>
      <c r="G255" s="66" t="s">
        <v>176</v>
      </c>
      <c r="H255" s="66" t="s">
        <v>195</v>
      </c>
      <c r="I255" s="66" t="s">
        <v>29</v>
      </c>
      <c r="J255" s="66" t="s">
        <v>6</v>
      </c>
      <c r="K255" s="66" t="s">
        <v>84</v>
      </c>
      <c r="L255" s="66" t="s">
        <v>108</v>
      </c>
      <c r="M255" s="66" t="s">
        <v>183</v>
      </c>
      <c r="N255" s="66" t="s">
        <v>4</v>
      </c>
      <c r="O255" s="66" t="s">
        <v>15</v>
      </c>
      <c r="P255" s="66" t="s">
        <v>346</v>
      </c>
      <c r="Q255" s="66" t="s">
        <v>68</v>
      </c>
      <c r="R255" s="66" t="s">
        <v>92</v>
      </c>
    </row>
    <row r="256" spans="1:18" s="67" customFormat="1">
      <c r="A256" s="66" t="str">
        <f>VLOOKUP(C256,classifications!C:F,4,FALSE)</f>
        <v>SD</v>
      </c>
      <c r="B256" s="66" t="s">
        <v>683</v>
      </c>
      <c r="C256" s="66" t="s">
        <v>75</v>
      </c>
      <c r="D256" s="66" t="s">
        <v>73</v>
      </c>
      <c r="E256" s="66" t="s">
        <v>24</v>
      </c>
      <c r="F256" s="66" t="s">
        <v>179</v>
      </c>
      <c r="G256" s="66" t="s">
        <v>122</v>
      </c>
      <c r="H256" s="66" t="s">
        <v>91</v>
      </c>
      <c r="I256" s="66" t="s">
        <v>90</v>
      </c>
      <c r="J256" s="66" t="s">
        <v>190</v>
      </c>
      <c r="K256" s="66" t="s">
        <v>128</v>
      </c>
      <c r="L256" s="66" t="s">
        <v>131</v>
      </c>
      <c r="M256" s="66" t="s">
        <v>347</v>
      </c>
      <c r="N256" s="66" t="s">
        <v>119</v>
      </c>
      <c r="O256" s="66" t="s">
        <v>161</v>
      </c>
      <c r="P256" s="66" t="s">
        <v>59</v>
      </c>
      <c r="Q256" s="66" t="s">
        <v>74</v>
      </c>
      <c r="R256" s="66" t="s">
        <v>160</v>
      </c>
    </row>
    <row r="257" spans="1:18" s="67" customFormat="1">
      <c r="A257" s="66" t="str">
        <f>VLOOKUP(C257,classifications!C:F,4,FALSE)</f>
        <v>SD</v>
      </c>
      <c r="B257" s="66" t="s">
        <v>684</v>
      </c>
      <c r="C257" s="66" t="s">
        <v>96</v>
      </c>
      <c r="D257" s="66" t="s">
        <v>33</v>
      </c>
      <c r="E257" s="66" t="s">
        <v>41</v>
      </c>
      <c r="F257" s="66" t="s">
        <v>19</v>
      </c>
      <c r="G257" s="66" t="s">
        <v>88</v>
      </c>
      <c r="H257" s="66" t="s">
        <v>10</v>
      </c>
      <c r="I257" s="66" t="s">
        <v>111</v>
      </c>
      <c r="J257" s="66" t="s">
        <v>32</v>
      </c>
      <c r="K257" s="66" t="s">
        <v>56</v>
      </c>
      <c r="L257" s="66" t="s">
        <v>128</v>
      </c>
      <c r="M257" s="66" t="s">
        <v>343</v>
      </c>
      <c r="N257" s="66" t="s">
        <v>81</v>
      </c>
      <c r="O257" s="66" t="s">
        <v>35</v>
      </c>
      <c r="P257" s="66" t="s">
        <v>166</v>
      </c>
      <c r="Q257" s="66" t="s">
        <v>153</v>
      </c>
      <c r="R257" s="66" t="s">
        <v>47</v>
      </c>
    </row>
    <row r="258" spans="1:18" s="67" customFormat="1">
      <c r="A258" s="66" t="str">
        <f>VLOOKUP(C258,classifications!C:F,4,FALSE)</f>
        <v>SD</v>
      </c>
      <c r="B258" s="66" t="s">
        <v>685</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686</v>
      </c>
      <c r="C259" s="66" t="s">
        <v>898</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687</v>
      </c>
      <c r="C260" s="66" t="s">
        <v>160</v>
      </c>
      <c r="D260" s="66" t="s">
        <v>51</v>
      </c>
      <c r="E260" s="66" t="s">
        <v>134</v>
      </c>
      <c r="F260" s="66" t="s">
        <v>91</v>
      </c>
      <c r="G260" s="66" t="s">
        <v>347</v>
      </c>
      <c r="H260" s="66" t="s">
        <v>19</v>
      </c>
      <c r="I260" s="66" t="s">
        <v>65</v>
      </c>
      <c r="J260" s="66" t="s">
        <v>59</v>
      </c>
      <c r="K260" s="66" t="s">
        <v>73</v>
      </c>
      <c r="L260" s="66" t="s">
        <v>183</v>
      </c>
      <c r="M260" s="66" t="s">
        <v>898</v>
      </c>
      <c r="N260" s="66" t="s">
        <v>74</v>
      </c>
      <c r="O260" s="66" t="s">
        <v>61</v>
      </c>
      <c r="P260" s="66" t="s">
        <v>84</v>
      </c>
      <c r="Q260" s="66" t="s">
        <v>128</v>
      </c>
      <c r="R260" s="66" t="s">
        <v>195</v>
      </c>
    </row>
    <row r="261" spans="1:18" s="67" customFormat="1">
      <c r="A261" s="66" t="str">
        <f>VLOOKUP(C261,classifications!C:F,4,FALSE)</f>
        <v>SD</v>
      </c>
      <c r="B261" s="66" t="s">
        <v>688</v>
      </c>
      <c r="C261" s="66" t="s">
        <v>168</v>
      </c>
      <c r="D261" s="66" t="s">
        <v>83</v>
      </c>
      <c r="E261" s="66" t="s">
        <v>76</v>
      </c>
      <c r="F261" s="66" t="s">
        <v>898</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689</v>
      </c>
      <c r="C262" s="66" t="s">
        <v>350</v>
      </c>
      <c r="D262" s="66" t="s">
        <v>10</v>
      </c>
      <c r="E262" s="66" t="s">
        <v>166</v>
      </c>
      <c r="F262" s="66" t="s">
        <v>56</v>
      </c>
      <c r="G262" s="66" t="s">
        <v>96</v>
      </c>
      <c r="H262" s="66" t="s">
        <v>173</v>
      </c>
      <c r="I262" s="66" t="s">
        <v>188</v>
      </c>
      <c r="J262" s="66" t="s">
        <v>343</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690</v>
      </c>
      <c r="C263" s="66" t="s">
        <v>171</v>
      </c>
      <c r="D263" s="66" t="s">
        <v>56</v>
      </c>
      <c r="E263" s="66" t="s">
        <v>47</v>
      </c>
      <c r="F263" s="66" t="s">
        <v>85</v>
      </c>
      <c r="G263" s="66" t="s">
        <v>104</v>
      </c>
      <c r="H263" s="66" t="s">
        <v>174</v>
      </c>
      <c r="I263" s="66" t="s">
        <v>111</v>
      </c>
      <c r="J263" s="66" t="s">
        <v>10</v>
      </c>
      <c r="K263" s="66" t="s">
        <v>350</v>
      </c>
      <c r="L263" s="66" t="s">
        <v>188</v>
      </c>
      <c r="M263" s="66" t="s">
        <v>24</v>
      </c>
      <c r="N263" s="66" t="s">
        <v>64</v>
      </c>
      <c r="O263" s="66" t="s">
        <v>96</v>
      </c>
      <c r="P263" s="66" t="s">
        <v>81</v>
      </c>
      <c r="Q263" s="66" t="s">
        <v>33</v>
      </c>
      <c r="R263" s="66" t="s">
        <v>87</v>
      </c>
    </row>
    <row r="264" spans="1:18" s="67" customFormat="1">
      <c r="A264" s="66" t="str">
        <f>VLOOKUP(C264,classifications!C:F,4,FALSE)</f>
        <v>SD</v>
      </c>
      <c r="B264" s="66" t="s">
        <v>691</v>
      </c>
      <c r="C264" s="66" t="s">
        <v>26</v>
      </c>
      <c r="D264" s="66" t="s">
        <v>89</v>
      </c>
      <c r="E264" s="66" t="s">
        <v>119</v>
      </c>
      <c r="F264" s="66" t="s">
        <v>99</v>
      </c>
      <c r="G264" s="66" t="s">
        <v>9</v>
      </c>
      <c r="H264" s="66" t="s">
        <v>120</v>
      </c>
      <c r="I264" s="66" t="s">
        <v>28</v>
      </c>
      <c r="J264" s="66" t="s">
        <v>95</v>
      </c>
      <c r="K264" s="66" t="s">
        <v>347</v>
      </c>
      <c r="L264" s="66" t="s">
        <v>13</v>
      </c>
      <c r="M264" s="66" t="s">
        <v>17</v>
      </c>
      <c r="N264" s="66" t="s">
        <v>36</v>
      </c>
      <c r="O264" s="66" t="s">
        <v>190</v>
      </c>
      <c r="P264" s="66" t="s">
        <v>76</v>
      </c>
      <c r="Q264" s="66" t="s">
        <v>30</v>
      </c>
      <c r="R264" s="66" t="s">
        <v>126</v>
      </c>
    </row>
    <row r="265" spans="1:18" s="67" customFormat="1">
      <c r="A265" s="66" t="str">
        <f>VLOOKUP(C265,classifications!C:F,4,FALSE)</f>
        <v>SD</v>
      </c>
      <c r="B265" s="66" t="s">
        <v>692</v>
      </c>
      <c r="C265" s="66" t="s">
        <v>39</v>
      </c>
      <c r="D265" s="66" t="s">
        <v>86</v>
      </c>
      <c r="E265" s="66" t="s">
        <v>147</v>
      </c>
      <c r="F265" s="66" t="s">
        <v>345</v>
      </c>
      <c r="G265" s="66" t="s">
        <v>346</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693</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694</v>
      </c>
      <c r="C267" s="66" t="s">
        <v>89</v>
      </c>
      <c r="D267" s="66" t="s">
        <v>119</v>
      </c>
      <c r="E267" s="66" t="s">
        <v>26</v>
      </c>
      <c r="F267" s="66" t="s">
        <v>99</v>
      </c>
      <c r="G267" s="66" t="s">
        <v>9</v>
      </c>
      <c r="H267" s="66" t="s">
        <v>28</v>
      </c>
      <c r="I267" s="66" t="s">
        <v>126</v>
      </c>
      <c r="J267" s="66" t="s">
        <v>13</v>
      </c>
      <c r="K267" s="66" t="s">
        <v>347</v>
      </c>
      <c r="L267" s="66" t="s">
        <v>190</v>
      </c>
      <c r="M267" s="66" t="s">
        <v>120</v>
      </c>
      <c r="N267" s="66" t="s">
        <v>73</v>
      </c>
      <c r="O267" s="66" t="s">
        <v>30</v>
      </c>
      <c r="P267" s="66" t="s">
        <v>91</v>
      </c>
      <c r="Q267" s="66" t="s">
        <v>36</v>
      </c>
      <c r="R267" s="66" t="s">
        <v>17</v>
      </c>
    </row>
    <row r="268" spans="1:18" s="67" customFormat="1">
      <c r="A268" s="66" t="str">
        <f>VLOOKUP(C268,classifications!C:F,4,FALSE)</f>
        <v>SD</v>
      </c>
      <c r="B268" s="66" t="s">
        <v>695</v>
      </c>
      <c r="C268" s="66" t="s">
        <v>92</v>
      </c>
      <c r="D268" s="66" t="s">
        <v>29</v>
      </c>
      <c r="E268" s="66" t="s">
        <v>30</v>
      </c>
      <c r="F268" s="66" t="s">
        <v>898</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696</v>
      </c>
      <c r="C269" s="66" t="s">
        <v>119</v>
      </c>
      <c r="D269" s="66" t="s">
        <v>89</v>
      </c>
      <c r="E269" s="66" t="s">
        <v>99</v>
      </c>
      <c r="F269" s="66" t="s">
        <v>91</v>
      </c>
      <c r="G269" s="66" t="s">
        <v>73</v>
      </c>
      <c r="H269" s="66" t="s">
        <v>347</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697</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347</v>
      </c>
      <c r="P270" s="66" t="s">
        <v>26</v>
      </c>
      <c r="Q270" s="66" t="s">
        <v>122</v>
      </c>
      <c r="R270" s="66" t="s">
        <v>30</v>
      </c>
    </row>
    <row r="271" spans="1:18" s="67" customFormat="1">
      <c r="A271" s="66" t="str">
        <f>VLOOKUP(C271,classifications!C:F,4,FALSE)</f>
        <v>SD</v>
      </c>
      <c r="B271" s="66" t="s">
        <v>698</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699</v>
      </c>
      <c r="C272" s="66" t="s">
        <v>126</v>
      </c>
      <c r="D272" s="66" t="s">
        <v>86</v>
      </c>
      <c r="E272" s="66" t="s">
        <v>39</v>
      </c>
      <c r="F272" s="66" t="s">
        <v>91</v>
      </c>
      <c r="G272" s="66" t="s">
        <v>28</v>
      </c>
      <c r="H272" s="66" t="s">
        <v>65</v>
      </c>
      <c r="I272" s="66" t="s">
        <v>346</v>
      </c>
      <c r="J272" s="66" t="s">
        <v>15</v>
      </c>
      <c r="K272" s="66" t="s">
        <v>183</v>
      </c>
      <c r="L272" s="66" t="s">
        <v>99</v>
      </c>
      <c r="M272" s="66" t="s">
        <v>9</v>
      </c>
      <c r="N272" s="66" t="s">
        <v>30</v>
      </c>
      <c r="O272" s="66" t="s">
        <v>7</v>
      </c>
      <c r="P272" s="66" t="s">
        <v>58</v>
      </c>
      <c r="Q272" s="66" t="s">
        <v>347</v>
      </c>
      <c r="R272" s="66" t="s">
        <v>195</v>
      </c>
    </row>
    <row r="273" spans="1:18" s="67" customFormat="1">
      <c r="A273" s="66" t="str">
        <f>VLOOKUP(C273,classifications!C:F,4,FALSE)</f>
        <v>SD</v>
      </c>
      <c r="B273" s="66" t="s">
        <v>700</v>
      </c>
      <c r="C273" s="66" t="s">
        <v>147</v>
      </c>
      <c r="D273" s="66" t="s">
        <v>345</v>
      </c>
      <c r="E273" s="66" t="s">
        <v>39</v>
      </c>
      <c r="F273" s="66" t="s">
        <v>94</v>
      </c>
      <c r="G273" s="66" t="s">
        <v>72</v>
      </c>
      <c r="H273" s="66" t="s">
        <v>142</v>
      </c>
      <c r="I273" s="66" t="s">
        <v>7</v>
      </c>
      <c r="J273" s="66" t="s">
        <v>153</v>
      </c>
      <c r="K273" s="66" t="s">
        <v>16</v>
      </c>
      <c r="L273" s="66" t="s">
        <v>58</v>
      </c>
      <c r="M273" s="66" t="s">
        <v>86</v>
      </c>
      <c r="N273" s="66" t="s">
        <v>154</v>
      </c>
      <c r="O273" s="66" t="s">
        <v>346</v>
      </c>
      <c r="P273" s="66" t="s">
        <v>112</v>
      </c>
      <c r="Q273" s="66" t="s">
        <v>65</v>
      </c>
      <c r="R273" s="66" t="s">
        <v>91</v>
      </c>
    </row>
    <row r="274" spans="1:18" s="67" customFormat="1">
      <c r="A274" s="66" t="str">
        <f>VLOOKUP(C274,classifications!C:F,4,FALSE)</f>
        <v>SD</v>
      </c>
      <c r="B274" s="66" t="s">
        <v>701</v>
      </c>
      <c r="C274" s="66" t="s">
        <v>183</v>
      </c>
      <c r="D274" s="66" t="s">
        <v>346</v>
      </c>
      <c r="E274" s="66" t="s">
        <v>7</v>
      </c>
      <c r="F274" s="66" t="s">
        <v>184</v>
      </c>
      <c r="G274" s="66" t="s">
        <v>15</v>
      </c>
      <c r="H274" s="66" t="s">
        <v>94</v>
      </c>
      <c r="I274" s="66" t="s">
        <v>115</v>
      </c>
      <c r="J274" s="66" t="s">
        <v>86</v>
      </c>
      <c r="K274" s="66" t="s">
        <v>345</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702</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898</v>
      </c>
      <c r="Q275" s="66" t="s">
        <v>134</v>
      </c>
      <c r="R275" s="66" t="s">
        <v>51</v>
      </c>
    </row>
    <row r="276" spans="1:18" s="67" customFormat="1">
      <c r="A276" s="66" t="str">
        <f>VLOOKUP(C276,classifications!C:F,4,FALSE)</f>
        <v>SD</v>
      </c>
      <c r="B276" s="66" t="s">
        <v>703</v>
      </c>
      <c r="C276" s="66" t="s">
        <v>16</v>
      </c>
      <c r="D276" s="66" t="s">
        <v>147</v>
      </c>
      <c r="E276" s="66" t="s">
        <v>345</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348</v>
      </c>
    </row>
    <row r="277" spans="1:18" s="67" customFormat="1">
      <c r="A277" s="66" t="str">
        <f>VLOOKUP(C277,classifications!C:F,4,FALSE)</f>
        <v>SD</v>
      </c>
      <c r="B277" s="66" t="s">
        <v>704</v>
      </c>
      <c r="C277" s="66" t="s">
        <v>32</v>
      </c>
      <c r="D277" s="66" t="s">
        <v>41</v>
      </c>
      <c r="E277" s="66" t="s">
        <v>153</v>
      </c>
      <c r="F277" s="66" t="s">
        <v>88</v>
      </c>
      <c r="G277" s="66" t="s">
        <v>96</v>
      </c>
      <c r="H277" s="66" t="s">
        <v>142</v>
      </c>
      <c r="I277" s="66" t="s">
        <v>19</v>
      </c>
      <c r="J277" s="66" t="s">
        <v>33</v>
      </c>
      <c r="K277" s="66" t="s">
        <v>147</v>
      </c>
      <c r="L277" s="66" t="s">
        <v>39</v>
      </c>
      <c r="M277" s="66" t="s">
        <v>72</v>
      </c>
      <c r="N277" s="66" t="s">
        <v>345</v>
      </c>
      <c r="O277" s="66" t="s">
        <v>174</v>
      </c>
      <c r="P277" s="66" t="s">
        <v>7</v>
      </c>
      <c r="Q277" s="66" t="s">
        <v>152</v>
      </c>
      <c r="R277" s="66" t="s">
        <v>94</v>
      </c>
    </row>
    <row r="278" spans="1:18" s="67" customFormat="1">
      <c r="A278" s="66" t="str">
        <f>VLOOKUP(C278,classifications!C:F,4,FALSE)</f>
        <v>SD</v>
      </c>
      <c r="B278" s="66" t="s">
        <v>705</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706</v>
      </c>
      <c r="C279" s="66" t="s">
        <v>345</v>
      </c>
      <c r="D279" s="66" t="s">
        <v>147</v>
      </c>
      <c r="E279" s="66" t="s">
        <v>154</v>
      </c>
      <c r="F279" s="66" t="s">
        <v>94</v>
      </c>
      <c r="G279" s="66" t="s">
        <v>112</v>
      </c>
      <c r="H279" s="66" t="s">
        <v>58</v>
      </c>
      <c r="I279" s="66" t="s">
        <v>39</v>
      </c>
      <c r="J279" s="66" t="s">
        <v>153</v>
      </c>
      <c r="K279" s="66" t="s">
        <v>7</v>
      </c>
      <c r="L279" s="66" t="s">
        <v>346</v>
      </c>
      <c r="M279" s="66" t="s">
        <v>157</v>
      </c>
      <c r="N279" s="66" t="s">
        <v>149</v>
      </c>
      <c r="O279" s="66" t="s">
        <v>139</v>
      </c>
      <c r="P279" s="66" t="s">
        <v>142</v>
      </c>
      <c r="Q279" s="66" t="s">
        <v>16</v>
      </c>
      <c r="R279" s="66" t="s">
        <v>100</v>
      </c>
    </row>
    <row r="280" spans="1:18" s="67" customFormat="1">
      <c r="A280" s="66" t="str">
        <f>VLOOKUP(C280,classifications!C:F,4,FALSE)</f>
        <v>SD</v>
      </c>
      <c r="B280" s="66" t="s">
        <v>707</v>
      </c>
      <c r="C280" s="66" t="s">
        <v>100</v>
      </c>
      <c r="D280" s="66" t="s">
        <v>97</v>
      </c>
      <c r="E280" s="66" t="s">
        <v>124</v>
      </c>
      <c r="F280" s="66" t="s">
        <v>12</v>
      </c>
      <c r="G280" s="66" t="s">
        <v>167</v>
      </c>
      <c r="H280" s="66" t="s">
        <v>102</v>
      </c>
      <c r="I280" s="66" t="s">
        <v>109</v>
      </c>
      <c r="J280" s="66" t="s">
        <v>58</v>
      </c>
      <c r="K280" s="66" t="s">
        <v>70</v>
      </c>
      <c r="L280" s="66" t="s">
        <v>345</v>
      </c>
      <c r="M280" s="66" t="s">
        <v>103</v>
      </c>
      <c r="N280" s="66" t="s">
        <v>157</v>
      </c>
      <c r="O280" s="66" t="s">
        <v>79</v>
      </c>
      <c r="P280" s="66" t="s">
        <v>184</v>
      </c>
      <c r="Q280" s="66" t="s">
        <v>112</v>
      </c>
      <c r="R280" s="66" t="s">
        <v>94</v>
      </c>
    </row>
    <row r="281" spans="1:18" s="67" customFormat="1">
      <c r="A281" s="66" t="str">
        <f>VLOOKUP(C281,classifications!C:F,4,FALSE)</f>
        <v>SD</v>
      </c>
      <c r="B281" s="66" t="s">
        <v>708</v>
      </c>
      <c r="C281" s="66" t="s">
        <v>115</v>
      </c>
      <c r="D281" s="66" t="s">
        <v>135</v>
      </c>
      <c r="E281" s="66" t="s">
        <v>114</v>
      </c>
      <c r="F281" s="66" t="s">
        <v>346</v>
      </c>
      <c r="G281" s="66" t="s">
        <v>15</v>
      </c>
      <c r="H281" s="66" t="s">
        <v>152</v>
      </c>
      <c r="I281" s="66" t="s">
        <v>183</v>
      </c>
      <c r="J281" s="66" t="s">
        <v>49</v>
      </c>
      <c r="K281" s="66" t="s">
        <v>58</v>
      </c>
      <c r="L281" s="66" t="s">
        <v>345</v>
      </c>
      <c r="M281" s="66" t="s">
        <v>59</v>
      </c>
      <c r="N281" s="66" t="s">
        <v>7</v>
      </c>
      <c r="O281" s="66" t="s">
        <v>139</v>
      </c>
      <c r="P281" s="66" t="s">
        <v>39</v>
      </c>
      <c r="Q281" s="66" t="s">
        <v>94</v>
      </c>
      <c r="R281" s="66" t="s">
        <v>100</v>
      </c>
    </row>
    <row r="282" spans="1:18" s="67" customFormat="1">
      <c r="A282" s="66" t="str">
        <f>VLOOKUP(C282,classifications!C:F,4,FALSE)</f>
        <v>SD</v>
      </c>
      <c r="B282" s="66" t="s">
        <v>709</v>
      </c>
      <c r="C282" s="66" t="s">
        <v>348</v>
      </c>
      <c r="D282" s="66" t="s">
        <v>31</v>
      </c>
      <c r="E282" s="66" t="s">
        <v>72</v>
      </c>
      <c r="F282" s="66" t="s">
        <v>16</v>
      </c>
      <c r="G282" s="66" t="s">
        <v>25</v>
      </c>
      <c r="H282" s="66" t="s">
        <v>147</v>
      </c>
      <c r="I282" s="66" t="s">
        <v>345</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710</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711</v>
      </c>
      <c r="C284" s="66" t="s">
        <v>57</v>
      </c>
      <c r="D284" s="66" t="s">
        <v>377</v>
      </c>
      <c r="E284" s="66" t="s">
        <v>7</v>
      </c>
      <c r="F284" s="66" t="s">
        <v>68</v>
      </c>
      <c r="G284" s="66" t="s">
        <v>165</v>
      </c>
      <c r="H284" s="66" t="s">
        <v>30</v>
      </c>
      <c r="I284" s="66" t="s">
        <v>20</v>
      </c>
      <c r="J284" s="66" t="s">
        <v>141</v>
      </c>
      <c r="K284" s="66" t="s">
        <v>15</v>
      </c>
      <c r="L284" s="66" t="s">
        <v>176</v>
      </c>
      <c r="M284" s="66" t="s">
        <v>6</v>
      </c>
      <c r="N284" s="66" t="s">
        <v>194</v>
      </c>
      <c r="O284" s="66" t="s">
        <v>195</v>
      </c>
      <c r="P284" s="66" t="s">
        <v>346</v>
      </c>
      <c r="Q284" s="66" t="s">
        <v>133</v>
      </c>
      <c r="R284" s="66" t="s">
        <v>184</v>
      </c>
    </row>
    <row r="285" spans="1:18" s="67" customFormat="1">
      <c r="A285" s="66" t="str">
        <f>VLOOKUP(C285,classifications!C:F,4,FALSE)</f>
        <v>SD</v>
      </c>
      <c r="B285" s="66" t="s">
        <v>712</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713</v>
      </c>
      <c r="C286" s="66" t="s">
        <v>112</v>
      </c>
      <c r="D286" s="66" t="s">
        <v>345</v>
      </c>
      <c r="E286" s="66" t="s">
        <v>184</v>
      </c>
      <c r="F286" s="66" t="s">
        <v>22</v>
      </c>
      <c r="G286" s="66" t="s">
        <v>154</v>
      </c>
      <c r="H286" s="66" t="s">
        <v>144</v>
      </c>
      <c r="I286" s="66" t="s">
        <v>12</v>
      </c>
      <c r="J286" s="66" t="s">
        <v>346</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714</v>
      </c>
      <c r="C287" s="66" t="s">
        <v>141</v>
      </c>
      <c r="D287" s="66" t="s">
        <v>20</v>
      </c>
      <c r="E287" s="66" t="s">
        <v>377</v>
      </c>
      <c r="F287" s="66" t="s">
        <v>68</v>
      </c>
      <c r="G287" s="66" t="s">
        <v>184</v>
      </c>
      <c r="H287" s="66" t="s">
        <v>346</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715</v>
      </c>
      <c r="C288" s="66" t="s">
        <v>142</v>
      </c>
      <c r="D288" s="66" t="s">
        <v>7</v>
      </c>
      <c r="E288" s="66" t="s">
        <v>346</v>
      </c>
      <c r="F288" s="66" t="s">
        <v>101</v>
      </c>
      <c r="G288" s="66" t="s">
        <v>153</v>
      </c>
      <c r="H288" s="66" t="s">
        <v>152</v>
      </c>
      <c r="I288" s="66" t="s">
        <v>147</v>
      </c>
      <c r="J288" s="66" t="s">
        <v>19</v>
      </c>
      <c r="K288" s="66" t="s">
        <v>345</v>
      </c>
      <c r="L288" s="66" t="s">
        <v>39</v>
      </c>
      <c r="M288" s="66" t="s">
        <v>94</v>
      </c>
      <c r="N288" s="66" t="s">
        <v>163</v>
      </c>
      <c r="O288" s="66" t="s">
        <v>86</v>
      </c>
      <c r="P288" s="66" t="s">
        <v>183</v>
      </c>
      <c r="Q288" s="66" t="s">
        <v>59</v>
      </c>
      <c r="R288" s="66" t="s">
        <v>58</v>
      </c>
    </row>
    <row r="289" spans="1:18" s="67" customFormat="1">
      <c r="A289" s="66" t="str">
        <f>VLOOKUP(C289,classifications!C:F,4,FALSE)</f>
        <v>SD</v>
      </c>
      <c r="B289" s="66" t="s">
        <v>716</v>
      </c>
      <c r="C289" s="66" t="s">
        <v>184</v>
      </c>
      <c r="D289" s="66" t="s">
        <v>70</v>
      </c>
      <c r="E289" s="66" t="s">
        <v>112</v>
      </c>
      <c r="F289" s="66" t="s">
        <v>183</v>
      </c>
      <c r="G289" s="66" t="s">
        <v>346</v>
      </c>
      <c r="H289" s="66" t="s">
        <v>345</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717</v>
      </c>
      <c r="C290" s="66" t="s">
        <v>20</v>
      </c>
      <c r="D290" s="66" t="s">
        <v>377</v>
      </c>
      <c r="E290" s="66" t="s">
        <v>141</v>
      </c>
      <c r="F290" s="66" t="s">
        <v>346</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718</v>
      </c>
      <c r="C291" s="66" t="s">
        <v>22</v>
      </c>
      <c r="D291" s="66" t="s">
        <v>112</v>
      </c>
      <c r="E291" s="66" t="s">
        <v>154</v>
      </c>
      <c r="F291" s="66" t="s">
        <v>144</v>
      </c>
      <c r="G291" s="66" t="s">
        <v>345</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719</v>
      </c>
      <c r="C292" s="66" t="s">
        <v>76</v>
      </c>
      <c r="D292" s="66" t="s">
        <v>168</v>
      </c>
      <c r="E292" s="66" t="s">
        <v>176</v>
      </c>
      <c r="F292" s="66" t="s">
        <v>13</v>
      </c>
      <c r="G292" s="66" t="s">
        <v>51</v>
      </c>
      <c r="H292" s="66" t="s">
        <v>898</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720</v>
      </c>
      <c r="C293" s="68" t="s">
        <v>377</v>
      </c>
      <c r="D293" s="66" t="s">
        <v>20</v>
      </c>
      <c r="E293" s="66" t="s">
        <v>148</v>
      </c>
      <c r="F293" s="66" t="s">
        <v>141</v>
      </c>
      <c r="G293" s="66" t="s">
        <v>346</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721</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722</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723</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345</v>
      </c>
      <c r="R296" s="66" t="s">
        <v>130</v>
      </c>
    </row>
    <row r="297" spans="1:18" s="67" customFormat="1">
      <c r="A297" s="66" t="str">
        <f>VLOOKUP(C297,classifications!C:F,4,FALSE)</f>
        <v>SD</v>
      </c>
      <c r="B297" s="66" t="s">
        <v>724</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725</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726</v>
      </c>
      <c r="C299" s="66" t="s">
        <v>124</v>
      </c>
      <c r="D299" s="66" t="s">
        <v>100</v>
      </c>
      <c r="E299" s="66" t="s">
        <v>97</v>
      </c>
      <c r="F299" s="66" t="s">
        <v>123</v>
      </c>
      <c r="G299" s="66" t="s">
        <v>79</v>
      </c>
      <c r="H299" s="66" t="s">
        <v>167</v>
      </c>
      <c r="I299" s="66" t="s">
        <v>78</v>
      </c>
      <c r="J299" s="66" t="s">
        <v>109</v>
      </c>
      <c r="K299" s="66" t="s">
        <v>157</v>
      </c>
      <c r="L299" s="66" t="s">
        <v>94</v>
      </c>
      <c r="M299" s="66" t="s">
        <v>102</v>
      </c>
      <c r="N299" s="66" t="s">
        <v>345</v>
      </c>
      <c r="O299" s="66" t="s">
        <v>12</v>
      </c>
      <c r="P299" s="66" t="s">
        <v>49</v>
      </c>
      <c r="Q299" s="66" t="s">
        <v>135</v>
      </c>
      <c r="R299" s="66" t="s">
        <v>103</v>
      </c>
    </row>
    <row r="300" spans="1:18" s="67" customFormat="1">
      <c r="A300" s="66" t="str">
        <f>VLOOKUP(C300,classifications!C:F,4,FALSE)</f>
        <v>SD</v>
      </c>
      <c r="B300" s="66" t="s">
        <v>727</v>
      </c>
      <c r="C300" s="66" t="s">
        <v>133</v>
      </c>
      <c r="D300" s="66" t="s">
        <v>108</v>
      </c>
      <c r="E300" s="66" t="s">
        <v>194</v>
      </c>
      <c r="F300" s="66" t="s">
        <v>176</v>
      </c>
      <c r="G300" s="66" t="s">
        <v>898</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728</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729</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730</v>
      </c>
      <c r="C303" s="66" t="s">
        <v>135</v>
      </c>
      <c r="D303" s="66" t="s">
        <v>49</v>
      </c>
      <c r="E303" s="66" t="s">
        <v>115</v>
      </c>
      <c r="F303" s="66" t="s">
        <v>114</v>
      </c>
      <c r="G303" s="66" t="s">
        <v>167</v>
      </c>
      <c r="H303" s="66" t="s">
        <v>346</v>
      </c>
      <c r="I303" s="66" t="s">
        <v>139</v>
      </c>
      <c r="J303" s="66" t="s">
        <v>100</v>
      </c>
      <c r="K303" s="66" t="s">
        <v>345</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731</v>
      </c>
      <c r="C304" s="66" t="s">
        <v>43</v>
      </c>
      <c r="D304" s="66" t="s">
        <v>122</v>
      </c>
      <c r="E304" s="66" t="s">
        <v>161</v>
      </c>
      <c r="F304" s="66" t="s">
        <v>99</v>
      </c>
      <c r="G304" s="66" t="s">
        <v>347</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732</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346</v>
      </c>
      <c r="R305" s="66" t="s">
        <v>345</v>
      </c>
    </row>
    <row r="306" spans="1:18" s="67" customFormat="1">
      <c r="A306" s="66" t="str">
        <f>VLOOKUP(C306,classifications!C:F,4,FALSE)</f>
        <v>SD</v>
      </c>
      <c r="B306" s="66" t="s">
        <v>733</v>
      </c>
      <c r="C306" s="66" t="s">
        <v>58</v>
      </c>
      <c r="D306" s="66" t="s">
        <v>345</v>
      </c>
      <c r="E306" s="66" t="s">
        <v>139</v>
      </c>
      <c r="F306" s="66" t="s">
        <v>39</v>
      </c>
      <c r="G306" s="66" t="s">
        <v>94</v>
      </c>
      <c r="H306" s="66" t="s">
        <v>100</v>
      </c>
      <c r="I306" s="66" t="s">
        <v>147</v>
      </c>
      <c r="J306" s="66" t="s">
        <v>346</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734</v>
      </c>
      <c r="C307" s="66" t="s">
        <v>91</v>
      </c>
      <c r="D307" s="66" t="s">
        <v>128</v>
      </c>
      <c r="E307" s="66" t="s">
        <v>59</v>
      </c>
      <c r="F307" s="66" t="s">
        <v>73</v>
      </c>
      <c r="G307" s="66" t="s">
        <v>347</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735</v>
      </c>
      <c r="C308" s="66" t="s">
        <v>116</v>
      </c>
      <c r="D308" s="66" t="s">
        <v>120</v>
      </c>
      <c r="E308" s="66" t="s">
        <v>14</v>
      </c>
      <c r="F308" s="66" t="s">
        <v>73</v>
      </c>
      <c r="G308" s="66" t="s">
        <v>90</v>
      </c>
      <c r="H308" s="66" t="s">
        <v>41</v>
      </c>
      <c r="I308" s="66" t="s">
        <v>131</v>
      </c>
      <c r="J308" s="66" t="s">
        <v>347</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736</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737</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738</v>
      </c>
      <c r="C311" s="66" t="s">
        <v>9</v>
      </c>
      <c r="D311" s="66" t="s">
        <v>99</v>
      </c>
      <c r="E311" s="66" t="s">
        <v>347</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739</v>
      </c>
      <c r="C312" s="66" t="s">
        <v>15</v>
      </c>
      <c r="D312" s="66" t="s">
        <v>346</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740</v>
      </c>
      <c r="C313" s="66" t="s">
        <v>25</v>
      </c>
      <c r="D313" s="66" t="s">
        <v>72</v>
      </c>
      <c r="E313" s="66" t="s">
        <v>65</v>
      </c>
      <c r="F313" s="66" t="s">
        <v>7</v>
      </c>
      <c r="G313" s="66" t="s">
        <v>31</v>
      </c>
      <c r="H313" s="66" t="s">
        <v>147</v>
      </c>
      <c r="I313" s="66" t="s">
        <v>39</v>
      </c>
      <c r="J313" s="66" t="s">
        <v>345</v>
      </c>
      <c r="K313" s="66" t="s">
        <v>86</v>
      </c>
      <c r="L313" s="66" t="s">
        <v>107</v>
      </c>
      <c r="M313" s="66" t="s">
        <v>142</v>
      </c>
      <c r="N313" s="66" t="s">
        <v>154</v>
      </c>
      <c r="O313" s="66" t="s">
        <v>32</v>
      </c>
      <c r="P313" s="66" t="s">
        <v>195</v>
      </c>
      <c r="Q313" s="66" t="s">
        <v>348</v>
      </c>
      <c r="R313" s="66" t="s">
        <v>149</v>
      </c>
    </row>
    <row r="314" spans="1:18" s="67" customFormat="1">
      <c r="A314" s="66" t="str">
        <f>VLOOKUP(C314,classifications!C:F,4,FALSE)</f>
        <v>SD</v>
      </c>
      <c r="B314" s="66" t="s">
        <v>741</v>
      </c>
      <c r="C314" s="66" t="s">
        <v>72</v>
      </c>
      <c r="D314" s="66" t="s">
        <v>65</v>
      </c>
      <c r="E314" s="66" t="s">
        <v>25</v>
      </c>
      <c r="F314" s="66" t="s">
        <v>147</v>
      </c>
      <c r="G314" s="66" t="s">
        <v>31</v>
      </c>
      <c r="H314" s="66" t="s">
        <v>39</v>
      </c>
      <c r="I314" s="66" t="s">
        <v>345</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742</v>
      </c>
      <c r="C315" s="66" t="s">
        <v>99</v>
      </c>
      <c r="D315" s="66" t="s">
        <v>9</v>
      </c>
      <c r="E315" s="66" t="s">
        <v>347</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743</v>
      </c>
      <c r="C316" s="66" t="s">
        <v>346</v>
      </c>
      <c r="D316" s="66" t="s">
        <v>183</v>
      </c>
      <c r="E316" s="66" t="s">
        <v>7</v>
      </c>
      <c r="F316" s="66" t="s">
        <v>15</v>
      </c>
      <c r="G316" s="66" t="s">
        <v>142</v>
      </c>
      <c r="H316" s="66" t="s">
        <v>39</v>
      </c>
      <c r="I316" s="66" t="s">
        <v>115</v>
      </c>
      <c r="J316" s="66" t="s">
        <v>345</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744</v>
      </c>
      <c r="C317" s="66" t="s">
        <v>130</v>
      </c>
      <c r="D317" s="66" t="s">
        <v>79</v>
      </c>
      <c r="E317" s="66" t="s">
        <v>94</v>
      </c>
      <c r="F317" s="66" t="s">
        <v>167</v>
      </c>
      <c r="G317" s="66" t="s">
        <v>157</v>
      </c>
      <c r="H317" s="66" t="s">
        <v>23</v>
      </c>
      <c r="I317" s="66" t="s">
        <v>345</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745</v>
      </c>
      <c r="C318" s="66" t="s">
        <v>35</v>
      </c>
      <c r="D318" s="66" t="s">
        <v>88</v>
      </c>
      <c r="E318" s="66" t="s">
        <v>96</v>
      </c>
      <c r="F318" s="66" t="s">
        <v>128</v>
      </c>
      <c r="G318" s="66" t="s">
        <v>11</v>
      </c>
      <c r="H318" s="66" t="s">
        <v>166</v>
      </c>
      <c r="I318" s="66" t="s">
        <v>173</v>
      </c>
      <c r="J318" s="66" t="s">
        <v>343</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746</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747</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748</v>
      </c>
      <c r="C321" s="66" t="s">
        <v>173</v>
      </c>
      <c r="D321" s="66" t="s">
        <v>166</v>
      </c>
      <c r="E321" s="66" t="s">
        <v>146</v>
      </c>
      <c r="F321" s="66" t="s">
        <v>188</v>
      </c>
      <c r="G321" s="66" t="s">
        <v>185</v>
      </c>
      <c r="H321" s="66" t="s">
        <v>136</v>
      </c>
      <c r="I321" s="66" t="s">
        <v>55</v>
      </c>
      <c r="J321" s="66" t="s">
        <v>138</v>
      </c>
      <c r="K321" s="66" t="s">
        <v>35</v>
      </c>
      <c r="L321" s="66" t="s">
        <v>56</v>
      </c>
      <c r="M321" s="66" t="s">
        <v>350</v>
      </c>
      <c r="N321" s="66" t="s">
        <v>167</v>
      </c>
      <c r="O321" s="66" t="s">
        <v>64</v>
      </c>
      <c r="P321" s="66" t="s">
        <v>193</v>
      </c>
      <c r="Q321" s="66" t="s">
        <v>11</v>
      </c>
      <c r="R321" s="66" t="s">
        <v>104</v>
      </c>
    </row>
    <row r="322" spans="1:18" s="67" customFormat="1">
      <c r="A322" s="66" t="str">
        <f>VLOOKUP(C322,classifications!C:F,4,FALSE)</f>
        <v>SD</v>
      </c>
      <c r="B322" s="66" t="s">
        <v>749</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750</v>
      </c>
      <c r="C323" s="66" t="s">
        <v>101</v>
      </c>
      <c r="D323" s="66" t="s">
        <v>163</v>
      </c>
      <c r="E323" s="66" t="s">
        <v>152</v>
      </c>
      <c r="F323" s="66" t="s">
        <v>157</v>
      </c>
      <c r="G323" s="66" t="s">
        <v>142</v>
      </c>
      <c r="H323" s="66" t="s">
        <v>102</v>
      </c>
      <c r="I323" s="66" t="s">
        <v>12</v>
      </c>
      <c r="J323" s="66" t="s">
        <v>148</v>
      </c>
      <c r="K323" s="66" t="s">
        <v>153</v>
      </c>
      <c r="L323" s="66" t="s">
        <v>109</v>
      </c>
      <c r="M323" s="66" t="s">
        <v>346</v>
      </c>
      <c r="N323" s="66" t="s">
        <v>94</v>
      </c>
      <c r="O323" s="66" t="s">
        <v>345</v>
      </c>
      <c r="P323" s="66" t="s">
        <v>10</v>
      </c>
      <c r="Q323" s="66" t="s">
        <v>86</v>
      </c>
      <c r="R323" s="66" t="s">
        <v>58</v>
      </c>
    </row>
    <row r="324" spans="1:18" s="67" customFormat="1">
      <c r="A324" s="66" t="str">
        <f>VLOOKUP(C324,classifications!C:F,4,FALSE)</f>
        <v>SD</v>
      </c>
      <c r="B324" s="66" t="s">
        <v>751</v>
      </c>
      <c r="C324" s="66" t="s">
        <v>134</v>
      </c>
      <c r="D324" s="66" t="s">
        <v>51</v>
      </c>
      <c r="E324" s="66" t="s">
        <v>164</v>
      </c>
      <c r="F324" s="66" t="s">
        <v>108</v>
      </c>
      <c r="G324" s="66" t="s">
        <v>170</v>
      </c>
      <c r="H324" s="66" t="s">
        <v>93</v>
      </c>
      <c r="I324" s="66" t="s">
        <v>101</v>
      </c>
      <c r="J324" s="66" t="s">
        <v>160</v>
      </c>
      <c r="K324" s="66" t="s">
        <v>7</v>
      </c>
      <c r="L324" s="66" t="s">
        <v>898</v>
      </c>
      <c r="M324" s="66" t="s">
        <v>142</v>
      </c>
      <c r="N324" s="66" t="s">
        <v>152</v>
      </c>
      <c r="O324" s="66" t="s">
        <v>346</v>
      </c>
      <c r="P324" s="66" t="s">
        <v>163</v>
      </c>
      <c r="Q324" s="66" t="s">
        <v>183</v>
      </c>
      <c r="R324" s="66" t="s">
        <v>158</v>
      </c>
    </row>
    <row r="325" spans="1:18" s="67" customFormat="1">
      <c r="A325" s="66" t="str">
        <f>VLOOKUP(C325,classifications!C:F,4,FALSE)</f>
        <v>SD</v>
      </c>
      <c r="B325" s="66" t="s">
        <v>752</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346</v>
      </c>
      <c r="P325" s="66" t="s">
        <v>111</v>
      </c>
      <c r="Q325" s="66" t="s">
        <v>195</v>
      </c>
      <c r="R325" s="66" t="s">
        <v>192</v>
      </c>
    </row>
    <row r="326" spans="1:18" s="67" customFormat="1">
      <c r="A326" s="66" t="str">
        <f>VLOOKUP(C326,classifications!C:F,4,FALSE)</f>
        <v>SD</v>
      </c>
      <c r="B326" s="66" t="s">
        <v>753</v>
      </c>
      <c r="C326" s="66" t="s">
        <v>148</v>
      </c>
      <c r="D326" s="66" t="s">
        <v>377</v>
      </c>
      <c r="E326" s="66" t="s">
        <v>101</v>
      </c>
      <c r="F326" s="66" t="s">
        <v>192</v>
      </c>
      <c r="G326" s="66" t="s">
        <v>163</v>
      </c>
      <c r="H326" s="66" t="s">
        <v>144</v>
      </c>
      <c r="I326" s="66" t="s">
        <v>20</v>
      </c>
      <c r="J326" s="66" t="s">
        <v>12</v>
      </c>
      <c r="K326" s="66" t="s">
        <v>152</v>
      </c>
      <c r="L326" s="66" t="s">
        <v>153</v>
      </c>
      <c r="M326" s="66" t="s">
        <v>142</v>
      </c>
      <c r="N326" s="66" t="s">
        <v>157</v>
      </c>
      <c r="O326" s="66" t="s">
        <v>346</v>
      </c>
      <c r="P326" s="66" t="s">
        <v>81</v>
      </c>
      <c r="Q326" s="66" t="s">
        <v>102</v>
      </c>
      <c r="R326" s="66" t="s">
        <v>156</v>
      </c>
    </row>
    <row r="327" spans="1:18" s="67" customFormat="1">
      <c r="A327" s="66" t="str">
        <f>VLOOKUP(C327,classifications!C:F,4,FALSE)</f>
        <v>SD</v>
      </c>
      <c r="B327" s="66" t="s">
        <v>754</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755</v>
      </c>
      <c r="C328" s="66" t="s">
        <v>28</v>
      </c>
      <c r="D328" s="66" t="s">
        <v>99</v>
      </c>
      <c r="E328" s="66" t="s">
        <v>161</v>
      </c>
      <c r="F328" s="66" t="s">
        <v>347</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756</v>
      </c>
      <c r="C329" s="66" t="s">
        <v>59</v>
      </c>
      <c r="D329" s="66" t="s">
        <v>91</v>
      </c>
      <c r="E329" s="66" t="s">
        <v>128</v>
      </c>
      <c r="F329" s="66" t="s">
        <v>15</v>
      </c>
      <c r="G329" s="66" t="s">
        <v>152</v>
      </c>
      <c r="H329" s="66" t="s">
        <v>142</v>
      </c>
      <c r="I329" s="66" t="s">
        <v>30</v>
      </c>
      <c r="J329" s="66" t="s">
        <v>115</v>
      </c>
      <c r="K329" s="66" t="s">
        <v>86</v>
      </c>
      <c r="L329" s="66" t="s">
        <v>73</v>
      </c>
      <c r="M329" s="66" t="s">
        <v>346</v>
      </c>
      <c r="N329" s="66" t="s">
        <v>7</v>
      </c>
      <c r="O329" s="66" t="s">
        <v>190</v>
      </c>
      <c r="P329" s="66" t="s">
        <v>179</v>
      </c>
      <c r="Q329" s="66" t="s">
        <v>39</v>
      </c>
      <c r="R329" s="66" t="s">
        <v>65</v>
      </c>
    </row>
    <row r="330" spans="1:18" s="67" customFormat="1">
      <c r="A330" s="66" t="str">
        <f>VLOOKUP(C330,classifications!C:F,4,FALSE)</f>
        <v>SD</v>
      </c>
      <c r="B330" s="66" t="s">
        <v>757</v>
      </c>
      <c r="C330" s="66" t="s">
        <v>94</v>
      </c>
      <c r="D330" s="66" t="s">
        <v>153</v>
      </c>
      <c r="E330" s="66" t="s">
        <v>345</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758</v>
      </c>
      <c r="C331" s="66" t="s">
        <v>107</v>
      </c>
      <c r="D331" s="66" t="s">
        <v>30</v>
      </c>
      <c r="E331" s="66" t="s">
        <v>65</v>
      </c>
      <c r="F331" s="66" t="s">
        <v>195</v>
      </c>
      <c r="G331" s="66" t="s">
        <v>7</v>
      </c>
      <c r="H331" s="66" t="s">
        <v>110</v>
      </c>
      <c r="I331" s="66" t="s">
        <v>99</v>
      </c>
      <c r="J331" s="66" t="s">
        <v>15</v>
      </c>
      <c r="K331" s="66" t="s">
        <v>39</v>
      </c>
      <c r="L331" s="66" t="s">
        <v>28</v>
      </c>
      <c r="M331" s="66" t="s">
        <v>346</v>
      </c>
      <c r="N331" s="66" t="s">
        <v>183</v>
      </c>
      <c r="O331" s="66" t="s">
        <v>347</v>
      </c>
      <c r="P331" s="66" t="s">
        <v>86</v>
      </c>
      <c r="Q331" s="66" t="s">
        <v>72</v>
      </c>
      <c r="R331" s="66" t="s">
        <v>36</v>
      </c>
    </row>
    <row r="332" spans="1:18" s="67" customFormat="1">
      <c r="A332" s="66" t="str">
        <f>VLOOKUP(C332,classifications!C:F,4,FALSE)</f>
        <v>SD</v>
      </c>
      <c r="B332" s="66" t="s">
        <v>759</v>
      </c>
      <c r="C332" s="66" t="s">
        <v>149</v>
      </c>
      <c r="D332" s="66" t="s">
        <v>94</v>
      </c>
      <c r="E332" s="66" t="s">
        <v>154</v>
      </c>
      <c r="F332" s="66" t="s">
        <v>157</v>
      </c>
      <c r="G332" s="66" t="s">
        <v>345</v>
      </c>
      <c r="H332" s="66" t="s">
        <v>23</v>
      </c>
      <c r="I332" s="66" t="s">
        <v>153</v>
      </c>
      <c r="J332" s="66" t="s">
        <v>183</v>
      </c>
      <c r="K332" s="66" t="s">
        <v>112</v>
      </c>
      <c r="L332" s="66" t="s">
        <v>346</v>
      </c>
      <c r="M332" s="66" t="s">
        <v>110</v>
      </c>
      <c r="N332" s="66" t="s">
        <v>97</v>
      </c>
      <c r="O332" s="66" t="s">
        <v>39</v>
      </c>
      <c r="P332" s="66" t="s">
        <v>184</v>
      </c>
      <c r="Q332" s="66" t="s">
        <v>72</v>
      </c>
      <c r="R332" s="66" t="s">
        <v>147</v>
      </c>
    </row>
    <row r="333" spans="1:18" s="67" customFormat="1">
      <c r="A333" s="66" t="str">
        <f>VLOOKUP(C333,classifications!C:F,4,FALSE)</f>
        <v>SD</v>
      </c>
      <c r="B333" s="66" t="s">
        <v>760</v>
      </c>
      <c r="C333" s="66" t="s">
        <v>153</v>
      </c>
      <c r="D333" s="66" t="s">
        <v>94</v>
      </c>
      <c r="E333" s="66" t="s">
        <v>152</v>
      </c>
      <c r="F333" s="66" t="s">
        <v>142</v>
      </c>
      <c r="G333" s="66" t="s">
        <v>345</v>
      </c>
      <c r="H333" s="66" t="s">
        <v>32</v>
      </c>
      <c r="I333" s="66" t="s">
        <v>157</v>
      </c>
      <c r="J333" s="66" t="s">
        <v>147</v>
      </c>
      <c r="K333" s="66" t="s">
        <v>163</v>
      </c>
      <c r="L333" s="66" t="s">
        <v>149</v>
      </c>
      <c r="M333" s="66" t="s">
        <v>101</v>
      </c>
      <c r="N333" s="66" t="s">
        <v>7</v>
      </c>
      <c r="O333" s="66" t="s">
        <v>183</v>
      </c>
      <c r="P333" s="66" t="s">
        <v>346</v>
      </c>
      <c r="Q333" s="66" t="s">
        <v>19</v>
      </c>
      <c r="R333" s="66" t="s">
        <v>96</v>
      </c>
    </row>
    <row r="334" spans="1:18" s="67" customFormat="1">
      <c r="A334" s="66" t="str">
        <f>VLOOKUP(C334,classifications!C:F,4,FALSE)</f>
        <v>SD</v>
      </c>
      <c r="B334" s="66" t="s">
        <v>761</v>
      </c>
      <c r="C334" s="66" t="s">
        <v>154</v>
      </c>
      <c r="D334" s="66" t="s">
        <v>345</v>
      </c>
      <c r="E334" s="66" t="s">
        <v>112</v>
      </c>
      <c r="F334" s="66" t="s">
        <v>149</v>
      </c>
      <c r="G334" s="66" t="s">
        <v>94</v>
      </c>
      <c r="H334" s="66" t="s">
        <v>7</v>
      </c>
      <c r="I334" s="66" t="s">
        <v>22</v>
      </c>
      <c r="J334" s="66" t="s">
        <v>147</v>
      </c>
      <c r="K334" s="66" t="s">
        <v>157</v>
      </c>
      <c r="L334" s="66" t="s">
        <v>184</v>
      </c>
      <c r="M334" s="66" t="s">
        <v>346</v>
      </c>
      <c r="N334" s="66" t="s">
        <v>153</v>
      </c>
      <c r="O334" s="66" t="s">
        <v>100</v>
      </c>
      <c r="P334" s="66" t="s">
        <v>97</v>
      </c>
      <c r="Q334" s="66" t="s">
        <v>39</v>
      </c>
      <c r="R334" s="66" t="s">
        <v>23</v>
      </c>
    </row>
    <row r="335" spans="1:18" s="67" customFormat="1">
      <c r="A335" s="66" t="str">
        <f>VLOOKUP(C335,classifications!C:F,4,FALSE)</f>
        <v>SD</v>
      </c>
      <c r="B335" s="66" t="s">
        <v>762</v>
      </c>
      <c r="C335" s="66" t="s">
        <v>161</v>
      </c>
      <c r="D335" s="66" t="s">
        <v>122</v>
      </c>
      <c r="E335" s="66" t="s">
        <v>28</v>
      </c>
      <c r="F335" s="66" t="s">
        <v>347</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763</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345</v>
      </c>
      <c r="R336" s="66" t="s">
        <v>94</v>
      </c>
    </row>
    <row r="337" spans="1:18" s="67" customFormat="1">
      <c r="A337" s="66" t="str">
        <f>VLOOKUP(C337,classifications!C:F,4,FALSE)</f>
        <v>SD</v>
      </c>
      <c r="B337" s="66" t="s">
        <v>764</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765</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347</v>
      </c>
      <c r="P338" s="66" t="s">
        <v>161</v>
      </c>
      <c r="Q338" s="66" t="s">
        <v>131</v>
      </c>
      <c r="R338" s="66" t="s">
        <v>116</v>
      </c>
    </row>
    <row r="339" spans="1:18" s="67" customFormat="1">
      <c r="A339" s="66" t="str">
        <f>VLOOKUP(C339,classifications!C:F,4,FALSE)</f>
        <v>SD</v>
      </c>
      <c r="B339" s="66" t="s">
        <v>766</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767</v>
      </c>
      <c r="C340" s="66" t="s">
        <v>152</v>
      </c>
      <c r="D340" s="66" t="s">
        <v>163</v>
      </c>
      <c r="E340" s="66" t="s">
        <v>153</v>
      </c>
      <c r="F340" s="66" t="s">
        <v>101</v>
      </c>
      <c r="G340" s="66" t="s">
        <v>142</v>
      </c>
      <c r="H340" s="66" t="s">
        <v>128</v>
      </c>
      <c r="I340" s="66" t="s">
        <v>346</v>
      </c>
      <c r="J340" s="66" t="s">
        <v>115</v>
      </c>
      <c r="K340" s="66" t="s">
        <v>59</v>
      </c>
      <c r="L340" s="66" t="s">
        <v>94</v>
      </c>
      <c r="M340" s="66" t="s">
        <v>183</v>
      </c>
      <c r="N340" s="66" t="s">
        <v>157</v>
      </c>
      <c r="O340" s="66" t="s">
        <v>345</v>
      </c>
      <c r="P340" s="66" t="s">
        <v>19</v>
      </c>
      <c r="Q340" s="66" t="s">
        <v>58</v>
      </c>
      <c r="R340" s="66" t="s">
        <v>10</v>
      </c>
    </row>
    <row r="341" spans="1:18" s="67" customFormat="1">
      <c r="A341" s="66" t="str">
        <f>VLOOKUP(C341,classifications!C:F,4,FALSE)</f>
        <v>SD</v>
      </c>
      <c r="B341" s="66" t="s">
        <v>768</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769</v>
      </c>
      <c r="C342" s="66" t="s">
        <v>176</v>
      </c>
      <c r="D342" s="66" t="s">
        <v>165</v>
      </c>
      <c r="E342" s="66" t="s">
        <v>51</v>
      </c>
      <c r="F342" s="66" t="s">
        <v>898</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770</v>
      </c>
      <c r="C343" s="66" t="s">
        <v>63</v>
      </c>
      <c r="D343" s="66" t="s">
        <v>344</v>
      </c>
      <c r="E343" s="66" t="s">
        <v>349</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771</v>
      </c>
      <c r="C344" s="66" t="s">
        <v>344</v>
      </c>
      <c r="D344" s="66" t="s">
        <v>159</v>
      </c>
      <c r="E344" s="66" t="s">
        <v>63</v>
      </c>
      <c r="F344" s="66" t="s">
        <v>349</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772</v>
      </c>
      <c r="C345" s="66" t="s">
        <v>77</v>
      </c>
      <c r="D345" s="66" t="s">
        <v>129</v>
      </c>
      <c r="E345" s="66" t="s">
        <v>349</v>
      </c>
      <c r="F345" s="66" t="s">
        <v>173</v>
      </c>
      <c r="G345" s="66" t="s">
        <v>193</v>
      </c>
      <c r="H345" s="66" t="s">
        <v>189</v>
      </c>
      <c r="I345" s="66" t="s">
        <v>150</v>
      </c>
      <c r="J345" s="66" t="s">
        <v>159</v>
      </c>
      <c r="K345" s="66" t="s">
        <v>177</v>
      </c>
      <c r="L345" s="66" t="s">
        <v>188</v>
      </c>
      <c r="M345" s="66" t="s">
        <v>105</v>
      </c>
      <c r="N345" s="66" t="s">
        <v>344</v>
      </c>
      <c r="O345" s="66" t="s">
        <v>146</v>
      </c>
      <c r="P345" s="66" t="s">
        <v>64</v>
      </c>
      <c r="Q345" s="66" t="s">
        <v>63</v>
      </c>
      <c r="R345" s="66" t="s">
        <v>136</v>
      </c>
    </row>
    <row r="346" spans="1:18" s="67" customFormat="1">
      <c r="A346" s="66" t="str">
        <f>VLOOKUP(C346,classifications!C:F,4,FALSE)</f>
        <v>SD</v>
      </c>
      <c r="B346" s="66" t="s">
        <v>773</v>
      </c>
      <c r="C346" s="66" t="s">
        <v>105</v>
      </c>
      <c r="D346" s="66" t="s">
        <v>177</v>
      </c>
      <c r="E346" s="66" t="s">
        <v>162</v>
      </c>
      <c r="F346" s="66" t="s">
        <v>21</v>
      </c>
      <c r="G346" s="66" t="s">
        <v>159</v>
      </c>
      <c r="H346" s="66" t="s">
        <v>136</v>
      </c>
      <c r="I346" s="66" t="s">
        <v>349</v>
      </c>
      <c r="J346" s="66" t="s">
        <v>344</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774</v>
      </c>
      <c r="C347" s="66" t="s">
        <v>349</v>
      </c>
      <c r="D347" s="66" t="s">
        <v>150</v>
      </c>
      <c r="E347" s="66" t="s">
        <v>159</v>
      </c>
      <c r="F347" s="66" t="s">
        <v>177</v>
      </c>
      <c r="G347" s="66" t="s">
        <v>189</v>
      </c>
      <c r="H347" s="66" t="s">
        <v>344</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775</v>
      </c>
      <c r="C348" s="66" t="s">
        <v>129</v>
      </c>
      <c r="D348" s="66" t="s">
        <v>150</v>
      </c>
      <c r="E348" s="66" t="s">
        <v>77</v>
      </c>
      <c r="F348" s="66" t="s">
        <v>189</v>
      </c>
      <c r="G348" s="66" t="s">
        <v>159</v>
      </c>
      <c r="H348" s="66" t="s">
        <v>349</v>
      </c>
      <c r="I348" s="66" t="s">
        <v>21</v>
      </c>
      <c r="J348" s="66" t="s">
        <v>344</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776</v>
      </c>
      <c r="C349" s="66" t="s">
        <v>150</v>
      </c>
      <c r="D349" s="66" t="s">
        <v>129</v>
      </c>
      <c r="E349" s="66" t="s">
        <v>189</v>
      </c>
      <c r="F349" s="66" t="s">
        <v>349</v>
      </c>
      <c r="G349" s="66" t="s">
        <v>159</v>
      </c>
      <c r="H349" s="66" t="s">
        <v>344</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777</v>
      </c>
      <c r="C350" s="66" t="s">
        <v>159</v>
      </c>
      <c r="D350" s="66" t="s">
        <v>344</v>
      </c>
      <c r="E350" s="66" t="s">
        <v>349</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778</v>
      </c>
      <c r="C351" s="66" t="s">
        <v>162</v>
      </c>
      <c r="D351" s="66" t="s">
        <v>159</v>
      </c>
      <c r="E351" s="66" t="s">
        <v>105</v>
      </c>
      <c r="F351" s="66" t="s">
        <v>177</v>
      </c>
      <c r="G351" s="66" t="s">
        <v>136</v>
      </c>
      <c r="H351" s="66" t="s">
        <v>349</v>
      </c>
      <c r="I351" s="66" t="s">
        <v>21</v>
      </c>
      <c r="J351" s="66" t="s">
        <v>55</v>
      </c>
      <c r="K351" s="66" t="s">
        <v>146</v>
      </c>
      <c r="L351" s="66" t="s">
        <v>64</v>
      </c>
      <c r="M351" s="66" t="s">
        <v>344</v>
      </c>
      <c r="N351" s="66" t="s">
        <v>185</v>
      </c>
      <c r="O351" s="66" t="s">
        <v>82</v>
      </c>
      <c r="P351" s="66" t="s">
        <v>173</v>
      </c>
      <c r="Q351" s="66" t="s">
        <v>63</v>
      </c>
      <c r="R351" s="66" t="s">
        <v>150</v>
      </c>
    </row>
    <row r="352" spans="1:18" s="67" customFormat="1">
      <c r="A352" s="66" t="str">
        <f>VLOOKUP(C352,classifications!C:F,4,FALSE)</f>
        <v>SD</v>
      </c>
      <c r="B352" s="66" t="s">
        <v>779</v>
      </c>
      <c r="C352" s="66" t="s">
        <v>177</v>
      </c>
      <c r="D352" s="66" t="s">
        <v>105</v>
      </c>
      <c r="E352" s="66" t="s">
        <v>349</v>
      </c>
      <c r="F352" s="66" t="s">
        <v>162</v>
      </c>
      <c r="G352" s="66" t="s">
        <v>136</v>
      </c>
      <c r="H352" s="66" t="s">
        <v>63</v>
      </c>
      <c r="I352" s="66" t="s">
        <v>159</v>
      </c>
      <c r="J352" s="66" t="s">
        <v>146</v>
      </c>
      <c r="K352" s="66" t="s">
        <v>344</v>
      </c>
      <c r="L352" s="66" t="s">
        <v>188</v>
      </c>
      <c r="M352" s="66" t="s">
        <v>77</v>
      </c>
      <c r="N352" s="66" t="s">
        <v>21</v>
      </c>
      <c r="O352" s="66" t="s">
        <v>64</v>
      </c>
      <c r="P352" s="66" t="s">
        <v>55</v>
      </c>
      <c r="Q352" s="66" t="s">
        <v>173</v>
      </c>
      <c r="R352" s="66" t="s">
        <v>185</v>
      </c>
    </row>
    <row r="353" spans="1:18" s="67" customFormat="1">
      <c r="A353" s="66" t="str">
        <f>VLOOKUP(C353,classifications!C:F,4,FALSE)</f>
        <v>SD</v>
      </c>
      <c r="B353" s="66" t="s">
        <v>780</v>
      </c>
      <c r="C353" s="66" t="s">
        <v>189</v>
      </c>
      <c r="D353" s="66" t="s">
        <v>150</v>
      </c>
      <c r="E353" s="66" t="s">
        <v>129</v>
      </c>
      <c r="F353" s="66" t="s">
        <v>349</v>
      </c>
      <c r="G353" s="66" t="s">
        <v>344</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781</v>
      </c>
      <c r="C354" s="66" t="s">
        <v>114</v>
      </c>
      <c r="D354" s="66" t="s">
        <v>115</v>
      </c>
      <c r="E354" s="66" t="s">
        <v>135</v>
      </c>
      <c r="F354" s="66" t="s">
        <v>42</v>
      </c>
      <c r="G354" s="66" t="s">
        <v>49</v>
      </c>
      <c r="H354" s="66" t="s">
        <v>15</v>
      </c>
      <c r="I354" s="66" t="s">
        <v>152</v>
      </c>
      <c r="J354" s="66" t="s">
        <v>167</v>
      </c>
      <c r="K354" s="66" t="s">
        <v>183</v>
      </c>
      <c r="L354" s="66" t="s">
        <v>346</v>
      </c>
      <c r="M354" s="66" t="s">
        <v>59</v>
      </c>
      <c r="N354" s="66" t="s">
        <v>100</v>
      </c>
      <c r="O354" s="66" t="s">
        <v>94</v>
      </c>
      <c r="P354" s="66" t="s">
        <v>345</v>
      </c>
      <c r="Q354" s="66" t="s">
        <v>58</v>
      </c>
      <c r="R354" s="66" t="s">
        <v>128</v>
      </c>
    </row>
    <row r="355" spans="1:18" s="67" customFormat="1">
      <c r="A355" s="66" t="str">
        <f>VLOOKUP(C355,classifications!C:F,4,FALSE)</f>
        <v>SD</v>
      </c>
      <c r="B355" s="66" t="s">
        <v>782</v>
      </c>
      <c r="C355" s="66" t="s">
        <v>347</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783</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784</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785</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786</v>
      </c>
      <c r="C359" s="66" t="s">
        <v>4</v>
      </c>
      <c r="D359" s="66" t="s">
        <v>898</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787</v>
      </c>
      <c r="C360" s="66" t="s">
        <v>8</v>
      </c>
      <c r="D360" s="66" t="s">
        <v>164</v>
      </c>
      <c r="E360" s="66" t="s">
        <v>93</v>
      </c>
      <c r="F360" s="66" t="s">
        <v>53</v>
      </c>
      <c r="G360" s="66" t="s">
        <v>106</v>
      </c>
      <c r="H360" s="66" t="s">
        <v>71</v>
      </c>
      <c r="I360" s="66" t="s">
        <v>165</v>
      </c>
      <c r="J360" s="66" t="s">
        <v>898</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788</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789</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790</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350</v>
      </c>
      <c r="R363" s="66" t="s">
        <v>173</v>
      </c>
    </row>
    <row r="364" spans="1:18">
      <c r="A364" s="66" t="str">
        <f>VLOOKUP(C364,classifications!C:F,4,FALSE)</f>
        <v>SD</v>
      </c>
      <c r="B364" s="66" t="s">
        <v>791</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792</v>
      </c>
      <c r="C365" s="66" t="s">
        <v>191</v>
      </c>
      <c r="D365" s="66" t="s">
        <v>898</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55" t="s">
        <v>857</v>
      </c>
      <c r="G20" s="355"/>
      <c r="H20" s="193" t="s">
        <v>800</v>
      </c>
      <c r="I20" s="194" t="s">
        <v>793</v>
      </c>
    </row>
    <row r="21" spans="1:11">
      <c r="C21" s="191"/>
      <c r="E21" s="207" t="s">
        <v>848</v>
      </c>
      <c r="F21" s="355"/>
      <c r="G21" s="355"/>
      <c r="H21" s="2" t="s">
        <v>810</v>
      </c>
      <c r="I21" s="4" t="s">
        <v>821</v>
      </c>
    </row>
    <row r="22" spans="1:11" ht="36">
      <c r="C22" s="191"/>
      <c r="E22" s="208" t="s">
        <v>849</v>
      </c>
      <c r="F22" s="355"/>
      <c r="G22" s="355"/>
    </row>
    <row r="23" spans="1:11">
      <c r="C23" s="191"/>
      <c r="E23" s="209">
        <v>87</v>
      </c>
      <c r="F23" s="355"/>
      <c r="G23" s="355"/>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381</v>
      </c>
      <c r="G7" t="s">
        <v>387</v>
      </c>
    </row>
    <row r="8" spans="1:9">
      <c r="D8" t="s">
        <v>878</v>
      </c>
      <c r="E8" t="s">
        <v>879</v>
      </c>
      <c r="F8" t="s">
        <v>880</v>
      </c>
      <c r="G8" t="s">
        <v>878</v>
      </c>
      <c r="H8" t="s">
        <v>879</v>
      </c>
      <c r="I8" t="s">
        <v>880</v>
      </c>
    </row>
    <row r="9" spans="1:9">
      <c r="A9" s="214" t="s">
        <v>793</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381</v>
      </c>
      <c r="E17" t="s">
        <v>387</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408</v>
      </c>
      <c r="C26" s="212" t="s">
        <v>374</v>
      </c>
      <c r="D26" s="213"/>
      <c r="E26" s="213"/>
    </row>
    <row r="27" spans="1:5">
      <c r="A27" s="1"/>
      <c r="B27" s="3"/>
      <c r="C27" s="212" t="s">
        <v>835</v>
      </c>
      <c r="D27" s="213"/>
      <c r="E27" s="213"/>
    </row>
    <row r="28" spans="1:5">
      <c r="A28" s="1"/>
      <c r="B28" s="212" t="s">
        <v>834</v>
      </c>
      <c r="C28" s="212"/>
      <c r="D28" s="213"/>
      <c r="E28" s="213"/>
    </row>
    <row r="29" spans="1:5">
      <c r="A29" s="1"/>
      <c r="B29" s="212" t="s">
        <v>354</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798</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B0E4E97C-BE13-4731-B363-009C2C3A2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2014-11-12T09:55:50Z</dcterms:created>
  <dcterms:modified xsi:type="dcterms:W3CDTF">2020-10-02T11:18:38Z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